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Elise/ownCloud/Elise/Doctorat/Papers/WindPotential/EnergyInputs_RK/"/>
    </mc:Choice>
  </mc:AlternateContent>
  <bookViews>
    <workbookView xWindow="0" yWindow="460" windowWidth="25600" windowHeight="15460"/>
  </bookViews>
  <sheets>
    <sheet name="Overview Data" sheetId="1" r:id="rId1"/>
    <sheet name="Feuil2" sheetId="3" r:id="rId2"/>
    <sheet name="With PEF" sheetId="2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S5" i="1"/>
  <c r="F13" i="3"/>
  <c r="E26" i="3"/>
  <c r="J43" i="1"/>
  <c r="E3" i="3"/>
  <c r="H43" i="1"/>
  <c r="F3" i="3"/>
  <c r="G3" i="3"/>
  <c r="E4" i="3"/>
  <c r="F4" i="3"/>
  <c r="G4" i="3"/>
  <c r="E5" i="3"/>
  <c r="G5" i="3"/>
  <c r="E6" i="3"/>
  <c r="G6" i="3"/>
  <c r="E7" i="3"/>
  <c r="G7" i="3"/>
  <c r="E8" i="3"/>
  <c r="G8" i="3"/>
  <c r="E9" i="3"/>
  <c r="G9" i="3"/>
  <c r="F10" i="1"/>
  <c r="E10" i="3"/>
  <c r="G10" i="3"/>
  <c r="E11" i="3"/>
  <c r="G11" i="3"/>
  <c r="F113" i="1"/>
  <c r="E12" i="3"/>
  <c r="G12" i="3"/>
  <c r="G13" i="3"/>
  <c r="G15" i="3"/>
  <c r="F26" i="3"/>
  <c r="E25" i="3"/>
  <c r="F25" i="3"/>
  <c r="E24" i="3"/>
  <c r="F24" i="3"/>
  <c r="E18" i="1"/>
  <c r="Q8" i="1"/>
  <c r="C13" i="3"/>
  <c r="B26" i="3"/>
  <c r="B3" i="3"/>
  <c r="C3" i="3"/>
  <c r="D3" i="3"/>
  <c r="B4" i="3"/>
  <c r="C4" i="3"/>
  <c r="D4" i="3"/>
  <c r="B5" i="3"/>
  <c r="D5" i="3"/>
  <c r="B6" i="3"/>
  <c r="D6" i="3"/>
  <c r="B7" i="3"/>
  <c r="D7" i="3"/>
  <c r="B8" i="3"/>
  <c r="D8" i="3"/>
  <c r="B9" i="3"/>
  <c r="D9" i="3"/>
  <c r="E10" i="1"/>
  <c r="B10" i="3"/>
  <c r="D10" i="3"/>
  <c r="B11" i="3"/>
  <c r="D11" i="3"/>
  <c r="E113" i="1"/>
  <c r="B12" i="3"/>
  <c r="D12" i="3"/>
  <c r="D13" i="3"/>
  <c r="D15" i="3"/>
  <c r="C26" i="3"/>
  <c r="B25" i="3"/>
  <c r="C25" i="3"/>
  <c r="B24" i="3"/>
  <c r="C24" i="3"/>
  <c r="E27" i="3"/>
  <c r="B27" i="3"/>
  <c r="E19" i="3"/>
  <c r="F19" i="3"/>
  <c r="E20" i="3"/>
  <c r="F20" i="3"/>
  <c r="E21" i="3"/>
  <c r="F21" i="3"/>
  <c r="E18" i="3"/>
  <c r="E22" i="3"/>
  <c r="F22" i="3"/>
  <c r="B18" i="3"/>
  <c r="B19" i="3"/>
  <c r="B20" i="3"/>
  <c r="B21" i="3"/>
  <c r="B22" i="3"/>
  <c r="C22" i="3"/>
  <c r="F18" i="3"/>
  <c r="C19" i="3"/>
  <c r="C20" i="3"/>
  <c r="C21" i="3"/>
  <c r="C18" i="3"/>
  <c r="E8" i="1"/>
  <c r="C15" i="3"/>
  <c r="E15" i="3"/>
  <c r="F15" i="3"/>
  <c r="B15" i="3"/>
  <c r="G65" i="1"/>
  <c r="J65" i="1"/>
  <c r="K95" i="1"/>
  <c r="J95" i="1"/>
  <c r="I44" i="1"/>
  <c r="J44" i="1"/>
  <c r="H65" i="1"/>
  <c r="H44" i="1"/>
  <c r="G44" i="1"/>
  <c r="I65" i="1"/>
  <c r="H62" i="2"/>
  <c r="H63" i="2"/>
  <c r="H64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H53" i="2"/>
  <c r="G53" i="2"/>
  <c r="H46" i="2"/>
  <c r="H47" i="2"/>
  <c r="G36" i="2"/>
  <c r="G37" i="2"/>
  <c r="G38" i="2"/>
  <c r="G39" i="2"/>
  <c r="G40" i="2"/>
  <c r="G41" i="2"/>
  <c r="G42" i="2"/>
  <c r="G43" i="2"/>
  <c r="H41" i="2"/>
  <c r="H42" i="2"/>
  <c r="H43" i="2"/>
  <c r="G30" i="2"/>
  <c r="H30" i="2"/>
  <c r="G31" i="2"/>
  <c r="H31" i="2"/>
  <c r="G32" i="2"/>
  <c r="H32" i="2"/>
  <c r="G33" i="2"/>
  <c r="H33" i="2"/>
  <c r="G34" i="2"/>
  <c r="H34" i="2"/>
  <c r="G35" i="2"/>
  <c r="H35" i="2"/>
  <c r="H36" i="2"/>
  <c r="H37" i="2"/>
  <c r="H38" i="2"/>
  <c r="H39" i="2"/>
  <c r="H40" i="2"/>
  <c r="H29" i="2"/>
  <c r="G29" i="2"/>
  <c r="F113" i="2"/>
  <c r="E113" i="2"/>
  <c r="F47" i="2"/>
  <c r="J47" i="2"/>
  <c r="F46" i="2"/>
  <c r="J46" i="2"/>
  <c r="J43" i="2"/>
  <c r="F43" i="2"/>
  <c r="F19" i="2"/>
  <c r="F23" i="2"/>
  <c r="E22" i="2"/>
  <c r="F21" i="2"/>
  <c r="F20" i="2"/>
  <c r="L19" i="2"/>
  <c r="L18" i="2"/>
  <c r="E19" i="2"/>
  <c r="F18" i="2"/>
  <c r="E18" i="2"/>
  <c r="F3" i="2"/>
  <c r="Y4" i="2"/>
  <c r="O5" i="2"/>
  <c r="F4" i="2"/>
  <c r="F5" i="2"/>
  <c r="F6" i="2"/>
  <c r="F7" i="2"/>
  <c r="F8" i="2"/>
  <c r="F9" i="2"/>
  <c r="F10" i="2"/>
  <c r="F11" i="2"/>
  <c r="F12" i="2"/>
  <c r="F15" i="2"/>
  <c r="N5" i="2"/>
  <c r="Y11" i="2"/>
  <c r="P5" i="2"/>
  <c r="Q5" i="2"/>
  <c r="R5" i="2"/>
  <c r="S5" i="2"/>
  <c r="T5" i="2"/>
  <c r="I3" i="2"/>
  <c r="I4" i="2"/>
  <c r="I5" i="2"/>
  <c r="I6" i="2"/>
  <c r="I7" i="2"/>
  <c r="I8" i="2"/>
  <c r="I9" i="2"/>
  <c r="I10" i="2"/>
  <c r="I11" i="2"/>
  <c r="F13" i="2"/>
  <c r="I13" i="2"/>
  <c r="I15" i="2"/>
  <c r="E3" i="2"/>
  <c r="E4" i="2"/>
  <c r="E5" i="2"/>
  <c r="E6" i="2"/>
  <c r="E7" i="2"/>
  <c r="E8" i="2"/>
  <c r="E9" i="2"/>
  <c r="E10" i="2"/>
  <c r="E11" i="2"/>
  <c r="E12" i="2"/>
  <c r="E15" i="2"/>
  <c r="N8" i="2"/>
  <c r="Y12" i="2"/>
  <c r="O8" i="2"/>
  <c r="P8" i="2"/>
  <c r="Q8" i="2"/>
  <c r="T8" i="2"/>
  <c r="H3" i="2"/>
  <c r="H4" i="2"/>
  <c r="H5" i="2"/>
  <c r="H6" i="2"/>
  <c r="H7" i="2"/>
  <c r="H8" i="2"/>
  <c r="H9" i="2"/>
  <c r="H10" i="2"/>
  <c r="H11" i="2"/>
  <c r="E13" i="2"/>
  <c r="H13" i="2"/>
  <c r="H15" i="2"/>
  <c r="G15" i="2"/>
  <c r="G14" i="2"/>
  <c r="N11" i="2"/>
  <c r="O11" i="2"/>
  <c r="P11" i="2"/>
  <c r="Q11" i="2"/>
  <c r="R11" i="2"/>
  <c r="S11" i="2"/>
  <c r="T11" i="2"/>
  <c r="L11" i="2"/>
  <c r="Y9" i="2"/>
  <c r="X9" i="2"/>
  <c r="Y8" i="2"/>
  <c r="X8" i="2"/>
  <c r="L8" i="2"/>
  <c r="Y7" i="2"/>
  <c r="X7" i="2"/>
  <c r="Y6" i="2"/>
  <c r="X6" i="2"/>
  <c r="Y5" i="2"/>
  <c r="X5" i="2"/>
  <c r="L5" i="2"/>
  <c r="E3" i="1"/>
  <c r="E4" i="1"/>
  <c r="E5" i="1"/>
  <c r="E6" i="1"/>
  <c r="E7" i="1"/>
  <c r="E9" i="1"/>
  <c r="E11" i="1"/>
  <c r="E12" i="1"/>
  <c r="E15" i="1"/>
  <c r="N8" i="1"/>
  <c r="Y4" i="1"/>
  <c r="O5" i="1"/>
  <c r="F3" i="1"/>
  <c r="F4" i="1"/>
  <c r="F5" i="1"/>
  <c r="F6" i="1"/>
  <c r="F7" i="1"/>
  <c r="F8" i="1"/>
  <c r="F9" i="1"/>
  <c r="F11" i="1"/>
  <c r="F12" i="1"/>
  <c r="F15" i="1"/>
  <c r="N5" i="1"/>
  <c r="Y11" i="1"/>
  <c r="F20" i="1"/>
  <c r="F21" i="1"/>
  <c r="P5" i="1"/>
  <c r="F19" i="1"/>
  <c r="Q5" i="1"/>
  <c r="R5" i="1"/>
  <c r="T5" i="1"/>
  <c r="L5" i="1"/>
  <c r="F46" i="1"/>
  <c r="H46" i="1"/>
  <c r="F47" i="1"/>
  <c r="H47" i="1"/>
  <c r="J46" i="1"/>
  <c r="J47" i="1"/>
  <c r="N11" i="1"/>
  <c r="L18" i="1"/>
  <c r="E19" i="1"/>
  <c r="Y12" i="1"/>
  <c r="O8" i="1"/>
  <c r="P11" i="1"/>
  <c r="I3" i="1"/>
  <c r="O11" i="1"/>
  <c r="R11" i="1"/>
  <c r="F43" i="1"/>
  <c r="Y9" i="1"/>
  <c r="Y8" i="1"/>
  <c r="Y7" i="1"/>
  <c r="Y6" i="1"/>
  <c r="Y5" i="1"/>
  <c r="X9" i="1"/>
  <c r="X8" i="1"/>
  <c r="X7" i="1"/>
  <c r="X6" i="1"/>
  <c r="X5" i="1"/>
  <c r="E22" i="1"/>
  <c r="P8" i="1"/>
  <c r="Q11" i="1"/>
  <c r="L19" i="1"/>
  <c r="E13" i="1"/>
  <c r="T8" i="1"/>
  <c r="F13" i="1"/>
  <c r="S11" i="1"/>
  <c r="T11" i="1"/>
  <c r="L11" i="1"/>
  <c r="F23" i="1"/>
  <c r="L8" i="1"/>
  <c r="H6" i="1"/>
  <c r="H3" i="1"/>
  <c r="H5" i="1"/>
  <c r="H7" i="1"/>
  <c r="H13" i="1"/>
  <c r="H4" i="1"/>
  <c r="H10" i="1"/>
  <c r="H8" i="1"/>
  <c r="H11" i="1"/>
  <c r="H9" i="1"/>
  <c r="I9" i="1"/>
  <c r="H15" i="1"/>
  <c r="I11" i="1"/>
  <c r="I8" i="1"/>
  <c r="I7" i="1"/>
  <c r="I6" i="1"/>
  <c r="I5" i="1"/>
  <c r="I13" i="1"/>
  <c r="I10" i="1"/>
  <c r="I4" i="1"/>
  <c r="I15" i="1"/>
</calcChain>
</file>

<file path=xl/sharedStrings.xml><?xml version="1.0" encoding="utf-8"?>
<sst xmlns="http://schemas.openxmlformats.org/spreadsheetml/2006/main" count="504" uniqueCount="130">
  <si>
    <t>Tower</t>
  </si>
  <si>
    <t>Nacelle</t>
  </si>
  <si>
    <t>Foundation</t>
  </si>
  <si>
    <t>Component</t>
  </si>
  <si>
    <t>Material</t>
  </si>
  <si>
    <t>Weight</t>
  </si>
  <si>
    <t>[tonnes]</t>
  </si>
  <si>
    <t>Electricity[GJ]</t>
  </si>
  <si>
    <t>Diesel[GJ]</t>
  </si>
  <si>
    <t>on</t>
  </si>
  <si>
    <t>off</t>
  </si>
  <si>
    <t>Steel</t>
  </si>
  <si>
    <t>Coating</t>
  </si>
  <si>
    <t>Copper</t>
  </si>
  <si>
    <t>Aluminum</t>
  </si>
  <si>
    <t>Concrete</t>
  </si>
  <si>
    <t>Fibre Glass</t>
  </si>
  <si>
    <t>Epoxy Resin</t>
  </si>
  <si>
    <t>Hub and Blades</t>
  </si>
  <si>
    <t>Embodied energy in materials for 1 GW turbine generators</t>
  </si>
  <si>
    <t>Embodied energy in materials for substations and cables</t>
  </si>
  <si>
    <t>Aluminium</t>
  </si>
  <si>
    <t>Other</t>
  </si>
  <si>
    <t>Substation</t>
  </si>
  <si>
    <t>n/a</t>
  </si>
  <si>
    <t>Park cabling (183 km)</t>
  </si>
  <si>
    <t>Substation (one)</t>
  </si>
  <si>
    <t>Cables to shore ( 1 km)</t>
  </si>
  <si>
    <t>Manufacturing energy for 1 GW turbine generators</t>
  </si>
  <si>
    <t>Onshore (Primary Energy GJ)</t>
  </si>
  <si>
    <t>Offshore (Primary Energy GJ)</t>
  </si>
  <si>
    <t>Wind turbine</t>
  </si>
  <si>
    <t>Transport</t>
  </si>
  <si>
    <t>Material+Mode</t>
  </si>
  <si>
    <t>Distance</t>
  </si>
  <si>
    <t>[km]</t>
  </si>
  <si>
    <t>Diesel</t>
  </si>
  <si>
    <t>[GJ]</t>
  </si>
  <si>
    <t>Cement+Truck</t>
  </si>
  <si>
    <t>Steel+Truck</t>
  </si>
  <si>
    <t>Copper+Truck</t>
  </si>
  <si>
    <t>Al+Truck</t>
  </si>
  <si>
    <t>Other+Truck</t>
  </si>
  <si>
    <t>Copper+Ship</t>
  </si>
  <si>
    <t>Al+Ship</t>
  </si>
  <si>
    <t>Other+Ship</t>
  </si>
  <si>
    <t>Steel+Ship</t>
  </si>
  <si>
    <t>Decommissioning</t>
  </si>
  <si>
    <t>All+Truck</t>
  </si>
  <si>
    <t>All+Ship</t>
  </si>
  <si>
    <t>Transport Energy</t>
  </si>
  <si>
    <t>Raw materials</t>
  </si>
  <si>
    <t>Factory to site</t>
  </si>
  <si>
    <t>Installation Energy Cost</t>
  </si>
  <si>
    <t>onshore</t>
  </si>
  <si>
    <t>offshore</t>
  </si>
  <si>
    <t>Primary Energy (GJ)</t>
  </si>
  <si>
    <t>Wind park cabling (168 km)</t>
  </si>
  <si>
    <t>Cabling to shore ( 1 km)</t>
  </si>
  <si>
    <t>Operation and maintenance</t>
  </si>
  <si>
    <t>Process</t>
  </si>
  <si>
    <t>Electricity (GJ/GJ)</t>
  </si>
  <si>
    <t>Diesel (GJ/GW/year)</t>
  </si>
  <si>
    <t>Operations</t>
  </si>
  <si>
    <t>Maintenance</t>
  </si>
  <si>
    <t>Onshore</t>
  </si>
  <si>
    <t>Total</t>
  </si>
  <si>
    <t>Offshore</t>
  </si>
  <si>
    <t>Offshore wind</t>
  </si>
  <si>
    <t>Onshore wind</t>
  </si>
  <si>
    <t>Embodied energy in materials turbines</t>
  </si>
  <si>
    <t>Embodied energy substations and cable materials</t>
  </si>
  <si>
    <t>Manufaturing energy turbines</t>
  </si>
  <si>
    <t>Manufacturing energy substations and cables</t>
  </si>
  <si>
    <t>Transport for materials</t>
  </si>
  <si>
    <t>Transport from factory to park</t>
  </si>
  <si>
    <t>Transport for decommissioning</t>
  </si>
  <si>
    <t>Installation energy cost wind park (total)</t>
  </si>
  <si>
    <t>Operation energy costs</t>
  </si>
  <si>
    <t>Fixed values (1 GW turbine park) - GJ</t>
  </si>
  <si>
    <t>Variable values (1 GW turbine park) - GJ</t>
  </si>
  <si>
    <t>Maintenance energy costs (25 years)</t>
  </si>
  <si>
    <t>GJ/GJ</t>
  </si>
  <si>
    <t>Cables to shore embodied energy</t>
  </si>
  <si>
    <t>Cables to shore installation cost</t>
  </si>
  <si>
    <t>MJ/tkm</t>
  </si>
  <si>
    <t>GJ/km</t>
  </si>
  <si>
    <t>Installation energy cost transport distance effect</t>
  </si>
  <si>
    <t>Truck</t>
  </si>
  <si>
    <t>Ship</t>
  </si>
  <si>
    <t>Note</t>
  </si>
  <si>
    <t>(Starting at 17 km)</t>
  </si>
  <si>
    <t>Decommissioning transport effect</t>
  </si>
  <si>
    <t xml:space="preserve">Operation &amp; Maintenance transport distance effect (lifetime) </t>
  </si>
  <si>
    <t>B)</t>
  </si>
  <si>
    <t>C)</t>
  </si>
  <si>
    <t>D)</t>
  </si>
  <si>
    <t>Fixed</t>
  </si>
  <si>
    <t>E)</t>
  </si>
  <si>
    <t>F)</t>
  </si>
  <si>
    <t>Scaling factor</t>
  </si>
  <si>
    <t>Water depth</t>
  </si>
  <si>
    <t>0-15</t>
  </si>
  <si>
    <t>A) (Foundation Depth)</t>
  </si>
  <si>
    <t>Distance to shore - offshore</t>
  </si>
  <si>
    <t>Distance to shore - onshore</t>
  </si>
  <si>
    <t>km</t>
  </si>
  <si>
    <t>SUM</t>
  </si>
  <si>
    <t>O)</t>
  </si>
  <si>
    <t>Calculations GJ for 1 GW Wind Turbine Park</t>
  </si>
  <si>
    <t>Offshore floating</t>
  </si>
  <si>
    <t>Foundation floating wind</t>
  </si>
  <si>
    <t>Output example (lifetime)</t>
  </si>
  <si>
    <t>Net Energy Ratio</t>
  </si>
  <si>
    <t>Output example (GJ lifetime)</t>
  </si>
  <si>
    <t>ENERGY INPUTS (GJ)</t>
  </si>
  <si>
    <t>Offshore fixed (0 - 15 meters)</t>
  </si>
  <si>
    <t>Operation (variable depending on output)</t>
  </si>
  <si>
    <t>Total Fixed</t>
  </si>
  <si>
    <t>Percentages incl variable aspects</t>
  </si>
  <si>
    <t xml:space="preserve">Decommisionning </t>
  </si>
  <si>
    <t>Manufacturing</t>
  </si>
  <si>
    <t>Electricity</t>
  </si>
  <si>
    <t>O &amp; M</t>
  </si>
  <si>
    <t>Materials</t>
  </si>
  <si>
    <t>Transportation</t>
  </si>
  <si>
    <t>Installation, decommissonning, …</t>
  </si>
  <si>
    <t>Electricity To PEEq</t>
  </si>
  <si>
    <t>PE</t>
  </si>
  <si>
    <t>Operational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</si>
</sst>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venir Book"/>
    </font>
    <font>
      <sz val="11"/>
      <color theme="1"/>
      <name val="Avenir Book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0" fillId="0" borderId="0" xfId="0" applyNumberFormat="1" applyBorder="1"/>
    <xf numFmtId="3" fontId="0" fillId="0" borderId="5" xfId="0" applyNumberFormat="1" applyBorder="1"/>
    <xf numFmtId="0" fontId="0" fillId="0" borderId="6" xfId="0" applyBorder="1"/>
    <xf numFmtId="3" fontId="0" fillId="0" borderId="7" xfId="0" applyNumberFormat="1" applyBorder="1"/>
    <xf numFmtId="3" fontId="0" fillId="0" borderId="8" xfId="0" applyNumberFormat="1" applyBorder="1"/>
    <xf numFmtId="0" fontId="1" fillId="0" borderId="9" xfId="0" applyFont="1" applyBorder="1"/>
    <xf numFmtId="3" fontId="0" fillId="0" borderId="10" xfId="0" applyNumberFormat="1" applyBorder="1"/>
    <xf numFmtId="3" fontId="0" fillId="0" borderId="11" xfId="0" applyNumberFormat="1" applyBorder="1"/>
    <xf numFmtId="0" fontId="1" fillId="0" borderId="2" xfId="0" applyFont="1" applyBorder="1"/>
    <xf numFmtId="164" fontId="0" fillId="0" borderId="0" xfId="0" applyNumberFormat="1" applyBorder="1"/>
    <xf numFmtId="3" fontId="0" fillId="0" borderId="5" xfId="0" applyNumberFormat="1" applyBorder="1" applyAlignment="1">
      <alignment horizontal="right"/>
    </xf>
    <xf numFmtId="0" fontId="0" fillId="0" borderId="4" xfId="0" applyFont="1" applyFill="1" applyBorder="1"/>
    <xf numFmtId="0" fontId="0" fillId="0" borderId="5" xfId="0" applyBorder="1" applyAlignment="1">
      <alignment horizontal="right"/>
    </xf>
    <xf numFmtId="0" fontId="0" fillId="0" borderId="6" xfId="0" applyFont="1" applyFill="1" applyBorder="1"/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3" fontId="0" fillId="0" borderId="7" xfId="0" applyNumberFormat="1" applyBorder="1" applyAlignment="1">
      <alignment horizontal="right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3" fontId="0" fillId="0" borderId="8" xfId="0" applyNumberFormat="1" applyBorder="1" applyAlignment="1">
      <alignment horizontal="right"/>
    </xf>
    <xf numFmtId="0" fontId="1" fillId="2" borderId="9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3" fontId="1" fillId="3" borderId="10" xfId="0" applyNumberFormat="1" applyFont="1" applyFill="1" applyBorder="1"/>
    <xf numFmtId="0" fontId="0" fillId="3" borderId="11" xfId="0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0" borderId="9" xfId="0" applyBorder="1"/>
    <xf numFmtId="0" fontId="1" fillId="2" borderId="10" xfId="0" applyFont="1" applyFill="1" applyBorder="1"/>
    <xf numFmtId="0" fontId="1" fillId="0" borderId="13" xfId="0" applyFont="1" applyBorder="1"/>
    <xf numFmtId="3" fontId="0" fillId="0" borderId="14" xfId="0" applyNumberFormat="1" applyBorder="1"/>
    <xf numFmtId="2" fontId="0" fillId="0" borderId="14" xfId="0" applyNumberFormat="1" applyBorder="1" applyAlignment="1">
      <alignment horizontal="center"/>
    </xf>
    <xf numFmtId="0" fontId="0" fillId="3" borderId="14" xfId="0" applyFont="1" applyFill="1" applyBorder="1"/>
    <xf numFmtId="0" fontId="0" fillId="3" borderId="14" xfId="0" applyFill="1" applyBorder="1"/>
    <xf numFmtId="10" fontId="0" fillId="0" borderId="1" xfId="0" applyNumberFormat="1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0" fontId="0" fillId="0" borderId="11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4" xfId="0" applyFill="1" applyBorder="1"/>
    <xf numFmtId="3" fontId="0" fillId="0" borderId="0" xfId="0" applyNumberFormat="1" applyFill="1"/>
    <xf numFmtId="164" fontId="0" fillId="0" borderId="0" xfId="0" applyNumberFormat="1"/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/>
    <xf numFmtId="0" fontId="2" fillId="0" borderId="0" xfId="0" applyFont="1" applyFill="1" applyBorder="1"/>
    <xf numFmtId="0" fontId="3" fillId="0" borderId="0" xfId="0" applyFont="1"/>
    <xf numFmtId="3" fontId="2" fillId="0" borderId="0" xfId="0" applyNumberFormat="1" applyFont="1"/>
    <xf numFmtId="2" fontId="3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495300</xdr:colOff>
      <xdr:row>20</xdr:row>
      <xdr:rowOff>152400</xdr:rowOff>
    </xdr:from>
    <xdr:to>
      <xdr:col>18</xdr:col>
      <xdr:colOff>561975</xdr:colOff>
      <xdr:row>49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7325" y="4029075"/>
          <a:ext cx="10820400" cy="543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495300</xdr:colOff>
      <xdr:row>20</xdr:row>
      <xdr:rowOff>152400</xdr:rowOff>
    </xdr:from>
    <xdr:to>
      <xdr:col>17</xdr:col>
      <xdr:colOff>549275</xdr:colOff>
      <xdr:row>49</xdr:row>
      <xdr:rowOff>9525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5500" y="4165600"/>
          <a:ext cx="12347575" cy="545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Z113"/>
  <sheetViews>
    <sheetView tabSelected="1" zoomScale="16" workbookViewId="0">
      <selection activeCell="T25" sqref="T25:X33"/>
    </sheetView>
  </sheetViews>
  <sheetFormatPr baseColWidth="10" defaultColWidth="8.83203125" defaultRowHeight="15" x14ac:dyDescent="0.2"/>
  <cols>
    <col min="4" max="4" width="56.33203125" customWidth="1"/>
    <col min="5" max="5" width="28.5" customWidth="1"/>
    <col min="6" max="6" width="29.1640625" customWidth="1"/>
    <col min="7" max="7" width="17.1640625" customWidth="1"/>
    <col min="8" max="8" width="30.83203125" customWidth="1"/>
    <col min="9" max="9" width="20.5" customWidth="1"/>
    <col min="10" max="10" width="28.6640625" customWidth="1"/>
    <col min="11" max="11" width="19.6640625" customWidth="1"/>
    <col min="12" max="12" width="28.83203125" customWidth="1"/>
    <col min="13" max="13" width="21.5" customWidth="1"/>
    <col min="14" max="14" width="15.83203125" customWidth="1"/>
    <col min="15" max="15" width="17.5" customWidth="1"/>
    <col min="16" max="16" width="11.5" customWidth="1"/>
    <col min="17" max="17" width="16.5" customWidth="1"/>
    <col min="18" max="18" width="29.83203125" customWidth="1"/>
    <col min="19" max="19" width="17" customWidth="1"/>
    <col min="20" max="21" width="15.33203125" customWidth="1"/>
    <col min="22" max="22" width="15.6640625" customWidth="1"/>
    <col min="24" max="24" width="15" customWidth="1"/>
    <col min="25" max="25" width="13.83203125" customWidth="1"/>
  </cols>
  <sheetData>
    <row r="1" spans="4:26" ht="16" thickBot="1" x14ac:dyDescent="0.25">
      <c r="H1" t="s">
        <v>119</v>
      </c>
    </row>
    <row r="2" spans="4:26" ht="16" thickBot="1" x14ac:dyDescent="0.25">
      <c r="D2" s="38" t="s">
        <v>79</v>
      </c>
      <c r="E2" s="39" t="s">
        <v>69</v>
      </c>
      <c r="F2" s="40" t="s">
        <v>68</v>
      </c>
      <c r="H2" s="38" t="s">
        <v>69</v>
      </c>
      <c r="I2" s="40" t="s">
        <v>68</v>
      </c>
      <c r="K2" s="35" t="s">
        <v>109</v>
      </c>
      <c r="L2" s="36"/>
      <c r="M2" s="36"/>
      <c r="N2" s="52"/>
      <c r="O2" s="36"/>
      <c r="P2" s="36"/>
      <c r="Q2" s="36"/>
      <c r="R2" s="36"/>
      <c r="S2" s="36"/>
      <c r="T2" s="36"/>
      <c r="U2" s="36"/>
      <c r="V2" s="37"/>
      <c r="X2" s="43" t="s">
        <v>100</v>
      </c>
      <c r="Y2" s="44"/>
    </row>
    <row r="3" spans="4:26" ht="16" thickBot="1" x14ac:dyDescent="0.25">
      <c r="D3" s="6" t="s">
        <v>70</v>
      </c>
      <c r="E3" s="7">
        <f>SUM(G29:G43)+SUM(I29:I43)</f>
        <v>4377757</v>
      </c>
      <c r="F3" s="8">
        <f>SUM(H29:H41)+SUM(J29:J41)</f>
        <v>3442580</v>
      </c>
      <c r="G3" s="1"/>
      <c r="H3" s="58">
        <f t="shared" ref="H3:H11" si="0">E3/$T$8</f>
        <v>0.21653992617584153</v>
      </c>
      <c r="I3" s="59">
        <f>(F3+O5)/$T$5</f>
        <v>0.28198386583436591</v>
      </c>
      <c r="K3" s="6"/>
      <c r="L3" s="23"/>
      <c r="M3" s="23"/>
      <c r="N3" s="23"/>
      <c r="O3" s="23"/>
      <c r="P3" s="23"/>
      <c r="Q3" s="23"/>
      <c r="R3" s="23"/>
      <c r="S3" s="23"/>
      <c r="T3" s="23"/>
      <c r="U3" s="23"/>
      <c r="V3" s="24"/>
      <c r="X3" s="45" t="s">
        <v>101</v>
      </c>
      <c r="Y3" s="46" t="s">
        <v>100</v>
      </c>
    </row>
    <row r="4" spans="4:26" x14ac:dyDescent="0.2">
      <c r="D4" s="6" t="s">
        <v>71</v>
      </c>
      <c r="E4" s="7">
        <f>SUM(G53:G60)+SUM(I53:I60)</f>
        <v>366858</v>
      </c>
      <c r="F4" s="8">
        <f>SUM(J53:J60)+SUM(H53:H60)</f>
        <v>241686</v>
      </c>
      <c r="G4" s="1"/>
      <c r="H4" s="60">
        <f t="shared" si="0"/>
        <v>1.8146142930504563E-2</v>
      </c>
      <c r="I4" s="61">
        <f>(F4+P5)/$T$5</f>
        <v>2.0404929428655159E-2</v>
      </c>
      <c r="K4" s="53" t="s">
        <v>112</v>
      </c>
      <c r="L4" s="53" t="s">
        <v>113</v>
      </c>
      <c r="M4" s="53" t="s">
        <v>115</v>
      </c>
      <c r="N4" s="4" t="s">
        <v>97</v>
      </c>
      <c r="O4" s="47" t="s">
        <v>103</v>
      </c>
      <c r="P4" s="47" t="s">
        <v>94</v>
      </c>
      <c r="Q4" s="47" t="s">
        <v>95</v>
      </c>
      <c r="R4" s="48" t="s">
        <v>96</v>
      </c>
      <c r="S4" s="50" t="s">
        <v>108</v>
      </c>
      <c r="T4" s="49" t="s">
        <v>107</v>
      </c>
      <c r="U4" s="4"/>
      <c r="V4" s="5"/>
      <c r="X4" s="6" t="s">
        <v>102</v>
      </c>
      <c r="Y4" s="24">
        <f>1</f>
        <v>1</v>
      </c>
    </row>
    <row r="5" spans="4:26" ht="16" thickBot="1" x14ac:dyDescent="0.25">
      <c r="D5" s="6" t="s">
        <v>72</v>
      </c>
      <c r="E5" s="7">
        <f>E68</f>
        <v>7869000</v>
      </c>
      <c r="F5" s="8">
        <f>F68</f>
        <v>8523000</v>
      </c>
      <c r="G5" s="1"/>
      <c r="H5" s="60">
        <f t="shared" si="0"/>
        <v>0.38922961669130951</v>
      </c>
      <c r="I5" s="61">
        <f>F5/$T$5</f>
        <v>0.32885039032237728</v>
      </c>
      <c r="K5" s="54">
        <v>309647549.25</v>
      </c>
      <c r="L5" s="55">
        <f>K5/T5</f>
        <v>11.947403195263409</v>
      </c>
      <c r="M5" s="56" t="s">
        <v>116</v>
      </c>
      <c r="N5" s="10">
        <f>F15</f>
        <v>18185974</v>
      </c>
      <c r="O5" s="28">
        <f>(SUM(H42:H43)+SUM(J42:J43))*Y4</f>
        <v>3865754</v>
      </c>
      <c r="P5" s="28">
        <f>Y11*(F20+F21)</f>
        <v>287160</v>
      </c>
      <c r="Q5" s="28">
        <f>F19*Y11</f>
        <v>1014240</v>
      </c>
      <c r="R5" s="28">
        <f>F22*Y11</f>
        <v>396900</v>
      </c>
      <c r="S5" s="10">
        <f>K5*F18</f>
        <v>2167532.8447500002</v>
      </c>
      <c r="T5" s="10">
        <f>SUM(N5:S5)</f>
        <v>25917560.844750002</v>
      </c>
      <c r="U5" s="25"/>
      <c r="V5" s="21"/>
      <c r="X5" s="6">
        <f>20</f>
        <v>20</v>
      </c>
      <c r="Y5" s="24">
        <f>1.08</f>
        <v>1.08</v>
      </c>
    </row>
    <row r="6" spans="4:26" ht="16" thickBot="1" x14ac:dyDescent="0.25">
      <c r="D6" s="6" t="s">
        <v>73</v>
      </c>
      <c r="E6" s="7">
        <f>SUM(E69:E70)</f>
        <v>68760</v>
      </c>
      <c r="F6" s="8">
        <f>SUM(F69:F70)</f>
        <v>82662</v>
      </c>
      <c r="H6" s="60">
        <f t="shared" si="0"/>
        <v>3.4011219270167034E-3</v>
      </c>
      <c r="I6" s="61">
        <f>F6/$T$5</f>
        <v>3.1894205050836972E-3</v>
      </c>
      <c r="K6" s="22"/>
      <c r="L6" s="4"/>
      <c r="M6" s="4"/>
      <c r="N6" s="4"/>
      <c r="O6" s="4"/>
      <c r="P6" s="47"/>
      <c r="Q6" s="47"/>
      <c r="R6" s="47"/>
      <c r="S6" s="47"/>
      <c r="T6" s="4"/>
      <c r="U6" s="4"/>
      <c r="V6" s="5"/>
      <c r="X6" s="6">
        <f>25</f>
        <v>25</v>
      </c>
      <c r="Y6" s="24">
        <f>1.34</f>
        <v>1.34</v>
      </c>
    </row>
    <row r="7" spans="4:26" x14ac:dyDescent="0.2">
      <c r="D7" s="6" t="s">
        <v>74</v>
      </c>
      <c r="E7" s="7">
        <f>SUM(J76:J83)</f>
        <v>38285</v>
      </c>
      <c r="F7" s="8">
        <f>SUM(K76:K83)</f>
        <v>64150</v>
      </c>
      <c r="G7" s="1"/>
      <c r="H7" s="60">
        <f t="shared" si="0"/>
        <v>1.8937165935985238E-3</v>
      </c>
      <c r="I7" s="61">
        <f>F7/$T$5</f>
        <v>2.4751557596128715E-3</v>
      </c>
      <c r="K7" s="53" t="s">
        <v>112</v>
      </c>
      <c r="L7" s="53" t="s">
        <v>113</v>
      </c>
      <c r="M7" s="53" t="s">
        <v>115</v>
      </c>
      <c r="N7" s="4" t="s">
        <v>97</v>
      </c>
      <c r="O7" s="47" t="s">
        <v>98</v>
      </c>
      <c r="P7" s="47" t="s">
        <v>99</v>
      </c>
      <c r="Q7" s="50" t="s">
        <v>108</v>
      </c>
      <c r="R7" s="47"/>
      <c r="S7" s="4"/>
      <c r="T7" s="4"/>
      <c r="U7" s="4"/>
      <c r="V7" s="5"/>
      <c r="X7" s="6">
        <f>30</f>
        <v>30</v>
      </c>
      <c r="Y7" s="24">
        <f>1.57</f>
        <v>1.57</v>
      </c>
    </row>
    <row r="8" spans="4:26" ht="16" thickBot="1" x14ac:dyDescent="0.25">
      <c r="D8" s="6" t="s">
        <v>75</v>
      </c>
      <c r="E8" s="7">
        <f>SUM(J84:J92)</f>
        <v>473222</v>
      </c>
      <c r="F8" s="8">
        <f>SUM(K84:K92)</f>
        <v>938343</v>
      </c>
      <c r="H8" s="60">
        <f t="shared" si="0"/>
        <v>2.3407296692069497E-2</v>
      </c>
      <c r="I8" s="61">
        <f>F8/$T$5</f>
        <v>3.620491162809697E-2</v>
      </c>
      <c r="K8" s="54">
        <v>179562042</v>
      </c>
      <c r="L8" s="55">
        <f>K8/T8</f>
        <v>8.8817975320839775</v>
      </c>
      <c r="M8" s="57" t="s">
        <v>65</v>
      </c>
      <c r="N8" s="10">
        <f>E15</f>
        <v>13744075</v>
      </c>
      <c r="O8" s="10">
        <f>E19*Y12</f>
        <v>181721.8125</v>
      </c>
      <c r="P8" s="10">
        <f>E22*Y12</f>
        <v>6390</v>
      </c>
      <c r="Q8" s="10">
        <f>K8*E18</f>
        <v>6284671.4700000007</v>
      </c>
      <c r="R8" s="10"/>
      <c r="S8" s="10"/>
      <c r="T8" s="10">
        <f>SUM(N8:S8)</f>
        <v>20216858.282499999</v>
      </c>
      <c r="U8" s="25"/>
      <c r="V8" s="21"/>
      <c r="X8" s="6">
        <f>35</f>
        <v>35</v>
      </c>
      <c r="Y8" s="24">
        <f>1.95</f>
        <v>1.95</v>
      </c>
    </row>
    <row r="9" spans="4:26" ht="16" thickBot="1" x14ac:dyDescent="0.25">
      <c r="D9" s="6" t="s">
        <v>77</v>
      </c>
      <c r="E9" s="7">
        <f>SUM(E99:E101)</f>
        <v>153422</v>
      </c>
      <c r="F9" s="8">
        <f>SUM(F99:F101)</f>
        <v>1778159</v>
      </c>
      <c r="H9" s="60">
        <f t="shared" si="0"/>
        <v>7.5888151292431167E-3</v>
      </c>
      <c r="I9" s="61">
        <f>(F9+Q5)/$T$5</f>
        <v>0.10774158173012037</v>
      </c>
      <c r="K9" s="22"/>
      <c r="L9" s="4"/>
      <c r="M9" s="4"/>
      <c r="N9" s="4"/>
      <c r="O9" s="4"/>
      <c r="P9" s="4"/>
      <c r="Q9" s="4"/>
      <c r="R9" s="4"/>
      <c r="S9" s="4"/>
      <c r="T9" s="4"/>
      <c r="U9" s="4"/>
      <c r="V9" s="5"/>
      <c r="X9" s="9">
        <f>40</f>
        <v>40</v>
      </c>
      <c r="Y9" s="21">
        <f>2.19</f>
        <v>2.19</v>
      </c>
    </row>
    <row r="10" spans="4:26" ht="16" thickBot="1" x14ac:dyDescent="0.25">
      <c r="D10" s="6" t="s">
        <v>81</v>
      </c>
      <c r="E10" s="7">
        <f>G108*25</f>
        <v>41400</v>
      </c>
      <c r="F10" s="8">
        <f>H108*25</f>
        <v>1639675</v>
      </c>
      <c r="H10" s="60">
        <f t="shared" si="0"/>
        <v>2.0477959246435651E-3</v>
      </c>
      <c r="I10" s="61">
        <f>(F10+R5)/$T$5</f>
        <v>7.8578960890624841E-2</v>
      </c>
      <c r="K10" s="53" t="s">
        <v>114</v>
      </c>
      <c r="L10" s="53" t="s">
        <v>113</v>
      </c>
      <c r="M10" s="53" t="s">
        <v>115</v>
      </c>
      <c r="N10" s="4" t="s">
        <v>97</v>
      </c>
      <c r="O10" s="47" t="s">
        <v>103</v>
      </c>
      <c r="P10" s="47" t="s">
        <v>94</v>
      </c>
      <c r="Q10" s="47" t="s">
        <v>95</v>
      </c>
      <c r="R10" s="48" t="s">
        <v>96</v>
      </c>
      <c r="S10" s="50" t="s">
        <v>108</v>
      </c>
      <c r="T10" s="49" t="s">
        <v>107</v>
      </c>
      <c r="U10" s="4"/>
      <c r="V10" s="5"/>
    </row>
    <row r="11" spans="4:26" ht="16" thickBot="1" x14ac:dyDescent="0.25">
      <c r="D11" s="9" t="s">
        <v>76</v>
      </c>
      <c r="E11" s="10">
        <f>SUM(J93:J94)</f>
        <v>348921</v>
      </c>
      <c r="F11" s="11">
        <f>SUM(K93:K94)</f>
        <v>192719</v>
      </c>
      <c r="H11" s="62">
        <f t="shared" si="0"/>
        <v>1.7258913087501385E-2</v>
      </c>
      <c r="I11" s="63">
        <f>F11/$T$5</f>
        <v>7.4358463419615418E-3</v>
      </c>
      <c r="K11" s="54">
        <v>309647549.25</v>
      </c>
      <c r="L11" s="55">
        <f>K11/T11</f>
        <v>10.140141725500541</v>
      </c>
      <c r="M11" s="57" t="s">
        <v>110</v>
      </c>
      <c r="N11" s="10">
        <f>F15+H46+H47+J46+J47</f>
        <v>26670974</v>
      </c>
      <c r="O11" s="28">
        <f>0</f>
        <v>0</v>
      </c>
      <c r="P11" s="28">
        <f>Y11*(F20+F21)</f>
        <v>287160</v>
      </c>
      <c r="Q11" s="28">
        <f>F19*Y11</f>
        <v>1014240</v>
      </c>
      <c r="R11" s="28">
        <f>F22*Y11</f>
        <v>396900</v>
      </c>
      <c r="S11" s="10">
        <f>K11*F18</f>
        <v>2167532.8447500002</v>
      </c>
      <c r="T11" s="10">
        <f>SUM(N11:S11)</f>
        <v>30536806.844750002</v>
      </c>
      <c r="U11" s="25"/>
      <c r="V11" s="21"/>
      <c r="X11" s="35" t="s">
        <v>104</v>
      </c>
      <c r="Y11" s="22">
        <f>60</f>
        <v>60</v>
      </c>
      <c r="Z11" s="5" t="s">
        <v>106</v>
      </c>
    </row>
    <row r="12" spans="4:26" ht="16" thickBot="1" x14ac:dyDescent="0.25">
      <c r="D12" s="68" t="s">
        <v>120</v>
      </c>
      <c r="E12" s="69">
        <f>E113</f>
        <v>6450</v>
      </c>
      <c r="F12" s="69">
        <f>F113</f>
        <v>1283000</v>
      </c>
      <c r="H12" s="1"/>
      <c r="I12" s="1"/>
      <c r="K12" s="6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4"/>
      <c r="X12" s="35" t="s">
        <v>105</v>
      </c>
      <c r="Y12" s="9">
        <f>300</f>
        <v>300</v>
      </c>
      <c r="Z12" s="21" t="s">
        <v>106</v>
      </c>
    </row>
    <row r="13" spans="4:26" ht="16" thickBot="1" x14ac:dyDescent="0.25">
      <c r="D13" s="51" t="s">
        <v>117</v>
      </c>
      <c r="E13" s="13">
        <f>Q8</f>
        <v>6284671.4700000007</v>
      </c>
      <c r="F13" s="14">
        <f>S5</f>
        <v>2167532.8447500002</v>
      </c>
      <c r="G13" s="1"/>
      <c r="H13" s="64">
        <f>E13/$T$8</f>
        <v>0.31086291362293922</v>
      </c>
      <c r="I13" s="65">
        <f>F13/$T$5</f>
        <v>8.3631822366843869E-2</v>
      </c>
      <c r="K13" s="9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1"/>
    </row>
    <row r="14" spans="4:26" ht="16" thickBot="1" x14ac:dyDescent="0.25">
      <c r="E14" s="1"/>
      <c r="F14" s="1"/>
      <c r="H14" s="1"/>
      <c r="I14" s="1"/>
    </row>
    <row r="15" spans="4:26" ht="16" thickBot="1" x14ac:dyDescent="0.25">
      <c r="D15" s="12" t="s">
        <v>118</v>
      </c>
      <c r="E15" s="13">
        <f>SUM(E3:E12)</f>
        <v>13744075</v>
      </c>
      <c r="F15" s="14">
        <f>SUM(F3:F12)</f>
        <v>18185974</v>
      </c>
      <c r="G15" s="70"/>
      <c r="H15" s="67">
        <f>SUM(H3:H13)</f>
        <v>0.99037625877466762</v>
      </c>
      <c r="I15" s="66">
        <f>SUM(I3:I13)</f>
        <v>0.95049688480774264</v>
      </c>
    </row>
    <row r="16" spans="4:26" ht="16" thickBot="1" x14ac:dyDescent="0.25">
      <c r="E16" s="1"/>
      <c r="F16" s="1"/>
    </row>
    <row r="17" spans="4:17" ht="16" thickBot="1" x14ac:dyDescent="0.25">
      <c r="D17" s="38" t="s">
        <v>80</v>
      </c>
      <c r="E17" s="41" t="s">
        <v>65</v>
      </c>
      <c r="F17" s="39" t="s">
        <v>67</v>
      </c>
      <c r="G17" s="42"/>
      <c r="I17" s="2" t="s">
        <v>90</v>
      </c>
      <c r="K17" s="22"/>
      <c r="L17" s="4" t="s">
        <v>32</v>
      </c>
      <c r="M17" s="5"/>
      <c r="Q17" s="1"/>
    </row>
    <row r="18" spans="4:17" x14ac:dyDescent="0.2">
      <c r="D18" s="6" t="s">
        <v>78</v>
      </c>
      <c r="E18" s="16">
        <f>E107</f>
        <v>3.5000000000000003E-2</v>
      </c>
      <c r="F18" s="16">
        <f>F107</f>
        <v>7.0000000000000001E-3</v>
      </c>
      <c r="G18" s="17" t="s">
        <v>82</v>
      </c>
      <c r="K18" s="6" t="s">
        <v>88</v>
      </c>
      <c r="L18" s="23">
        <f>1.25</f>
        <v>1.25</v>
      </c>
      <c r="M18" s="24" t="s">
        <v>85</v>
      </c>
    </row>
    <row r="19" spans="4:17" ht="16" thickBot="1" x14ac:dyDescent="0.25">
      <c r="D19" s="18" t="s">
        <v>87</v>
      </c>
      <c r="E19" s="7">
        <f>(SUM(E29:E43)+SUM(E53:E60))*L18/1000</f>
        <v>605.739375</v>
      </c>
      <c r="F19" s="7">
        <f>16904</f>
        <v>16904</v>
      </c>
      <c r="G19" s="19" t="s">
        <v>86</v>
      </c>
      <c r="I19" s="2" t="s">
        <v>91</v>
      </c>
      <c r="K19" s="9" t="s">
        <v>89</v>
      </c>
      <c r="L19" s="25">
        <f>0.29</f>
        <v>0.28999999999999998</v>
      </c>
      <c r="M19" s="21" t="s">
        <v>85</v>
      </c>
    </row>
    <row r="20" spans="4:17" x14ac:dyDescent="0.2">
      <c r="D20" s="18" t="s">
        <v>83</v>
      </c>
      <c r="E20" s="27" t="s">
        <v>24</v>
      </c>
      <c r="F20" s="7">
        <f>SUM(H62:H64)+SUM(J62:J64)</f>
        <v>4681</v>
      </c>
      <c r="G20" s="19" t="s">
        <v>86</v>
      </c>
    </row>
    <row r="21" spans="4:17" x14ac:dyDescent="0.2">
      <c r="D21" s="18" t="s">
        <v>84</v>
      </c>
      <c r="E21" s="27" t="s">
        <v>24</v>
      </c>
      <c r="F21" s="7">
        <f>105</f>
        <v>105</v>
      </c>
      <c r="G21" s="19" t="s">
        <v>86</v>
      </c>
    </row>
    <row r="22" spans="4:17" x14ac:dyDescent="0.2">
      <c r="D22" s="18" t="s">
        <v>93</v>
      </c>
      <c r="E22" s="7">
        <f>21.3</f>
        <v>21.3</v>
      </c>
      <c r="F22" s="7">
        <v>6615</v>
      </c>
      <c r="G22" s="19" t="s">
        <v>86</v>
      </c>
    </row>
    <row r="23" spans="4:17" ht="16" thickBot="1" x14ac:dyDescent="0.25">
      <c r="D23" s="20" t="s">
        <v>92</v>
      </c>
      <c r="E23" s="28" t="s">
        <v>24</v>
      </c>
      <c r="F23" s="10">
        <f>F19*0.75</f>
        <v>12678</v>
      </c>
      <c r="G23" s="26" t="s">
        <v>86</v>
      </c>
    </row>
    <row r="24" spans="4:17" ht="16" thickBot="1" x14ac:dyDescent="0.25"/>
    <row r="25" spans="4:17" x14ac:dyDescent="0.2">
      <c r="D25" s="3" t="s">
        <v>19</v>
      </c>
      <c r="E25" s="4"/>
      <c r="F25" s="4"/>
      <c r="G25" s="4"/>
      <c r="H25" s="4"/>
      <c r="I25" s="4"/>
      <c r="J25" s="5"/>
    </row>
    <row r="26" spans="4:17" x14ac:dyDescent="0.2">
      <c r="D26" s="6" t="s">
        <v>3</v>
      </c>
      <c r="E26" s="23" t="s">
        <v>4</v>
      </c>
      <c r="F26" s="23"/>
      <c r="G26" s="23"/>
      <c r="H26" s="23"/>
      <c r="I26" s="23"/>
      <c r="J26" s="24"/>
    </row>
    <row r="27" spans="4:17" x14ac:dyDescent="0.2">
      <c r="D27" s="6"/>
      <c r="E27" s="23" t="s">
        <v>5</v>
      </c>
      <c r="F27" s="23" t="s">
        <v>6</v>
      </c>
      <c r="G27" s="23" t="s">
        <v>7</v>
      </c>
      <c r="H27" s="23"/>
      <c r="I27" s="23" t="s">
        <v>8</v>
      </c>
      <c r="J27" s="24"/>
    </row>
    <row r="28" spans="4:17" x14ac:dyDescent="0.2">
      <c r="D28" s="29" t="s">
        <v>0</v>
      </c>
      <c r="E28" s="30" t="s">
        <v>9</v>
      </c>
      <c r="F28" s="30" t="s">
        <v>10</v>
      </c>
      <c r="G28" s="30" t="s">
        <v>9</v>
      </c>
      <c r="H28" s="30" t="s">
        <v>10</v>
      </c>
      <c r="I28" s="30" t="s">
        <v>9</v>
      </c>
      <c r="J28" s="31" t="s">
        <v>10</v>
      </c>
    </row>
    <row r="29" spans="4:17" x14ac:dyDescent="0.2">
      <c r="D29" s="6" t="s">
        <v>11</v>
      </c>
      <c r="E29" s="7">
        <v>52920</v>
      </c>
      <c r="F29" s="7">
        <v>27500</v>
      </c>
      <c r="G29" s="7">
        <v>123282</v>
      </c>
      <c r="H29" s="7">
        <v>64064</v>
      </c>
      <c r="I29" s="7">
        <v>1184350</v>
      </c>
      <c r="J29" s="8">
        <v>615450</v>
      </c>
    </row>
    <row r="30" spans="4:17" x14ac:dyDescent="0.2">
      <c r="D30" s="6" t="s">
        <v>12</v>
      </c>
      <c r="E30" s="23">
        <v>420</v>
      </c>
      <c r="F30" s="23">
        <v>331</v>
      </c>
      <c r="G30" s="7">
        <v>18783</v>
      </c>
      <c r="H30" s="7">
        <v>14791</v>
      </c>
      <c r="I30" s="7">
        <v>9074</v>
      </c>
      <c r="J30" s="8">
        <v>7146</v>
      </c>
    </row>
    <row r="31" spans="4:17" x14ac:dyDescent="0.2">
      <c r="D31" s="29" t="s">
        <v>1</v>
      </c>
      <c r="E31" s="23"/>
      <c r="F31" s="23"/>
      <c r="G31" s="23"/>
      <c r="H31" s="23"/>
      <c r="I31" s="23"/>
      <c r="J31" s="24"/>
    </row>
    <row r="32" spans="4:17" x14ac:dyDescent="0.2">
      <c r="D32" s="6" t="s">
        <v>11</v>
      </c>
      <c r="E32" s="7">
        <v>19993</v>
      </c>
      <c r="F32" s="7">
        <v>46502</v>
      </c>
      <c r="G32" s="7">
        <v>46576</v>
      </c>
      <c r="H32" s="7">
        <v>108331</v>
      </c>
      <c r="I32" s="7">
        <v>447451</v>
      </c>
      <c r="J32" s="8">
        <v>1040718</v>
      </c>
    </row>
    <row r="33" spans="4:10" x14ac:dyDescent="0.2">
      <c r="D33" s="6" t="s">
        <v>13</v>
      </c>
      <c r="E33" s="7">
        <v>1250</v>
      </c>
      <c r="F33" s="7">
        <v>1754</v>
      </c>
      <c r="G33" s="7">
        <v>95358</v>
      </c>
      <c r="H33" s="7">
        <v>125726</v>
      </c>
      <c r="I33" s="7">
        <v>14634</v>
      </c>
      <c r="J33" s="8">
        <v>19294</v>
      </c>
    </row>
    <row r="34" spans="4:10" x14ac:dyDescent="0.2">
      <c r="D34" s="6" t="s">
        <v>14</v>
      </c>
      <c r="E34" s="23">
        <v>770</v>
      </c>
      <c r="F34" s="23">
        <v>484</v>
      </c>
      <c r="G34" s="7">
        <v>96113</v>
      </c>
      <c r="H34" s="7">
        <v>19294</v>
      </c>
      <c r="I34" s="7">
        <v>17764</v>
      </c>
      <c r="J34" s="8">
        <v>60373</v>
      </c>
    </row>
    <row r="35" spans="4:10" x14ac:dyDescent="0.2">
      <c r="D35" s="6" t="s">
        <v>12</v>
      </c>
      <c r="E35" s="23">
        <v>17</v>
      </c>
      <c r="F35" s="23">
        <v>7</v>
      </c>
      <c r="G35" s="23">
        <v>810</v>
      </c>
      <c r="H35" s="23">
        <v>323</v>
      </c>
      <c r="I35" s="23">
        <v>361</v>
      </c>
      <c r="J35" s="24">
        <v>144</v>
      </c>
    </row>
    <row r="36" spans="4:10" x14ac:dyDescent="0.2">
      <c r="D36" s="29" t="s">
        <v>18</v>
      </c>
      <c r="E36" s="23"/>
      <c r="F36" s="23"/>
      <c r="G36" s="23"/>
      <c r="H36" s="23"/>
      <c r="I36" s="23"/>
      <c r="J36" s="24"/>
    </row>
    <row r="37" spans="4:10" x14ac:dyDescent="0.2">
      <c r="D37" s="6" t="s">
        <v>11</v>
      </c>
      <c r="E37" s="7">
        <v>6643</v>
      </c>
      <c r="F37" s="7">
        <v>13562</v>
      </c>
      <c r="G37" s="7">
        <v>15476</v>
      </c>
      <c r="H37" s="7">
        <v>31595</v>
      </c>
      <c r="I37" s="7">
        <v>148678</v>
      </c>
      <c r="J37" s="8">
        <v>303525</v>
      </c>
    </row>
    <row r="38" spans="4:10" x14ac:dyDescent="0.2">
      <c r="D38" s="6" t="s">
        <v>16</v>
      </c>
      <c r="E38" s="7">
        <v>4013</v>
      </c>
      <c r="F38" s="7">
        <v>7217</v>
      </c>
      <c r="G38" s="7">
        <v>143838</v>
      </c>
      <c r="H38" s="7">
        <v>258639</v>
      </c>
      <c r="I38" s="7">
        <v>64213</v>
      </c>
      <c r="J38" s="8">
        <v>115464</v>
      </c>
    </row>
    <row r="39" spans="4:10" x14ac:dyDescent="0.2">
      <c r="D39" s="6" t="s">
        <v>17</v>
      </c>
      <c r="E39" s="7">
        <v>2810</v>
      </c>
      <c r="F39" s="7">
        <v>5054</v>
      </c>
      <c r="G39" s="7">
        <v>251776</v>
      </c>
      <c r="H39" s="7">
        <v>452847</v>
      </c>
      <c r="I39" s="7">
        <v>112400</v>
      </c>
      <c r="J39" s="8">
        <v>202164</v>
      </c>
    </row>
    <row r="40" spans="4:10" x14ac:dyDescent="0.2">
      <c r="D40" s="6" t="s">
        <v>12</v>
      </c>
      <c r="E40" s="23">
        <v>21</v>
      </c>
      <c r="F40" s="23">
        <v>38</v>
      </c>
      <c r="G40" s="7">
        <v>1035</v>
      </c>
      <c r="H40" s="7">
        <v>1861</v>
      </c>
      <c r="I40" s="23">
        <v>462</v>
      </c>
      <c r="J40" s="24">
        <v>831</v>
      </c>
    </row>
    <row r="41" spans="4:10" x14ac:dyDescent="0.2">
      <c r="D41" s="29" t="s">
        <v>2</v>
      </c>
      <c r="E41" s="23"/>
      <c r="F41" s="23"/>
      <c r="G41" s="23"/>
      <c r="H41" s="23"/>
      <c r="I41" s="23"/>
      <c r="J41" s="24"/>
    </row>
    <row r="42" spans="4:10" x14ac:dyDescent="0.2">
      <c r="D42" s="6" t="s">
        <v>15</v>
      </c>
      <c r="E42" s="7">
        <v>380000</v>
      </c>
      <c r="F42" s="7">
        <v>7813</v>
      </c>
      <c r="G42" s="7">
        <v>502208</v>
      </c>
      <c r="H42" s="7">
        <v>16173</v>
      </c>
      <c r="I42" s="7">
        <v>786600</v>
      </c>
      <c r="J42" s="8">
        <v>10326</v>
      </c>
    </row>
    <row r="43" spans="4:10" ht="16" thickBot="1" x14ac:dyDescent="0.25">
      <c r="D43" s="9" t="s">
        <v>11</v>
      </c>
      <c r="E43" s="10">
        <v>12000</v>
      </c>
      <c r="F43" s="10">
        <f>155375</f>
        <v>155375</v>
      </c>
      <c r="G43" s="10">
        <v>27955</v>
      </c>
      <c r="H43" s="10">
        <f>361962</f>
        <v>361962</v>
      </c>
      <c r="I43" s="10">
        <v>268560</v>
      </c>
      <c r="J43" s="11">
        <f>3477293</f>
        <v>3477293</v>
      </c>
    </row>
    <row r="44" spans="4:10" ht="16" thickBot="1" x14ac:dyDescent="0.25">
      <c r="G44" s="1">
        <f>SUM(G29:G43)</f>
        <v>1323210</v>
      </c>
      <c r="H44" s="1">
        <f>SUM(H29:H43)</f>
        <v>1455606</v>
      </c>
      <c r="I44" s="1">
        <f t="shared" ref="I44:J44" si="1">SUM(I29:I43)</f>
        <v>3054547</v>
      </c>
      <c r="J44" s="1">
        <f t="shared" si="1"/>
        <v>5852728</v>
      </c>
    </row>
    <row r="45" spans="4:10" x14ac:dyDescent="0.2">
      <c r="D45" s="3" t="s">
        <v>111</v>
      </c>
      <c r="E45" s="4"/>
      <c r="F45" s="4"/>
      <c r="G45" s="4"/>
      <c r="H45" s="4"/>
      <c r="I45" s="4"/>
      <c r="J45" s="5"/>
    </row>
    <row r="46" spans="4:10" x14ac:dyDescent="0.2">
      <c r="D46" s="6" t="s">
        <v>15</v>
      </c>
      <c r="E46" s="7"/>
      <c r="F46" s="7">
        <f>375000</f>
        <v>375000</v>
      </c>
      <c r="G46" s="7"/>
      <c r="H46" s="7">
        <f>F46*0.6*2.4</f>
        <v>540000</v>
      </c>
      <c r="I46" s="7"/>
      <c r="J46" s="8">
        <f>F46*3</f>
        <v>1125000</v>
      </c>
    </row>
    <row r="47" spans="4:10" ht="16" thickBot="1" x14ac:dyDescent="0.25">
      <c r="D47" s="9" t="s">
        <v>11</v>
      </c>
      <c r="E47" s="10"/>
      <c r="F47" s="10">
        <f>275000</f>
        <v>275000</v>
      </c>
      <c r="G47" s="10"/>
      <c r="H47" s="10">
        <f>F47*1*2.4</f>
        <v>660000</v>
      </c>
      <c r="I47" s="10"/>
      <c r="J47" s="11">
        <f>F47*22.4</f>
        <v>6160000</v>
      </c>
    </row>
    <row r="49" spans="4:11" ht="16" thickBot="1" x14ac:dyDescent="0.25"/>
    <row r="50" spans="4:11" x14ac:dyDescent="0.2">
      <c r="D50" s="3" t="s">
        <v>20</v>
      </c>
      <c r="E50" s="4"/>
      <c r="F50" s="4"/>
      <c r="G50" s="4"/>
      <c r="H50" s="4"/>
      <c r="I50" s="4"/>
      <c r="J50" s="5"/>
      <c r="K50" s="1"/>
    </row>
    <row r="51" spans="4:11" x14ac:dyDescent="0.2">
      <c r="D51" s="6" t="s">
        <v>3</v>
      </c>
      <c r="E51" s="23" t="s">
        <v>5</v>
      </c>
      <c r="F51" s="23" t="s">
        <v>6</v>
      </c>
      <c r="G51" s="23" t="s">
        <v>7</v>
      </c>
      <c r="H51" s="23"/>
      <c r="I51" s="23" t="s">
        <v>8</v>
      </c>
      <c r="J51" s="24"/>
    </row>
    <row r="52" spans="4:11" x14ac:dyDescent="0.2">
      <c r="D52" s="6" t="s">
        <v>25</v>
      </c>
      <c r="E52" s="23" t="s">
        <v>9</v>
      </c>
      <c r="F52" s="23" t="s">
        <v>10</v>
      </c>
      <c r="G52" s="23" t="s">
        <v>9</v>
      </c>
      <c r="H52" s="23" t="s">
        <v>10</v>
      </c>
      <c r="I52" s="23" t="s">
        <v>9</v>
      </c>
      <c r="J52" s="24" t="s">
        <v>10</v>
      </c>
    </row>
    <row r="53" spans="4:11" x14ac:dyDescent="0.2">
      <c r="D53" s="6" t="s">
        <v>11</v>
      </c>
      <c r="E53" s="23">
        <v>0</v>
      </c>
      <c r="F53" s="23">
        <v>1502</v>
      </c>
      <c r="G53" s="23">
        <v>0</v>
      </c>
      <c r="H53" s="7">
        <v>3604</v>
      </c>
      <c r="I53" s="23">
        <v>0</v>
      </c>
      <c r="J53" s="8">
        <v>33633</v>
      </c>
    </row>
    <row r="54" spans="4:11" x14ac:dyDescent="0.2">
      <c r="D54" s="6" t="s">
        <v>13</v>
      </c>
      <c r="E54" s="23">
        <v>266</v>
      </c>
      <c r="F54" s="23">
        <v>846</v>
      </c>
      <c r="G54" s="7">
        <v>20419</v>
      </c>
      <c r="H54" s="7">
        <v>64974</v>
      </c>
      <c r="I54" s="7">
        <v>2925</v>
      </c>
      <c r="J54" s="8">
        <v>9306</v>
      </c>
    </row>
    <row r="55" spans="4:11" x14ac:dyDescent="0.2">
      <c r="D55" s="6" t="s">
        <v>21</v>
      </c>
      <c r="E55" s="23">
        <v>1358</v>
      </c>
      <c r="F55" s="23">
        <v>0</v>
      </c>
      <c r="G55" s="7">
        <v>181420</v>
      </c>
      <c r="H55" s="23">
        <v>0</v>
      </c>
      <c r="I55" s="7">
        <v>31349</v>
      </c>
      <c r="J55" s="24">
        <v>0</v>
      </c>
    </row>
    <row r="56" spans="4:11" x14ac:dyDescent="0.2">
      <c r="D56" s="6" t="s">
        <v>22</v>
      </c>
      <c r="E56" s="23">
        <v>1471</v>
      </c>
      <c r="F56" s="23">
        <v>1463</v>
      </c>
      <c r="G56" s="7">
        <v>70648</v>
      </c>
      <c r="H56" s="7">
        <v>70242</v>
      </c>
      <c r="I56" s="7">
        <v>29437</v>
      </c>
      <c r="J56" s="8">
        <v>29267</v>
      </c>
    </row>
    <row r="57" spans="4:11" x14ac:dyDescent="0.2">
      <c r="D57" s="6" t="s">
        <v>26</v>
      </c>
      <c r="E57" s="23"/>
      <c r="F57" s="23"/>
      <c r="G57" s="23"/>
      <c r="H57" s="23"/>
      <c r="I57" s="23"/>
      <c r="J57" s="24"/>
    </row>
    <row r="58" spans="4:11" x14ac:dyDescent="0.2">
      <c r="D58" s="6" t="s">
        <v>11</v>
      </c>
      <c r="E58" s="23">
        <v>337</v>
      </c>
      <c r="F58" s="23">
        <v>337</v>
      </c>
      <c r="G58" s="23">
        <v>808</v>
      </c>
      <c r="H58" s="23">
        <v>808</v>
      </c>
      <c r="I58" s="7">
        <v>7540</v>
      </c>
      <c r="J58" s="8">
        <v>7540</v>
      </c>
    </row>
    <row r="59" spans="4:11" x14ac:dyDescent="0.2">
      <c r="D59" s="6" t="s">
        <v>13</v>
      </c>
      <c r="E59" s="23">
        <v>88</v>
      </c>
      <c r="F59" s="23">
        <v>88</v>
      </c>
      <c r="G59" s="7">
        <v>6758</v>
      </c>
      <c r="H59" s="7">
        <v>6758</v>
      </c>
      <c r="I59" s="23">
        <v>968</v>
      </c>
      <c r="J59" s="24">
        <v>968</v>
      </c>
    </row>
    <row r="60" spans="4:11" x14ac:dyDescent="0.2">
      <c r="D60" s="6" t="s">
        <v>22</v>
      </c>
      <c r="E60" s="23">
        <v>214.5</v>
      </c>
      <c r="F60" s="23">
        <v>214.5</v>
      </c>
      <c r="G60" s="7">
        <v>10296</v>
      </c>
      <c r="H60" s="7">
        <v>10296</v>
      </c>
      <c r="I60" s="7">
        <v>4290</v>
      </c>
      <c r="J60" s="8">
        <v>4290</v>
      </c>
    </row>
    <row r="61" spans="4:11" x14ac:dyDescent="0.2">
      <c r="D61" s="6" t="s">
        <v>27</v>
      </c>
      <c r="E61" s="23"/>
      <c r="F61" s="23"/>
      <c r="G61" s="23"/>
      <c r="H61" s="23"/>
      <c r="I61" s="23"/>
      <c r="J61" s="24"/>
    </row>
    <row r="62" spans="4:11" x14ac:dyDescent="0.2">
      <c r="D62" s="6" t="s">
        <v>11</v>
      </c>
      <c r="E62" s="23" t="s">
        <v>24</v>
      </c>
      <c r="F62" s="23">
        <v>25.3</v>
      </c>
      <c r="G62" s="23" t="s">
        <v>24</v>
      </c>
      <c r="H62" s="23">
        <v>61</v>
      </c>
      <c r="I62" s="23" t="s">
        <v>24</v>
      </c>
      <c r="J62" s="24">
        <v>567</v>
      </c>
    </row>
    <row r="63" spans="4:11" x14ac:dyDescent="0.2">
      <c r="D63" s="6" t="s">
        <v>13</v>
      </c>
      <c r="E63" s="23" t="s">
        <v>24</v>
      </c>
      <c r="F63" s="23">
        <v>19.8</v>
      </c>
      <c r="G63" s="23" t="s">
        <v>24</v>
      </c>
      <c r="H63" s="7">
        <v>1517</v>
      </c>
      <c r="I63" s="23" t="s">
        <v>24</v>
      </c>
      <c r="J63" s="24">
        <v>217</v>
      </c>
    </row>
    <row r="64" spans="4:11" ht="16" thickBot="1" x14ac:dyDescent="0.25">
      <c r="D64" s="9" t="s">
        <v>22</v>
      </c>
      <c r="E64" s="25" t="s">
        <v>24</v>
      </c>
      <c r="F64" s="25">
        <v>34.1</v>
      </c>
      <c r="G64" s="25" t="s">
        <v>24</v>
      </c>
      <c r="H64" s="10">
        <v>1637</v>
      </c>
      <c r="I64" s="25" t="s">
        <v>24</v>
      </c>
      <c r="J64" s="21">
        <v>682</v>
      </c>
    </row>
    <row r="65" spans="4:12" ht="16" thickBot="1" x14ac:dyDescent="0.25">
      <c r="G65">
        <f>SUM(G53:G60)</f>
        <v>290349</v>
      </c>
      <c r="H65" s="1">
        <f>SUM(H53:H64)</f>
        <v>159897</v>
      </c>
      <c r="I65">
        <f>SUM(I53:I60)</f>
        <v>76509</v>
      </c>
      <c r="J65">
        <f>SUM(J53:J60)</f>
        <v>85004</v>
      </c>
    </row>
    <row r="66" spans="4:12" x14ac:dyDescent="0.2">
      <c r="D66" s="3" t="s">
        <v>28</v>
      </c>
      <c r="E66" s="4"/>
      <c r="F66" s="5"/>
    </row>
    <row r="67" spans="4:12" x14ac:dyDescent="0.2">
      <c r="D67" s="6"/>
      <c r="E67" s="23" t="s">
        <v>29</v>
      </c>
      <c r="F67" s="24" t="s">
        <v>30</v>
      </c>
    </row>
    <row r="68" spans="4:12" x14ac:dyDescent="0.2">
      <c r="D68" s="6" t="s">
        <v>31</v>
      </c>
      <c r="E68" s="7">
        <v>7869000</v>
      </c>
      <c r="F68" s="8">
        <v>8523000</v>
      </c>
    </row>
    <row r="69" spans="4:12" x14ac:dyDescent="0.2">
      <c r="D69" s="6" t="s">
        <v>25</v>
      </c>
      <c r="E69" s="7">
        <v>52128</v>
      </c>
      <c r="F69" s="8">
        <v>66030</v>
      </c>
    </row>
    <row r="70" spans="4:12" x14ac:dyDescent="0.2">
      <c r="D70" s="6" t="s">
        <v>23</v>
      </c>
      <c r="E70" s="7">
        <v>16632</v>
      </c>
      <c r="F70" s="8">
        <v>16632</v>
      </c>
      <c r="L70" s="1"/>
    </row>
    <row r="71" spans="4:12" ht="16" thickBot="1" x14ac:dyDescent="0.25">
      <c r="D71" s="9" t="s">
        <v>27</v>
      </c>
      <c r="E71" s="25">
        <v>583</v>
      </c>
      <c r="F71" s="11">
        <v>1282</v>
      </c>
    </row>
    <row r="72" spans="4:12" ht="16" thickBot="1" x14ac:dyDescent="0.25">
      <c r="E72" s="1"/>
    </row>
    <row r="73" spans="4:12" x14ac:dyDescent="0.2">
      <c r="D73" s="22" t="s">
        <v>50</v>
      </c>
      <c r="E73" s="4"/>
      <c r="F73" s="4"/>
      <c r="G73" s="4"/>
      <c r="H73" s="4"/>
      <c r="I73" s="4"/>
      <c r="J73" s="4"/>
      <c r="K73" s="5"/>
    </row>
    <row r="74" spans="4:12" x14ac:dyDescent="0.2">
      <c r="D74" s="29" t="s">
        <v>32</v>
      </c>
      <c r="E74" s="23" t="s">
        <v>33</v>
      </c>
      <c r="F74" s="23" t="s">
        <v>5</v>
      </c>
      <c r="G74" s="23" t="s">
        <v>6</v>
      </c>
      <c r="H74" s="23" t="s">
        <v>34</v>
      </c>
      <c r="I74" s="23" t="s">
        <v>35</v>
      </c>
      <c r="J74" s="23" t="s">
        <v>36</v>
      </c>
      <c r="K74" s="24" t="s">
        <v>37</v>
      </c>
      <c r="L74" s="1"/>
    </row>
    <row r="75" spans="4:12" x14ac:dyDescent="0.2">
      <c r="D75" s="6"/>
      <c r="E75" s="23"/>
      <c r="F75" s="23" t="s">
        <v>9</v>
      </c>
      <c r="G75" s="23" t="s">
        <v>10</v>
      </c>
      <c r="H75" s="23" t="s">
        <v>9</v>
      </c>
      <c r="I75" s="23" t="s">
        <v>10</v>
      </c>
      <c r="J75" s="23" t="s">
        <v>9</v>
      </c>
      <c r="K75" s="24" t="s">
        <v>10</v>
      </c>
    </row>
    <row r="76" spans="4:12" x14ac:dyDescent="0.2">
      <c r="D76" s="6" t="s">
        <v>51</v>
      </c>
      <c r="E76" s="23" t="s">
        <v>38</v>
      </c>
      <c r="F76" s="7">
        <v>380000</v>
      </c>
      <c r="G76" s="7">
        <v>7813</v>
      </c>
      <c r="H76" s="23">
        <v>20</v>
      </c>
      <c r="I76" s="23">
        <v>20</v>
      </c>
      <c r="J76" s="7">
        <v>9500</v>
      </c>
      <c r="K76" s="24">
        <v>195</v>
      </c>
      <c r="L76" s="1"/>
    </row>
    <row r="77" spans="4:12" x14ac:dyDescent="0.2">
      <c r="D77" s="6" t="s">
        <v>51</v>
      </c>
      <c r="E77" s="23" t="s">
        <v>39</v>
      </c>
      <c r="F77" s="7">
        <v>91557</v>
      </c>
      <c r="G77" s="7">
        <v>242939</v>
      </c>
      <c r="H77" s="23">
        <v>150</v>
      </c>
      <c r="I77" s="23">
        <v>150</v>
      </c>
      <c r="J77" s="7">
        <v>17167</v>
      </c>
      <c r="K77" s="8">
        <v>45551</v>
      </c>
    </row>
    <row r="78" spans="4:12" x14ac:dyDescent="0.2">
      <c r="D78" s="6" t="s">
        <v>51</v>
      </c>
      <c r="E78" s="23" t="s">
        <v>40</v>
      </c>
      <c r="F78" s="7">
        <v>1330</v>
      </c>
      <c r="G78" s="7">
        <v>1754</v>
      </c>
      <c r="H78" s="23">
        <v>430</v>
      </c>
      <c r="I78" s="23">
        <v>430</v>
      </c>
      <c r="J78" s="23">
        <v>715</v>
      </c>
      <c r="K78" s="24">
        <v>943</v>
      </c>
    </row>
    <row r="79" spans="4:12" x14ac:dyDescent="0.2">
      <c r="D79" s="6" t="s">
        <v>51</v>
      </c>
      <c r="E79" s="23" t="s">
        <v>41</v>
      </c>
      <c r="F79" s="23">
        <v>770</v>
      </c>
      <c r="G79" s="23">
        <v>484</v>
      </c>
      <c r="H79" s="23">
        <v>60</v>
      </c>
      <c r="I79" s="23">
        <v>60</v>
      </c>
      <c r="J79" s="23">
        <v>58</v>
      </c>
      <c r="K79" s="24">
        <v>36</v>
      </c>
    </row>
    <row r="80" spans="4:12" x14ac:dyDescent="0.2">
      <c r="D80" s="6" t="s">
        <v>51</v>
      </c>
      <c r="E80" s="23" t="s">
        <v>42</v>
      </c>
      <c r="F80" s="7">
        <v>7282</v>
      </c>
      <c r="G80" s="7">
        <v>12647</v>
      </c>
      <c r="H80" s="23">
        <v>20</v>
      </c>
      <c r="I80" s="23">
        <v>20</v>
      </c>
      <c r="J80" s="23">
        <v>182</v>
      </c>
      <c r="K80" s="24">
        <v>316</v>
      </c>
    </row>
    <row r="81" spans="4:11" x14ac:dyDescent="0.2">
      <c r="D81" s="6" t="s">
        <v>51</v>
      </c>
      <c r="E81" s="23" t="s">
        <v>43</v>
      </c>
      <c r="F81" s="7">
        <v>1330</v>
      </c>
      <c r="G81" s="7">
        <v>1754</v>
      </c>
      <c r="H81" s="7">
        <v>4200</v>
      </c>
      <c r="I81" s="7">
        <v>4200</v>
      </c>
      <c r="J81" s="7">
        <v>1609</v>
      </c>
      <c r="K81" s="8">
        <v>2122</v>
      </c>
    </row>
    <row r="82" spans="4:11" x14ac:dyDescent="0.2">
      <c r="D82" s="6" t="s">
        <v>51</v>
      </c>
      <c r="E82" s="23" t="s">
        <v>44</v>
      </c>
      <c r="F82" s="23">
        <v>455</v>
      </c>
      <c r="G82" s="23">
        <v>484</v>
      </c>
      <c r="H82" s="7">
        <v>3000</v>
      </c>
      <c r="I82" s="7">
        <v>3000</v>
      </c>
      <c r="J82" s="23">
        <v>665</v>
      </c>
      <c r="K82" s="24">
        <v>418</v>
      </c>
    </row>
    <row r="83" spans="4:11" x14ac:dyDescent="0.2">
      <c r="D83" s="6" t="s">
        <v>51</v>
      </c>
      <c r="E83" s="23" t="s">
        <v>45</v>
      </c>
      <c r="F83" s="7">
        <v>7282</v>
      </c>
      <c r="G83" s="7">
        <v>12647</v>
      </c>
      <c r="H83" s="7">
        <v>4000</v>
      </c>
      <c r="I83" s="7">
        <v>4000</v>
      </c>
      <c r="J83" s="7">
        <v>8389</v>
      </c>
      <c r="K83" s="8">
        <v>14569</v>
      </c>
    </row>
    <row r="84" spans="4:11" x14ac:dyDescent="0.2">
      <c r="D84" s="6" t="s">
        <v>52</v>
      </c>
      <c r="E84" s="23" t="s">
        <v>38</v>
      </c>
      <c r="F84" s="7">
        <v>380000</v>
      </c>
      <c r="G84" s="7">
        <v>7813</v>
      </c>
      <c r="H84" s="23">
        <v>250</v>
      </c>
      <c r="I84" s="23">
        <v>250</v>
      </c>
      <c r="J84" s="7">
        <v>118750</v>
      </c>
      <c r="K84" s="8">
        <v>2442</v>
      </c>
    </row>
    <row r="85" spans="4:11" x14ac:dyDescent="0.2">
      <c r="D85" s="6" t="s">
        <v>52</v>
      </c>
      <c r="E85" s="23" t="s">
        <v>39</v>
      </c>
      <c r="F85" s="7">
        <v>91557</v>
      </c>
      <c r="G85" s="7">
        <v>242939</v>
      </c>
      <c r="H85" s="23">
        <v>600</v>
      </c>
      <c r="I85" s="23">
        <v>600</v>
      </c>
      <c r="J85" s="7">
        <v>57223</v>
      </c>
      <c r="K85" s="8">
        <v>182204</v>
      </c>
    </row>
    <row r="86" spans="4:11" x14ac:dyDescent="0.2">
      <c r="D86" s="6" t="s">
        <v>52</v>
      </c>
      <c r="E86" s="23" t="s">
        <v>40</v>
      </c>
      <c r="F86" s="7">
        <v>1330</v>
      </c>
      <c r="G86" s="7">
        <v>1754</v>
      </c>
      <c r="H86" s="23">
        <v>600</v>
      </c>
      <c r="I86" s="23">
        <v>600</v>
      </c>
      <c r="J86" s="23">
        <v>416</v>
      </c>
      <c r="K86" s="8">
        <v>1316</v>
      </c>
    </row>
    <row r="87" spans="4:11" x14ac:dyDescent="0.2">
      <c r="D87" s="6" t="s">
        <v>52</v>
      </c>
      <c r="E87" s="23" t="s">
        <v>41</v>
      </c>
      <c r="F87" s="23">
        <v>770</v>
      </c>
      <c r="G87" s="23">
        <v>484</v>
      </c>
      <c r="H87" s="23">
        <v>600</v>
      </c>
      <c r="I87" s="23">
        <v>600</v>
      </c>
      <c r="J87" s="23">
        <v>667</v>
      </c>
      <c r="K87" s="24">
        <v>363</v>
      </c>
    </row>
    <row r="88" spans="4:11" x14ac:dyDescent="0.2">
      <c r="D88" s="6" t="s">
        <v>52</v>
      </c>
      <c r="E88" s="23" t="s">
        <v>42</v>
      </c>
      <c r="F88" s="7">
        <v>7282</v>
      </c>
      <c r="G88" s="7">
        <v>12647</v>
      </c>
      <c r="H88" s="23">
        <v>600</v>
      </c>
      <c r="I88" s="23">
        <v>600</v>
      </c>
      <c r="J88" s="7">
        <v>5462</v>
      </c>
      <c r="K88" s="8">
        <v>9485</v>
      </c>
    </row>
    <row r="89" spans="4:11" x14ac:dyDescent="0.2">
      <c r="D89" s="6" t="s">
        <v>52</v>
      </c>
      <c r="E89" s="23" t="s">
        <v>46</v>
      </c>
      <c r="F89" s="7">
        <v>91557</v>
      </c>
      <c r="G89" s="7">
        <v>242939</v>
      </c>
      <c r="H89" s="7">
        <v>10000</v>
      </c>
      <c r="I89" s="7">
        <v>10000</v>
      </c>
      <c r="J89" s="7">
        <v>263684</v>
      </c>
      <c r="K89" s="8">
        <v>699664</v>
      </c>
    </row>
    <row r="90" spans="4:11" x14ac:dyDescent="0.2">
      <c r="D90" s="6" t="s">
        <v>52</v>
      </c>
      <c r="E90" s="23" t="s">
        <v>43</v>
      </c>
      <c r="F90" s="7">
        <v>1330</v>
      </c>
      <c r="G90" s="7">
        <v>1754</v>
      </c>
      <c r="H90" s="7">
        <v>10000</v>
      </c>
      <c r="I90" s="7">
        <v>10000</v>
      </c>
      <c r="J90" s="7">
        <v>3830</v>
      </c>
      <c r="K90" s="8">
        <v>5052</v>
      </c>
    </row>
    <row r="91" spans="4:11" x14ac:dyDescent="0.2">
      <c r="D91" s="6" t="s">
        <v>52</v>
      </c>
      <c r="E91" s="23" t="s">
        <v>44</v>
      </c>
      <c r="F91" s="23">
        <v>770</v>
      </c>
      <c r="G91" s="23">
        <v>484</v>
      </c>
      <c r="H91" s="7">
        <v>10000</v>
      </c>
      <c r="I91" s="7">
        <v>10000</v>
      </c>
      <c r="J91" s="7">
        <v>2218</v>
      </c>
      <c r="K91" s="8">
        <v>1394</v>
      </c>
    </row>
    <row r="92" spans="4:11" x14ac:dyDescent="0.2">
      <c r="D92" s="6" t="s">
        <v>52</v>
      </c>
      <c r="E92" s="23" t="s">
        <v>45</v>
      </c>
      <c r="F92" s="7">
        <v>7282</v>
      </c>
      <c r="G92" s="7">
        <v>12647</v>
      </c>
      <c r="H92" s="7">
        <v>10000</v>
      </c>
      <c r="I92" s="7">
        <v>10000</v>
      </c>
      <c r="J92" s="7">
        <v>20972</v>
      </c>
      <c r="K92" s="8">
        <v>36423</v>
      </c>
    </row>
    <row r="93" spans="4:11" x14ac:dyDescent="0.2">
      <c r="D93" s="6" t="s">
        <v>47</v>
      </c>
      <c r="E93" s="23" t="s">
        <v>48</v>
      </c>
      <c r="F93" s="7">
        <v>480939</v>
      </c>
      <c r="G93" s="7">
        <v>265637</v>
      </c>
      <c r="H93" s="23">
        <v>350</v>
      </c>
      <c r="I93" s="23">
        <v>350</v>
      </c>
      <c r="J93" s="7">
        <v>210411</v>
      </c>
      <c r="K93" s="8">
        <v>116216</v>
      </c>
    </row>
    <row r="94" spans="4:11" ht="16" thickBot="1" x14ac:dyDescent="0.25">
      <c r="D94" s="9" t="s">
        <v>47</v>
      </c>
      <c r="E94" s="25" t="s">
        <v>49</v>
      </c>
      <c r="F94" s="10">
        <v>96188</v>
      </c>
      <c r="G94" s="10">
        <v>53127</v>
      </c>
      <c r="H94" s="10">
        <v>5000</v>
      </c>
      <c r="I94" s="10">
        <v>5000</v>
      </c>
      <c r="J94" s="10">
        <v>138510</v>
      </c>
      <c r="K94" s="11">
        <v>76503</v>
      </c>
    </row>
    <row r="95" spans="4:11" x14ac:dyDescent="0.2">
      <c r="J95" s="1">
        <f>SUM(J76:J94)</f>
        <v>860428</v>
      </c>
      <c r="K95" s="1">
        <f>SUM(K76:K94)</f>
        <v>1195212</v>
      </c>
    </row>
    <row r="96" spans="4:11" ht="16" thickBot="1" x14ac:dyDescent="0.25">
      <c r="J96" s="1"/>
      <c r="K96" s="1"/>
    </row>
    <row r="97" spans="4:15" x14ac:dyDescent="0.2">
      <c r="D97" s="3" t="s">
        <v>53</v>
      </c>
      <c r="E97" s="4" t="s">
        <v>56</v>
      </c>
      <c r="F97" s="5"/>
    </row>
    <row r="98" spans="4:15" x14ac:dyDescent="0.2">
      <c r="D98" s="6" t="s">
        <v>3</v>
      </c>
      <c r="E98" s="23" t="s">
        <v>54</v>
      </c>
      <c r="F98" s="24" t="s">
        <v>55</v>
      </c>
    </row>
    <row r="99" spans="4:15" x14ac:dyDescent="0.2">
      <c r="D99" s="6" t="s">
        <v>31</v>
      </c>
      <c r="E99" s="7">
        <v>129660</v>
      </c>
      <c r="F99" s="8">
        <v>1709830</v>
      </c>
    </row>
    <row r="100" spans="4:15" x14ac:dyDescent="0.2">
      <c r="D100" s="6" t="s">
        <v>57</v>
      </c>
      <c r="E100" s="7">
        <v>13159</v>
      </c>
      <c r="F100" s="8">
        <v>33338</v>
      </c>
    </row>
    <row r="101" spans="4:15" x14ac:dyDescent="0.2">
      <c r="D101" s="6" t="s">
        <v>23</v>
      </c>
      <c r="E101" s="7">
        <v>10603</v>
      </c>
      <c r="F101" s="8">
        <v>34991</v>
      </c>
    </row>
    <row r="102" spans="4:15" ht="16" thickBot="1" x14ac:dyDescent="0.25">
      <c r="D102" s="9" t="s">
        <v>58</v>
      </c>
      <c r="E102" s="25" t="s">
        <v>24</v>
      </c>
      <c r="F102" s="21">
        <v>37</v>
      </c>
    </row>
    <row r="103" spans="4:15" ht="16" thickBot="1" x14ac:dyDescent="0.25">
      <c r="E103" s="1"/>
    </row>
    <row r="104" spans="4:15" x14ac:dyDescent="0.2">
      <c r="D104" s="3" t="s">
        <v>59</v>
      </c>
      <c r="E104" s="4"/>
      <c r="F104" s="4"/>
      <c r="G104" s="4"/>
      <c r="H104" s="5"/>
      <c r="J104" s="1"/>
      <c r="K104" s="1"/>
      <c r="L104" s="1"/>
      <c r="M104" s="1"/>
      <c r="N104" s="1"/>
      <c r="O104" s="1"/>
    </row>
    <row r="105" spans="4:15" x14ac:dyDescent="0.2">
      <c r="D105" s="6" t="s">
        <v>60</v>
      </c>
      <c r="E105" s="32" t="s">
        <v>61</v>
      </c>
      <c r="F105" s="32"/>
      <c r="G105" s="32" t="s">
        <v>62</v>
      </c>
      <c r="H105" s="19"/>
      <c r="J105" s="1"/>
      <c r="K105" s="1"/>
      <c r="L105" s="1"/>
      <c r="M105" s="1"/>
      <c r="N105" s="1"/>
      <c r="O105" s="1"/>
    </row>
    <row r="106" spans="4:15" x14ac:dyDescent="0.2">
      <c r="D106" s="6"/>
      <c r="E106" s="32" t="s">
        <v>9</v>
      </c>
      <c r="F106" s="32" t="s">
        <v>10</v>
      </c>
      <c r="G106" s="32" t="s">
        <v>9</v>
      </c>
      <c r="H106" s="19" t="s">
        <v>10</v>
      </c>
      <c r="J106" s="1"/>
      <c r="K106" s="1"/>
      <c r="L106" s="1"/>
      <c r="M106" s="1"/>
      <c r="N106" s="1"/>
      <c r="O106" s="1"/>
    </row>
    <row r="107" spans="4:15" x14ac:dyDescent="0.2">
      <c r="D107" s="6" t="s">
        <v>63</v>
      </c>
      <c r="E107" s="32">
        <v>3.5000000000000003E-2</v>
      </c>
      <c r="F107" s="32">
        <v>7.0000000000000001E-3</v>
      </c>
      <c r="G107" s="32" t="s">
        <v>24</v>
      </c>
      <c r="H107" s="19" t="s">
        <v>24</v>
      </c>
      <c r="J107" s="1"/>
      <c r="K107" s="1"/>
      <c r="L107" s="1"/>
      <c r="M107" s="1"/>
      <c r="N107" s="1"/>
      <c r="O107" s="1"/>
    </row>
    <row r="108" spans="4:15" ht="16" thickBot="1" x14ac:dyDescent="0.25">
      <c r="D108" s="9" t="s">
        <v>64</v>
      </c>
      <c r="E108" s="33" t="s">
        <v>24</v>
      </c>
      <c r="F108" s="33" t="s">
        <v>24</v>
      </c>
      <c r="G108" s="33">
        <v>1656</v>
      </c>
      <c r="H108" s="34">
        <v>65587</v>
      </c>
      <c r="J108" s="1"/>
      <c r="K108" s="1"/>
      <c r="L108" s="1"/>
      <c r="M108" s="1"/>
      <c r="N108" s="1"/>
      <c r="O108" s="1"/>
    </row>
    <row r="110" spans="4:15" ht="16" thickBot="1" x14ac:dyDescent="0.25"/>
    <row r="111" spans="4:15" x14ac:dyDescent="0.2">
      <c r="D111" s="3" t="s">
        <v>47</v>
      </c>
      <c r="E111" s="15" t="s">
        <v>56</v>
      </c>
      <c r="F111" s="5"/>
    </row>
    <row r="112" spans="4:15" x14ac:dyDescent="0.2">
      <c r="D112" s="6"/>
      <c r="E112" s="23" t="s">
        <v>65</v>
      </c>
      <c r="F112" s="24" t="s">
        <v>67</v>
      </c>
    </row>
    <row r="113" spans="4:6" ht="16" thickBot="1" x14ac:dyDescent="0.25">
      <c r="D113" s="9" t="s">
        <v>66</v>
      </c>
      <c r="E113" s="10">
        <f>6450</f>
        <v>6450</v>
      </c>
      <c r="F113" s="11">
        <f>1283000</f>
        <v>1283000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F26" sqref="F26"/>
    </sheetView>
  </sheetViews>
  <sheetFormatPr baseColWidth="10" defaultRowHeight="16" x14ac:dyDescent="0.25"/>
  <cols>
    <col min="1" max="1" width="41" style="77" customWidth="1"/>
    <col min="2" max="6" width="15.83203125" style="77" customWidth="1"/>
    <col min="7" max="16384" width="10.83203125" style="77"/>
  </cols>
  <sheetData>
    <row r="1" spans="1:9" s="71" customFormat="1" x14ac:dyDescent="0.25">
      <c r="B1" s="80" t="s">
        <v>65</v>
      </c>
      <c r="C1" s="80"/>
      <c r="D1" s="80"/>
      <c r="E1" s="80" t="s">
        <v>67</v>
      </c>
      <c r="F1" s="80"/>
      <c r="G1" s="80"/>
      <c r="I1" s="78"/>
    </row>
    <row r="2" spans="1:9" s="71" customFormat="1" x14ac:dyDescent="0.25">
      <c r="A2" s="72"/>
      <c r="B2" s="73" t="s">
        <v>36</v>
      </c>
      <c r="C2" s="74" t="s">
        <v>122</v>
      </c>
      <c r="D2" s="74" t="s">
        <v>66</v>
      </c>
      <c r="E2" s="73" t="s">
        <v>36</v>
      </c>
      <c r="F2" s="74" t="s">
        <v>122</v>
      </c>
      <c r="G2" s="74" t="s">
        <v>66</v>
      </c>
      <c r="I2" s="78"/>
    </row>
    <row r="3" spans="1:9" x14ac:dyDescent="0.25">
      <c r="A3" s="72" t="s">
        <v>70</v>
      </c>
      <c r="B3" s="75">
        <f>SUM('Overview Data'!I29:I43)</f>
        <v>3054547</v>
      </c>
      <c r="C3" s="75">
        <f>SUM('Overview Data'!G29:G43)</f>
        <v>1323210</v>
      </c>
      <c r="D3" s="75">
        <f>SUM(B3:C3)</f>
        <v>4377757</v>
      </c>
      <c r="E3" s="75">
        <f>SUM('Overview Data'!J29:J43)</f>
        <v>5852728</v>
      </c>
      <c r="F3" s="75">
        <f>SUM('Overview Data'!H29:H43)</f>
        <v>1455606</v>
      </c>
      <c r="G3" s="75">
        <f>SUM(E3:F3)</f>
        <v>7308334</v>
      </c>
    </row>
    <row r="4" spans="1:9" x14ac:dyDescent="0.25">
      <c r="A4" s="72" t="s">
        <v>71</v>
      </c>
      <c r="B4" s="75">
        <f>SUM('Overview Data'!I53:I61)</f>
        <v>76509</v>
      </c>
      <c r="C4" s="75">
        <f>SUM('Overview Data'!G53:G60)</f>
        <v>290349</v>
      </c>
      <c r="D4" s="75">
        <f t="shared" ref="D4:D13" si="0">SUM(B4:C4)</f>
        <v>366858</v>
      </c>
      <c r="E4" s="75">
        <f>SUM('Overview Data'!J53:J64)</f>
        <v>86470</v>
      </c>
      <c r="F4" s="75">
        <f>SUM('Overview Data'!H53:H64)</f>
        <v>159897</v>
      </c>
      <c r="G4" s="75">
        <f t="shared" ref="G4:G13" si="1">SUM(E4:F4)</f>
        <v>246367</v>
      </c>
    </row>
    <row r="5" spans="1:9" x14ac:dyDescent="0.25">
      <c r="A5" s="72" t="s">
        <v>72</v>
      </c>
      <c r="B5" s="75">
        <f>'Overview Data'!E68</f>
        <v>7869000</v>
      </c>
      <c r="C5" s="75"/>
      <c r="D5" s="75">
        <f t="shared" si="0"/>
        <v>7869000</v>
      </c>
      <c r="E5" s="75">
        <f>'Overview Data'!F68</f>
        <v>8523000</v>
      </c>
      <c r="F5" s="75"/>
      <c r="G5" s="75">
        <f>SUM(E5:F5)</f>
        <v>8523000</v>
      </c>
    </row>
    <row r="6" spans="1:9" x14ac:dyDescent="0.25">
      <c r="A6" s="72" t="s">
        <v>73</v>
      </c>
      <c r="B6" s="75">
        <f>SUM('Overview Data'!E69:E71)</f>
        <v>69343</v>
      </c>
      <c r="C6" s="75"/>
      <c r="D6" s="75">
        <f t="shared" si="0"/>
        <v>69343</v>
      </c>
      <c r="E6" s="75">
        <f>SUM('Overview Data'!F69:F71)</f>
        <v>83944</v>
      </c>
      <c r="F6" s="75"/>
      <c r="G6" s="75">
        <f t="shared" si="1"/>
        <v>83944</v>
      </c>
    </row>
    <row r="7" spans="1:9" x14ac:dyDescent="0.25">
      <c r="A7" s="72" t="s">
        <v>74</v>
      </c>
      <c r="B7" s="75">
        <f>SUM('Overview Data'!J76:J83)</f>
        <v>38285</v>
      </c>
      <c r="C7" s="75"/>
      <c r="D7" s="75">
        <f t="shared" si="0"/>
        <v>38285</v>
      </c>
      <c r="E7" s="75">
        <f>SUM('Overview Data'!K76:K83)</f>
        <v>64150</v>
      </c>
      <c r="F7" s="75"/>
      <c r="G7" s="75">
        <f t="shared" si="1"/>
        <v>64150</v>
      </c>
    </row>
    <row r="8" spans="1:9" x14ac:dyDescent="0.25">
      <c r="A8" s="72" t="s">
        <v>75</v>
      </c>
      <c r="B8" s="75">
        <f>SUM('Overview Data'!J84:J92)</f>
        <v>473222</v>
      </c>
      <c r="C8" s="75"/>
      <c r="D8" s="75">
        <f t="shared" si="0"/>
        <v>473222</v>
      </c>
      <c r="E8" s="75">
        <f>SUM('Overview Data'!K84:K92)</f>
        <v>938343</v>
      </c>
      <c r="F8" s="75"/>
      <c r="G8" s="75">
        <f t="shared" si="1"/>
        <v>938343</v>
      </c>
    </row>
    <row r="9" spans="1:9" x14ac:dyDescent="0.25">
      <c r="A9" s="72" t="s">
        <v>77</v>
      </c>
      <c r="B9" s="75">
        <f>SUM('Overview Data'!E99:E101)</f>
        <v>153422</v>
      </c>
      <c r="C9" s="75"/>
      <c r="D9" s="75">
        <f t="shared" si="0"/>
        <v>153422</v>
      </c>
      <c r="E9" s="75">
        <f>SUM('Overview Data'!F99:F102)</f>
        <v>1778196</v>
      </c>
      <c r="F9" s="75"/>
      <c r="G9" s="75">
        <f t="shared" si="1"/>
        <v>1778196</v>
      </c>
    </row>
    <row r="10" spans="1:9" x14ac:dyDescent="0.25">
      <c r="A10" s="72" t="s">
        <v>81</v>
      </c>
      <c r="B10" s="75">
        <f>'Overview Data'!E10</f>
        <v>41400</v>
      </c>
      <c r="C10" s="75"/>
      <c r="D10" s="75">
        <f t="shared" si="0"/>
        <v>41400</v>
      </c>
      <c r="E10" s="75">
        <f>'Overview Data'!F10</f>
        <v>1639675</v>
      </c>
      <c r="F10" s="75"/>
      <c r="G10" s="75">
        <f t="shared" si="1"/>
        <v>1639675</v>
      </c>
    </row>
    <row r="11" spans="1:9" x14ac:dyDescent="0.25">
      <c r="A11" s="72" t="s">
        <v>76</v>
      </c>
      <c r="B11" s="75">
        <f>SUM('Overview Data'!J93:J94)</f>
        <v>348921</v>
      </c>
      <c r="C11" s="75"/>
      <c r="D11" s="75">
        <f t="shared" si="0"/>
        <v>348921</v>
      </c>
      <c r="E11" s="75">
        <f>SUM('Overview Data'!K93:K94)</f>
        <v>192719</v>
      </c>
      <c r="F11" s="75"/>
      <c r="G11" s="75">
        <f t="shared" si="1"/>
        <v>192719</v>
      </c>
    </row>
    <row r="12" spans="1:9" x14ac:dyDescent="0.25">
      <c r="A12" s="76" t="s">
        <v>120</v>
      </c>
      <c r="B12" s="75">
        <f>'Overview Data'!E113</f>
        <v>6450</v>
      </c>
      <c r="C12" s="75"/>
      <c r="D12" s="75">
        <f>SUM(B12:C12)</f>
        <v>6450</v>
      </c>
      <c r="E12" s="75">
        <f>'Overview Data'!F113</f>
        <v>1283000</v>
      </c>
      <c r="F12" s="75"/>
      <c r="G12" s="75">
        <f t="shared" si="1"/>
        <v>1283000</v>
      </c>
    </row>
    <row r="13" spans="1:9" x14ac:dyDescent="0.25">
      <c r="A13" s="72" t="s">
        <v>117</v>
      </c>
      <c r="B13" s="75"/>
      <c r="C13" s="75">
        <f>'Overview Data'!Q8</f>
        <v>6284671.4700000007</v>
      </c>
      <c r="D13" s="75">
        <f t="shared" si="0"/>
        <v>6284671.4700000007</v>
      </c>
      <c r="E13" s="75"/>
      <c r="F13" s="75">
        <f>'Overview Data'!S5</f>
        <v>2167532.8447500002</v>
      </c>
      <c r="G13" s="75">
        <f t="shared" si="1"/>
        <v>2167532.8447500002</v>
      </c>
    </row>
    <row r="14" spans="1:9" x14ac:dyDescent="0.25">
      <c r="A14" s="72"/>
      <c r="B14" s="75"/>
      <c r="C14" s="75"/>
      <c r="D14" s="75"/>
      <c r="E14" s="75"/>
      <c r="F14" s="75"/>
      <c r="G14" s="75"/>
    </row>
    <row r="15" spans="1:9" x14ac:dyDescent="0.25">
      <c r="A15" s="76" t="s">
        <v>66</v>
      </c>
      <c r="B15" s="78">
        <f>SUM(B3:B13)</f>
        <v>12131099</v>
      </c>
      <c r="C15" s="78">
        <f t="shared" ref="C15:F15" si="2">SUM(C3:C13)</f>
        <v>7898230.4700000007</v>
      </c>
      <c r="D15" s="78">
        <f>SUM(D3:D13)</f>
        <v>20029329.469999999</v>
      </c>
      <c r="E15" s="78">
        <f t="shared" si="2"/>
        <v>20442225</v>
      </c>
      <c r="F15" s="78">
        <f t="shared" si="2"/>
        <v>3783035.8447500002</v>
      </c>
      <c r="G15" s="78">
        <f>SUM(G3:G13)</f>
        <v>24225260.844750002</v>
      </c>
    </row>
    <row r="17" spans="1:7" x14ac:dyDescent="0.25">
      <c r="B17" s="81" t="s">
        <v>65</v>
      </c>
      <c r="C17" s="81"/>
      <c r="D17" s="81"/>
      <c r="E17" s="81" t="s">
        <v>67</v>
      </c>
      <c r="F17" s="81"/>
      <c r="G17" s="81"/>
    </row>
    <row r="18" spans="1:7" x14ac:dyDescent="0.25">
      <c r="A18" s="77" t="s">
        <v>121</v>
      </c>
      <c r="B18" s="75">
        <f>(B5+B6)</f>
        <v>7938343</v>
      </c>
      <c r="C18" s="79">
        <f>B18/D$15 %</f>
        <v>39.63359338559026</v>
      </c>
      <c r="E18" s="75">
        <f>(E5+E6)</f>
        <v>8606944</v>
      </c>
      <c r="F18" s="79">
        <f>E18/G$15 %</f>
        <v>35.528798039197426</v>
      </c>
    </row>
    <row r="19" spans="1:7" x14ac:dyDescent="0.25">
      <c r="A19" s="77" t="s">
        <v>123</v>
      </c>
      <c r="B19" s="75">
        <f>(C13+B10)</f>
        <v>6326071.4700000007</v>
      </c>
      <c r="C19" s="79">
        <f>B19/D$15 %</f>
        <v>31.584040192035449</v>
      </c>
      <c r="E19" s="75">
        <f>(F13+E10)</f>
        <v>3807207.8447500002</v>
      </c>
      <c r="F19" s="79">
        <f>E19/G$15 %</f>
        <v>15.715859033051785</v>
      </c>
    </row>
    <row r="20" spans="1:7" x14ac:dyDescent="0.25">
      <c r="A20" s="77" t="s">
        <v>124</v>
      </c>
      <c r="B20" s="75">
        <f>(D3+D4)</f>
        <v>4744615</v>
      </c>
      <c r="C20" s="79">
        <f>B20/D$15 %</f>
        <v>23.688336681996773</v>
      </c>
      <c r="E20" s="75">
        <f>(G3+G4)</f>
        <v>7554701</v>
      </c>
      <c r="F20" s="79">
        <f>E20/G$15 %</f>
        <v>31.185220454033722</v>
      </c>
    </row>
    <row r="21" spans="1:7" x14ac:dyDescent="0.25">
      <c r="A21" s="77" t="s">
        <v>125</v>
      </c>
      <c r="B21" s="75">
        <f>(D7+D8+D11)</f>
        <v>860428</v>
      </c>
      <c r="C21" s="79">
        <f>B21/D$15 %</f>
        <v>4.2958402640924751</v>
      </c>
      <c r="E21" s="75">
        <f>(G7+G8+G11)</f>
        <v>1195212</v>
      </c>
      <c r="F21" s="79">
        <f>E21/G$15 %</f>
        <v>4.9337425411418074</v>
      </c>
    </row>
    <row r="22" spans="1:7" x14ac:dyDescent="0.25">
      <c r="A22" s="77" t="s">
        <v>126</v>
      </c>
      <c r="B22" s="75">
        <f>D15-SUM(B18:B21)</f>
        <v>159872</v>
      </c>
      <c r="C22" s="79">
        <f>B22/D$15 %</f>
        <v>0.7981894762850491</v>
      </c>
      <c r="E22" s="75">
        <f>G15-SUM(E18:E21)</f>
        <v>3061196</v>
      </c>
      <c r="F22" s="79">
        <f>E22/G$15 %</f>
        <v>12.636379932575256</v>
      </c>
    </row>
    <row r="24" spans="1:7" x14ac:dyDescent="0.25">
      <c r="A24" s="77" t="s">
        <v>127</v>
      </c>
      <c r="B24" s="75">
        <f>SUM(C3:C11)</f>
        <v>1613559</v>
      </c>
      <c r="C24" s="79">
        <f>B24/D$15 %</f>
        <v>8.055981117175163</v>
      </c>
      <c r="E24" s="75">
        <f>SUM(F3:F11)</f>
        <v>1615503</v>
      </c>
      <c r="F24" s="79">
        <f>E24/G$15 %</f>
        <v>6.6686712285705072</v>
      </c>
    </row>
    <row r="25" spans="1:7" x14ac:dyDescent="0.25">
      <c r="A25" s="77" t="s">
        <v>128</v>
      </c>
      <c r="B25" s="75">
        <f>SUM(B3:B12)</f>
        <v>12131099</v>
      </c>
      <c r="C25" s="79">
        <f>B25/D$15 %</f>
        <v>60.56667557528575</v>
      </c>
      <c r="E25" s="75">
        <f>SUM(E3:E12)</f>
        <v>20442225</v>
      </c>
      <c r="F25" s="79">
        <f>E25/G$15 %</f>
        <v>84.383921110307284</v>
      </c>
    </row>
    <row r="26" spans="1:7" x14ac:dyDescent="0.25">
      <c r="A26" s="77" t="s">
        <v>129</v>
      </c>
      <c r="B26" s="75">
        <f>C13</f>
        <v>6284671.4700000007</v>
      </c>
      <c r="C26" s="79">
        <f>B26/D$15 %</f>
        <v>31.377343307539096</v>
      </c>
      <c r="E26" s="75">
        <f>F13</f>
        <v>2167532.8447500002</v>
      </c>
      <c r="F26" s="79">
        <f>E26/G$15 %</f>
        <v>8.9474076611222078</v>
      </c>
    </row>
    <row r="27" spans="1:7" x14ac:dyDescent="0.25">
      <c r="B27" s="75">
        <f>SUM(B24:B26)</f>
        <v>20029329.469999999</v>
      </c>
      <c r="E27" s="75">
        <f>SUM(E24:E26)</f>
        <v>24225260.844750002</v>
      </c>
    </row>
  </sheetData>
  <mergeCells count="4">
    <mergeCell ref="B1:D1"/>
    <mergeCell ref="E1:G1"/>
    <mergeCell ref="E17:G17"/>
    <mergeCell ref="B17:D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opLeftCell="F1" workbookViewId="0">
      <selection activeCell="N16" sqref="N16"/>
    </sheetView>
  </sheetViews>
  <sheetFormatPr baseColWidth="10" defaultColWidth="8.83203125" defaultRowHeight="15" x14ac:dyDescent="0.2"/>
  <cols>
    <col min="4" max="4" width="56.33203125" customWidth="1"/>
    <col min="5" max="5" width="28.5" customWidth="1"/>
    <col min="6" max="6" width="29.1640625" customWidth="1"/>
    <col min="7" max="7" width="17.1640625" customWidth="1"/>
    <col min="8" max="8" width="30.83203125" customWidth="1"/>
    <col min="9" max="9" width="20.5" customWidth="1"/>
    <col min="10" max="10" width="28.6640625" customWidth="1"/>
    <col min="11" max="11" width="19.6640625" customWidth="1"/>
    <col min="12" max="12" width="28.83203125" customWidth="1"/>
    <col min="13" max="13" width="21.5" customWidth="1"/>
    <col min="14" max="14" width="15.83203125" customWidth="1"/>
    <col min="15" max="15" width="17.5" customWidth="1"/>
    <col min="16" max="16" width="11.5" customWidth="1"/>
    <col min="17" max="17" width="16.5" customWidth="1"/>
    <col min="18" max="18" width="29.83203125" customWidth="1"/>
    <col min="19" max="19" width="17" customWidth="1"/>
    <col min="20" max="21" width="15.33203125" customWidth="1"/>
    <col min="22" max="22" width="15.6640625" customWidth="1"/>
    <col min="24" max="24" width="15" customWidth="1"/>
    <col min="25" max="25" width="13.83203125" customWidth="1"/>
  </cols>
  <sheetData>
    <row r="1" spans="1:26" ht="16" thickBot="1" x14ac:dyDescent="0.25">
      <c r="A1" s="2">
        <v>2.2400000000000002</v>
      </c>
      <c r="H1" t="s">
        <v>119</v>
      </c>
    </row>
    <row r="2" spans="1:26" ht="16" thickBot="1" x14ac:dyDescent="0.25">
      <c r="D2" s="38" t="s">
        <v>79</v>
      </c>
      <c r="E2" s="39" t="s">
        <v>69</v>
      </c>
      <c r="F2" s="40" t="s">
        <v>68</v>
      </c>
      <c r="H2" s="38" t="s">
        <v>69</v>
      </c>
      <c r="I2" s="40" t="s">
        <v>68</v>
      </c>
      <c r="K2" s="35" t="s">
        <v>109</v>
      </c>
      <c r="L2" s="36"/>
      <c r="M2" s="36"/>
      <c r="N2" s="52"/>
      <c r="O2" s="36"/>
      <c r="P2" s="36"/>
      <c r="Q2" s="36"/>
      <c r="R2" s="36"/>
      <c r="S2" s="36"/>
      <c r="T2" s="36"/>
      <c r="U2" s="36"/>
      <c r="V2" s="37"/>
      <c r="X2" s="43" t="s">
        <v>100</v>
      </c>
      <c r="Y2" s="44"/>
    </row>
    <row r="3" spans="1:26" ht="16" thickBot="1" x14ac:dyDescent="0.25">
      <c r="D3" s="6" t="s">
        <v>70</v>
      </c>
      <c r="E3" s="7">
        <f>SUM(G29:G43)+SUM(I29:I43)</f>
        <v>3645265.75</v>
      </c>
      <c r="F3" s="8">
        <f>SUM(H29:H41)+SUM(J29:J41)</f>
        <v>2846122.8392857141</v>
      </c>
      <c r="H3" s="58">
        <f t="shared" ref="H3:H11" si="0">E3/$T$8</f>
        <v>0.1886428283859384</v>
      </c>
      <c r="I3" s="59">
        <f>(F3+O5)/$T$5</f>
        <v>0.26095530013646689</v>
      </c>
      <c r="K3" s="6"/>
      <c r="L3" s="23"/>
      <c r="M3" s="23"/>
      <c r="N3" s="23"/>
      <c r="O3" s="23"/>
      <c r="P3" s="23"/>
      <c r="Q3" s="23"/>
      <c r="R3" s="23"/>
      <c r="S3" s="23"/>
      <c r="T3" s="23"/>
      <c r="U3" s="23"/>
      <c r="V3" s="24"/>
      <c r="X3" s="45" t="s">
        <v>101</v>
      </c>
      <c r="Y3" s="46" t="s">
        <v>100</v>
      </c>
    </row>
    <row r="4" spans="1:26" x14ac:dyDescent="0.2">
      <c r="D4" s="6" t="s">
        <v>71</v>
      </c>
      <c r="E4" s="7">
        <f>SUM(G53:G60)+SUM(I53:I60)</f>
        <v>206129.08928571426</v>
      </c>
      <c r="F4" s="8">
        <f>SUM(J53:J60)+SUM(H53:H60)</f>
        <v>154951.32142857142</v>
      </c>
      <c r="H4" s="60">
        <f t="shared" si="0"/>
        <v>1.0667198794895756E-2</v>
      </c>
      <c r="I4" s="61">
        <f>(F4+P5)/$T$5</f>
        <v>1.3457094846020928E-2</v>
      </c>
      <c r="K4" s="53" t="s">
        <v>112</v>
      </c>
      <c r="L4" s="53" t="s">
        <v>113</v>
      </c>
      <c r="M4" s="53" t="s">
        <v>115</v>
      </c>
      <c r="N4" s="4" t="s">
        <v>97</v>
      </c>
      <c r="O4" s="47" t="s">
        <v>103</v>
      </c>
      <c r="P4" s="47" t="s">
        <v>94</v>
      </c>
      <c r="Q4" s="47" t="s">
        <v>95</v>
      </c>
      <c r="R4" s="48" t="s">
        <v>96</v>
      </c>
      <c r="S4" s="50" t="s">
        <v>108</v>
      </c>
      <c r="T4" s="49" t="s">
        <v>107</v>
      </c>
      <c r="U4" s="4"/>
      <c r="V4" s="5"/>
      <c r="X4" s="6" t="s">
        <v>102</v>
      </c>
      <c r="Y4" s="24">
        <f>1</f>
        <v>1</v>
      </c>
    </row>
    <row r="5" spans="1:26" ht="16" thickBot="1" x14ac:dyDescent="0.25">
      <c r="D5" s="6" t="s">
        <v>72</v>
      </c>
      <c r="E5" s="7">
        <f>E68</f>
        <v>7869000</v>
      </c>
      <c r="F5" s="8">
        <f>F68</f>
        <v>8523000</v>
      </c>
      <c r="H5" s="60">
        <f t="shared" si="0"/>
        <v>0.40722145335191251</v>
      </c>
      <c r="I5" s="61">
        <f>F5/$T$5</f>
        <v>0.3420383237867447</v>
      </c>
      <c r="K5" s="54">
        <v>309647549.25</v>
      </c>
      <c r="L5" s="55">
        <f>K5/T5</f>
        <v>12.426531586312739</v>
      </c>
      <c r="M5" s="56" t="s">
        <v>116</v>
      </c>
      <c r="N5" s="10">
        <f>F15</f>
        <v>17502782.160714284</v>
      </c>
      <c r="O5" s="28">
        <f>(SUM(H42:H43)+SUM(J42:J43))*Y4</f>
        <v>3656429.2678571427</v>
      </c>
      <c r="P5" s="28">
        <f>Y11*(F20+F21)</f>
        <v>180376.07142857142</v>
      </c>
      <c r="Q5" s="28">
        <f>F19*Y11</f>
        <v>1014240</v>
      </c>
      <c r="R5" s="28">
        <f>F22*Y11</f>
        <v>396900</v>
      </c>
      <c r="S5" s="10">
        <f>K5*F18</f>
        <v>2167532.8447500002</v>
      </c>
      <c r="T5" s="10">
        <f>SUM(N5:S5)</f>
        <v>24918260.344749995</v>
      </c>
      <c r="U5" s="25"/>
      <c r="V5" s="21"/>
      <c r="X5" s="6">
        <f>20</f>
        <v>20</v>
      </c>
      <c r="Y5" s="24">
        <f>1.08</f>
        <v>1.08</v>
      </c>
    </row>
    <row r="6" spans="1:26" ht="16" thickBot="1" x14ac:dyDescent="0.25">
      <c r="D6" s="6" t="s">
        <v>73</v>
      </c>
      <c r="E6" s="7">
        <f>SUM(E69:E70)</f>
        <v>68760</v>
      </c>
      <c r="F6" s="8">
        <f>SUM(F69:F70)</f>
        <v>82662</v>
      </c>
      <c r="H6" s="60">
        <f t="shared" si="0"/>
        <v>3.5583361459496131E-3</v>
      </c>
      <c r="I6" s="61">
        <f>F6/$T$5</f>
        <v>3.3173262842731309E-3</v>
      </c>
      <c r="K6" s="22"/>
      <c r="L6" s="4"/>
      <c r="M6" s="4"/>
      <c r="N6" s="4"/>
      <c r="O6" s="4"/>
      <c r="P6" s="47"/>
      <c r="Q6" s="47"/>
      <c r="R6" s="47"/>
      <c r="S6" s="47"/>
      <c r="T6" s="4"/>
      <c r="U6" s="4"/>
      <c r="V6" s="5"/>
      <c r="X6" s="6">
        <f>25</f>
        <v>25</v>
      </c>
      <c r="Y6" s="24">
        <f>1.34</f>
        <v>1.34</v>
      </c>
    </row>
    <row r="7" spans="1:26" x14ac:dyDescent="0.2">
      <c r="D7" s="6" t="s">
        <v>74</v>
      </c>
      <c r="E7" s="7">
        <f>SUM(J76:J83)</f>
        <v>38285</v>
      </c>
      <c r="F7" s="8">
        <f>SUM(K76:K83)</f>
        <v>64150</v>
      </c>
      <c r="H7" s="60">
        <f t="shared" si="0"/>
        <v>1.9812521720139753E-3</v>
      </c>
      <c r="I7" s="61">
        <f>F7/$T$5</f>
        <v>2.5744172792349731E-3</v>
      </c>
      <c r="K7" s="53" t="s">
        <v>112</v>
      </c>
      <c r="L7" s="53" t="s">
        <v>113</v>
      </c>
      <c r="M7" s="53" t="s">
        <v>115</v>
      </c>
      <c r="N7" s="4" t="s">
        <v>97</v>
      </c>
      <c r="O7" s="47" t="s">
        <v>98</v>
      </c>
      <c r="P7" s="47" t="s">
        <v>99</v>
      </c>
      <c r="Q7" s="50" t="s">
        <v>108</v>
      </c>
      <c r="R7" s="47"/>
      <c r="S7" s="4"/>
      <c r="T7" s="4"/>
      <c r="U7" s="4"/>
      <c r="V7" s="5"/>
      <c r="X7" s="6">
        <f>30</f>
        <v>30</v>
      </c>
      <c r="Y7" s="24">
        <f>1.57</f>
        <v>1.57</v>
      </c>
    </row>
    <row r="8" spans="1:26" ht="16" thickBot="1" x14ac:dyDescent="0.25">
      <c r="D8" s="6" t="s">
        <v>75</v>
      </c>
      <c r="E8" s="7">
        <f>SUM(J84:J92)</f>
        <v>473222</v>
      </c>
      <c r="F8" s="8">
        <f>SUM(K84:K92)</f>
        <v>938343</v>
      </c>
      <c r="H8" s="60">
        <f t="shared" si="0"/>
        <v>2.4489280797826755E-2</v>
      </c>
      <c r="I8" s="61">
        <f>F8/$T$5</f>
        <v>3.765684229227096E-2</v>
      </c>
      <c r="K8" s="54">
        <v>179562042</v>
      </c>
      <c r="L8" s="55">
        <f>K8/T8</f>
        <v>9.2923517232274939</v>
      </c>
      <c r="M8" s="57" t="s">
        <v>65</v>
      </c>
      <c r="N8" s="10">
        <f>E15</f>
        <v>12850854.839285715</v>
      </c>
      <c r="O8" s="10">
        <f>E19*Y12</f>
        <v>181721.8125</v>
      </c>
      <c r="P8" s="10">
        <f>E22*Y12</f>
        <v>6390</v>
      </c>
      <c r="Q8" s="10">
        <f>K8*E18</f>
        <v>6284671.4700000007</v>
      </c>
      <c r="R8" s="10"/>
      <c r="S8" s="10"/>
      <c r="T8" s="10">
        <f>SUM(N8:S8)</f>
        <v>19323638.121785715</v>
      </c>
      <c r="U8" s="25"/>
      <c r="V8" s="21"/>
      <c r="X8" s="6">
        <f>35</f>
        <v>35</v>
      </c>
      <c r="Y8" s="24">
        <f>1.95</f>
        <v>1.95</v>
      </c>
    </row>
    <row r="9" spans="1:26" ht="16" thickBot="1" x14ac:dyDescent="0.25">
      <c r="D9" s="6" t="s">
        <v>77</v>
      </c>
      <c r="E9" s="7">
        <f>SUM(E99:E101)</f>
        <v>153422</v>
      </c>
      <c r="F9" s="8">
        <f>SUM(F99:F101)</f>
        <v>1778159</v>
      </c>
      <c r="H9" s="60">
        <f t="shared" si="0"/>
        <v>7.9396022132618028E-3</v>
      </c>
      <c r="I9" s="61">
        <f>(F9+Q5)/$T$5</f>
        <v>0.1120623575388692</v>
      </c>
      <c r="K9" s="22"/>
      <c r="L9" s="4"/>
      <c r="M9" s="4"/>
      <c r="N9" s="4"/>
      <c r="O9" s="4"/>
      <c r="P9" s="4"/>
      <c r="Q9" s="4"/>
      <c r="R9" s="4"/>
      <c r="S9" s="4"/>
      <c r="T9" s="4"/>
      <c r="U9" s="4"/>
      <c r="V9" s="5"/>
      <c r="X9" s="9">
        <f>40</f>
        <v>40</v>
      </c>
      <c r="Y9" s="21">
        <f>2.19</f>
        <v>2.19</v>
      </c>
    </row>
    <row r="10" spans="1:26" ht="16" thickBot="1" x14ac:dyDescent="0.25">
      <c r="D10" s="6" t="s">
        <v>81</v>
      </c>
      <c r="E10" s="7">
        <f>G108*25</f>
        <v>41400</v>
      </c>
      <c r="F10" s="8">
        <f>H108*25</f>
        <v>1639675</v>
      </c>
      <c r="H10" s="60">
        <f t="shared" si="0"/>
        <v>2.1424537004408667E-3</v>
      </c>
      <c r="I10" s="61">
        <f>(F10+R5)/$T$5</f>
        <v>8.1730224013374361E-2</v>
      </c>
      <c r="K10" s="53" t="s">
        <v>114</v>
      </c>
      <c r="L10" s="53" t="s">
        <v>113</v>
      </c>
      <c r="M10" s="53" t="s">
        <v>115</v>
      </c>
      <c r="N10" s="4" t="s">
        <v>97</v>
      </c>
      <c r="O10" s="47" t="s">
        <v>103</v>
      </c>
      <c r="P10" s="47" t="s">
        <v>94</v>
      </c>
      <c r="Q10" s="47" t="s">
        <v>95</v>
      </c>
      <c r="R10" s="48" t="s">
        <v>96</v>
      </c>
      <c r="S10" s="50" t="s">
        <v>108</v>
      </c>
      <c r="T10" s="49" t="s">
        <v>107</v>
      </c>
      <c r="U10" s="4"/>
      <c r="V10" s="5"/>
    </row>
    <row r="11" spans="1:26" ht="16" thickBot="1" x14ac:dyDescent="0.25">
      <c r="D11" s="9" t="s">
        <v>76</v>
      </c>
      <c r="E11" s="10">
        <f>SUM(J93:J94)</f>
        <v>348921</v>
      </c>
      <c r="F11" s="11">
        <f>SUM(K93:K94)</f>
        <v>192719</v>
      </c>
      <c r="H11" s="62">
        <f t="shared" si="0"/>
        <v>1.8056692937476512E-2</v>
      </c>
      <c r="I11" s="63">
        <f>F11/$T$5</f>
        <v>7.7340471338563487E-3</v>
      </c>
      <c r="K11" s="54">
        <v>309647549.25</v>
      </c>
      <c r="L11" s="55">
        <f>K11/T11</f>
        <v>10.409429779245704</v>
      </c>
      <c r="M11" s="57" t="s">
        <v>110</v>
      </c>
      <c r="N11" s="10">
        <f>F15+H46+H47+J46+J47</f>
        <v>25987782.160714284</v>
      </c>
      <c r="O11" s="28">
        <f>0</f>
        <v>0</v>
      </c>
      <c r="P11" s="28">
        <f>Y11*(F20+F21)</f>
        <v>180376.07142857142</v>
      </c>
      <c r="Q11" s="28">
        <f>F19*Y11</f>
        <v>1014240</v>
      </c>
      <c r="R11" s="28">
        <f>F22*Y11</f>
        <v>396900</v>
      </c>
      <c r="S11" s="10">
        <f>K11*F18</f>
        <v>2167532.8447500002</v>
      </c>
      <c r="T11" s="10">
        <f>SUM(N11:S11)</f>
        <v>29746831.076892853</v>
      </c>
      <c r="U11" s="25"/>
      <c r="V11" s="21"/>
      <c r="X11" s="35" t="s">
        <v>104</v>
      </c>
      <c r="Y11" s="22">
        <f>60</f>
        <v>60</v>
      </c>
      <c r="Z11" s="5" t="s">
        <v>106</v>
      </c>
    </row>
    <row r="12" spans="1:26" ht="16" thickBot="1" x14ac:dyDescent="0.25">
      <c r="D12" s="68" t="s">
        <v>120</v>
      </c>
      <c r="E12" s="69">
        <f>E113</f>
        <v>6450</v>
      </c>
      <c r="F12" s="69">
        <f>F113</f>
        <v>1283000</v>
      </c>
      <c r="H12" s="1"/>
      <c r="I12" s="1"/>
      <c r="K12" s="6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4"/>
      <c r="X12" s="35" t="s">
        <v>105</v>
      </c>
      <c r="Y12" s="9">
        <f>300</f>
        <v>300</v>
      </c>
      <c r="Z12" s="21" t="s">
        <v>106</v>
      </c>
    </row>
    <row r="13" spans="1:26" ht="16" thickBot="1" x14ac:dyDescent="0.25">
      <c r="D13" s="51" t="s">
        <v>117</v>
      </c>
      <c r="E13" s="13">
        <f>Q8</f>
        <v>6284671.4700000007</v>
      </c>
      <c r="F13" s="14">
        <f>S5</f>
        <v>2167532.8447500002</v>
      </c>
      <c r="H13" s="64">
        <f>E13/$T$8</f>
        <v>0.32523231031296235</v>
      </c>
      <c r="I13" s="65">
        <f>F13/$T$5</f>
        <v>8.6985721104189187E-2</v>
      </c>
      <c r="K13" s="9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1"/>
    </row>
    <row r="14" spans="1:26" ht="16" thickBot="1" x14ac:dyDescent="0.25">
      <c r="E14" s="1"/>
      <c r="F14" s="1"/>
      <c r="G14">
        <f>F12/F15</f>
        <v>7.3302632016968503E-2</v>
      </c>
      <c r="H14" s="1"/>
      <c r="I14" s="1"/>
    </row>
    <row r="15" spans="1:26" ht="16" thickBot="1" x14ac:dyDescent="0.25">
      <c r="D15" s="12" t="s">
        <v>118</v>
      </c>
      <c r="E15" s="13">
        <f>SUM(E3:E12)</f>
        <v>12850854.839285715</v>
      </c>
      <c r="F15" s="14">
        <f>SUM(F3:F12)</f>
        <v>17502782.160714284</v>
      </c>
      <c r="G15" s="70">
        <f>F12/SUM(F3:F11)</f>
        <v>7.910093904390017E-2</v>
      </c>
      <c r="H15" s="67">
        <f>SUM(H3:H13)</f>
        <v>0.98993140881267849</v>
      </c>
      <c r="I15" s="66">
        <f>SUM(I3:I13)</f>
        <v>0.94851165441530083</v>
      </c>
    </row>
    <row r="16" spans="1:26" ht="16" thickBot="1" x14ac:dyDescent="0.25">
      <c r="E16" s="1"/>
      <c r="F16" s="1"/>
    </row>
    <row r="17" spans="4:13" ht="16" thickBot="1" x14ac:dyDescent="0.25">
      <c r="D17" s="38" t="s">
        <v>80</v>
      </c>
      <c r="E17" s="41" t="s">
        <v>65</v>
      </c>
      <c r="F17" s="39" t="s">
        <v>67</v>
      </c>
      <c r="G17" s="42"/>
      <c r="I17" s="2" t="s">
        <v>90</v>
      </c>
      <c r="K17" s="22"/>
      <c r="L17" s="4" t="s">
        <v>32</v>
      </c>
      <c r="M17" s="5"/>
    </row>
    <row r="18" spans="4:13" x14ac:dyDescent="0.2">
      <c r="D18" s="6" t="s">
        <v>78</v>
      </c>
      <c r="E18" s="16">
        <f>E107</f>
        <v>3.5000000000000003E-2</v>
      </c>
      <c r="F18" s="16">
        <f>F107</f>
        <v>7.0000000000000001E-3</v>
      </c>
      <c r="G18" s="17" t="s">
        <v>82</v>
      </c>
      <c r="K18" s="6" t="s">
        <v>88</v>
      </c>
      <c r="L18" s="23">
        <f>1.25</f>
        <v>1.25</v>
      </c>
      <c r="M18" s="24" t="s">
        <v>85</v>
      </c>
    </row>
    <row r="19" spans="4:13" ht="16" thickBot="1" x14ac:dyDescent="0.25">
      <c r="D19" s="18" t="s">
        <v>87</v>
      </c>
      <c r="E19" s="7">
        <f>(SUM(E29:E43)+SUM(E53:E60))*L18/1000</f>
        <v>605.739375</v>
      </c>
      <c r="F19" s="7">
        <f>16904</f>
        <v>16904</v>
      </c>
      <c r="G19" s="19" t="s">
        <v>86</v>
      </c>
      <c r="I19" s="2" t="s">
        <v>91</v>
      </c>
      <c r="K19" s="9" t="s">
        <v>89</v>
      </c>
      <c r="L19" s="25">
        <f>0.29</f>
        <v>0.28999999999999998</v>
      </c>
      <c r="M19" s="21" t="s">
        <v>85</v>
      </c>
    </row>
    <row r="20" spans="4:13" x14ac:dyDescent="0.2">
      <c r="D20" s="18" t="s">
        <v>83</v>
      </c>
      <c r="E20" s="27" t="s">
        <v>24</v>
      </c>
      <c r="F20" s="7">
        <f>SUM(H62:H64)+SUM(J62:J64)</f>
        <v>2901.2678571428569</v>
      </c>
      <c r="G20" s="19" t="s">
        <v>86</v>
      </c>
    </row>
    <row r="21" spans="4:13" x14ac:dyDescent="0.2">
      <c r="D21" s="18" t="s">
        <v>84</v>
      </c>
      <c r="E21" s="27" t="s">
        <v>24</v>
      </c>
      <c r="F21" s="7">
        <f>105</f>
        <v>105</v>
      </c>
      <c r="G21" s="19" t="s">
        <v>86</v>
      </c>
    </row>
    <row r="22" spans="4:13" x14ac:dyDescent="0.2">
      <c r="D22" s="18" t="s">
        <v>93</v>
      </c>
      <c r="E22" s="7">
        <f>21.3</f>
        <v>21.3</v>
      </c>
      <c r="F22" s="7">
        <v>6615</v>
      </c>
      <c r="G22" s="19" t="s">
        <v>86</v>
      </c>
    </row>
    <row r="23" spans="4:13" ht="16" thickBot="1" x14ac:dyDescent="0.25">
      <c r="D23" s="20" t="s">
        <v>92</v>
      </c>
      <c r="E23" s="28" t="s">
        <v>24</v>
      </c>
      <c r="F23" s="10">
        <f>F19*0.75</f>
        <v>12678</v>
      </c>
      <c r="G23" s="26" t="s">
        <v>86</v>
      </c>
    </row>
    <row r="24" spans="4:13" ht="16" thickBot="1" x14ac:dyDescent="0.25"/>
    <row r="25" spans="4:13" x14ac:dyDescent="0.2">
      <c r="D25" s="3" t="s">
        <v>19</v>
      </c>
      <c r="E25" s="4"/>
      <c r="F25" s="4"/>
      <c r="G25" s="4"/>
      <c r="H25" s="4"/>
      <c r="I25" s="4"/>
      <c r="J25" s="5"/>
    </row>
    <row r="26" spans="4:13" x14ac:dyDescent="0.2">
      <c r="D26" s="6" t="s">
        <v>3</v>
      </c>
      <c r="E26" s="23" t="s">
        <v>4</v>
      </c>
      <c r="F26" s="23"/>
      <c r="G26" s="23"/>
      <c r="H26" s="23"/>
      <c r="I26" s="23"/>
      <c r="J26" s="24"/>
    </row>
    <row r="27" spans="4:13" x14ac:dyDescent="0.2">
      <c r="D27" s="6"/>
      <c r="E27" s="23" t="s">
        <v>5</v>
      </c>
      <c r="F27" s="23" t="s">
        <v>6</v>
      </c>
      <c r="G27" s="23" t="s">
        <v>7</v>
      </c>
      <c r="H27" s="23"/>
      <c r="I27" s="23" t="s">
        <v>8</v>
      </c>
      <c r="J27" s="24"/>
    </row>
    <row r="28" spans="4:13" x14ac:dyDescent="0.2">
      <c r="D28" s="29" t="s">
        <v>0</v>
      </c>
      <c r="E28" s="30" t="s">
        <v>9</v>
      </c>
      <c r="F28" s="30" t="s">
        <v>10</v>
      </c>
      <c r="G28" s="30" t="s">
        <v>9</v>
      </c>
      <c r="H28" s="30" t="s">
        <v>10</v>
      </c>
      <c r="I28" s="30" t="s">
        <v>9</v>
      </c>
      <c r="J28" s="31" t="s">
        <v>10</v>
      </c>
    </row>
    <row r="29" spans="4:13" x14ac:dyDescent="0.2">
      <c r="D29" s="6" t="s">
        <v>11</v>
      </c>
      <c r="E29" s="7">
        <v>52920</v>
      </c>
      <c r="F29" s="7">
        <v>27500</v>
      </c>
      <c r="G29" s="7">
        <f>'Overview Data'!G29/2.24</f>
        <v>55036.607142857138</v>
      </c>
      <c r="H29" s="7">
        <f>'Overview Data'!H29/2.24</f>
        <v>28599.999999999996</v>
      </c>
      <c r="I29" s="7">
        <v>1184350</v>
      </c>
      <c r="J29" s="8">
        <v>615450</v>
      </c>
    </row>
    <row r="30" spans="4:13" x14ac:dyDescent="0.2">
      <c r="D30" s="6" t="s">
        <v>12</v>
      </c>
      <c r="E30" s="23">
        <v>420</v>
      </c>
      <c r="F30" s="23">
        <v>331</v>
      </c>
      <c r="G30" s="7">
        <f>'Overview Data'!G30/2.24</f>
        <v>8385.2678571428569</v>
      </c>
      <c r="H30" s="7">
        <f>'Overview Data'!H30/2.24</f>
        <v>6603.1249999999991</v>
      </c>
      <c r="I30" s="7">
        <v>9074</v>
      </c>
      <c r="J30" s="8">
        <v>7146</v>
      </c>
    </row>
    <row r="31" spans="4:13" x14ac:dyDescent="0.2">
      <c r="D31" s="29" t="s">
        <v>1</v>
      </c>
      <c r="E31" s="23"/>
      <c r="F31" s="23"/>
      <c r="G31" s="7">
        <f>'Overview Data'!G31/2.24</f>
        <v>0</v>
      </c>
      <c r="H31" s="7">
        <f>'Overview Data'!H31/2.24</f>
        <v>0</v>
      </c>
      <c r="I31" s="23"/>
      <c r="J31" s="24"/>
    </row>
    <row r="32" spans="4:13" x14ac:dyDescent="0.2">
      <c r="D32" s="6" t="s">
        <v>11</v>
      </c>
      <c r="E32" s="7">
        <v>19993</v>
      </c>
      <c r="F32" s="7">
        <v>46502</v>
      </c>
      <c r="G32" s="7">
        <f>'Overview Data'!G32/2.24</f>
        <v>20792.857142857141</v>
      </c>
      <c r="H32" s="7">
        <f>'Overview Data'!H32/2.24</f>
        <v>48362.053571428565</v>
      </c>
      <c r="I32" s="7">
        <v>447451</v>
      </c>
      <c r="J32" s="8">
        <v>1040718</v>
      </c>
    </row>
    <row r="33" spans="4:10" x14ac:dyDescent="0.2">
      <c r="D33" s="6" t="s">
        <v>13</v>
      </c>
      <c r="E33" s="7">
        <v>1250</v>
      </c>
      <c r="F33" s="7">
        <v>1754</v>
      </c>
      <c r="G33" s="7">
        <f>'Overview Data'!G33/2.24</f>
        <v>42570.53571428571</v>
      </c>
      <c r="H33" s="7">
        <f>'Overview Data'!H33/2.24</f>
        <v>56127.678571428565</v>
      </c>
      <c r="I33" s="7">
        <v>14634</v>
      </c>
      <c r="J33" s="8">
        <v>19294</v>
      </c>
    </row>
    <row r="34" spans="4:10" x14ac:dyDescent="0.2">
      <c r="D34" s="6" t="s">
        <v>14</v>
      </c>
      <c r="E34" s="23">
        <v>770</v>
      </c>
      <c r="F34" s="23">
        <v>484</v>
      </c>
      <c r="G34" s="7">
        <f>'Overview Data'!G34/2.24</f>
        <v>42907.589285714283</v>
      </c>
      <c r="H34" s="7">
        <f>'Overview Data'!H34/2.24</f>
        <v>8613.3928571428569</v>
      </c>
      <c r="I34" s="7">
        <v>17764</v>
      </c>
      <c r="J34" s="8">
        <v>60373</v>
      </c>
    </row>
    <row r="35" spans="4:10" x14ac:dyDescent="0.2">
      <c r="D35" s="6" t="s">
        <v>12</v>
      </c>
      <c r="E35" s="23">
        <v>17</v>
      </c>
      <c r="F35" s="23">
        <v>7</v>
      </c>
      <c r="G35" s="7">
        <f>'Overview Data'!G35/2.24</f>
        <v>361.60714285714283</v>
      </c>
      <c r="H35" s="7">
        <f>'Overview Data'!H35/2.24</f>
        <v>144.19642857142856</v>
      </c>
      <c r="I35" s="23">
        <v>361</v>
      </c>
      <c r="J35" s="24">
        <v>144</v>
      </c>
    </row>
    <row r="36" spans="4:10" x14ac:dyDescent="0.2">
      <c r="D36" s="29" t="s">
        <v>18</v>
      </c>
      <c r="E36" s="23"/>
      <c r="F36" s="23"/>
      <c r="G36" s="7">
        <f>'Overview Data'!G36/2.24</f>
        <v>0</v>
      </c>
      <c r="H36" s="7">
        <f>'Overview Data'!H36/2.24</f>
        <v>0</v>
      </c>
      <c r="I36" s="23"/>
      <c r="J36" s="24"/>
    </row>
    <row r="37" spans="4:10" x14ac:dyDescent="0.2">
      <c r="D37" s="6" t="s">
        <v>11</v>
      </c>
      <c r="E37" s="7">
        <v>6643</v>
      </c>
      <c r="F37" s="7">
        <v>13562</v>
      </c>
      <c r="G37" s="7">
        <f>'Overview Data'!G37/2.24</f>
        <v>6908.9285714285706</v>
      </c>
      <c r="H37" s="7">
        <f>'Overview Data'!H37/2.24</f>
        <v>14104.910714285714</v>
      </c>
      <c r="I37" s="7">
        <v>148678</v>
      </c>
      <c r="J37" s="8">
        <v>303525</v>
      </c>
    </row>
    <row r="38" spans="4:10" x14ac:dyDescent="0.2">
      <c r="D38" s="6" t="s">
        <v>16</v>
      </c>
      <c r="E38" s="7">
        <v>4013</v>
      </c>
      <c r="F38" s="7">
        <v>7217</v>
      </c>
      <c r="G38" s="7">
        <f>'Overview Data'!G38/2.24</f>
        <v>64213.392857142848</v>
      </c>
      <c r="H38" s="7">
        <f>'Overview Data'!H38/2.24</f>
        <v>115463.83928571428</v>
      </c>
      <c r="I38" s="7">
        <v>64213</v>
      </c>
      <c r="J38" s="8">
        <v>115464</v>
      </c>
    </row>
    <row r="39" spans="4:10" x14ac:dyDescent="0.2">
      <c r="D39" s="6" t="s">
        <v>17</v>
      </c>
      <c r="E39" s="7">
        <v>2810</v>
      </c>
      <c r="F39" s="7">
        <v>5054</v>
      </c>
      <c r="G39" s="7">
        <f>'Overview Data'!G39/2.24</f>
        <v>112399.99999999999</v>
      </c>
      <c r="H39" s="7">
        <f>'Overview Data'!H39/2.24</f>
        <v>202163.83928571426</v>
      </c>
      <c r="I39" s="7">
        <v>112400</v>
      </c>
      <c r="J39" s="8">
        <v>202164</v>
      </c>
    </row>
    <row r="40" spans="4:10" x14ac:dyDescent="0.2">
      <c r="D40" s="6" t="s">
        <v>12</v>
      </c>
      <c r="E40" s="23">
        <v>21</v>
      </c>
      <c r="F40" s="23">
        <v>38</v>
      </c>
      <c r="G40" s="7">
        <f>'Overview Data'!G40/2.24</f>
        <v>462.05357142857139</v>
      </c>
      <c r="H40" s="7">
        <f>'Overview Data'!H40/2.24</f>
        <v>830.80357142857133</v>
      </c>
      <c r="I40" s="23">
        <v>462</v>
      </c>
      <c r="J40" s="24">
        <v>831</v>
      </c>
    </row>
    <row r="41" spans="4:10" x14ac:dyDescent="0.2">
      <c r="D41" s="29" t="s">
        <v>2</v>
      </c>
      <c r="E41" s="23"/>
      <c r="F41" s="23"/>
      <c r="G41" s="7">
        <f>'Overview Data'!G41/2.24</f>
        <v>0</v>
      </c>
      <c r="H41" s="7">
        <f>'Overview Data'!H41/2.24</f>
        <v>0</v>
      </c>
      <c r="I41" s="23"/>
      <c r="J41" s="24"/>
    </row>
    <row r="42" spans="4:10" x14ac:dyDescent="0.2">
      <c r="D42" s="6" t="s">
        <v>15</v>
      </c>
      <c r="E42" s="7">
        <v>380000</v>
      </c>
      <c r="F42" s="7">
        <v>7813</v>
      </c>
      <c r="G42" s="7">
        <f>'Overview Data'!G42/2.24</f>
        <v>224199.99999999997</v>
      </c>
      <c r="H42" s="7">
        <f>'Overview Data'!H42/2.24</f>
        <v>7220.0892857142853</v>
      </c>
      <c r="I42" s="7">
        <v>786600</v>
      </c>
      <c r="J42" s="8">
        <v>10326</v>
      </c>
    </row>
    <row r="43" spans="4:10" ht="16" thickBot="1" x14ac:dyDescent="0.25">
      <c r="D43" s="9" t="s">
        <v>11</v>
      </c>
      <c r="E43" s="10">
        <v>12000</v>
      </c>
      <c r="F43" s="10">
        <f>155375</f>
        <v>155375</v>
      </c>
      <c r="G43" s="7">
        <f>'Overview Data'!G43/2.24</f>
        <v>12479.910714285714</v>
      </c>
      <c r="H43" s="7">
        <f>'Overview Data'!H43/2.24</f>
        <v>161590.17857142855</v>
      </c>
      <c r="I43" s="10">
        <v>268560</v>
      </c>
      <c r="J43" s="11">
        <f>3477293</f>
        <v>3477293</v>
      </c>
    </row>
    <row r="44" spans="4:10" ht="16" thickBot="1" x14ac:dyDescent="0.25"/>
    <row r="45" spans="4:10" x14ac:dyDescent="0.2">
      <c r="D45" s="3" t="s">
        <v>111</v>
      </c>
      <c r="E45" s="4"/>
      <c r="F45" s="4"/>
      <c r="G45" s="4"/>
      <c r="H45" s="4"/>
      <c r="I45" s="4"/>
      <c r="J45" s="5"/>
    </row>
    <row r="46" spans="4:10" x14ac:dyDescent="0.2">
      <c r="D46" s="6" t="s">
        <v>15</v>
      </c>
      <c r="E46" s="7"/>
      <c r="F46" s="7">
        <f>375000</f>
        <v>375000</v>
      </c>
      <c r="G46" s="7"/>
      <c r="H46" s="7">
        <f>F46*0.6*2.4</f>
        <v>540000</v>
      </c>
      <c r="I46" s="7"/>
      <c r="J46" s="8">
        <f>F46*3</f>
        <v>1125000</v>
      </c>
    </row>
    <row r="47" spans="4:10" ht="16" thickBot="1" x14ac:dyDescent="0.25">
      <c r="D47" s="9" t="s">
        <v>11</v>
      </c>
      <c r="E47" s="10"/>
      <c r="F47" s="10">
        <f>275000</f>
        <v>275000</v>
      </c>
      <c r="G47" s="10"/>
      <c r="H47" s="10">
        <f>F47*1*2.4</f>
        <v>660000</v>
      </c>
      <c r="I47" s="10"/>
      <c r="J47" s="11">
        <f>F47*22.4</f>
        <v>6160000</v>
      </c>
    </row>
    <row r="49" spans="4:10" ht="16" thickBot="1" x14ac:dyDescent="0.25"/>
    <row r="50" spans="4:10" x14ac:dyDescent="0.2">
      <c r="D50" s="3" t="s">
        <v>20</v>
      </c>
      <c r="E50" s="4"/>
      <c r="F50" s="4"/>
      <c r="G50" s="4"/>
      <c r="H50" s="4"/>
      <c r="I50" s="4"/>
      <c r="J50" s="5"/>
    </row>
    <row r="51" spans="4:10" x14ac:dyDescent="0.2">
      <c r="D51" s="6" t="s">
        <v>3</v>
      </c>
      <c r="E51" s="23" t="s">
        <v>5</v>
      </c>
      <c r="F51" s="23" t="s">
        <v>6</v>
      </c>
      <c r="G51" s="23" t="s">
        <v>7</v>
      </c>
      <c r="H51" s="23"/>
      <c r="I51" s="23" t="s">
        <v>8</v>
      </c>
      <c r="J51" s="24"/>
    </row>
    <row r="52" spans="4:10" x14ac:dyDescent="0.2">
      <c r="D52" s="6" t="s">
        <v>25</v>
      </c>
      <c r="E52" s="23" t="s">
        <v>9</v>
      </c>
      <c r="F52" s="23" t="s">
        <v>10</v>
      </c>
      <c r="G52" s="23" t="s">
        <v>9</v>
      </c>
      <c r="H52" s="23" t="s">
        <v>10</v>
      </c>
      <c r="I52" s="23" t="s">
        <v>9</v>
      </c>
      <c r="J52" s="24" t="s">
        <v>10</v>
      </c>
    </row>
    <row r="53" spans="4:10" x14ac:dyDescent="0.2">
      <c r="D53" s="6" t="s">
        <v>11</v>
      </c>
      <c r="E53" s="23">
        <v>0</v>
      </c>
      <c r="F53" s="23">
        <v>1502</v>
      </c>
      <c r="G53" s="7">
        <f>'Overview Data'!G53/2.24</f>
        <v>0</v>
      </c>
      <c r="H53" s="7">
        <f>'Overview Data'!H53/2.24</f>
        <v>1608.9285714285713</v>
      </c>
      <c r="I53" s="23">
        <v>0</v>
      </c>
      <c r="J53" s="8">
        <v>33633</v>
      </c>
    </row>
    <row r="54" spans="4:10" x14ac:dyDescent="0.2">
      <c r="D54" s="6" t="s">
        <v>13</v>
      </c>
      <c r="E54" s="23">
        <v>266</v>
      </c>
      <c r="F54" s="23">
        <v>846</v>
      </c>
      <c r="G54" s="7">
        <f>'Overview Data'!G54/2.24</f>
        <v>9115.625</v>
      </c>
      <c r="H54" s="7">
        <f>'Overview Data'!H54/2.24</f>
        <v>29006.249999999996</v>
      </c>
      <c r="I54" s="7">
        <v>2925</v>
      </c>
      <c r="J54" s="8">
        <v>9306</v>
      </c>
    </row>
    <row r="55" spans="4:10" x14ac:dyDescent="0.2">
      <c r="D55" s="6" t="s">
        <v>21</v>
      </c>
      <c r="E55" s="23">
        <v>1358</v>
      </c>
      <c r="F55" s="23">
        <v>0</v>
      </c>
      <c r="G55" s="7">
        <f>'Overview Data'!G55/2.24</f>
        <v>80991.07142857142</v>
      </c>
      <c r="H55" s="7">
        <f>'Overview Data'!H55/2.24</f>
        <v>0</v>
      </c>
      <c r="I55" s="7">
        <v>31349</v>
      </c>
      <c r="J55" s="24">
        <v>0</v>
      </c>
    </row>
    <row r="56" spans="4:10" x14ac:dyDescent="0.2">
      <c r="D56" s="6" t="s">
        <v>22</v>
      </c>
      <c r="E56" s="23">
        <v>1471</v>
      </c>
      <c r="F56" s="23">
        <v>1463</v>
      </c>
      <c r="G56" s="7">
        <f>'Overview Data'!G56/2.24</f>
        <v>31539.28571428571</v>
      </c>
      <c r="H56" s="7">
        <f>'Overview Data'!H56/2.24</f>
        <v>31358.03571428571</v>
      </c>
      <c r="I56" s="7">
        <v>29437</v>
      </c>
      <c r="J56" s="8">
        <v>29267</v>
      </c>
    </row>
    <row r="57" spans="4:10" x14ac:dyDescent="0.2">
      <c r="D57" s="6" t="s">
        <v>26</v>
      </c>
      <c r="E57" s="23"/>
      <c r="F57" s="23"/>
      <c r="G57" s="7">
        <f>'Overview Data'!G57/2.24</f>
        <v>0</v>
      </c>
      <c r="H57" s="7">
        <f>'Overview Data'!H57/2.24</f>
        <v>0</v>
      </c>
      <c r="I57" s="23"/>
      <c r="J57" s="24"/>
    </row>
    <row r="58" spans="4:10" x14ac:dyDescent="0.2">
      <c r="D58" s="6" t="s">
        <v>11</v>
      </c>
      <c r="E58" s="23">
        <v>337</v>
      </c>
      <c r="F58" s="23">
        <v>337</v>
      </c>
      <c r="G58" s="7">
        <f>'Overview Data'!G58/2.24</f>
        <v>360.71428571428567</v>
      </c>
      <c r="H58" s="7">
        <f>'Overview Data'!H58/2.24</f>
        <v>360.71428571428567</v>
      </c>
      <c r="I58" s="7">
        <v>7540</v>
      </c>
      <c r="J58" s="8">
        <v>7540</v>
      </c>
    </row>
    <row r="59" spans="4:10" x14ac:dyDescent="0.2">
      <c r="D59" s="6" t="s">
        <v>13</v>
      </c>
      <c r="E59" s="23">
        <v>88</v>
      </c>
      <c r="F59" s="23">
        <v>88</v>
      </c>
      <c r="G59" s="7">
        <f>'Overview Data'!G59/2.24</f>
        <v>3016.9642857142853</v>
      </c>
      <c r="H59" s="7">
        <f>'Overview Data'!H59/2.24</f>
        <v>3016.9642857142853</v>
      </c>
      <c r="I59" s="23">
        <v>968</v>
      </c>
      <c r="J59" s="24">
        <v>968</v>
      </c>
    </row>
    <row r="60" spans="4:10" x14ac:dyDescent="0.2">
      <c r="D60" s="6" t="s">
        <v>22</v>
      </c>
      <c r="E60" s="23">
        <v>214.5</v>
      </c>
      <c r="F60" s="23">
        <v>214.5</v>
      </c>
      <c r="G60" s="7">
        <f>'Overview Data'!G60/2.24</f>
        <v>4596.4285714285706</v>
      </c>
      <c r="H60" s="7">
        <f>'Overview Data'!H60/2.24</f>
        <v>4596.4285714285706</v>
      </c>
      <c r="I60" s="7">
        <v>4290</v>
      </c>
      <c r="J60" s="8">
        <v>4290</v>
      </c>
    </row>
    <row r="61" spans="4:10" x14ac:dyDescent="0.2">
      <c r="D61" s="6" t="s">
        <v>27</v>
      </c>
      <c r="E61" s="23"/>
      <c r="F61" s="23"/>
      <c r="G61" s="7">
        <f>'Overview Data'!G61/2.24</f>
        <v>0</v>
      </c>
      <c r="H61" s="7">
        <f>'Overview Data'!H61/2.24</f>
        <v>0</v>
      </c>
      <c r="I61" s="23"/>
      <c r="J61" s="24"/>
    </row>
    <row r="62" spans="4:10" x14ac:dyDescent="0.2">
      <c r="D62" s="6" t="s">
        <v>11</v>
      </c>
      <c r="E62" s="23" t="s">
        <v>24</v>
      </c>
      <c r="F62" s="23">
        <v>25.3</v>
      </c>
      <c r="G62" s="23" t="s">
        <v>24</v>
      </c>
      <c r="H62" s="7">
        <f>'Overview Data'!H62/2.24</f>
        <v>27.232142857142854</v>
      </c>
      <c r="I62" s="23" t="s">
        <v>24</v>
      </c>
      <c r="J62" s="24">
        <v>567</v>
      </c>
    </row>
    <row r="63" spans="4:10" x14ac:dyDescent="0.2">
      <c r="D63" s="6" t="s">
        <v>13</v>
      </c>
      <c r="E63" s="23" t="s">
        <v>24</v>
      </c>
      <c r="F63" s="23">
        <v>19.8</v>
      </c>
      <c r="G63" s="23" t="s">
        <v>24</v>
      </c>
      <c r="H63" s="7">
        <f>'Overview Data'!H63/2.24</f>
        <v>677.23214285714278</v>
      </c>
      <c r="I63" s="23" t="s">
        <v>24</v>
      </c>
      <c r="J63" s="24">
        <v>217</v>
      </c>
    </row>
    <row r="64" spans="4:10" ht="16" thickBot="1" x14ac:dyDescent="0.25">
      <c r="D64" s="9" t="s">
        <v>22</v>
      </c>
      <c r="E64" s="25" t="s">
        <v>24</v>
      </c>
      <c r="F64" s="25">
        <v>34.1</v>
      </c>
      <c r="G64" s="25" t="s">
        <v>24</v>
      </c>
      <c r="H64" s="7">
        <f>'Overview Data'!H64/2.24</f>
        <v>730.80357142857133</v>
      </c>
      <c r="I64" s="25" t="s">
        <v>24</v>
      </c>
      <c r="J64" s="21">
        <v>682</v>
      </c>
    </row>
    <row r="65" spans="4:12" ht="16" thickBot="1" x14ac:dyDescent="0.25"/>
    <row r="66" spans="4:12" x14ac:dyDescent="0.2">
      <c r="D66" s="3" t="s">
        <v>28</v>
      </c>
      <c r="E66" s="4"/>
      <c r="F66" s="5"/>
    </row>
    <row r="67" spans="4:12" x14ac:dyDescent="0.2">
      <c r="D67" s="6"/>
      <c r="E67" s="23" t="s">
        <v>29</v>
      </c>
      <c r="F67" s="24" t="s">
        <v>30</v>
      </c>
    </row>
    <row r="68" spans="4:12" x14ac:dyDescent="0.2">
      <c r="D68" s="6" t="s">
        <v>31</v>
      </c>
      <c r="E68" s="7">
        <v>7869000</v>
      </c>
      <c r="F68" s="8">
        <v>8523000</v>
      </c>
    </row>
    <row r="69" spans="4:12" x14ac:dyDescent="0.2">
      <c r="D69" s="6" t="s">
        <v>25</v>
      </c>
      <c r="E69" s="7">
        <v>52128</v>
      </c>
      <c r="F69" s="8">
        <v>66030</v>
      </c>
    </row>
    <row r="70" spans="4:12" x14ac:dyDescent="0.2">
      <c r="D70" s="6" t="s">
        <v>23</v>
      </c>
      <c r="E70" s="7">
        <v>16632</v>
      </c>
      <c r="F70" s="8">
        <v>16632</v>
      </c>
      <c r="L70" s="1"/>
    </row>
    <row r="71" spans="4:12" ht="16" thickBot="1" x14ac:dyDescent="0.25">
      <c r="D71" s="9" t="s">
        <v>27</v>
      </c>
      <c r="E71" s="25">
        <v>583</v>
      </c>
      <c r="F71" s="11">
        <v>1282</v>
      </c>
    </row>
    <row r="72" spans="4:12" ht="16" thickBot="1" x14ac:dyDescent="0.25"/>
    <row r="73" spans="4:12" x14ac:dyDescent="0.2">
      <c r="D73" s="22" t="s">
        <v>50</v>
      </c>
      <c r="E73" s="4"/>
      <c r="F73" s="4"/>
      <c r="G73" s="4"/>
      <c r="H73" s="4"/>
      <c r="I73" s="4"/>
      <c r="J73" s="4"/>
      <c r="K73" s="5"/>
    </row>
    <row r="74" spans="4:12" x14ac:dyDescent="0.2">
      <c r="D74" s="29" t="s">
        <v>32</v>
      </c>
      <c r="E74" s="23" t="s">
        <v>33</v>
      </c>
      <c r="F74" s="23" t="s">
        <v>5</v>
      </c>
      <c r="G74" s="23" t="s">
        <v>6</v>
      </c>
      <c r="H74" s="23" t="s">
        <v>34</v>
      </c>
      <c r="I74" s="23" t="s">
        <v>35</v>
      </c>
      <c r="J74" s="23" t="s">
        <v>36</v>
      </c>
      <c r="K74" s="24" t="s">
        <v>37</v>
      </c>
      <c r="L74" s="1"/>
    </row>
    <row r="75" spans="4:12" x14ac:dyDescent="0.2">
      <c r="D75" s="6"/>
      <c r="E75" s="23"/>
      <c r="F75" s="23" t="s">
        <v>9</v>
      </c>
      <c r="G75" s="23" t="s">
        <v>10</v>
      </c>
      <c r="H75" s="23" t="s">
        <v>9</v>
      </c>
      <c r="I75" s="23" t="s">
        <v>10</v>
      </c>
      <c r="J75" s="23" t="s">
        <v>9</v>
      </c>
      <c r="K75" s="24" t="s">
        <v>10</v>
      </c>
    </row>
    <row r="76" spans="4:12" x14ac:dyDescent="0.2">
      <c r="D76" s="6" t="s">
        <v>51</v>
      </c>
      <c r="E76" s="23" t="s">
        <v>38</v>
      </c>
      <c r="F76" s="7">
        <v>380000</v>
      </c>
      <c r="G76" s="7">
        <v>7813</v>
      </c>
      <c r="H76" s="23">
        <v>20</v>
      </c>
      <c r="I76" s="23">
        <v>20</v>
      </c>
      <c r="J76" s="7">
        <v>9500</v>
      </c>
      <c r="K76" s="24">
        <v>195</v>
      </c>
      <c r="L76" s="1"/>
    </row>
    <row r="77" spans="4:12" x14ac:dyDescent="0.2">
      <c r="D77" s="6" t="s">
        <v>51</v>
      </c>
      <c r="E77" s="23" t="s">
        <v>39</v>
      </c>
      <c r="F77" s="7">
        <v>91557</v>
      </c>
      <c r="G77" s="7">
        <v>242939</v>
      </c>
      <c r="H77" s="23">
        <v>150</v>
      </c>
      <c r="I77" s="23">
        <v>150</v>
      </c>
      <c r="J77" s="7">
        <v>17167</v>
      </c>
      <c r="K77" s="8">
        <v>45551</v>
      </c>
    </row>
    <row r="78" spans="4:12" x14ac:dyDescent="0.2">
      <c r="D78" s="6" t="s">
        <v>51</v>
      </c>
      <c r="E78" s="23" t="s">
        <v>40</v>
      </c>
      <c r="F78" s="7">
        <v>1330</v>
      </c>
      <c r="G78" s="7">
        <v>1754</v>
      </c>
      <c r="H78" s="23">
        <v>430</v>
      </c>
      <c r="I78" s="23">
        <v>430</v>
      </c>
      <c r="J78" s="23">
        <v>715</v>
      </c>
      <c r="K78" s="24">
        <v>943</v>
      </c>
    </row>
    <row r="79" spans="4:12" x14ac:dyDescent="0.2">
      <c r="D79" s="6" t="s">
        <v>51</v>
      </c>
      <c r="E79" s="23" t="s">
        <v>41</v>
      </c>
      <c r="F79" s="23">
        <v>770</v>
      </c>
      <c r="G79" s="23">
        <v>484</v>
      </c>
      <c r="H79" s="23">
        <v>60</v>
      </c>
      <c r="I79" s="23">
        <v>60</v>
      </c>
      <c r="J79" s="23">
        <v>58</v>
      </c>
      <c r="K79" s="24">
        <v>36</v>
      </c>
    </row>
    <row r="80" spans="4:12" x14ac:dyDescent="0.2">
      <c r="D80" s="6" t="s">
        <v>51</v>
      </c>
      <c r="E80" s="23" t="s">
        <v>42</v>
      </c>
      <c r="F80" s="7">
        <v>7282</v>
      </c>
      <c r="G80" s="7">
        <v>12647</v>
      </c>
      <c r="H80" s="23">
        <v>20</v>
      </c>
      <c r="I80" s="23">
        <v>20</v>
      </c>
      <c r="J80" s="23">
        <v>182</v>
      </c>
      <c r="K80" s="24">
        <v>316</v>
      </c>
    </row>
    <row r="81" spans="4:11" x14ac:dyDescent="0.2">
      <c r="D81" s="6" t="s">
        <v>51</v>
      </c>
      <c r="E81" s="23" t="s">
        <v>43</v>
      </c>
      <c r="F81" s="7">
        <v>1330</v>
      </c>
      <c r="G81" s="7">
        <v>1754</v>
      </c>
      <c r="H81" s="7">
        <v>4200</v>
      </c>
      <c r="I81" s="7">
        <v>4200</v>
      </c>
      <c r="J81" s="7">
        <v>1609</v>
      </c>
      <c r="K81" s="8">
        <v>2122</v>
      </c>
    </row>
    <row r="82" spans="4:11" x14ac:dyDescent="0.2">
      <c r="D82" s="6" t="s">
        <v>51</v>
      </c>
      <c r="E82" s="23" t="s">
        <v>44</v>
      </c>
      <c r="F82" s="23">
        <v>455</v>
      </c>
      <c r="G82" s="23">
        <v>484</v>
      </c>
      <c r="H82" s="7">
        <v>3000</v>
      </c>
      <c r="I82" s="7">
        <v>3000</v>
      </c>
      <c r="J82" s="23">
        <v>665</v>
      </c>
      <c r="K82" s="24">
        <v>418</v>
      </c>
    </row>
    <row r="83" spans="4:11" x14ac:dyDescent="0.2">
      <c r="D83" s="6" t="s">
        <v>51</v>
      </c>
      <c r="E83" s="23" t="s">
        <v>45</v>
      </c>
      <c r="F83" s="7">
        <v>7282</v>
      </c>
      <c r="G83" s="7">
        <v>12647</v>
      </c>
      <c r="H83" s="7">
        <v>4000</v>
      </c>
      <c r="I83" s="7">
        <v>4000</v>
      </c>
      <c r="J83" s="7">
        <v>8389</v>
      </c>
      <c r="K83" s="8">
        <v>14569</v>
      </c>
    </row>
    <row r="84" spans="4:11" x14ac:dyDescent="0.2">
      <c r="D84" s="6" t="s">
        <v>52</v>
      </c>
      <c r="E84" s="23" t="s">
        <v>38</v>
      </c>
      <c r="F84" s="7">
        <v>380000</v>
      </c>
      <c r="G84" s="7">
        <v>7813</v>
      </c>
      <c r="H84" s="23">
        <v>250</v>
      </c>
      <c r="I84" s="23">
        <v>250</v>
      </c>
      <c r="J84" s="7">
        <v>118750</v>
      </c>
      <c r="K84" s="8">
        <v>2442</v>
      </c>
    </row>
    <row r="85" spans="4:11" x14ac:dyDescent="0.2">
      <c r="D85" s="6" t="s">
        <v>52</v>
      </c>
      <c r="E85" s="23" t="s">
        <v>39</v>
      </c>
      <c r="F85" s="7">
        <v>91557</v>
      </c>
      <c r="G85" s="7">
        <v>242939</v>
      </c>
      <c r="H85" s="23">
        <v>600</v>
      </c>
      <c r="I85" s="23">
        <v>600</v>
      </c>
      <c r="J85" s="7">
        <v>57223</v>
      </c>
      <c r="K85" s="8">
        <v>182204</v>
      </c>
    </row>
    <row r="86" spans="4:11" x14ac:dyDescent="0.2">
      <c r="D86" s="6" t="s">
        <v>52</v>
      </c>
      <c r="E86" s="23" t="s">
        <v>40</v>
      </c>
      <c r="F86" s="7">
        <v>1330</v>
      </c>
      <c r="G86" s="7">
        <v>1754</v>
      </c>
      <c r="H86" s="23">
        <v>600</v>
      </c>
      <c r="I86" s="23">
        <v>600</v>
      </c>
      <c r="J86" s="23">
        <v>416</v>
      </c>
      <c r="K86" s="8">
        <v>1316</v>
      </c>
    </row>
    <row r="87" spans="4:11" x14ac:dyDescent="0.2">
      <c r="D87" s="6" t="s">
        <v>52</v>
      </c>
      <c r="E87" s="23" t="s">
        <v>41</v>
      </c>
      <c r="F87" s="23">
        <v>770</v>
      </c>
      <c r="G87" s="23">
        <v>484</v>
      </c>
      <c r="H87" s="23">
        <v>600</v>
      </c>
      <c r="I87" s="23">
        <v>600</v>
      </c>
      <c r="J87" s="23">
        <v>667</v>
      </c>
      <c r="K87" s="24">
        <v>363</v>
      </c>
    </row>
    <row r="88" spans="4:11" x14ac:dyDescent="0.2">
      <c r="D88" s="6" t="s">
        <v>52</v>
      </c>
      <c r="E88" s="23" t="s">
        <v>42</v>
      </c>
      <c r="F88" s="7">
        <v>7282</v>
      </c>
      <c r="G88" s="7">
        <v>12647</v>
      </c>
      <c r="H88" s="23">
        <v>600</v>
      </c>
      <c r="I88" s="23">
        <v>600</v>
      </c>
      <c r="J88" s="7">
        <v>5462</v>
      </c>
      <c r="K88" s="8">
        <v>9485</v>
      </c>
    </row>
    <row r="89" spans="4:11" x14ac:dyDescent="0.2">
      <c r="D89" s="6" t="s">
        <v>52</v>
      </c>
      <c r="E89" s="23" t="s">
        <v>46</v>
      </c>
      <c r="F89" s="7">
        <v>91557</v>
      </c>
      <c r="G89" s="7">
        <v>242939</v>
      </c>
      <c r="H89" s="7">
        <v>10000</v>
      </c>
      <c r="I89" s="7">
        <v>10000</v>
      </c>
      <c r="J89" s="7">
        <v>263684</v>
      </c>
      <c r="K89" s="8">
        <v>699664</v>
      </c>
    </row>
    <row r="90" spans="4:11" x14ac:dyDescent="0.2">
      <c r="D90" s="6" t="s">
        <v>52</v>
      </c>
      <c r="E90" s="23" t="s">
        <v>43</v>
      </c>
      <c r="F90" s="7">
        <v>1330</v>
      </c>
      <c r="G90" s="7">
        <v>1754</v>
      </c>
      <c r="H90" s="7">
        <v>10000</v>
      </c>
      <c r="I90" s="7">
        <v>10000</v>
      </c>
      <c r="J90" s="7">
        <v>3830</v>
      </c>
      <c r="K90" s="8">
        <v>5052</v>
      </c>
    </row>
    <row r="91" spans="4:11" x14ac:dyDescent="0.2">
      <c r="D91" s="6" t="s">
        <v>52</v>
      </c>
      <c r="E91" s="23" t="s">
        <v>44</v>
      </c>
      <c r="F91" s="23">
        <v>770</v>
      </c>
      <c r="G91" s="23">
        <v>484</v>
      </c>
      <c r="H91" s="7">
        <v>10000</v>
      </c>
      <c r="I91" s="7">
        <v>10000</v>
      </c>
      <c r="J91" s="7">
        <v>2218</v>
      </c>
      <c r="K91" s="8">
        <v>1394</v>
      </c>
    </row>
    <row r="92" spans="4:11" x14ac:dyDescent="0.2">
      <c r="D92" s="6" t="s">
        <v>52</v>
      </c>
      <c r="E92" s="23" t="s">
        <v>45</v>
      </c>
      <c r="F92" s="7">
        <v>7282</v>
      </c>
      <c r="G92" s="7">
        <v>12647</v>
      </c>
      <c r="H92" s="7">
        <v>10000</v>
      </c>
      <c r="I92" s="7">
        <v>10000</v>
      </c>
      <c r="J92" s="7">
        <v>20972</v>
      </c>
      <c r="K92" s="8">
        <v>36423</v>
      </c>
    </row>
    <row r="93" spans="4:11" x14ac:dyDescent="0.2">
      <c r="D93" s="6" t="s">
        <v>47</v>
      </c>
      <c r="E93" s="23" t="s">
        <v>48</v>
      </c>
      <c r="F93" s="7">
        <v>480939</v>
      </c>
      <c r="G93" s="7">
        <v>265637</v>
      </c>
      <c r="H93" s="23">
        <v>350</v>
      </c>
      <c r="I93" s="23">
        <v>350</v>
      </c>
      <c r="J93" s="7">
        <v>210411</v>
      </c>
      <c r="K93" s="8">
        <v>116216</v>
      </c>
    </row>
    <row r="94" spans="4:11" ht="16" thickBot="1" x14ac:dyDescent="0.25">
      <c r="D94" s="9" t="s">
        <v>47</v>
      </c>
      <c r="E94" s="25" t="s">
        <v>49</v>
      </c>
      <c r="F94" s="10">
        <v>96188</v>
      </c>
      <c r="G94" s="10">
        <v>53127</v>
      </c>
      <c r="H94" s="10">
        <v>5000</v>
      </c>
      <c r="I94" s="10">
        <v>5000</v>
      </c>
      <c r="J94" s="10">
        <v>138510</v>
      </c>
      <c r="K94" s="11">
        <v>76503</v>
      </c>
    </row>
    <row r="96" spans="4:11" ht="16" thickBot="1" x14ac:dyDescent="0.25"/>
    <row r="97" spans="4:8" x14ac:dyDescent="0.2">
      <c r="D97" s="3" t="s">
        <v>53</v>
      </c>
      <c r="E97" s="4" t="s">
        <v>56</v>
      </c>
      <c r="F97" s="5"/>
    </row>
    <row r="98" spans="4:8" x14ac:dyDescent="0.2">
      <c r="D98" s="6" t="s">
        <v>3</v>
      </c>
      <c r="E98" s="23" t="s">
        <v>54</v>
      </c>
      <c r="F98" s="24" t="s">
        <v>55</v>
      </c>
    </row>
    <row r="99" spans="4:8" x14ac:dyDescent="0.2">
      <c r="D99" s="6" t="s">
        <v>31</v>
      </c>
      <c r="E99" s="7">
        <v>129660</v>
      </c>
      <c r="F99" s="8">
        <v>1709830</v>
      </c>
    </row>
    <row r="100" spans="4:8" x14ac:dyDescent="0.2">
      <c r="D100" s="6" t="s">
        <v>57</v>
      </c>
      <c r="E100" s="7">
        <v>13159</v>
      </c>
      <c r="F100" s="8">
        <v>33338</v>
      </c>
    </row>
    <row r="101" spans="4:8" x14ac:dyDescent="0.2">
      <c r="D101" s="6" t="s">
        <v>23</v>
      </c>
      <c r="E101" s="7">
        <v>10603</v>
      </c>
      <c r="F101" s="8">
        <v>34991</v>
      </c>
    </row>
    <row r="102" spans="4:8" ht="16" thickBot="1" x14ac:dyDescent="0.25">
      <c r="D102" s="9" t="s">
        <v>58</v>
      </c>
      <c r="E102" s="25" t="s">
        <v>24</v>
      </c>
      <c r="F102" s="21">
        <v>37</v>
      </c>
    </row>
    <row r="103" spans="4:8" ht="16" thickBot="1" x14ac:dyDescent="0.25"/>
    <row r="104" spans="4:8" x14ac:dyDescent="0.2">
      <c r="D104" s="3" t="s">
        <v>59</v>
      </c>
      <c r="E104" s="4"/>
      <c r="F104" s="4"/>
      <c r="G104" s="4"/>
      <c r="H104" s="5"/>
    </row>
    <row r="105" spans="4:8" x14ac:dyDescent="0.2">
      <c r="D105" s="6" t="s">
        <v>60</v>
      </c>
      <c r="E105" s="32" t="s">
        <v>61</v>
      </c>
      <c r="F105" s="32"/>
      <c r="G105" s="32" t="s">
        <v>62</v>
      </c>
      <c r="H105" s="19"/>
    </row>
    <row r="106" spans="4:8" x14ac:dyDescent="0.2">
      <c r="D106" s="6"/>
      <c r="E106" s="32" t="s">
        <v>9</v>
      </c>
      <c r="F106" s="32" t="s">
        <v>10</v>
      </c>
      <c r="G106" s="32" t="s">
        <v>9</v>
      </c>
      <c r="H106" s="19" t="s">
        <v>10</v>
      </c>
    </row>
    <row r="107" spans="4:8" x14ac:dyDescent="0.2">
      <c r="D107" s="6" t="s">
        <v>63</v>
      </c>
      <c r="E107" s="32">
        <v>3.5000000000000003E-2</v>
      </c>
      <c r="F107" s="32">
        <v>7.0000000000000001E-3</v>
      </c>
      <c r="G107" s="32" t="s">
        <v>24</v>
      </c>
      <c r="H107" s="19" t="s">
        <v>24</v>
      </c>
    </row>
    <row r="108" spans="4:8" ht="16" thickBot="1" x14ac:dyDescent="0.25">
      <c r="D108" s="9" t="s">
        <v>64</v>
      </c>
      <c r="E108" s="33" t="s">
        <v>24</v>
      </c>
      <c r="F108" s="33" t="s">
        <v>24</v>
      </c>
      <c r="G108" s="33">
        <v>1656</v>
      </c>
      <c r="H108" s="34">
        <v>65587</v>
      </c>
    </row>
    <row r="110" spans="4:8" ht="16" thickBot="1" x14ac:dyDescent="0.25"/>
    <row r="111" spans="4:8" x14ac:dyDescent="0.2">
      <c r="D111" s="3" t="s">
        <v>47</v>
      </c>
      <c r="E111" s="15" t="s">
        <v>56</v>
      </c>
      <c r="F111" s="5"/>
    </row>
    <row r="112" spans="4:8" x14ac:dyDescent="0.2">
      <c r="D112" s="6"/>
      <c r="E112" s="23" t="s">
        <v>65</v>
      </c>
      <c r="F112" s="24" t="s">
        <v>67</v>
      </c>
    </row>
    <row r="113" spans="4:6" ht="16" thickBot="1" x14ac:dyDescent="0.25">
      <c r="D113" s="9" t="s">
        <v>66</v>
      </c>
      <c r="E113" s="25">
        <f>6450</f>
        <v>6450</v>
      </c>
      <c r="F113" s="21">
        <f>1283000</f>
        <v>1283000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Overview Data</vt:lpstr>
      <vt:lpstr>Feuil2</vt:lpstr>
      <vt:lpstr>With PEF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Rembrandt Koppelaar</dc:creator>
  <cp:lastModifiedBy>Elise Dupont</cp:lastModifiedBy>
  <dcterms:created xsi:type="dcterms:W3CDTF">2017-03-26T20:21:23Z</dcterms:created>
  <dcterms:modified xsi:type="dcterms:W3CDTF">2018-04-04T15:13:47Z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24f8b279-069a-4919-8eef-c15b3bed0eb4</vt:lpwstr>
  </property>
</Properties>
</file>