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2345\Desktop\Phystech\LABS\3\"/>
    </mc:Choice>
  </mc:AlternateContent>
  <bookViews>
    <workbookView xWindow="0" yWindow="0" windowWidth="23016" windowHeight="9312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1" l="1"/>
  <c r="Z28" i="1"/>
  <c r="Z29" i="1"/>
  <c r="Z30" i="1"/>
  <c r="Z31" i="1"/>
  <c r="Z32" i="1"/>
  <c r="Z33" i="1"/>
  <c r="Z34" i="1"/>
  <c r="Z26" i="1"/>
  <c r="X27" i="1"/>
  <c r="X28" i="1"/>
  <c r="X29" i="1"/>
  <c r="X30" i="1"/>
  <c r="X31" i="1"/>
  <c r="X32" i="1"/>
  <c r="X33" i="1"/>
  <c r="X34" i="1"/>
  <c r="X26" i="1"/>
  <c r="W27" i="1"/>
  <c r="Y27" i="1" s="1"/>
  <c r="W28" i="1"/>
  <c r="Y28" i="1" s="1"/>
  <c r="W29" i="1"/>
  <c r="Y29" i="1" s="1"/>
  <c r="W30" i="1"/>
  <c r="W31" i="1"/>
  <c r="W32" i="1"/>
  <c r="Y32" i="1" s="1"/>
  <c r="W33" i="1"/>
  <c r="W34" i="1"/>
  <c r="W26" i="1"/>
  <c r="Y26" i="1" s="1"/>
  <c r="R27" i="1"/>
  <c r="R28" i="1"/>
  <c r="R29" i="1"/>
  <c r="R30" i="1"/>
  <c r="R31" i="1"/>
  <c r="T31" i="1" s="1"/>
  <c r="R32" i="1"/>
  <c r="R33" i="1"/>
  <c r="R34" i="1"/>
  <c r="R26" i="1"/>
  <c r="T26" i="1" s="1"/>
  <c r="Q27" i="1"/>
  <c r="Q28" i="1"/>
  <c r="Q29" i="1"/>
  <c r="Q30" i="1"/>
  <c r="S30" i="1" s="1"/>
  <c r="Q31" i="1"/>
  <c r="S31" i="1" s="1"/>
  <c r="Q32" i="1"/>
  <c r="Q33" i="1"/>
  <c r="Q34" i="1"/>
  <c r="Q26" i="1"/>
  <c r="S26" i="1" s="1"/>
  <c r="K28" i="1"/>
  <c r="M28" i="1" s="1"/>
  <c r="K29" i="1"/>
  <c r="M29" i="1" s="1"/>
  <c r="K30" i="1"/>
  <c r="K31" i="1"/>
  <c r="M31" i="1" s="1"/>
  <c r="K32" i="1"/>
  <c r="M32" i="1" s="1"/>
  <c r="K33" i="1"/>
  <c r="K27" i="1"/>
  <c r="K26" i="1"/>
  <c r="M26" i="1" s="1"/>
  <c r="Y30" i="1"/>
  <c r="Y31" i="1"/>
  <c r="Y33" i="1"/>
  <c r="Y34" i="1"/>
  <c r="T27" i="1"/>
  <c r="T28" i="1"/>
  <c r="T29" i="1"/>
  <c r="T30" i="1"/>
  <c r="T32" i="1"/>
  <c r="T33" i="1"/>
  <c r="T34" i="1"/>
  <c r="S27" i="1"/>
  <c r="S28" i="1"/>
  <c r="S29" i="1"/>
  <c r="S32" i="1"/>
  <c r="S33" i="1"/>
  <c r="S34" i="1"/>
  <c r="N27" i="1"/>
  <c r="N28" i="1"/>
  <c r="N29" i="1"/>
  <c r="N30" i="1"/>
  <c r="N31" i="1"/>
  <c r="N32" i="1"/>
  <c r="N33" i="1"/>
  <c r="N26" i="1"/>
  <c r="M27" i="1"/>
  <c r="M30" i="1"/>
  <c r="M33" i="1"/>
  <c r="L27" i="1"/>
  <c r="L28" i="1"/>
  <c r="L29" i="1"/>
  <c r="L30" i="1"/>
  <c r="L31" i="1"/>
  <c r="L32" i="1"/>
  <c r="L33" i="1"/>
  <c r="L26" i="1"/>
  <c r="V34" i="1"/>
  <c r="V33" i="1"/>
  <c r="U34" i="1"/>
  <c r="U33" i="1"/>
  <c r="U32" i="1"/>
  <c r="U31" i="1"/>
  <c r="U30" i="1"/>
  <c r="O34" i="1"/>
  <c r="O33" i="1"/>
  <c r="P34" i="1"/>
  <c r="P33" i="1"/>
  <c r="P32" i="1"/>
  <c r="O32" i="1"/>
  <c r="J33" i="1"/>
  <c r="J32" i="1"/>
  <c r="J31" i="1"/>
  <c r="J26" i="1"/>
  <c r="M22" i="1"/>
  <c r="L22" i="1"/>
  <c r="K22" i="1"/>
  <c r="M20" i="1"/>
  <c r="L20" i="1"/>
  <c r="K20" i="1"/>
  <c r="M21" i="1"/>
  <c r="M19" i="1"/>
  <c r="L21" i="1"/>
  <c r="L19" i="1"/>
  <c r="K19" i="1"/>
  <c r="K21" i="1"/>
  <c r="H6" i="1"/>
</calcChain>
</file>

<file path=xl/sharedStrings.xml><?xml version="1.0" encoding="utf-8"?>
<sst xmlns="http://schemas.openxmlformats.org/spreadsheetml/2006/main" count="47" uniqueCount="29">
  <si>
    <t>y, делен</t>
  </si>
  <si>
    <t>x, делен</t>
  </si>
  <si>
    <t>I0, мА</t>
  </si>
  <si>
    <t>20 mV</t>
  </si>
  <si>
    <t>50 mV</t>
  </si>
  <si>
    <t>y 20mV</t>
  </si>
  <si>
    <t>y 5 mV</t>
  </si>
  <si>
    <t>пермаллой</t>
  </si>
  <si>
    <t>кримнистоежелезо</t>
  </si>
  <si>
    <t>0,1 V</t>
  </si>
  <si>
    <t>x</t>
  </si>
  <si>
    <t>y</t>
  </si>
  <si>
    <t>крит</t>
  </si>
  <si>
    <t>I0, mA</t>
  </si>
  <si>
    <t>x, y крат 2</t>
  </si>
  <si>
    <t>10 mv</t>
  </si>
  <si>
    <t>x 10 mV</t>
  </si>
  <si>
    <t>крат 2</t>
  </si>
  <si>
    <t>Xs</t>
  </si>
  <si>
    <t>Ys</t>
  </si>
  <si>
    <t>Xc</t>
  </si>
  <si>
    <t>Yc</t>
  </si>
  <si>
    <t>реальные напряжения</t>
  </si>
  <si>
    <t>100 mV</t>
  </si>
  <si>
    <t>10 mV</t>
  </si>
  <si>
    <t>H</t>
  </si>
  <si>
    <t>B</t>
  </si>
  <si>
    <t>U_x</t>
  </si>
  <si>
    <t>U_y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</si>
</sst>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2" borderId="0" xfId="0" applyFill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ill="1" applyBorder="1"/>
    <xf numFmtId="2" fontId="0" fillId="0" borderId="2" xfId="0" applyNumberFormat="1" applyFill="1" applyBorder="1"/>
    <xf numFmtId="0" fontId="0" fillId="0" borderId="3" xfId="0" applyFill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Пермаллой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Лист1!$M$26:$M$33</c:f>
              <c:numCache>
                <c:formatCode>General</c:formatCode>
                <c:ptCount val="8"/>
                <c:pt idx="0">
                  <c:v>22.87234042553191</c:v>
                </c:pt>
                <c:pt idx="1">
                  <c:v>17.872340425531917</c:v>
                </c:pt>
                <c:pt idx="2">
                  <c:v>16.48936170212766</c:v>
                </c:pt>
                <c:pt idx="3">
                  <c:v>13.51063829787234</c:v>
                </c:pt>
                <c:pt idx="4">
                  <c:v>11.170212765957446</c:v>
                </c:pt>
                <c:pt idx="5">
                  <c:v>10.106382978723403</c:v>
                </c:pt>
                <c:pt idx="6">
                  <c:v>9.0425531914893611</c:v>
                </c:pt>
                <c:pt idx="7">
                  <c:v>7.9787234042553177</c:v>
                </c:pt>
              </c:numCache>
            </c:numRef>
          </c:xVal>
          <c:yVal>
            <c:numRef>
              <c:f>Лист1!$N$26:$N$33</c:f>
              <c:numCache>
                <c:formatCode>General</c:formatCode>
                <c:ptCount val="8"/>
                <c:pt idx="0">
                  <c:v>1.6969696969696972</c:v>
                </c:pt>
                <c:pt idx="1">
                  <c:v>1.3737373737373735</c:v>
                </c:pt>
                <c:pt idx="2">
                  <c:v>1.1111111111111112</c:v>
                </c:pt>
                <c:pt idx="3">
                  <c:v>0.70707070707070696</c:v>
                </c:pt>
                <c:pt idx="4">
                  <c:v>0.60606060606060597</c:v>
                </c:pt>
                <c:pt idx="5">
                  <c:v>0.35353535353535348</c:v>
                </c:pt>
                <c:pt idx="6">
                  <c:v>0.20202020202020204</c:v>
                </c:pt>
                <c:pt idx="7">
                  <c:v>0.14141414141414138</c:v>
                </c:pt>
              </c:numCache>
            </c:numRef>
          </c:yVal>
          <c:smooth val="0"/>
        </c:ser>
        <c:ser>
          <c:idx val="1"/>
          <c:order val="1"/>
          <c:tx>
            <c:v>Кремнистое железо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Лист1!$S$26:$S$34</c:f>
              <c:numCache>
                <c:formatCode>General</c:formatCode>
                <c:ptCount val="9"/>
                <c:pt idx="0">
                  <c:v>163.63636363636365</c:v>
                </c:pt>
                <c:pt idx="1">
                  <c:v>145.45454545454547</c:v>
                </c:pt>
                <c:pt idx="2">
                  <c:v>122.72727272727272</c:v>
                </c:pt>
                <c:pt idx="3">
                  <c:v>118.18181818181817</c:v>
                </c:pt>
                <c:pt idx="4">
                  <c:v>100</c:v>
                </c:pt>
                <c:pt idx="5">
                  <c:v>81.818181818181827</c:v>
                </c:pt>
                <c:pt idx="6">
                  <c:v>56.818181818181813</c:v>
                </c:pt>
                <c:pt idx="7">
                  <c:v>40.909090909090914</c:v>
                </c:pt>
                <c:pt idx="8">
                  <c:v>31.818181818181813</c:v>
                </c:pt>
              </c:numCache>
            </c:numRef>
          </c:xVal>
          <c:yVal>
            <c:numRef>
              <c:f>Лист1!$T$26:$T$34</c:f>
              <c:numCache>
                <c:formatCode>General</c:formatCode>
                <c:ptCount val="9"/>
                <c:pt idx="0">
                  <c:v>0.62000000000000011</c:v>
                </c:pt>
                <c:pt idx="1">
                  <c:v>0.57999999999999996</c:v>
                </c:pt>
                <c:pt idx="2">
                  <c:v>0.52</c:v>
                </c:pt>
                <c:pt idx="3">
                  <c:v>0.52</c:v>
                </c:pt>
                <c:pt idx="4">
                  <c:v>0.45999999999999996</c:v>
                </c:pt>
                <c:pt idx="5">
                  <c:v>0.4</c:v>
                </c:pt>
                <c:pt idx="6">
                  <c:v>0.28999999999999998</c:v>
                </c:pt>
                <c:pt idx="7">
                  <c:v>0.19600000000000004</c:v>
                </c:pt>
                <c:pt idx="8">
                  <c:v>9.5000000000000001E-2</c:v>
                </c:pt>
              </c:numCache>
            </c:numRef>
          </c:yVal>
          <c:smooth val="0"/>
        </c:ser>
        <c:ser>
          <c:idx val="2"/>
          <c:order val="2"/>
          <c:tx>
            <c:v>Феррит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Лист1!$Y$26:$Y$34</c:f>
              <c:numCache>
                <c:formatCode>General</c:formatCode>
                <c:ptCount val="9"/>
                <c:pt idx="0">
                  <c:v>27</c:v>
                </c:pt>
                <c:pt idx="1">
                  <c:v>23.400000000000002</c:v>
                </c:pt>
                <c:pt idx="2">
                  <c:v>18</c:v>
                </c:pt>
                <c:pt idx="3">
                  <c:v>16.200000000000003</c:v>
                </c:pt>
                <c:pt idx="4">
                  <c:v>12.150000000000002</c:v>
                </c:pt>
                <c:pt idx="5">
                  <c:v>10.35</c:v>
                </c:pt>
                <c:pt idx="6">
                  <c:v>11.700000000000001</c:v>
                </c:pt>
                <c:pt idx="7">
                  <c:v>5.8500000000000005</c:v>
                </c:pt>
                <c:pt idx="8">
                  <c:v>4.2749999999999995</c:v>
                </c:pt>
              </c:numCache>
            </c:numRef>
          </c:xVal>
          <c:yVal>
            <c:numRef>
              <c:f>Лист1!$Z$26:$Z$34</c:f>
              <c:numCache>
                <c:formatCode>General</c:formatCode>
                <c:ptCount val="9"/>
                <c:pt idx="0">
                  <c:v>0.12999999999999998</c:v>
                </c:pt>
                <c:pt idx="1">
                  <c:v>0.12333333333333334</c:v>
                </c:pt>
                <c:pt idx="2">
                  <c:v>0.11333333333333333</c:v>
                </c:pt>
                <c:pt idx="3">
                  <c:v>0.10666666666666666</c:v>
                </c:pt>
                <c:pt idx="4">
                  <c:v>0.09</c:v>
                </c:pt>
                <c:pt idx="5">
                  <c:v>7.9999999999999988E-2</c:v>
                </c:pt>
                <c:pt idx="6">
                  <c:v>6.3333333333333325E-2</c:v>
                </c:pt>
                <c:pt idx="7">
                  <c:v>4.4999999999999998E-2</c:v>
                </c:pt>
                <c:pt idx="8">
                  <c:v>1.8333333333333333E-2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447456"/>
        <c:axId val="562449024"/>
      </c:scatterChart>
      <c:valAx>
        <c:axId val="56244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449024"/>
        <c:crosses val="autoZero"/>
        <c:crossBetween val="midCat"/>
      </c:valAx>
      <c:valAx>
        <c:axId val="5624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44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558412</xdr:colOff>
      <xdr:row>34</xdr:row>
      <xdr:rowOff>133785</xdr:rowOff>
    </xdr:from>
    <xdr:to>
      <xdr:col>26</xdr:col>
      <xdr:colOff>215221</xdr:colOff>
      <xdr:row>57</xdr:row>
      <xdr:rowOff>69800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Z34"/>
  <sheetViews>
    <sheetView tabSelected="1" topLeftCell="C1" zoomScale="72" zoomScaleNormal="131" workbookViewId="0">
      <selection activeCell="U12" sqref="U12"/>
    </sheetView>
  </sheetViews>
  <sheetFormatPr defaultRowHeight="14.4" x14ac:dyDescent="0.3"/>
  <sheetData>
    <row r="3" spans="6:19" x14ac:dyDescent="0.3">
      <c r="G3" t="s">
        <v>7</v>
      </c>
      <c r="K3" t="s">
        <v>8</v>
      </c>
    </row>
    <row r="4" spans="6:19" x14ac:dyDescent="0.3">
      <c r="G4" t="s">
        <v>3</v>
      </c>
      <c r="H4" t="s">
        <v>4</v>
      </c>
      <c r="K4" t="s">
        <v>9</v>
      </c>
      <c r="L4" t="s">
        <v>3</v>
      </c>
      <c r="P4" t="s">
        <v>3</v>
      </c>
      <c r="Q4" t="s">
        <v>15</v>
      </c>
    </row>
    <row r="5" spans="6:19" x14ac:dyDescent="0.3">
      <c r="G5" t="s">
        <v>1</v>
      </c>
      <c r="H5" t="s">
        <v>0</v>
      </c>
      <c r="I5" t="s">
        <v>2</v>
      </c>
      <c r="K5" t="s">
        <v>10</v>
      </c>
      <c r="L5" t="s">
        <v>11</v>
      </c>
      <c r="M5" t="s">
        <v>13</v>
      </c>
      <c r="P5" t="s">
        <v>10</v>
      </c>
      <c r="Q5" t="s">
        <v>11</v>
      </c>
      <c r="R5" t="s">
        <v>13</v>
      </c>
    </row>
    <row r="6" spans="6:19" x14ac:dyDescent="0.3">
      <c r="G6">
        <v>21.5</v>
      </c>
      <c r="H6">
        <f>16.8/2</f>
        <v>8.4</v>
      </c>
      <c r="I6">
        <v>196</v>
      </c>
      <c r="K6">
        <v>18</v>
      </c>
      <c r="L6">
        <v>15.5</v>
      </c>
      <c r="M6">
        <v>780</v>
      </c>
      <c r="N6" t="s">
        <v>12</v>
      </c>
      <c r="P6">
        <v>15</v>
      </c>
      <c r="Q6">
        <v>19.5</v>
      </c>
      <c r="R6">
        <v>100</v>
      </c>
    </row>
    <row r="7" spans="6:19" x14ac:dyDescent="0.3">
      <c r="G7">
        <v>16.8</v>
      </c>
      <c r="H7">
        <v>6.8</v>
      </c>
      <c r="I7">
        <v>169</v>
      </c>
      <c r="K7">
        <v>16</v>
      </c>
      <c r="L7">
        <v>14.5</v>
      </c>
      <c r="M7">
        <v>698</v>
      </c>
      <c r="P7">
        <v>13</v>
      </c>
      <c r="Q7">
        <v>18.5</v>
      </c>
      <c r="R7">
        <v>86</v>
      </c>
    </row>
    <row r="8" spans="6:19" x14ac:dyDescent="0.3">
      <c r="G8">
        <v>15.5</v>
      </c>
      <c r="H8">
        <v>5.5</v>
      </c>
      <c r="I8">
        <v>149</v>
      </c>
      <c r="K8">
        <v>13.5</v>
      </c>
      <c r="L8">
        <v>13</v>
      </c>
      <c r="M8">
        <v>604</v>
      </c>
      <c r="P8">
        <v>10</v>
      </c>
      <c r="Q8">
        <v>17</v>
      </c>
      <c r="R8">
        <v>69</v>
      </c>
    </row>
    <row r="9" spans="6:19" x14ac:dyDescent="0.3">
      <c r="G9">
        <v>12.7</v>
      </c>
      <c r="H9">
        <v>3.5</v>
      </c>
      <c r="I9">
        <v>135</v>
      </c>
      <c r="K9">
        <v>13</v>
      </c>
      <c r="L9">
        <v>13</v>
      </c>
      <c r="M9">
        <v>563</v>
      </c>
      <c r="P9">
        <v>9</v>
      </c>
      <c r="Q9">
        <v>16</v>
      </c>
      <c r="R9">
        <v>61</v>
      </c>
    </row>
    <row r="10" spans="6:19" x14ac:dyDescent="0.3">
      <c r="G10">
        <v>10.5</v>
      </c>
      <c r="H10">
        <v>3</v>
      </c>
      <c r="I10">
        <v>126</v>
      </c>
      <c r="K10">
        <v>11</v>
      </c>
      <c r="L10">
        <v>11.5</v>
      </c>
      <c r="M10">
        <v>463</v>
      </c>
      <c r="P10" s="1">
        <v>13.5</v>
      </c>
      <c r="Q10" s="1">
        <v>13.5</v>
      </c>
      <c r="R10" s="1">
        <v>50</v>
      </c>
      <c r="S10" t="s">
        <v>16</v>
      </c>
    </row>
    <row r="11" spans="6:19" x14ac:dyDescent="0.3">
      <c r="F11" t="s">
        <v>5</v>
      </c>
      <c r="G11" s="1">
        <v>9.5</v>
      </c>
      <c r="H11" s="1">
        <v>3.5</v>
      </c>
      <c r="I11" s="1">
        <v>108</v>
      </c>
      <c r="K11">
        <v>9</v>
      </c>
      <c r="L11">
        <v>10</v>
      </c>
      <c r="M11">
        <v>388</v>
      </c>
      <c r="P11" s="2">
        <v>11.5</v>
      </c>
      <c r="Q11" s="2">
        <v>12</v>
      </c>
      <c r="R11" s="2">
        <v>40</v>
      </c>
    </row>
    <row r="12" spans="6:19" x14ac:dyDescent="0.3">
      <c r="G12" s="2">
        <v>8.5</v>
      </c>
      <c r="H12">
        <v>2</v>
      </c>
      <c r="I12" s="2">
        <v>90</v>
      </c>
      <c r="K12" s="1">
        <v>12.5</v>
      </c>
      <c r="L12" s="1">
        <v>14.5</v>
      </c>
      <c r="M12" s="1">
        <v>278</v>
      </c>
      <c r="N12" t="s">
        <v>14</v>
      </c>
      <c r="P12" s="2">
        <v>13</v>
      </c>
      <c r="Q12" s="2">
        <v>9.5</v>
      </c>
      <c r="R12">
        <v>33.5</v>
      </c>
    </row>
    <row r="13" spans="6:19" x14ac:dyDescent="0.3">
      <c r="F13" t="s">
        <v>6</v>
      </c>
      <c r="G13" s="1">
        <v>7.5</v>
      </c>
      <c r="H13" s="1">
        <v>2.8</v>
      </c>
      <c r="I13" s="1">
        <v>73</v>
      </c>
      <c r="K13" s="2">
        <v>9</v>
      </c>
      <c r="L13" s="2">
        <v>9.8000000000000007</v>
      </c>
      <c r="M13" s="2">
        <v>200</v>
      </c>
      <c r="P13" s="3">
        <v>13</v>
      </c>
      <c r="Q13" s="3">
        <v>13.5</v>
      </c>
      <c r="R13" s="1">
        <v>29</v>
      </c>
      <c r="S13" t="s">
        <v>17</v>
      </c>
    </row>
    <row r="14" spans="6:19" x14ac:dyDescent="0.3">
      <c r="K14" s="3">
        <v>14</v>
      </c>
      <c r="L14" s="3">
        <v>9.5</v>
      </c>
      <c r="M14" s="3">
        <v>123</v>
      </c>
      <c r="N14" t="s">
        <v>14</v>
      </c>
      <c r="P14" s="2">
        <v>9.5</v>
      </c>
      <c r="Q14" s="2">
        <v>5.5</v>
      </c>
      <c r="R14">
        <v>20</v>
      </c>
    </row>
    <row r="18" spans="7:26" x14ac:dyDescent="0.3">
      <c r="H18">
        <v>1</v>
      </c>
      <c r="I18">
        <v>2</v>
      </c>
      <c r="J18">
        <v>3</v>
      </c>
      <c r="K18">
        <v>1</v>
      </c>
      <c r="L18">
        <v>2</v>
      </c>
      <c r="M18">
        <v>3</v>
      </c>
    </row>
    <row r="19" spans="7:26" x14ac:dyDescent="0.3">
      <c r="G19" t="s">
        <v>18</v>
      </c>
      <c r="H19">
        <v>160</v>
      </c>
      <c r="I19">
        <v>720</v>
      </c>
      <c r="J19">
        <v>108</v>
      </c>
      <c r="K19">
        <f t="shared" ref="K19:K21" si="0">0.5*H19/1000*15/14.1*100/0.2</f>
        <v>42.553191489361701</v>
      </c>
      <c r="L19">
        <f>0.5*I19/1000*20/11*100/0.2</f>
        <v>327.2727272727272</v>
      </c>
      <c r="M19">
        <f>0.5*J19/1000*45/25*100/0.2</f>
        <v>48.6</v>
      </c>
    </row>
    <row r="20" spans="7:26" x14ac:dyDescent="0.3">
      <c r="G20" t="s">
        <v>19</v>
      </c>
      <c r="H20">
        <v>180</v>
      </c>
      <c r="I20">
        <v>128</v>
      </c>
      <c r="J20">
        <v>76</v>
      </c>
      <c r="K20">
        <f>H20*0.4/300/0.66*10</f>
        <v>3.6363636363636358</v>
      </c>
      <c r="L20">
        <f>I20*0.4/200/2*10</f>
        <v>1.28</v>
      </c>
      <c r="M20">
        <f>J20*0.4/400/3*10</f>
        <v>0.25333333333333335</v>
      </c>
    </row>
    <row r="21" spans="7:26" x14ac:dyDescent="0.3">
      <c r="G21" t="s">
        <v>20</v>
      </c>
      <c r="H21">
        <v>132</v>
      </c>
      <c r="I21">
        <v>160</v>
      </c>
      <c r="J21">
        <v>52</v>
      </c>
      <c r="K21">
        <f t="shared" si="0"/>
        <v>35.106382978723403</v>
      </c>
      <c r="L21">
        <f t="shared" ref="L20:L21" si="1">0.5*I21/1000*20/11*100/0.2</f>
        <v>72.727272727272734</v>
      </c>
      <c r="M21">
        <f t="shared" ref="M20:M21" si="2">0.5*J21/1000*45/25*100/0.2</f>
        <v>23.4</v>
      </c>
    </row>
    <row r="22" spans="7:26" x14ac:dyDescent="0.3">
      <c r="G22" t="s">
        <v>21</v>
      </c>
      <c r="H22">
        <v>170</v>
      </c>
      <c r="I22">
        <v>56</v>
      </c>
      <c r="J22">
        <v>13</v>
      </c>
      <c r="K22">
        <f>H22*0.4/300/0.66*10</f>
        <v>3.4343434343434343</v>
      </c>
      <c r="L22">
        <f>I22*0.4/200/2*10</f>
        <v>0.56000000000000005</v>
      </c>
      <c r="M22">
        <f>J22*0.4/400/3*10</f>
        <v>4.3333333333333342E-2</v>
      </c>
    </row>
    <row r="24" spans="7:26" x14ac:dyDescent="0.3">
      <c r="I24" s="4" t="s">
        <v>22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7:26" ht="15" thickBot="1" x14ac:dyDescent="0.35">
      <c r="I25" s="13" t="s">
        <v>3</v>
      </c>
      <c r="J25" s="12" t="s">
        <v>4</v>
      </c>
      <c r="K25" s="13" t="s">
        <v>27</v>
      </c>
      <c r="L25" s="14" t="s">
        <v>28</v>
      </c>
      <c r="M25" s="12" t="s">
        <v>25</v>
      </c>
      <c r="N25" s="12" t="s">
        <v>26</v>
      </c>
      <c r="O25" s="13" t="s">
        <v>23</v>
      </c>
      <c r="P25" s="12" t="s">
        <v>3</v>
      </c>
      <c r="Q25" s="13" t="s">
        <v>27</v>
      </c>
      <c r="R25" s="14" t="s">
        <v>28</v>
      </c>
      <c r="S25" s="12" t="s">
        <v>25</v>
      </c>
      <c r="T25" s="12" t="s">
        <v>26</v>
      </c>
      <c r="U25" s="13" t="s">
        <v>3</v>
      </c>
      <c r="V25" s="12" t="s">
        <v>24</v>
      </c>
      <c r="W25" s="13" t="s">
        <v>27</v>
      </c>
      <c r="X25" s="14" t="s">
        <v>28</v>
      </c>
      <c r="Y25" s="12" t="s">
        <v>25</v>
      </c>
      <c r="Z25" s="14" t="s">
        <v>26</v>
      </c>
    </row>
    <row r="26" spans="7:26" x14ac:dyDescent="0.3">
      <c r="I26" s="5">
        <v>21.5</v>
      </c>
      <c r="J26" s="6">
        <f>16.8/2</f>
        <v>8.4</v>
      </c>
      <c r="K26" s="5">
        <f>I26/5*0.02*0.5</f>
        <v>4.2999999999999997E-2</v>
      </c>
      <c r="L26" s="11">
        <f>J26/5*0.05</f>
        <v>8.4000000000000019E-2</v>
      </c>
      <c r="M26" s="6">
        <f>15/14.1*100/0.2*K26</f>
        <v>22.87234042553191</v>
      </c>
      <c r="N26" s="6">
        <f>0.4/300/0.66*10000*L26</f>
        <v>1.6969696969696972</v>
      </c>
      <c r="O26" s="5">
        <v>18</v>
      </c>
      <c r="P26" s="6">
        <v>15.5</v>
      </c>
      <c r="Q26" s="5">
        <f>O26/5*0.1*0.5</f>
        <v>0.18000000000000002</v>
      </c>
      <c r="R26" s="11">
        <f>P26/5*0.02</f>
        <v>6.2000000000000006E-2</v>
      </c>
      <c r="S26" s="6">
        <f>20/11*100/0.2*Q26</f>
        <v>163.63636363636365</v>
      </c>
      <c r="T26" s="6">
        <f>0.4/200/2*10000*R26</f>
        <v>0.62000000000000011</v>
      </c>
      <c r="U26" s="5">
        <v>15</v>
      </c>
      <c r="V26" s="6">
        <v>19.5</v>
      </c>
      <c r="W26" s="5">
        <f>U26/5*0.02*0.5</f>
        <v>0.03</v>
      </c>
      <c r="X26" s="11">
        <f>V26/5*0.01</f>
        <v>3.9E-2</v>
      </c>
      <c r="Y26" s="6">
        <f>45/25*100/0.2*W26</f>
        <v>27</v>
      </c>
      <c r="Z26" s="15">
        <f>0.4/400/3*10000*X26</f>
        <v>0.12999999999999998</v>
      </c>
    </row>
    <row r="27" spans="7:26" x14ac:dyDescent="0.3">
      <c r="I27" s="5">
        <v>16.8</v>
      </c>
      <c r="J27">
        <v>6.8</v>
      </c>
      <c r="K27" s="5">
        <f>I27/5*0.02*0.5</f>
        <v>3.3600000000000005E-2</v>
      </c>
      <c r="L27" s="11">
        <f t="shared" ref="L27:L33" si="3">J27/5*0.05</f>
        <v>6.7999999999999991E-2</v>
      </c>
      <c r="M27">
        <f t="shared" ref="M27:M33" si="4">15/14.1*100/0.2*K27</f>
        <v>17.872340425531917</v>
      </c>
      <c r="N27">
        <f t="shared" ref="N27:N33" si="5">0.4/300/0.66*10000*L27</f>
        <v>1.3737373737373735</v>
      </c>
      <c r="O27" s="5">
        <v>16</v>
      </c>
      <c r="P27">
        <v>14.5</v>
      </c>
      <c r="Q27" s="5">
        <f t="shared" ref="Q27:Q34" si="6">O27/5*0.1*0.5</f>
        <v>0.16000000000000003</v>
      </c>
      <c r="R27" s="11">
        <f t="shared" ref="R27:R34" si="7">P27/5*0.02</f>
        <v>5.7999999999999996E-2</v>
      </c>
      <c r="S27">
        <f t="shared" ref="S27:S34" si="8">20/11*100/0.2*Q27</f>
        <v>145.45454545454547</v>
      </c>
      <c r="T27">
        <f t="shared" ref="T27:T34" si="9">0.4/200/2*10000*R27</f>
        <v>0.57999999999999996</v>
      </c>
      <c r="U27" s="5">
        <v>13</v>
      </c>
      <c r="V27" s="6">
        <v>18.5</v>
      </c>
      <c r="W27" s="5">
        <f t="shared" ref="W27:W34" si="10">U27/5*0.02*0.5</f>
        <v>2.6000000000000002E-2</v>
      </c>
      <c r="X27" s="11">
        <f t="shared" ref="X27:X34" si="11">V27/5*0.01</f>
        <v>3.7000000000000005E-2</v>
      </c>
      <c r="Y27" s="6">
        <f t="shared" ref="Y27:Y34" si="12">45/25*100/0.2*W27</f>
        <v>23.400000000000002</v>
      </c>
      <c r="Z27" s="11">
        <f t="shared" ref="Z27:Z34" si="13">0.4/400/3*10000*X27</f>
        <v>0.12333333333333334</v>
      </c>
    </row>
    <row r="28" spans="7:26" x14ac:dyDescent="0.3">
      <c r="I28" s="5">
        <v>15.5</v>
      </c>
      <c r="J28">
        <v>5.5</v>
      </c>
      <c r="K28" s="5">
        <f t="shared" ref="K28:K33" si="14">I28/5*0.02*0.5</f>
        <v>3.1000000000000003E-2</v>
      </c>
      <c r="L28" s="11">
        <f t="shared" si="3"/>
        <v>5.5000000000000007E-2</v>
      </c>
      <c r="M28">
        <f t="shared" si="4"/>
        <v>16.48936170212766</v>
      </c>
      <c r="N28">
        <f t="shared" si="5"/>
        <v>1.1111111111111112</v>
      </c>
      <c r="O28" s="5">
        <v>13.5</v>
      </c>
      <c r="P28">
        <v>13</v>
      </c>
      <c r="Q28" s="5">
        <f t="shared" si="6"/>
        <v>0.13500000000000001</v>
      </c>
      <c r="R28" s="11">
        <f t="shared" si="7"/>
        <v>5.2000000000000005E-2</v>
      </c>
      <c r="S28">
        <f t="shared" si="8"/>
        <v>122.72727272727272</v>
      </c>
      <c r="T28">
        <f t="shared" si="9"/>
        <v>0.52</v>
      </c>
      <c r="U28" s="5">
        <v>10</v>
      </c>
      <c r="V28" s="6">
        <v>17</v>
      </c>
      <c r="W28" s="5">
        <f t="shared" si="10"/>
        <v>0.02</v>
      </c>
      <c r="X28" s="11">
        <f t="shared" si="11"/>
        <v>3.4000000000000002E-2</v>
      </c>
      <c r="Y28" s="6">
        <f t="shared" si="12"/>
        <v>18</v>
      </c>
      <c r="Z28" s="11">
        <f t="shared" si="13"/>
        <v>0.11333333333333333</v>
      </c>
    </row>
    <row r="29" spans="7:26" x14ac:dyDescent="0.3">
      <c r="I29" s="5">
        <v>12.7</v>
      </c>
      <c r="J29">
        <v>3.5</v>
      </c>
      <c r="K29" s="5">
        <f t="shared" si="14"/>
        <v>2.5400000000000002E-2</v>
      </c>
      <c r="L29" s="11">
        <f t="shared" si="3"/>
        <v>3.4999999999999996E-2</v>
      </c>
      <c r="M29">
        <f t="shared" si="4"/>
        <v>13.51063829787234</v>
      </c>
      <c r="N29">
        <f t="shared" si="5"/>
        <v>0.70707070707070696</v>
      </c>
      <c r="O29" s="5">
        <v>13</v>
      </c>
      <c r="P29">
        <v>13</v>
      </c>
      <c r="Q29" s="5">
        <f t="shared" si="6"/>
        <v>0.13</v>
      </c>
      <c r="R29" s="11">
        <f t="shared" si="7"/>
        <v>5.2000000000000005E-2</v>
      </c>
      <c r="S29">
        <f t="shared" si="8"/>
        <v>118.18181818181817</v>
      </c>
      <c r="T29">
        <f t="shared" si="9"/>
        <v>0.52</v>
      </c>
      <c r="U29" s="5">
        <v>9</v>
      </c>
      <c r="V29" s="6">
        <v>16</v>
      </c>
      <c r="W29" s="5">
        <f t="shared" si="10"/>
        <v>1.8000000000000002E-2</v>
      </c>
      <c r="X29" s="11">
        <f t="shared" si="11"/>
        <v>3.2000000000000001E-2</v>
      </c>
      <c r="Y29" s="6">
        <f t="shared" si="12"/>
        <v>16.200000000000003</v>
      </c>
      <c r="Z29" s="11">
        <f t="shared" si="13"/>
        <v>0.10666666666666666</v>
      </c>
    </row>
    <row r="30" spans="7:26" x14ac:dyDescent="0.3">
      <c r="I30" s="5">
        <v>10.5</v>
      </c>
      <c r="J30">
        <v>3</v>
      </c>
      <c r="K30" s="5">
        <f t="shared" si="14"/>
        <v>2.1000000000000001E-2</v>
      </c>
      <c r="L30" s="11">
        <f t="shared" si="3"/>
        <v>0.03</v>
      </c>
      <c r="M30">
        <f t="shared" si="4"/>
        <v>11.170212765957446</v>
      </c>
      <c r="N30">
        <f t="shared" si="5"/>
        <v>0.60606060606060597</v>
      </c>
      <c r="O30" s="5">
        <v>11</v>
      </c>
      <c r="P30">
        <v>11.5</v>
      </c>
      <c r="Q30" s="5">
        <f t="shared" si="6"/>
        <v>0.11000000000000001</v>
      </c>
      <c r="R30" s="11">
        <f t="shared" si="7"/>
        <v>4.5999999999999999E-2</v>
      </c>
      <c r="S30">
        <f t="shared" si="8"/>
        <v>100</v>
      </c>
      <c r="T30">
        <f t="shared" si="9"/>
        <v>0.45999999999999996</v>
      </c>
      <c r="U30" s="7">
        <f>13.5/2</f>
        <v>6.75</v>
      </c>
      <c r="V30" s="1">
        <v>13.5</v>
      </c>
      <c r="W30" s="5">
        <f t="shared" si="10"/>
        <v>1.3500000000000002E-2</v>
      </c>
      <c r="X30" s="11">
        <f t="shared" si="11"/>
        <v>2.7000000000000003E-2</v>
      </c>
      <c r="Y30" s="6">
        <f t="shared" si="12"/>
        <v>12.150000000000002</v>
      </c>
      <c r="Z30" s="11">
        <f t="shared" si="13"/>
        <v>0.09</v>
      </c>
    </row>
    <row r="31" spans="7:26" x14ac:dyDescent="0.3">
      <c r="I31" s="7">
        <v>9.5</v>
      </c>
      <c r="J31" s="1">
        <f>3.5/2</f>
        <v>1.75</v>
      </c>
      <c r="K31" s="5">
        <f t="shared" si="14"/>
        <v>1.9E-2</v>
      </c>
      <c r="L31" s="11">
        <f t="shared" si="3"/>
        <v>1.7499999999999998E-2</v>
      </c>
      <c r="M31">
        <f t="shared" si="4"/>
        <v>10.106382978723403</v>
      </c>
      <c r="N31">
        <f t="shared" si="5"/>
        <v>0.35353535353535348</v>
      </c>
      <c r="O31" s="5">
        <v>9</v>
      </c>
      <c r="P31">
        <v>10</v>
      </c>
      <c r="Q31" s="5">
        <f t="shared" si="6"/>
        <v>9.0000000000000011E-2</v>
      </c>
      <c r="R31" s="11">
        <f t="shared" si="7"/>
        <v>0.04</v>
      </c>
      <c r="S31">
        <f t="shared" si="8"/>
        <v>81.818181818181827</v>
      </c>
      <c r="T31">
        <f t="shared" si="9"/>
        <v>0.4</v>
      </c>
      <c r="U31" s="8">
        <f>11.5/2</f>
        <v>5.75</v>
      </c>
      <c r="V31" s="2">
        <v>12</v>
      </c>
      <c r="W31" s="5">
        <f t="shared" si="10"/>
        <v>1.15E-2</v>
      </c>
      <c r="X31" s="11">
        <f t="shared" si="11"/>
        <v>2.4E-2</v>
      </c>
      <c r="Y31" s="6">
        <f t="shared" si="12"/>
        <v>10.35</v>
      </c>
      <c r="Z31" s="11">
        <f t="shared" si="13"/>
        <v>7.9999999999999988E-2</v>
      </c>
    </row>
    <row r="32" spans="7:26" x14ac:dyDescent="0.3">
      <c r="I32" s="8">
        <v>8.5</v>
      </c>
      <c r="J32">
        <f>2/2</f>
        <v>1</v>
      </c>
      <c r="K32" s="5">
        <f t="shared" si="14"/>
        <v>1.7000000000000001E-2</v>
      </c>
      <c r="L32" s="11">
        <f t="shared" si="3"/>
        <v>1.0000000000000002E-2</v>
      </c>
      <c r="M32">
        <f t="shared" si="4"/>
        <v>9.0425531914893611</v>
      </c>
      <c r="N32">
        <f t="shared" si="5"/>
        <v>0.20202020202020204</v>
      </c>
      <c r="O32" s="7">
        <f>12.5/2</f>
        <v>6.25</v>
      </c>
      <c r="P32" s="1">
        <f>14.5/2</f>
        <v>7.25</v>
      </c>
      <c r="Q32" s="5">
        <f t="shared" si="6"/>
        <v>6.25E-2</v>
      </c>
      <c r="R32" s="11">
        <f t="shared" si="7"/>
        <v>2.8999999999999998E-2</v>
      </c>
      <c r="S32">
        <f t="shared" si="8"/>
        <v>56.818181818181813</v>
      </c>
      <c r="T32">
        <f t="shared" si="9"/>
        <v>0.28999999999999998</v>
      </c>
      <c r="U32" s="9">
        <f>6.5</f>
        <v>6.5</v>
      </c>
      <c r="V32" s="2">
        <v>9.5</v>
      </c>
      <c r="W32" s="5">
        <f t="shared" si="10"/>
        <v>1.3000000000000001E-2</v>
      </c>
      <c r="X32" s="11">
        <f t="shared" si="11"/>
        <v>1.9E-2</v>
      </c>
      <c r="Y32" s="6">
        <f t="shared" si="12"/>
        <v>11.700000000000001</v>
      </c>
      <c r="Z32" s="11">
        <f t="shared" si="13"/>
        <v>6.3333333333333325E-2</v>
      </c>
    </row>
    <row r="33" spans="9:26" x14ac:dyDescent="0.3">
      <c r="I33" s="7">
        <v>7.5</v>
      </c>
      <c r="J33" s="1">
        <f>2.8/4</f>
        <v>0.7</v>
      </c>
      <c r="K33" s="5">
        <f t="shared" si="14"/>
        <v>1.4999999999999999E-2</v>
      </c>
      <c r="L33" s="11">
        <f t="shared" si="3"/>
        <v>6.9999999999999993E-3</v>
      </c>
      <c r="M33">
        <f t="shared" si="4"/>
        <v>7.9787234042553177</v>
      </c>
      <c r="N33">
        <f t="shared" si="5"/>
        <v>0.14141414141414138</v>
      </c>
      <c r="O33" s="8">
        <f>9/2</f>
        <v>4.5</v>
      </c>
      <c r="P33" s="2">
        <f>9.8/2</f>
        <v>4.9000000000000004</v>
      </c>
      <c r="Q33" s="5">
        <f t="shared" si="6"/>
        <v>4.5000000000000005E-2</v>
      </c>
      <c r="R33" s="11">
        <f t="shared" si="7"/>
        <v>1.9600000000000003E-2</v>
      </c>
      <c r="S33">
        <f t="shared" si="8"/>
        <v>40.909090909090914</v>
      </c>
      <c r="T33">
        <f t="shared" si="9"/>
        <v>0.19600000000000004</v>
      </c>
      <c r="U33" s="10">
        <f>13/4</f>
        <v>3.25</v>
      </c>
      <c r="V33" s="3">
        <f>13.5/2</f>
        <v>6.75</v>
      </c>
      <c r="W33" s="5">
        <f t="shared" si="10"/>
        <v>6.5000000000000006E-3</v>
      </c>
      <c r="X33" s="11">
        <f t="shared" si="11"/>
        <v>1.3500000000000002E-2</v>
      </c>
      <c r="Y33" s="6">
        <f t="shared" si="12"/>
        <v>5.8500000000000005</v>
      </c>
      <c r="Z33" s="11">
        <f t="shared" si="13"/>
        <v>4.4999999999999998E-2</v>
      </c>
    </row>
    <row r="34" spans="9:26" x14ac:dyDescent="0.3">
      <c r="O34" s="10">
        <f>14/4</f>
        <v>3.5</v>
      </c>
      <c r="P34" s="3">
        <f>9.5/4</f>
        <v>2.375</v>
      </c>
      <c r="Q34" s="5">
        <f t="shared" si="6"/>
        <v>3.4999999999999996E-2</v>
      </c>
      <c r="R34" s="11">
        <f t="shared" si="7"/>
        <v>9.4999999999999998E-3</v>
      </c>
      <c r="S34">
        <f t="shared" si="8"/>
        <v>31.818181818181813</v>
      </c>
      <c r="T34">
        <f t="shared" si="9"/>
        <v>9.5000000000000001E-2</v>
      </c>
      <c r="U34" s="8">
        <f>9.5/4</f>
        <v>2.375</v>
      </c>
      <c r="V34" s="2">
        <f>5.5/2</f>
        <v>2.75</v>
      </c>
      <c r="W34" s="5">
        <f t="shared" si="10"/>
        <v>4.7499999999999999E-3</v>
      </c>
      <c r="X34" s="11">
        <f t="shared" si="11"/>
        <v>5.5000000000000005E-3</v>
      </c>
      <c r="Y34" s="6">
        <f t="shared" si="12"/>
        <v>4.2749999999999995</v>
      </c>
      <c r="Z34" s="11">
        <f t="shared" si="13"/>
        <v>1.8333333333333333E-2</v>
      </c>
    </row>
  </sheetData>
  <mergeCells count="1">
    <mergeCell ref="I24:V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2023-11-25T08:51:56Z</dcterms:created>
  <dcterms:modified xsi:type="dcterms:W3CDTF">2023-11-26T14:41:22Z</dcterms:modified>
</cp:coreProperties>
</file>