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W63" i="1"/>
  <c r="X63"/>
  <c r="X62"/>
  <c r="W62"/>
  <c r="W64"/>
  <c r="T89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4"/>
  <c r="R89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4"/>
  <c r="X61"/>
  <c r="P89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4"/>
  <c r="K6"/>
  <c r="K7"/>
  <c r="K11"/>
  <c r="K12"/>
  <c r="K13"/>
  <c r="K14"/>
  <c r="K18"/>
  <c r="K19"/>
  <c r="K23"/>
  <c r="K24"/>
  <c r="K25"/>
  <c r="K26"/>
  <c r="K30"/>
  <c r="K31"/>
  <c r="K35"/>
  <c r="K36"/>
  <c r="K37"/>
  <c r="K38"/>
  <c r="K42"/>
  <c r="K43"/>
  <c r="K47"/>
  <c r="K48"/>
  <c r="K49"/>
  <c r="K50"/>
  <c r="K54"/>
  <c r="K55"/>
  <c r="K59"/>
  <c r="K60"/>
  <c r="K61"/>
  <c r="K62"/>
  <c r="K66"/>
  <c r="K67"/>
  <c r="K71"/>
  <c r="K72"/>
  <c r="K73"/>
  <c r="K74"/>
  <c r="K78"/>
  <c r="K79"/>
  <c r="K83"/>
  <c r="K84"/>
  <c r="K85"/>
  <c r="K86"/>
  <c r="H4"/>
  <c r="I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I13" s="1"/>
  <c r="H14"/>
  <c r="J14" s="1"/>
  <c r="H15"/>
  <c r="I15" s="1"/>
  <c r="H16"/>
  <c r="I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I25" s="1"/>
  <c r="H26"/>
  <c r="J26" s="1"/>
  <c r="H27"/>
  <c r="I27" s="1"/>
  <c r="H28"/>
  <c r="I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I37" s="1"/>
  <c r="H38"/>
  <c r="J38" s="1"/>
  <c r="H39"/>
  <c r="I39" s="1"/>
  <c r="H40"/>
  <c r="I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I49" s="1"/>
  <c r="H50"/>
  <c r="J50" s="1"/>
  <c r="H51"/>
  <c r="I51" s="1"/>
  <c r="H52"/>
  <c r="I52" s="1"/>
  <c r="H53"/>
  <c r="I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I61" s="1"/>
  <c r="H62"/>
  <c r="J62" s="1"/>
  <c r="H63"/>
  <c r="I63" s="1"/>
  <c r="H64"/>
  <c r="I64" s="1"/>
  <c r="H65"/>
  <c r="I65" s="1"/>
  <c r="H66"/>
  <c r="J66" s="1"/>
  <c r="H67"/>
  <c r="J67" s="1"/>
  <c r="H68"/>
  <c r="J68" s="1"/>
  <c r="H69"/>
  <c r="J69" s="1"/>
  <c r="H70"/>
  <c r="J70" s="1"/>
  <c r="H71"/>
  <c r="J71" s="1"/>
  <c r="H72"/>
  <c r="J72" s="1"/>
  <c r="H73"/>
  <c r="I73" s="1"/>
  <c r="H74"/>
  <c r="J74" s="1"/>
  <c r="H75"/>
  <c r="I75" s="1"/>
  <c r="H76"/>
  <c r="I76" s="1"/>
  <c r="H77"/>
  <c r="I77" s="1"/>
  <c r="H78"/>
  <c r="J78" s="1"/>
  <c r="H79"/>
  <c r="J79" s="1"/>
  <c r="H80"/>
  <c r="J80" s="1"/>
  <c r="H81"/>
  <c r="J81" s="1"/>
  <c r="H82"/>
  <c r="J82" s="1"/>
  <c r="H83"/>
  <c r="J83" s="1"/>
  <c r="H84"/>
  <c r="J84" s="1"/>
  <c r="H85"/>
  <c r="I85" s="1"/>
  <c r="H86"/>
  <c r="J86" s="1"/>
  <c r="H87"/>
  <c r="I87" s="1"/>
  <c r="H88"/>
  <c r="I88" s="1"/>
  <c r="AK20"/>
  <c r="C89"/>
  <c r="C90" s="1"/>
  <c r="B89"/>
  <c r="B90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5"/>
  <c r="F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5"/>
  <c r="E4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5"/>
  <c r="D4"/>
  <c r="K87" l="1"/>
  <c r="K75"/>
  <c r="K63"/>
  <c r="K51"/>
  <c r="K39"/>
  <c r="K27"/>
  <c r="K15"/>
  <c r="K88"/>
  <c r="K76"/>
  <c r="K64"/>
  <c r="K52"/>
  <c r="K40"/>
  <c r="K28"/>
  <c r="K16"/>
  <c r="K4"/>
  <c r="K77"/>
  <c r="K65"/>
  <c r="K53"/>
  <c r="K41"/>
  <c r="K29"/>
  <c r="K17"/>
  <c r="K5"/>
  <c r="K80"/>
  <c r="K68"/>
  <c r="K56"/>
  <c r="K44"/>
  <c r="K32"/>
  <c r="K20"/>
  <c r="K8"/>
  <c r="K81"/>
  <c r="K69"/>
  <c r="K57"/>
  <c r="K45"/>
  <c r="K33"/>
  <c r="K21"/>
  <c r="K9"/>
  <c r="K82"/>
  <c r="K70"/>
  <c r="K58"/>
  <c r="K46"/>
  <c r="K34"/>
  <c r="K22"/>
  <c r="K10"/>
  <c r="J77"/>
  <c r="J13"/>
  <c r="J85"/>
  <c r="J25"/>
  <c r="J88"/>
  <c r="J37"/>
  <c r="J4"/>
  <c r="J40"/>
  <c r="J49"/>
  <c r="J52"/>
  <c r="J53"/>
  <c r="J61"/>
  <c r="J64"/>
  <c r="J65"/>
  <c r="J73"/>
  <c r="J76"/>
  <c r="J87"/>
  <c r="J75"/>
  <c r="J63"/>
  <c r="J51"/>
  <c r="J39"/>
  <c r="J27"/>
  <c r="J15"/>
  <c r="I41"/>
  <c r="I29"/>
  <c r="I17"/>
  <c r="I5"/>
  <c r="J28"/>
  <c r="J16"/>
  <c r="I78"/>
  <c r="I66"/>
  <c r="I54"/>
  <c r="I42"/>
  <c r="I30"/>
  <c r="I18"/>
  <c r="I6"/>
  <c r="I79"/>
  <c r="I67"/>
  <c r="I55"/>
  <c r="I43"/>
  <c r="I31"/>
  <c r="I19"/>
  <c r="I7"/>
  <c r="I80"/>
  <c r="I68"/>
  <c r="I56"/>
  <c r="I44"/>
  <c r="I32"/>
  <c r="I20"/>
  <c r="I8"/>
  <c r="I81"/>
  <c r="I69"/>
  <c r="I57"/>
  <c r="I45"/>
  <c r="I33"/>
  <c r="I21"/>
  <c r="I9"/>
  <c r="I82"/>
  <c r="I70"/>
  <c r="I58"/>
  <c r="I46"/>
  <c r="I34"/>
  <c r="I22"/>
  <c r="I10"/>
  <c r="H89"/>
  <c r="H90" s="1"/>
  <c r="I83"/>
  <c r="I71"/>
  <c r="I59"/>
  <c r="I47"/>
  <c r="I35"/>
  <c r="I23"/>
  <c r="I11"/>
  <c r="I84"/>
  <c r="I72"/>
  <c r="I60"/>
  <c r="I48"/>
  <c r="I36"/>
  <c r="I24"/>
  <c r="I12"/>
  <c r="I86"/>
  <c r="I74"/>
  <c r="I62"/>
  <c r="I50"/>
  <c r="I38"/>
  <c r="I26"/>
  <c r="I14"/>
  <c r="D89"/>
  <c r="D90" s="1"/>
  <c r="W26" s="1"/>
  <c r="E89"/>
  <c r="E90" s="1"/>
  <c r="W27" s="1"/>
  <c r="F89"/>
  <c r="F90" s="1"/>
  <c r="K89" l="1"/>
  <c r="K90" s="1"/>
  <c r="W49" s="1"/>
  <c r="J89"/>
  <c r="J90" s="1"/>
  <c r="I89"/>
  <c r="I90" s="1"/>
  <c r="W50" s="1"/>
  <c r="W28"/>
  <c r="W40"/>
  <c r="W48" l="1"/>
  <c r="W41"/>
  <c r="G49" s="1"/>
  <c r="M49" s="1"/>
  <c r="N49" s="1"/>
  <c r="G36"/>
  <c r="M36" s="1"/>
  <c r="N36" s="1"/>
  <c r="G23"/>
  <c r="M23" s="1"/>
  <c r="N23" s="1"/>
  <c r="G22"/>
  <c r="M22" s="1"/>
  <c r="N22" s="1"/>
  <c r="G82"/>
  <c r="M82" s="1"/>
  <c r="N82" s="1"/>
  <c r="G20"/>
  <c r="M20" s="1"/>
  <c r="N20" s="1"/>
  <c r="G67"/>
  <c r="M67" s="1"/>
  <c r="N67" s="1"/>
  <c r="G78"/>
  <c r="M78" s="1"/>
  <c r="N78" s="1"/>
  <c r="G13"/>
  <c r="M13" s="1"/>
  <c r="N13" s="1"/>
  <c r="G11"/>
  <c r="M11" s="1"/>
  <c r="N11" s="1"/>
  <c r="G33"/>
  <c r="M33" s="1"/>
  <c r="N33" s="1"/>
  <c r="G69"/>
  <c r="M69" s="1"/>
  <c r="N69" s="1"/>
  <c r="G41"/>
  <c r="M41" s="1"/>
  <c r="N41" s="1"/>
  <c r="G6"/>
  <c r="M6" s="1"/>
  <c r="N6" s="1"/>
  <c r="G16"/>
  <c r="M16" s="1"/>
  <c r="N16" s="1"/>
  <c r="G40"/>
  <c r="M40" s="1"/>
  <c r="N40" s="1"/>
  <c r="G52"/>
  <c r="M52" s="1"/>
  <c r="N52" s="1"/>
  <c r="G76"/>
  <c r="M76" s="1"/>
  <c r="N76" s="1"/>
  <c r="G88"/>
  <c r="M88" s="1"/>
  <c r="N88" s="1"/>
  <c r="G27"/>
  <c r="M27" s="1"/>
  <c r="N27" s="1"/>
  <c r="G51"/>
  <c r="M51" s="1"/>
  <c r="N51" s="1"/>
  <c r="G75"/>
  <c r="M75" s="1"/>
  <c r="N75" s="1"/>
  <c r="G25"/>
  <c r="M25" s="1"/>
  <c r="N25" s="1"/>
  <c r="G61"/>
  <c r="M61" s="1"/>
  <c r="N61" s="1"/>
  <c r="G24"/>
  <c r="M24" s="1"/>
  <c r="N24" s="1"/>
  <c r="G60"/>
  <c r="M60" s="1"/>
  <c r="N60" s="1"/>
  <c r="G59"/>
  <c r="M59" s="1"/>
  <c r="N59" s="1"/>
  <c r="G83"/>
  <c r="M83" s="1"/>
  <c r="N83" s="1"/>
  <c r="G34"/>
  <c r="M34" s="1"/>
  <c r="N34" s="1"/>
  <c r="G70"/>
  <c r="M70" s="1"/>
  <c r="N70" s="1"/>
  <c r="G32"/>
  <c r="M32" s="1"/>
  <c r="N32" s="1"/>
  <c r="G44"/>
  <c r="M44" s="1"/>
  <c r="N44" s="1"/>
  <c r="G56"/>
  <c r="M56" s="1"/>
  <c r="N56" s="1"/>
  <c r="G80"/>
  <c r="M80" s="1"/>
  <c r="N80" s="1"/>
  <c r="G19"/>
  <c r="M19" s="1"/>
  <c r="N19" s="1"/>
  <c r="G55"/>
  <c r="M55" s="1"/>
  <c r="N55" s="1"/>
  <c r="G79"/>
  <c r="M79" s="1"/>
  <c r="N79" s="1"/>
  <c r="G66"/>
  <c r="M66" s="1"/>
  <c r="N66" s="1"/>
  <c r="G17"/>
  <c r="M17" s="1"/>
  <c r="N17" s="1"/>
  <c r="G53"/>
  <c r="M53" s="1"/>
  <c r="N53" s="1"/>
  <c r="G65"/>
  <c r="M65" s="1"/>
  <c r="N65" s="1"/>
  <c r="G4"/>
  <c r="M4" s="1"/>
  <c r="N4" s="1"/>
  <c r="L7" l="1"/>
  <c r="O7" s="1"/>
  <c r="L19"/>
  <c r="O19" s="1"/>
  <c r="L31"/>
  <c r="O31" s="1"/>
  <c r="L43"/>
  <c r="O43" s="1"/>
  <c r="L55"/>
  <c r="O55" s="1"/>
  <c r="L67"/>
  <c r="O67" s="1"/>
  <c r="L79"/>
  <c r="O79" s="1"/>
  <c r="L18"/>
  <c r="O18" s="1"/>
  <c r="L28"/>
  <c r="O28" s="1"/>
  <c r="L52"/>
  <c r="O52" s="1"/>
  <c r="L64"/>
  <c r="O64" s="1"/>
  <c r="L88"/>
  <c r="O88" s="1"/>
  <c r="L6"/>
  <c r="O6" s="1"/>
  <c r="L30"/>
  <c r="O30" s="1"/>
  <c r="L42"/>
  <c r="O42" s="1"/>
  <c r="L54"/>
  <c r="O54" s="1"/>
  <c r="L66"/>
  <c r="O66" s="1"/>
  <c r="L78"/>
  <c r="O78" s="1"/>
  <c r="L5"/>
  <c r="O5" s="1"/>
  <c r="L17"/>
  <c r="O17" s="1"/>
  <c r="L29"/>
  <c r="O29" s="1"/>
  <c r="L41"/>
  <c r="O41" s="1"/>
  <c r="L53"/>
  <c r="O53" s="1"/>
  <c r="L65"/>
  <c r="O65" s="1"/>
  <c r="L77"/>
  <c r="O77" s="1"/>
  <c r="L4"/>
  <c r="O4" s="1"/>
  <c r="L16"/>
  <c r="O16" s="1"/>
  <c r="L40"/>
  <c r="O40" s="1"/>
  <c r="L76"/>
  <c r="O76" s="1"/>
  <c r="L15"/>
  <c r="O15" s="1"/>
  <c r="L27"/>
  <c r="O27" s="1"/>
  <c r="L39"/>
  <c r="O39" s="1"/>
  <c r="L51"/>
  <c r="O51" s="1"/>
  <c r="L63"/>
  <c r="O63" s="1"/>
  <c r="L75"/>
  <c r="O75" s="1"/>
  <c r="L87"/>
  <c r="O87" s="1"/>
  <c r="L14"/>
  <c r="O14" s="1"/>
  <c r="L26"/>
  <c r="O26" s="1"/>
  <c r="L38"/>
  <c r="O38" s="1"/>
  <c r="L50"/>
  <c r="O50" s="1"/>
  <c r="L62"/>
  <c r="O62" s="1"/>
  <c r="L74"/>
  <c r="O74" s="1"/>
  <c r="L86"/>
  <c r="O86" s="1"/>
  <c r="L11"/>
  <c r="O11" s="1"/>
  <c r="L23"/>
  <c r="O23" s="1"/>
  <c r="L35"/>
  <c r="O35" s="1"/>
  <c r="L59"/>
  <c r="O59" s="1"/>
  <c r="L83"/>
  <c r="O83" s="1"/>
  <c r="L71"/>
  <c r="O71" s="1"/>
  <c r="L13"/>
  <c r="O13" s="1"/>
  <c r="L25"/>
  <c r="O25" s="1"/>
  <c r="L37"/>
  <c r="O37" s="1"/>
  <c r="L49"/>
  <c r="O49" s="1"/>
  <c r="L61"/>
  <c r="O61" s="1"/>
  <c r="L73"/>
  <c r="O73" s="1"/>
  <c r="L85"/>
  <c r="O85" s="1"/>
  <c r="L47"/>
  <c r="O47" s="1"/>
  <c r="L12"/>
  <c r="O12" s="1"/>
  <c r="L24"/>
  <c r="O24" s="1"/>
  <c r="L36"/>
  <c r="O36" s="1"/>
  <c r="L48"/>
  <c r="O48" s="1"/>
  <c r="L60"/>
  <c r="O60" s="1"/>
  <c r="L72"/>
  <c r="O72" s="1"/>
  <c r="L84"/>
  <c r="O84" s="1"/>
  <c r="L10"/>
  <c r="O10" s="1"/>
  <c r="L22"/>
  <c r="O22" s="1"/>
  <c r="L34"/>
  <c r="O34" s="1"/>
  <c r="L46"/>
  <c r="O46" s="1"/>
  <c r="L58"/>
  <c r="O58" s="1"/>
  <c r="L70"/>
  <c r="O70" s="1"/>
  <c r="L82"/>
  <c r="O82" s="1"/>
  <c r="L9"/>
  <c r="O9" s="1"/>
  <c r="L21"/>
  <c r="O21" s="1"/>
  <c r="L33"/>
  <c r="O33" s="1"/>
  <c r="L45"/>
  <c r="O45" s="1"/>
  <c r="L57"/>
  <c r="O57" s="1"/>
  <c r="L69"/>
  <c r="O69" s="1"/>
  <c r="L81"/>
  <c r="O81" s="1"/>
  <c r="L8"/>
  <c r="O8" s="1"/>
  <c r="L20"/>
  <c r="O20" s="1"/>
  <c r="L32"/>
  <c r="O32" s="1"/>
  <c r="L44"/>
  <c r="O44" s="1"/>
  <c r="L56"/>
  <c r="O56" s="1"/>
  <c r="L68"/>
  <c r="O68" s="1"/>
  <c r="L80"/>
  <c r="O80" s="1"/>
  <c r="G39"/>
  <c r="M39" s="1"/>
  <c r="N39" s="1"/>
  <c r="G7"/>
  <c r="M7" s="1"/>
  <c r="N7" s="1"/>
  <c r="N89" s="1"/>
  <c r="W61" s="1"/>
  <c r="G12"/>
  <c r="M12" s="1"/>
  <c r="N12" s="1"/>
  <c r="G81"/>
  <c r="M81" s="1"/>
  <c r="N81" s="1"/>
  <c r="G73"/>
  <c r="M73" s="1"/>
  <c r="N73" s="1"/>
  <c r="G63"/>
  <c r="M63" s="1"/>
  <c r="N63" s="1"/>
  <c r="G5"/>
  <c r="M5" s="1"/>
  <c r="N5" s="1"/>
  <c r="G10"/>
  <c r="M10" s="1"/>
  <c r="N10" s="1"/>
  <c r="G68"/>
  <c r="M68" s="1"/>
  <c r="N68" s="1"/>
  <c r="G48"/>
  <c r="M48" s="1"/>
  <c r="N48" s="1"/>
  <c r="G9"/>
  <c r="M9" s="1"/>
  <c r="N9" s="1"/>
  <c r="G31"/>
  <c r="M31" s="1"/>
  <c r="N31" s="1"/>
  <c r="G72"/>
  <c r="M72" s="1"/>
  <c r="N72" s="1"/>
  <c r="G14"/>
  <c r="M14" s="1"/>
  <c r="N14" s="1"/>
  <c r="G87"/>
  <c r="M87" s="1"/>
  <c r="N87" s="1"/>
  <c r="G28"/>
  <c r="M28" s="1"/>
  <c r="N28" s="1"/>
  <c r="G21"/>
  <c r="M21" s="1"/>
  <c r="N21" s="1"/>
  <c r="G43"/>
  <c r="M43" s="1"/>
  <c r="N43" s="1"/>
  <c r="G84"/>
  <c r="M84" s="1"/>
  <c r="N84" s="1"/>
  <c r="G26"/>
  <c r="M26" s="1"/>
  <c r="N26" s="1"/>
  <c r="G38"/>
  <c r="M38" s="1"/>
  <c r="N38" s="1"/>
  <c r="G45"/>
  <c r="M45" s="1"/>
  <c r="N45" s="1"/>
  <c r="G18"/>
  <c r="M18" s="1"/>
  <c r="N18" s="1"/>
  <c r="G47"/>
  <c r="M47" s="1"/>
  <c r="N47" s="1"/>
  <c r="G50"/>
  <c r="M50" s="1"/>
  <c r="N50" s="1"/>
  <c r="G85"/>
  <c r="M85" s="1"/>
  <c r="N85" s="1"/>
  <c r="G64"/>
  <c r="M64" s="1"/>
  <c r="N64" s="1"/>
  <c r="G57"/>
  <c r="M57" s="1"/>
  <c r="N57" s="1"/>
  <c r="G54"/>
  <c r="M54" s="1"/>
  <c r="N54" s="1"/>
  <c r="G71"/>
  <c r="M71" s="1"/>
  <c r="N71" s="1"/>
  <c r="G62"/>
  <c r="M62" s="1"/>
  <c r="N62" s="1"/>
  <c r="G74"/>
  <c r="M74" s="1"/>
  <c r="N74" s="1"/>
  <c r="G29"/>
  <c r="M29" s="1"/>
  <c r="N29" s="1"/>
  <c r="G46"/>
  <c r="M46" s="1"/>
  <c r="N46" s="1"/>
  <c r="G86"/>
  <c r="M86" s="1"/>
  <c r="N86" s="1"/>
  <c r="G42"/>
  <c r="M42" s="1"/>
  <c r="N42" s="1"/>
  <c r="G30"/>
  <c r="M30" s="1"/>
  <c r="N30" s="1"/>
  <c r="G35"/>
  <c r="M35" s="1"/>
  <c r="N35" s="1"/>
  <c r="G15"/>
  <c r="M15" s="1"/>
  <c r="N15" s="1"/>
  <c r="G8"/>
  <c r="M8" s="1"/>
  <c r="N8" s="1"/>
  <c r="G77"/>
  <c r="M77" s="1"/>
  <c r="N77" s="1"/>
  <c r="G58"/>
  <c r="M58" s="1"/>
  <c r="N58" s="1"/>
  <c r="G37"/>
  <c r="M37" s="1"/>
  <c r="N37" s="1"/>
</calcChain>
</file>

<file path=xl/sharedStrings.xml><?xml version="1.0" encoding="utf-8"?>
<sst xmlns="http://schemas.openxmlformats.org/spreadsheetml/2006/main" count="155" uniqueCount="145">
  <si>
    <t>субъект РФ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</si>
  <si>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</si>
  <si>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</si>
  <si>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</si>
  <si>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</si>
  <si>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</si>
  <si>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</si>
  <si>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</si>
  <si>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</si>
  <si>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</si>
  <si>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</si>
  <si>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</si>
  <si>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</si>
  <si>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</si>
  <si>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</si>
  <si>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</si>
  <si>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</si>
  <si>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</si>
  <si>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</si>
  <si>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</si>
  <si>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</si>
  <si>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</si>
  <si>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</si>
  <si>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</si>
  <si>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</si>
  <si>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</si>
  <si>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</si>
  <si>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</si>
  <si>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</si>
  <si>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</si>
  <si>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</si>
  <si>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</si>
  <si>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</si>
  <si>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</si>
  <si>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</si>
  <si>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</si>
  <si>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</si>
  <si>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</si>
  <si>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</si>
  <si>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</si>
  <si>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</si>
  <si>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</si>
  <si>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</si>
  <si>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</si>
  <si>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</si>
  <si>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</si>
  <si>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</si>
  <si>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</si>
  <si>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</si>
  <si>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</si>
  <si>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</si>
  <si>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</si>
  <si>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</si>
  <si>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</si>
  <si>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</si>
  <si>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</si>
  <si>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</si>
  <si>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</si>
  <si>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</si>
  <si>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</si>
  <si>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</si>
  <si>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</si>
  <si>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</si>
  <si>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</si>
  <si>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</si>
  <si>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</si>
  <si>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</si>
  <si>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</si>
  <si>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</si>
  <si>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</si>
  <si>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</si>
  <si>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</si>
  <si>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</si>
  <si>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</si>
  <si>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</si>
  <si>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</si>
  <si>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</si>
  <si>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</si>
  <si>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</si>
  <si>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</si>
  <si>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</si>
  <si>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</si>
  <si>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</si>
  <si>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</si>
  <si>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</si>
  <si>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</si>
  <si>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объём туристического потока</t>
  </si>
  <si>
    <t>Источник:Федеральная служба государственной статистики (Росстат)</t>
  </si>
  <si>
    <t>Таблица и рассчёты выполнены автором</t>
  </si>
  <si>
    <t>объём отправления пассажиров железнодорожным транспортом общего пользования</t>
  </si>
  <si>
    <t>x</t>
  </si>
  <si>
    <t>y</t>
  </si>
  <si>
    <t>x^2</t>
  </si>
  <si>
    <t>y^2</t>
  </si>
  <si>
    <t>xy</t>
  </si>
  <si>
    <t>сумма</t>
  </si>
  <si>
    <t>среднее</t>
  </si>
  <si>
    <t>Таблица 1</t>
  </si>
  <si>
    <t>Зависимость объёмов железнодорожных перевозок от объёмов туристического потока по субъектам РФ, январь - август 2022 г, чел.</t>
  </si>
  <si>
    <t>Qx</t>
  </si>
  <si>
    <t>Qy</t>
  </si>
  <si>
    <t>r</t>
  </si>
  <si>
    <t>Рис. 1 Зависимость объёмов железнодорожных перевозок от объёмов туристического потока по субъектам РФ, январь - август 2022 г, чел</t>
  </si>
  <si>
    <t>Таблица 2</t>
  </si>
  <si>
    <t>Рисунок выполнен автором.</t>
  </si>
  <si>
    <t>Таблица и рассчёты выполнены автором.</t>
  </si>
  <si>
    <r>
      <t xml:space="preserve">         </t>
    </r>
    <r>
      <rPr>
        <b/>
        <sz val="22"/>
        <color theme="1"/>
        <rFont val="Times New Roman"/>
        <family val="1"/>
        <charset val="204"/>
      </rPr>
      <t>Корреляционный анализ.</t>
    </r>
  </si>
  <si>
    <r>
      <t xml:space="preserve">      </t>
    </r>
    <r>
      <rPr>
        <b/>
        <sz val="22"/>
        <color theme="1"/>
        <rFont val="Times New Roman"/>
        <family val="1"/>
        <charset val="204"/>
      </rPr>
      <t>Регрессионный анализ.</t>
    </r>
  </si>
  <si>
    <t>Расчёт по исходным данным линейного коэффициента корреляции</t>
  </si>
  <si>
    <t>Построение линейной регрессионной модели</t>
  </si>
  <si>
    <t xml:space="preserve">а1 </t>
  </si>
  <si>
    <t>a0</t>
  </si>
  <si>
    <t>Y^ =  -3902+0,013*x</t>
  </si>
  <si>
    <t>y^</t>
  </si>
  <si>
    <t>Таблица 3</t>
  </si>
  <si>
    <t>Построение нелинейной регрессионной модели</t>
  </si>
  <si>
    <t>y^*</t>
  </si>
  <si>
    <t>y*1/x</t>
  </si>
  <si>
    <t>sz^2</t>
  </si>
  <si>
    <t>1/x=z</t>
  </si>
  <si>
    <t>(1/х)^2=z^2</t>
  </si>
  <si>
    <t>yz</t>
  </si>
  <si>
    <t>b0*</t>
  </si>
  <si>
    <t>b1*</t>
  </si>
  <si>
    <t>Равносторонняя гипербола</t>
  </si>
  <si>
    <t>Y*= 2823192,28-547882316516,61*1/x</t>
  </si>
  <si>
    <t xml:space="preserve">Рис.2 Графическое представление кривых исходных данных зависимости объёмов отправления пассажиров </t>
  </si>
  <si>
    <t>Таблица 4</t>
  </si>
  <si>
    <t>S</t>
  </si>
  <si>
    <t>Ai</t>
  </si>
  <si>
    <t>Э</t>
  </si>
  <si>
    <t>линейная модель</t>
  </si>
  <si>
    <t>нелинейная модель</t>
  </si>
  <si>
    <t>y-y^</t>
  </si>
  <si>
    <t>(y-y^)^2</t>
  </si>
  <si>
    <t>y-y^*</t>
  </si>
  <si>
    <t>(y-y^*)^2</t>
  </si>
  <si>
    <t>|y-y^|</t>
  </si>
  <si>
    <t>|y-y^|/y</t>
  </si>
  <si>
    <t>|y-y^*|</t>
  </si>
  <si>
    <t>|y-y^*|/y</t>
  </si>
  <si>
    <t>Таблица 5</t>
  </si>
  <si>
    <t xml:space="preserve">                                           Регрессионный анализ</t>
  </si>
  <si>
    <t>R^2</t>
  </si>
  <si>
    <t>железнодорожным транспортом общего пользования от объёмов туристического потока по субъектам РФ и по регрессивным моделям, январь - август 2022, чел.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</si>
</sst>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</numFmts>
  <fonts count="3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20"/>
      <color rgb="FF00000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1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3" fillId="10" borderId="1" applyNumberFormat="0" applyAlignment="0" applyProtection="0"/>
    <xf numFmtId="0" fontId="14" fillId="23" borderId="2" applyNumberFormat="0" applyAlignment="0" applyProtection="0"/>
    <xf numFmtId="0" fontId="15" fillId="23" borderId="1" applyNumberFormat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4" borderId="7" applyNumberFormat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3" fillId="6" borderId="0" applyNumberFormat="0" applyBorder="0" applyAlignment="0" applyProtection="0"/>
    <xf numFmtId="0" fontId="24" fillId="0" borderId="0" applyNumberFormat="0" applyFill="0" applyBorder="0" applyAlignment="0" applyProtection="0"/>
    <xf numFmtId="0" fontId="7" fillId="26" borderId="8" applyNumberFormat="0" applyFont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7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</cellStyleXfs>
  <cellXfs count="59">
    <xf numFmtId="0" fontId="0" fillId="0" borderId="0" xfId="0"/>
    <xf numFmtId="0" fontId="0" fillId="2" borderId="10" xfId="0" applyFill="1" applyBorder="1"/>
    <xf numFmtId="0" fontId="5" fillId="0" borderId="10" xfId="3" applyNumberFormat="1" applyFont="1" applyFill="1" applyBorder="1" applyAlignment="1" applyProtection="1">
      <alignment horizontal="left" vertical="center" wrapText="1"/>
      <protection locked="0"/>
    </xf>
    <xf numFmtId="0" fontId="0" fillId="27" borderId="10" xfId="0" applyFill="1" applyBorder="1"/>
    <xf numFmtId="3" fontId="5" fillId="0" borderId="10" xfId="16" applyNumberFormat="1" applyFont="1" applyBorder="1"/>
    <xf numFmtId="0" fontId="0" fillId="0" borderId="10" xfId="0" applyBorder="1"/>
    <xf numFmtId="3" fontId="9" fillId="0" borderId="10" xfId="0" applyNumberFormat="1" applyFont="1" applyBorder="1"/>
    <xf numFmtId="0" fontId="9" fillId="27" borderId="10" xfId="0" applyFont="1" applyFill="1" applyBorder="1"/>
    <xf numFmtId="49" fontId="6" fillId="27" borderId="10" xfId="1" applyNumberFormat="1" applyFont="1" applyFill="1" applyBorder="1" applyAlignment="1" applyProtection="1">
      <alignment horizontal="center" vertical="center" wrapText="1"/>
      <protection locked="0"/>
    </xf>
    <xf numFmtId="0" fontId="0" fillId="27" borderId="10" xfId="0" applyFill="1" applyBorder="1" applyAlignment="1">
      <alignment horizontal="center"/>
    </xf>
    <xf numFmtId="164" fontId="9" fillId="0" borderId="10" xfId="0" applyNumberFormat="1" applyFont="1" applyBorder="1"/>
    <xf numFmtId="3" fontId="2" fillId="0" borderId="10" xfId="0" applyNumberFormat="1" applyFont="1" applyBorder="1"/>
    <xf numFmtId="0" fontId="2" fillId="27" borderId="10" xfId="0" applyFont="1" applyFill="1" applyBorder="1"/>
    <xf numFmtId="0" fontId="6" fillId="27" borderId="10" xfId="1" applyFont="1" applyFill="1" applyBorder="1" applyAlignment="1" applyProtection="1">
      <alignment vertical="center" wrapText="1"/>
      <protection locked="0"/>
    </xf>
    <xf numFmtId="3" fontId="5" fillId="0" borderId="10" xfId="16" applyNumberFormat="1" applyFont="1" applyFill="1" applyBorder="1"/>
    <xf numFmtId="3" fontId="5" fillId="0" borderId="10" xfId="16" applyNumberFormat="1" applyFont="1" applyBorder="1" applyAlignment="1">
      <alignment horizontal="right"/>
    </xf>
    <xf numFmtId="164" fontId="5" fillId="0" borderId="10" xfId="2" applyNumberFormat="1" applyFont="1" applyFill="1" applyBorder="1" applyAlignment="1" applyProtection="1">
      <alignment horizontal="left" vertical="center" wrapText="1"/>
      <protection locked="0"/>
    </xf>
    <xf numFmtId="0" fontId="0" fillId="2" borderId="10" xfId="0" applyFill="1" applyBorder="1" applyAlignment="1">
      <alignment wrapText="1"/>
    </xf>
    <xf numFmtId="164" fontId="2" fillId="0" borderId="10" xfId="0" applyNumberFormat="1" applyFont="1" applyBorder="1"/>
    <xf numFmtId="0" fontId="2" fillId="0" borderId="10" xfId="0" applyFont="1" applyBorder="1"/>
    <xf numFmtId="0" fontId="2" fillId="0" borderId="0" xfId="0" applyFont="1"/>
    <xf numFmtId="3" fontId="0" fillId="0" borderId="10" xfId="0" applyNumberFormat="1" applyBorder="1"/>
    <xf numFmtId="164" fontId="0" fillId="0" borderId="10" xfId="0" applyNumberFormat="1" applyBorder="1"/>
    <xf numFmtId="0" fontId="0" fillId="0" borderId="0" xfId="0"/>
    <xf numFmtId="0" fontId="9" fillId="0" borderId="0" xfId="0" applyFont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vertical="center"/>
    </xf>
    <xf numFmtId="0" fontId="31" fillId="2" borderId="0" xfId="0" applyFont="1" applyFill="1" applyAlignment="1">
      <alignment vertical="center"/>
    </xf>
    <xf numFmtId="0" fontId="30" fillId="0" borderId="0" xfId="0" applyFont="1" applyAlignment="1">
      <alignment horizontal="center"/>
    </xf>
    <xf numFmtId="0" fontId="0" fillId="0" borderId="0" xfId="0" applyAlignment="1">
      <alignment textRotation="90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/>
    <xf numFmtId="0" fontId="9" fillId="0" borderId="0" xfId="0" applyFont="1"/>
    <xf numFmtId="164" fontId="0" fillId="27" borderId="11" xfId="0" applyNumberFormat="1" applyFill="1" applyBorder="1"/>
    <xf numFmtId="164" fontId="0" fillId="2" borderId="13" xfId="0" applyNumberFormat="1" applyFill="1" applyBorder="1"/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27" borderId="13" xfId="0" applyFill="1" applyBorder="1"/>
    <xf numFmtId="0" fontId="0" fillId="2" borderId="13" xfId="0" applyFill="1" applyBorder="1"/>
    <xf numFmtId="0" fontId="0" fillId="27" borderId="14" xfId="0" applyFill="1" applyBorder="1"/>
    <xf numFmtId="0" fontId="0" fillId="2" borderId="15" xfId="0" applyFill="1" applyBorder="1"/>
    <xf numFmtId="2" fontId="0" fillId="0" borderId="10" xfId="0" applyNumberFormat="1" applyBorder="1"/>
    <xf numFmtId="49" fontId="0" fillId="0" borderId="10" xfId="0" applyNumberFormat="1" applyBorder="1" applyAlignment="1">
      <alignment horizontal="right"/>
    </xf>
    <xf numFmtId="49" fontId="2" fillId="0" borderId="10" xfId="0" applyNumberFormat="1" applyFont="1" applyBorder="1" applyAlignment="1">
      <alignment horizontal="right"/>
    </xf>
    <xf numFmtId="2" fontId="0" fillId="27" borderId="11" xfId="0" applyNumberFormat="1" applyFill="1" applyBorder="1"/>
    <xf numFmtId="49" fontId="0" fillId="27" borderId="10" xfId="0" applyNumberFormat="1" applyFill="1" applyBorder="1" applyAlignment="1">
      <alignment horizontal="right"/>
    </xf>
    <xf numFmtId="2" fontId="0" fillId="27" borderId="10" xfId="0" applyNumberFormat="1" applyFill="1" applyBorder="1"/>
    <xf numFmtId="164" fontId="0" fillId="0" borderId="0" xfId="0" applyNumberFormat="1" applyBorder="1"/>
    <xf numFmtId="0" fontId="0" fillId="3" borderId="0" xfId="0" applyFill="1" applyBorder="1" applyAlignment="1">
      <alignment horizontal="center"/>
    </xf>
    <xf numFmtId="0" fontId="0" fillId="27" borderId="15" xfId="0" applyFill="1" applyBorder="1"/>
    <xf numFmtId="0" fontId="2" fillId="0" borderId="0" xfId="0" applyFont="1" applyBorder="1" applyAlignment="1">
      <alignment horizontal="right"/>
    </xf>
    <xf numFmtId="164" fontId="0" fillId="2" borderId="10" xfId="0" applyNumberFormat="1" applyFill="1" applyBorder="1"/>
    <xf numFmtId="2" fontId="0" fillId="2" borderId="10" xfId="0" applyNumberFormat="1" applyFill="1" applyBorder="1"/>
    <xf numFmtId="0" fontId="9" fillId="0" borderId="0" xfId="0" applyFont="1" applyAlignment="1">
      <alignment horizontal="right"/>
    </xf>
    <xf numFmtId="0" fontId="0" fillId="4" borderId="12" xfId="0" applyFill="1" applyBorder="1"/>
    <xf numFmtId="0" fontId="0" fillId="4" borderId="15" xfId="0" applyFill="1" applyBorder="1"/>
    <xf numFmtId="0" fontId="0" fillId="4" borderId="13" xfId="0" applyFill="1" applyBorder="1"/>
    <xf numFmtId="0" fontId="9" fillId="0" borderId="0" xfId="0" applyFont="1" applyAlignment="1">
      <alignment vertical="center"/>
    </xf>
  </cellXfs>
  <cellStyles count="60">
    <cellStyle name="20% - Акцент1 2" xfId="17"/>
    <cellStyle name="20% - Акцент2 2" xfId="18"/>
    <cellStyle name="20% - Акцент3 2" xfId="19"/>
    <cellStyle name="20% - Акцент4 2" xfId="20"/>
    <cellStyle name="20% - Акцент5 2" xfId="21"/>
    <cellStyle name="20% - Акцент6 2" xfId="22"/>
    <cellStyle name="40% - Акцент1 2" xfId="23"/>
    <cellStyle name="40% - Акцент2 2" xfId="24"/>
    <cellStyle name="40% - Акцент3 2" xfId="25"/>
    <cellStyle name="40% - Акцент4 2" xfId="26"/>
    <cellStyle name="40% - Акцент5 2" xfId="27"/>
    <cellStyle name="40% - Акцент6 2" xfId="28"/>
    <cellStyle name="60% - Акцент1 2" xfId="29"/>
    <cellStyle name="60% - Акцент2 2" xfId="30"/>
    <cellStyle name="60% - Акцент3 2" xfId="31"/>
    <cellStyle name="60% - Акцент4 2" xfId="32"/>
    <cellStyle name="60% - Акцент5 2" xfId="33"/>
    <cellStyle name="60% - Акцент6 2" xfId="34"/>
    <cellStyle name="Normal" xfId="3"/>
    <cellStyle name="Акцент1 2" xfId="35"/>
    <cellStyle name="Акцент2 2" xfId="36"/>
    <cellStyle name="Акцент3 2" xfId="37"/>
    <cellStyle name="Акцент4 2" xfId="38"/>
    <cellStyle name="Акцент5 2" xfId="39"/>
    <cellStyle name="Акцент6 2" xfId="40"/>
    <cellStyle name="Ввод  2" xfId="41"/>
    <cellStyle name="Вывод 2" xfId="42"/>
    <cellStyle name="Вычисление 2" xfId="43"/>
    <cellStyle name="Гиперссылка 2" xfId="58"/>
    <cellStyle name="Заголовок 1 2" xfId="44"/>
    <cellStyle name="Заголовок 2 2" xfId="45"/>
    <cellStyle name="Заголовок 3 2" xfId="46"/>
    <cellStyle name="Заголовок 4 2" xfId="47"/>
    <cellStyle name="Итог 2" xfId="48"/>
    <cellStyle name="Контрольная ячейка 2" xfId="49"/>
    <cellStyle name="Название 2" xfId="50"/>
    <cellStyle name="Нейтральный 2" xfId="51"/>
    <cellStyle name="Обычный" xfId="0" builtinId="0"/>
    <cellStyle name="Обычный 10" xfId="4"/>
    <cellStyle name="Обычный 2" xfId="6"/>
    <cellStyle name="Обычный 2 2" xfId="5"/>
    <cellStyle name="Обычный 2 2 2" xfId="59"/>
    <cellStyle name="Обычный 3" xfId="8"/>
    <cellStyle name="Обычный 4" xfId="10"/>
    <cellStyle name="Обычный 5" xfId="11"/>
    <cellStyle name="Обычный 6" xfId="12"/>
    <cellStyle name="Обычный 7" xfId="1"/>
    <cellStyle name="Обычный 8" xfId="14"/>
    <cellStyle name="Обычный 9" xfId="16"/>
    <cellStyle name="Плохой 2" xfId="52"/>
    <cellStyle name="Пояснение 2" xfId="53"/>
    <cellStyle name="Примечание 2" xfId="54"/>
    <cellStyle name="Процентный 2" xfId="15"/>
    <cellStyle name="Связанная ячейка 2" xfId="55"/>
    <cellStyle name="Текст предупреждения 2" xfId="56"/>
    <cellStyle name="Финансовый 2" xfId="7"/>
    <cellStyle name="Финансовый 3" xfId="9"/>
    <cellStyle name="Финансовый 4" xfId="2"/>
    <cellStyle name="Финансовый 5" xfId="13"/>
    <cellStyle name="Хороший 2" xfId="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6"/>
  <c:chart>
    <c:title>
      <c:tx>
        <c:rich>
          <a:bodyPr/>
          <a:lstStyle/>
          <a:p>
            <a:pPr>
              <a:defRPr/>
            </a:pPr>
            <a:r>
              <a:rPr lang="ru-RU"/>
              <a:t>Корреляционное облако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Лист1!$B$4:$B$88</c:f>
              <c:numCache>
                <c:formatCode>_-* #,##0\ _₽_-;\-* #,##0\ _₽_-;_-* "-"??\ _₽_-;_-@_-</c:formatCode>
                <c:ptCount val="85"/>
                <c:pt idx="0">
                  <c:v>579106</c:v>
                </c:pt>
                <c:pt idx="1">
                  <c:v>376102</c:v>
                </c:pt>
                <c:pt idx="2">
                  <c:v>1230119</c:v>
                </c:pt>
                <c:pt idx="3">
                  <c:v>825148</c:v>
                </c:pt>
                <c:pt idx="4">
                  <c:v>474819</c:v>
                </c:pt>
                <c:pt idx="5">
                  <c:v>472920</c:v>
                </c:pt>
                <c:pt idx="6">
                  <c:v>282054</c:v>
                </c:pt>
                <c:pt idx="7">
                  <c:v>323761</c:v>
                </c:pt>
                <c:pt idx="8">
                  <c:v>411570</c:v>
                </c:pt>
                <c:pt idx="9">
                  <c:v>11065573</c:v>
                </c:pt>
                <c:pt idx="10">
                  <c:v>246358</c:v>
                </c:pt>
                <c:pt idx="11">
                  <c:v>636682</c:v>
                </c:pt>
                <c:pt idx="12">
                  <c:v>266211</c:v>
                </c:pt>
                <c:pt idx="13">
                  <c:v>310306</c:v>
                </c:pt>
                <c:pt idx="14">
                  <c:v>1269993</c:v>
                </c:pt>
                <c:pt idx="15">
                  <c:v>576845</c:v>
                </c:pt>
                <c:pt idx="16">
                  <c:v>1307768</c:v>
                </c:pt>
                <c:pt idx="17">
                  <c:v>10008848</c:v>
                </c:pt>
                <c:pt idx="18">
                  <c:v>414972</c:v>
                </c:pt>
                <c:pt idx="19">
                  <c:v>320396</c:v>
                </c:pt>
                <c:pt idx="20">
                  <c:v>366306</c:v>
                </c:pt>
                <c:pt idx="21">
                  <c:v>12261</c:v>
                </c:pt>
                <c:pt idx="22">
                  <c:v>863192</c:v>
                </c:pt>
                <c:pt idx="23">
                  <c:v>505485</c:v>
                </c:pt>
                <c:pt idx="24">
                  <c:v>12365726</c:v>
                </c:pt>
                <c:pt idx="25">
                  <c:v>362162</c:v>
                </c:pt>
                <c:pt idx="26">
                  <c:v>763348</c:v>
                </c:pt>
                <c:pt idx="27">
                  <c:v>816371</c:v>
                </c:pt>
                <c:pt idx="28">
                  <c:v>5888678</c:v>
                </c:pt>
                <c:pt idx="29">
                  <c:v>102472</c:v>
                </c:pt>
                <c:pt idx="30">
                  <c:v>65970</c:v>
                </c:pt>
                <c:pt idx="31">
                  <c:v>3053351</c:v>
                </c:pt>
                <c:pt idx="32">
                  <c:v>14387706</c:v>
                </c:pt>
                <c:pt idx="33">
                  <c:v>289425</c:v>
                </c:pt>
                <c:pt idx="34">
                  <c:v>815520</c:v>
                </c:pt>
                <c:pt idx="35">
                  <c:v>1452866</c:v>
                </c:pt>
                <c:pt idx="36">
                  <c:v>185882</c:v>
                </c:pt>
                <c:pt idx="37">
                  <c:v>214995</c:v>
                </c:pt>
                <c:pt idx="38">
                  <c:v>58243</c:v>
                </c:pt>
                <c:pt idx="39">
                  <c:v>258833</c:v>
                </c:pt>
                <c:pt idx="40">
                  <c:v>665739</c:v>
                </c:pt>
                <c:pt idx="41">
                  <c:v>201430</c:v>
                </c:pt>
                <c:pt idx="42">
                  <c:v>71706</c:v>
                </c:pt>
                <c:pt idx="43">
                  <c:v>1241415</c:v>
                </c:pt>
                <c:pt idx="44">
                  <c:v>1263386</c:v>
                </c:pt>
                <c:pt idx="45">
                  <c:v>247344</c:v>
                </c:pt>
                <c:pt idx="46">
                  <c:v>150243</c:v>
                </c:pt>
                <c:pt idx="47">
                  <c:v>2903306</c:v>
                </c:pt>
                <c:pt idx="48">
                  <c:v>526678</c:v>
                </c:pt>
                <c:pt idx="49">
                  <c:v>388665</c:v>
                </c:pt>
                <c:pt idx="50">
                  <c:v>923187</c:v>
                </c:pt>
                <c:pt idx="51">
                  <c:v>516790</c:v>
                </c:pt>
                <c:pt idx="52">
                  <c:v>1433972</c:v>
                </c:pt>
                <c:pt idx="53">
                  <c:v>539491</c:v>
                </c:pt>
                <c:pt idx="54">
                  <c:v>201307</c:v>
                </c:pt>
                <c:pt idx="55">
                  <c:v>1495549</c:v>
                </c:pt>
                <c:pt idx="56">
                  <c:v>623572</c:v>
                </c:pt>
                <c:pt idx="57">
                  <c:v>317885</c:v>
                </c:pt>
                <c:pt idx="58">
                  <c:v>572378</c:v>
                </c:pt>
                <c:pt idx="59">
                  <c:v>1753224</c:v>
                </c:pt>
                <c:pt idx="60">
                  <c:v>1722897</c:v>
                </c:pt>
                <c:pt idx="61">
                  <c:v>532491</c:v>
                </c:pt>
                <c:pt idx="62">
                  <c:v>211095</c:v>
                </c:pt>
                <c:pt idx="63">
                  <c:v>1248395</c:v>
                </c:pt>
                <c:pt idx="64">
                  <c:v>448067</c:v>
                </c:pt>
                <c:pt idx="65">
                  <c:v>62627</c:v>
                </c:pt>
                <c:pt idx="66">
                  <c:v>383820</c:v>
                </c:pt>
                <c:pt idx="67">
                  <c:v>1182370</c:v>
                </c:pt>
                <c:pt idx="68">
                  <c:v>1130789</c:v>
                </c:pt>
                <c:pt idx="69">
                  <c:v>646196</c:v>
                </c:pt>
                <c:pt idx="70">
                  <c:v>791552</c:v>
                </c:pt>
                <c:pt idx="71">
                  <c:v>1329569</c:v>
                </c:pt>
                <c:pt idx="72">
                  <c:v>484549</c:v>
                </c:pt>
                <c:pt idx="73">
                  <c:v>252191</c:v>
                </c:pt>
                <c:pt idx="74">
                  <c:v>513430</c:v>
                </c:pt>
                <c:pt idx="75">
                  <c:v>100843</c:v>
                </c:pt>
                <c:pt idx="76">
                  <c:v>372780</c:v>
                </c:pt>
                <c:pt idx="77">
                  <c:v>321754</c:v>
                </c:pt>
                <c:pt idx="78">
                  <c:v>990612</c:v>
                </c:pt>
                <c:pt idx="79">
                  <c:v>434620</c:v>
                </c:pt>
                <c:pt idx="80">
                  <c:v>295873</c:v>
                </c:pt>
                <c:pt idx="81">
                  <c:v>36220</c:v>
                </c:pt>
                <c:pt idx="82">
                  <c:v>237878</c:v>
                </c:pt>
                <c:pt idx="83">
                  <c:v>26974</c:v>
                </c:pt>
                <c:pt idx="84">
                  <c:v>19656</c:v>
                </c:pt>
              </c:numCache>
            </c:numRef>
          </c:xVal>
          <c:yVal>
            <c:numRef>
              <c:f>Лист1!$C$4:$C$88</c:f>
              <c:numCache>
                <c:formatCode>#,##0</c:formatCode>
                <c:ptCount val="85"/>
                <c:pt idx="0">
                  <c:v>1295</c:v>
                </c:pt>
                <c:pt idx="1">
                  <c:v>4760</c:v>
                </c:pt>
                <c:pt idx="2">
                  <c:v>7073</c:v>
                </c:pt>
                <c:pt idx="3">
                  <c:v>5422</c:v>
                </c:pt>
                <c:pt idx="4">
                  <c:v>1360</c:v>
                </c:pt>
                <c:pt idx="5">
                  <c:v>4604</c:v>
                </c:pt>
                <c:pt idx="6">
                  <c:v>1153</c:v>
                </c:pt>
                <c:pt idx="7">
                  <c:v>1719</c:v>
                </c:pt>
                <c:pt idx="8">
                  <c:v>1221</c:v>
                </c:pt>
                <c:pt idx="9">
                  <c:v>267154</c:v>
                </c:pt>
                <c:pt idx="10">
                  <c:v>1342</c:v>
                </c:pt>
                <c:pt idx="11">
                  <c:v>2991</c:v>
                </c:pt>
                <c:pt idx="12">
                  <c:v>1989</c:v>
                </c:pt>
                <c:pt idx="13">
                  <c:v>1576</c:v>
                </c:pt>
                <c:pt idx="14">
                  <c:v>6556</c:v>
                </c:pt>
                <c:pt idx="15">
                  <c:v>2793</c:v>
                </c:pt>
                <c:pt idx="16">
                  <c:v>3598</c:v>
                </c:pt>
                <c:pt idx="17">
                  <c:v>447426</c:v>
                </c:pt>
                <c:pt idx="18">
                  <c:v>1464</c:v>
                </c:pt>
                <c:pt idx="19">
                  <c:v>1577</c:v>
                </c:pt>
                <c:pt idx="20">
                  <c:v>2761</c:v>
                </c:pt>
                <c:pt idx="21" formatCode="General">
                  <c:v>21</c:v>
                </c:pt>
                <c:pt idx="22">
                  <c:v>1282</c:v>
                </c:pt>
                <c:pt idx="23">
                  <c:v>5161</c:v>
                </c:pt>
                <c:pt idx="24">
                  <c:v>25293</c:v>
                </c:pt>
                <c:pt idx="25">
                  <c:v>574</c:v>
                </c:pt>
                <c:pt idx="26">
                  <c:v>1065</c:v>
                </c:pt>
                <c:pt idx="27">
                  <c:v>885</c:v>
                </c:pt>
                <c:pt idx="28">
                  <c:v>56583</c:v>
                </c:pt>
                <c:pt idx="29">
                  <c:v>177</c:v>
                </c:pt>
                <c:pt idx="30">
                  <c:v>122</c:v>
                </c:pt>
                <c:pt idx="31">
                  <c:v>5539</c:v>
                </c:pt>
                <c:pt idx="32">
                  <c:v>20907</c:v>
                </c:pt>
                <c:pt idx="33">
                  <c:v>863</c:v>
                </c:pt>
                <c:pt idx="34">
                  <c:v>3472</c:v>
                </c:pt>
                <c:pt idx="35">
                  <c:v>9932</c:v>
                </c:pt>
                <c:pt idx="36" formatCode="General">
                  <c:v>169</c:v>
                </c:pt>
                <c:pt idx="37">
                  <c:v>1336</c:v>
                </c:pt>
                <c:pt idx="38">
                  <c:v>24</c:v>
                </c:pt>
                <c:pt idx="39">
                  <c:v>128</c:v>
                </c:pt>
                <c:pt idx="40">
                  <c:v>44</c:v>
                </c:pt>
                <c:pt idx="41">
                  <c:v>226</c:v>
                </c:pt>
                <c:pt idx="42">
                  <c:v>52</c:v>
                </c:pt>
                <c:pt idx="43">
                  <c:v>5833</c:v>
                </c:pt>
                <c:pt idx="44">
                  <c:v>4019</c:v>
                </c:pt>
                <c:pt idx="45">
                  <c:v>115</c:v>
                </c:pt>
                <c:pt idx="46">
                  <c:v>744</c:v>
                </c:pt>
                <c:pt idx="47">
                  <c:v>7248</c:v>
                </c:pt>
                <c:pt idx="48">
                  <c:v>2562</c:v>
                </c:pt>
                <c:pt idx="49">
                  <c:v>918</c:v>
                </c:pt>
                <c:pt idx="50">
                  <c:v>7317</c:v>
                </c:pt>
                <c:pt idx="51">
                  <c:v>3362</c:v>
                </c:pt>
                <c:pt idx="52">
                  <c:v>14184</c:v>
                </c:pt>
                <c:pt idx="53">
                  <c:v>1812</c:v>
                </c:pt>
                <c:pt idx="54">
                  <c:v>1342</c:v>
                </c:pt>
                <c:pt idx="55">
                  <c:v>8433</c:v>
                </c:pt>
                <c:pt idx="56">
                  <c:v>4188</c:v>
                </c:pt>
                <c:pt idx="57">
                  <c:v>765</c:v>
                </c:pt>
                <c:pt idx="58">
                  <c:v>1434</c:v>
                </c:pt>
                <c:pt idx="59">
                  <c:v>13813</c:v>
                </c:pt>
                <c:pt idx="60">
                  <c:v>4672</c:v>
                </c:pt>
                <c:pt idx="61">
                  <c:v>1614</c:v>
                </c:pt>
                <c:pt idx="62">
                  <c:v>772</c:v>
                </c:pt>
                <c:pt idx="63">
                  <c:v>3901</c:v>
                </c:pt>
                <c:pt idx="64" formatCode="General">
                  <c:v>1216</c:v>
                </c:pt>
                <c:pt idx="65" formatCode="General">
                  <c:v>105</c:v>
                </c:pt>
                <c:pt idx="66">
                  <c:v>449</c:v>
                </c:pt>
                <c:pt idx="67">
                  <c:v>7951</c:v>
                </c:pt>
                <c:pt idx="68">
                  <c:v>6417</c:v>
                </c:pt>
                <c:pt idx="69">
                  <c:v>9757</c:v>
                </c:pt>
                <c:pt idx="70">
                  <c:v>4390</c:v>
                </c:pt>
                <c:pt idx="71">
                  <c:v>21444</c:v>
                </c:pt>
                <c:pt idx="72">
                  <c:v>3485</c:v>
                </c:pt>
                <c:pt idx="73">
                  <c:v>575</c:v>
                </c:pt>
                <c:pt idx="74">
                  <c:v>915</c:v>
                </c:pt>
                <c:pt idx="75">
                  <c:v>351</c:v>
                </c:pt>
                <c:pt idx="76">
                  <c:v>1812</c:v>
                </c:pt>
                <c:pt idx="77">
                  <c:v>982</c:v>
                </c:pt>
                <c:pt idx="78">
                  <c:v>5460</c:v>
                </c:pt>
                <c:pt idx="79">
                  <c:v>2242</c:v>
                </c:pt>
                <c:pt idx="80">
                  <c:v>1269</c:v>
                </c:pt>
                <c:pt idx="81">
                  <c:v>407</c:v>
                </c:pt>
                <c:pt idx="82">
                  <c:v>572</c:v>
                </c:pt>
                <c:pt idx="83">
                  <c:v>533</c:v>
                </c:pt>
                <c:pt idx="84" formatCode="General">
                  <c:v>382</c:v>
                </c:pt>
              </c:numCache>
            </c:numRef>
          </c:yVal>
        </c:ser>
        <c:axId val="56818688"/>
        <c:axId val="56817152"/>
      </c:scatterChart>
      <c:valAx>
        <c:axId val="56818688"/>
        <c:scaling>
          <c:orientation val="minMax"/>
          <c:max val="16000000"/>
          <c:min val="1226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человек, посетивших субъект РФ</a:t>
                </a:r>
                <a:r>
                  <a:rPr lang="ru-RU" baseline="0"/>
                  <a:t> </a:t>
                </a:r>
                <a:r>
                  <a:rPr lang="ru-RU"/>
                  <a:t> чел)</a:t>
                </a:r>
              </a:p>
              <a:p>
                <a:pPr>
                  <a:defRPr/>
                </a:pPr>
                <a:r>
                  <a:rPr lang="ru-RU"/>
                  <a:t> (объём туристического потока)</a:t>
                </a:r>
              </a:p>
            </c:rich>
          </c:tx>
          <c:layout>
            <c:manualLayout>
              <c:xMode val="edge"/>
              <c:yMode val="edge"/>
              <c:x val="0.38517929161293862"/>
              <c:y val="0.86452755905511813"/>
            </c:manualLayout>
          </c:layout>
        </c:title>
        <c:numFmt formatCode="_-* #,##0\ _₽_-;\-* #,##0\ _₽_-;_-* &quot;-&quot;??\ _₽_-;_-@_-" sourceLinked="1"/>
        <c:tickLblPos val="nextTo"/>
        <c:crossAx val="56817152"/>
        <c:crosses val="autoZero"/>
        <c:crossBetween val="midCat"/>
      </c:valAx>
      <c:valAx>
        <c:axId val="56817152"/>
        <c:scaling>
          <c:orientation val="minMax"/>
          <c:max val="447426"/>
          <c:min val="2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Количество пассажиров, отправленных железнодорожным тарнспортов общего пользования по субъектам РФ (чел)</a:t>
                </a:r>
              </a:p>
              <a:p>
                <a:pPr>
                  <a:defRPr/>
                </a:pPr>
                <a:r>
                  <a:rPr lang="ru-RU"/>
                  <a:t>(объём отпраления пассажиров железнодорожным транспортом общего пользования)</a:t>
                </a:r>
              </a:p>
            </c:rich>
          </c:tx>
          <c:layout>
            <c:manualLayout>
              <c:xMode val="edge"/>
              <c:yMode val="edge"/>
              <c:x val="1.275258911945539E-2"/>
              <c:y val="8.3112887083695547E-2"/>
            </c:manualLayout>
          </c:layout>
        </c:title>
        <c:numFmt formatCode="#,##0" sourceLinked="1"/>
        <c:tickLblPos val="nextTo"/>
        <c:crossAx val="5681868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6"/>
  <c:chart>
    <c:autoTitleDeleted val="1"/>
    <c:plotArea>
      <c:layout>
        <c:manualLayout>
          <c:layoutTarget val="inner"/>
          <c:xMode val="edge"/>
          <c:yMode val="edge"/>
          <c:x val="5.7395991789772574E-2"/>
          <c:y val="0.13423368953880765"/>
          <c:w val="0.75912938547442854"/>
          <c:h val="0.77319928758905132"/>
        </c:manualLayout>
      </c:layout>
      <c:scatterChart>
        <c:scatterStyle val="smoothMarker"/>
        <c:ser>
          <c:idx val="0"/>
          <c:order val="0"/>
          <c:tx>
            <c:v>y</c:v>
          </c:tx>
          <c:marker>
            <c:symbol val="none"/>
          </c:marker>
          <c:xVal>
            <c:numRef>
              <c:f>Лист1!$B$4:$B$88</c:f>
              <c:numCache>
                <c:formatCode>_-* #,##0\ _₽_-;\-* #,##0\ _₽_-;_-* "-"??\ _₽_-;_-@_-</c:formatCode>
                <c:ptCount val="85"/>
                <c:pt idx="0">
                  <c:v>579106</c:v>
                </c:pt>
                <c:pt idx="1">
                  <c:v>376102</c:v>
                </c:pt>
                <c:pt idx="2">
                  <c:v>1230119</c:v>
                </c:pt>
                <c:pt idx="3">
                  <c:v>825148</c:v>
                </c:pt>
                <c:pt idx="4">
                  <c:v>474819</c:v>
                </c:pt>
                <c:pt idx="5">
                  <c:v>472920</c:v>
                </c:pt>
                <c:pt idx="6">
                  <c:v>282054</c:v>
                </c:pt>
                <c:pt idx="7">
                  <c:v>323761</c:v>
                </c:pt>
                <c:pt idx="8">
                  <c:v>411570</c:v>
                </c:pt>
                <c:pt idx="9">
                  <c:v>11065573</c:v>
                </c:pt>
                <c:pt idx="10">
                  <c:v>246358</c:v>
                </c:pt>
                <c:pt idx="11">
                  <c:v>636682</c:v>
                </c:pt>
                <c:pt idx="12">
                  <c:v>266211</c:v>
                </c:pt>
                <c:pt idx="13">
                  <c:v>310306</c:v>
                </c:pt>
                <c:pt idx="14">
                  <c:v>1269993</c:v>
                </c:pt>
                <c:pt idx="15">
                  <c:v>576845</c:v>
                </c:pt>
                <c:pt idx="16">
                  <c:v>1307768</c:v>
                </c:pt>
                <c:pt idx="17">
                  <c:v>10008848</c:v>
                </c:pt>
                <c:pt idx="18">
                  <c:v>414972</c:v>
                </c:pt>
                <c:pt idx="19">
                  <c:v>320396</c:v>
                </c:pt>
                <c:pt idx="20">
                  <c:v>366306</c:v>
                </c:pt>
                <c:pt idx="21">
                  <c:v>12261</c:v>
                </c:pt>
                <c:pt idx="22">
                  <c:v>863192</c:v>
                </c:pt>
                <c:pt idx="23">
                  <c:v>505485</c:v>
                </c:pt>
                <c:pt idx="24">
                  <c:v>12365726</c:v>
                </c:pt>
                <c:pt idx="25">
                  <c:v>362162</c:v>
                </c:pt>
                <c:pt idx="26">
                  <c:v>763348</c:v>
                </c:pt>
                <c:pt idx="27">
                  <c:v>816371</c:v>
                </c:pt>
                <c:pt idx="28">
                  <c:v>5888678</c:v>
                </c:pt>
                <c:pt idx="29">
                  <c:v>102472</c:v>
                </c:pt>
                <c:pt idx="30">
                  <c:v>65970</c:v>
                </c:pt>
                <c:pt idx="31">
                  <c:v>3053351</c:v>
                </c:pt>
                <c:pt idx="32">
                  <c:v>14387706</c:v>
                </c:pt>
                <c:pt idx="33">
                  <c:v>289425</c:v>
                </c:pt>
                <c:pt idx="34">
                  <c:v>815520</c:v>
                </c:pt>
                <c:pt idx="35">
                  <c:v>1452866</c:v>
                </c:pt>
                <c:pt idx="36">
                  <c:v>185882</c:v>
                </c:pt>
                <c:pt idx="37">
                  <c:v>214995</c:v>
                </c:pt>
                <c:pt idx="38">
                  <c:v>58243</c:v>
                </c:pt>
                <c:pt idx="39">
                  <c:v>258833</c:v>
                </c:pt>
                <c:pt idx="40">
                  <c:v>665739</c:v>
                </c:pt>
                <c:pt idx="41">
                  <c:v>201430</c:v>
                </c:pt>
                <c:pt idx="42">
                  <c:v>71706</c:v>
                </c:pt>
                <c:pt idx="43">
                  <c:v>1241415</c:v>
                </c:pt>
                <c:pt idx="44">
                  <c:v>1263386</c:v>
                </c:pt>
                <c:pt idx="45">
                  <c:v>247344</c:v>
                </c:pt>
                <c:pt idx="46">
                  <c:v>150243</c:v>
                </c:pt>
                <c:pt idx="47">
                  <c:v>2903306</c:v>
                </c:pt>
                <c:pt idx="48">
                  <c:v>526678</c:v>
                </c:pt>
                <c:pt idx="49">
                  <c:v>388665</c:v>
                </c:pt>
                <c:pt idx="50">
                  <c:v>923187</c:v>
                </c:pt>
                <c:pt idx="51">
                  <c:v>516790</c:v>
                </c:pt>
                <c:pt idx="52">
                  <c:v>1433972</c:v>
                </c:pt>
                <c:pt idx="53">
                  <c:v>539491</c:v>
                </c:pt>
                <c:pt idx="54">
                  <c:v>201307</c:v>
                </c:pt>
                <c:pt idx="55">
                  <c:v>1495549</c:v>
                </c:pt>
                <c:pt idx="56">
                  <c:v>623572</c:v>
                </c:pt>
                <c:pt idx="57">
                  <c:v>317885</c:v>
                </c:pt>
                <c:pt idx="58">
                  <c:v>572378</c:v>
                </c:pt>
                <c:pt idx="59">
                  <c:v>1753224</c:v>
                </c:pt>
                <c:pt idx="60">
                  <c:v>1722897</c:v>
                </c:pt>
                <c:pt idx="61">
                  <c:v>532491</c:v>
                </c:pt>
                <c:pt idx="62">
                  <c:v>211095</c:v>
                </c:pt>
                <c:pt idx="63">
                  <c:v>1248395</c:v>
                </c:pt>
                <c:pt idx="64">
                  <c:v>448067</c:v>
                </c:pt>
                <c:pt idx="65">
                  <c:v>62627</c:v>
                </c:pt>
                <c:pt idx="66">
                  <c:v>383820</c:v>
                </c:pt>
                <c:pt idx="67">
                  <c:v>1182370</c:v>
                </c:pt>
                <c:pt idx="68">
                  <c:v>1130789</c:v>
                </c:pt>
                <c:pt idx="69">
                  <c:v>646196</c:v>
                </c:pt>
                <c:pt idx="70">
                  <c:v>791552</c:v>
                </c:pt>
                <c:pt idx="71">
                  <c:v>1329569</c:v>
                </c:pt>
                <c:pt idx="72">
                  <c:v>484549</c:v>
                </c:pt>
                <c:pt idx="73">
                  <c:v>252191</c:v>
                </c:pt>
                <c:pt idx="74">
                  <c:v>513430</c:v>
                </c:pt>
                <c:pt idx="75">
                  <c:v>100843</c:v>
                </c:pt>
                <c:pt idx="76">
                  <c:v>372780</c:v>
                </c:pt>
                <c:pt idx="77">
                  <c:v>321754</c:v>
                </c:pt>
                <c:pt idx="78">
                  <c:v>990612</c:v>
                </c:pt>
                <c:pt idx="79">
                  <c:v>434620</c:v>
                </c:pt>
                <c:pt idx="80">
                  <c:v>295873</c:v>
                </c:pt>
                <c:pt idx="81">
                  <c:v>36220</c:v>
                </c:pt>
                <c:pt idx="82">
                  <c:v>237878</c:v>
                </c:pt>
                <c:pt idx="83">
                  <c:v>26974</c:v>
                </c:pt>
                <c:pt idx="84">
                  <c:v>19656</c:v>
                </c:pt>
              </c:numCache>
            </c:numRef>
          </c:xVal>
          <c:yVal>
            <c:numRef>
              <c:f>Лист1!$C$4:$C$88</c:f>
              <c:numCache>
                <c:formatCode>#,##0</c:formatCode>
                <c:ptCount val="85"/>
                <c:pt idx="0">
                  <c:v>1295</c:v>
                </c:pt>
                <c:pt idx="1">
                  <c:v>4760</c:v>
                </c:pt>
                <c:pt idx="2">
                  <c:v>7073</c:v>
                </c:pt>
                <c:pt idx="3">
                  <c:v>5422</c:v>
                </c:pt>
                <c:pt idx="4">
                  <c:v>1360</c:v>
                </c:pt>
                <c:pt idx="5">
                  <c:v>4604</c:v>
                </c:pt>
                <c:pt idx="6">
                  <c:v>1153</c:v>
                </c:pt>
                <c:pt idx="7">
                  <c:v>1719</c:v>
                </c:pt>
                <c:pt idx="8">
                  <c:v>1221</c:v>
                </c:pt>
                <c:pt idx="9">
                  <c:v>267154</c:v>
                </c:pt>
                <c:pt idx="10">
                  <c:v>1342</c:v>
                </c:pt>
                <c:pt idx="11">
                  <c:v>2991</c:v>
                </c:pt>
                <c:pt idx="12">
                  <c:v>1989</c:v>
                </c:pt>
                <c:pt idx="13">
                  <c:v>1576</c:v>
                </c:pt>
                <c:pt idx="14">
                  <c:v>6556</c:v>
                </c:pt>
                <c:pt idx="15">
                  <c:v>2793</c:v>
                </c:pt>
                <c:pt idx="16">
                  <c:v>3598</c:v>
                </c:pt>
                <c:pt idx="17">
                  <c:v>447426</c:v>
                </c:pt>
                <c:pt idx="18">
                  <c:v>1464</c:v>
                </c:pt>
                <c:pt idx="19">
                  <c:v>1577</c:v>
                </c:pt>
                <c:pt idx="20">
                  <c:v>2761</c:v>
                </c:pt>
                <c:pt idx="21" formatCode="General">
                  <c:v>21</c:v>
                </c:pt>
                <c:pt idx="22">
                  <c:v>1282</c:v>
                </c:pt>
                <c:pt idx="23">
                  <c:v>5161</c:v>
                </c:pt>
                <c:pt idx="24">
                  <c:v>25293</c:v>
                </c:pt>
                <c:pt idx="25">
                  <c:v>574</c:v>
                </c:pt>
                <c:pt idx="26">
                  <c:v>1065</c:v>
                </c:pt>
                <c:pt idx="27">
                  <c:v>885</c:v>
                </c:pt>
                <c:pt idx="28">
                  <c:v>56583</c:v>
                </c:pt>
                <c:pt idx="29">
                  <c:v>177</c:v>
                </c:pt>
                <c:pt idx="30">
                  <c:v>122</c:v>
                </c:pt>
                <c:pt idx="31">
                  <c:v>5539</c:v>
                </c:pt>
                <c:pt idx="32">
                  <c:v>20907</c:v>
                </c:pt>
                <c:pt idx="33">
                  <c:v>863</c:v>
                </c:pt>
                <c:pt idx="34">
                  <c:v>3472</c:v>
                </c:pt>
                <c:pt idx="35">
                  <c:v>9932</c:v>
                </c:pt>
                <c:pt idx="36" formatCode="General">
                  <c:v>169</c:v>
                </c:pt>
                <c:pt idx="37">
                  <c:v>1336</c:v>
                </c:pt>
                <c:pt idx="38">
                  <c:v>24</c:v>
                </c:pt>
                <c:pt idx="39">
                  <c:v>128</c:v>
                </c:pt>
                <c:pt idx="40">
                  <c:v>44</c:v>
                </c:pt>
                <c:pt idx="41">
                  <c:v>226</c:v>
                </c:pt>
                <c:pt idx="42">
                  <c:v>52</c:v>
                </c:pt>
                <c:pt idx="43">
                  <c:v>5833</c:v>
                </c:pt>
                <c:pt idx="44">
                  <c:v>4019</c:v>
                </c:pt>
                <c:pt idx="45">
                  <c:v>115</c:v>
                </c:pt>
                <c:pt idx="46">
                  <c:v>744</c:v>
                </c:pt>
                <c:pt idx="47">
                  <c:v>7248</c:v>
                </c:pt>
                <c:pt idx="48">
                  <c:v>2562</c:v>
                </c:pt>
                <c:pt idx="49">
                  <c:v>918</c:v>
                </c:pt>
                <c:pt idx="50">
                  <c:v>7317</c:v>
                </c:pt>
                <c:pt idx="51">
                  <c:v>3362</c:v>
                </c:pt>
                <c:pt idx="52">
                  <c:v>14184</c:v>
                </c:pt>
                <c:pt idx="53">
                  <c:v>1812</c:v>
                </c:pt>
                <c:pt idx="54">
                  <c:v>1342</c:v>
                </c:pt>
                <c:pt idx="55">
                  <c:v>8433</c:v>
                </c:pt>
                <c:pt idx="56">
                  <c:v>4188</c:v>
                </c:pt>
                <c:pt idx="57">
                  <c:v>765</c:v>
                </c:pt>
                <c:pt idx="58">
                  <c:v>1434</c:v>
                </c:pt>
                <c:pt idx="59">
                  <c:v>13813</c:v>
                </c:pt>
                <c:pt idx="60">
                  <c:v>4672</c:v>
                </c:pt>
                <c:pt idx="61">
                  <c:v>1614</c:v>
                </c:pt>
                <c:pt idx="62">
                  <c:v>772</c:v>
                </c:pt>
                <c:pt idx="63">
                  <c:v>3901</c:v>
                </c:pt>
                <c:pt idx="64" formatCode="General">
                  <c:v>1216</c:v>
                </c:pt>
                <c:pt idx="65" formatCode="General">
                  <c:v>105</c:v>
                </c:pt>
                <c:pt idx="66">
                  <c:v>449</c:v>
                </c:pt>
                <c:pt idx="67">
                  <c:v>7951</c:v>
                </c:pt>
                <c:pt idx="68">
                  <c:v>6417</c:v>
                </c:pt>
                <c:pt idx="69">
                  <c:v>9757</c:v>
                </c:pt>
                <c:pt idx="70">
                  <c:v>4390</c:v>
                </c:pt>
                <c:pt idx="71">
                  <c:v>21444</c:v>
                </c:pt>
                <c:pt idx="72">
                  <c:v>3485</c:v>
                </c:pt>
                <c:pt idx="73">
                  <c:v>575</c:v>
                </c:pt>
                <c:pt idx="74">
                  <c:v>915</c:v>
                </c:pt>
                <c:pt idx="75">
                  <c:v>351</c:v>
                </c:pt>
                <c:pt idx="76">
                  <c:v>1812</c:v>
                </c:pt>
                <c:pt idx="77">
                  <c:v>982</c:v>
                </c:pt>
                <c:pt idx="78">
                  <c:v>5460</c:v>
                </c:pt>
                <c:pt idx="79">
                  <c:v>2242</c:v>
                </c:pt>
                <c:pt idx="80">
                  <c:v>1269</c:v>
                </c:pt>
                <c:pt idx="81">
                  <c:v>407</c:v>
                </c:pt>
                <c:pt idx="82">
                  <c:v>572</c:v>
                </c:pt>
                <c:pt idx="83">
                  <c:v>533</c:v>
                </c:pt>
                <c:pt idx="84" formatCode="General">
                  <c:v>382</c:v>
                </c:pt>
              </c:numCache>
            </c:numRef>
          </c:yVal>
          <c:smooth val="1"/>
        </c:ser>
        <c:ser>
          <c:idx val="1"/>
          <c:order val="1"/>
          <c:tx>
            <c:v>a0+a1*x</c:v>
          </c:tx>
          <c:marker>
            <c:symbol val="none"/>
          </c:marker>
          <c:xVal>
            <c:numRef>
              <c:f>Лист1!$B$4:$B$88</c:f>
              <c:numCache>
                <c:formatCode>_-* #,##0\ _₽_-;\-* #,##0\ _₽_-;_-* "-"??\ _₽_-;_-@_-</c:formatCode>
                <c:ptCount val="85"/>
                <c:pt idx="0">
                  <c:v>579106</c:v>
                </c:pt>
                <c:pt idx="1">
                  <c:v>376102</c:v>
                </c:pt>
                <c:pt idx="2">
                  <c:v>1230119</c:v>
                </c:pt>
                <c:pt idx="3">
                  <c:v>825148</c:v>
                </c:pt>
                <c:pt idx="4">
                  <c:v>474819</c:v>
                </c:pt>
                <c:pt idx="5">
                  <c:v>472920</c:v>
                </c:pt>
                <c:pt idx="6">
                  <c:v>282054</c:v>
                </c:pt>
                <c:pt idx="7">
                  <c:v>323761</c:v>
                </c:pt>
                <c:pt idx="8">
                  <c:v>411570</c:v>
                </c:pt>
                <c:pt idx="9">
                  <c:v>11065573</c:v>
                </c:pt>
                <c:pt idx="10">
                  <c:v>246358</c:v>
                </c:pt>
                <c:pt idx="11">
                  <c:v>636682</c:v>
                </c:pt>
                <c:pt idx="12">
                  <c:v>266211</c:v>
                </c:pt>
                <c:pt idx="13">
                  <c:v>310306</c:v>
                </c:pt>
                <c:pt idx="14">
                  <c:v>1269993</c:v>
                </c:pt>
                <c:pt idx="15">
                  <c:v>576845</c:v>
                </c:pt>
                <c:pt idx="16">
                  <c:v>1307768</c:v>
                </c:pt>
                <c:pt idx="17">
                  <c:v>10008848</c:v>
                </c:pt>
                <c:pt idx="18">
                  <c:v>414972</c:v>
                </c:pt>
                <c:pt idx="19">
                  <c:v>320396</c:v>
                </c:pt>
                <c:pt idx="20">
                  <c:v>366306</c:v>
                </c:pt>
                <c:pt idx="21">
                  <c:v>12261</c:v>
                </c:pt>
                <c:pt idx="22">
                  <c:v>863192</c:v>
                </c:pt>
                <c:pt idx="23">
                  <c:v>505485</c:v>
                </c:pt>
                <c:pt idx="24">
                  <c:v>12365726</c:v>
                </c:pt>
                <c:pt idx="25">
                  <c:v>362162</c:v>
                </c:pt>
                <c:pt idx="26">
                  <c:v>763348</c:v>
                </c:pt>
                <c:pt idx="27">
                  <c:v>816371</c:v>
                </c:pt>
                <c:pt idx="28">
                  <c:v>5888678</c:v>
                </c:pt>
                <c:pt idx="29">
                  <c:v>102472</c:v>
                </c:pt>
                <c:pt idx="30">
                  <c:v>65970</c:v>
                </c:pt>
                <c:pt idx="31">
                  <c:v>3053351</c:v>
                </c:pt>
                <c:pt idx="32">
                  <c:v>14387706</c:v>
                </c:pt>
                <c:pt idx="33">
                  <c:v>289425</c:v>
                </c:pt>
                <c:pt idx="34">
                  <c:v>815520</c:v>
                </c:pt>
                <c:pt idx="35">
                  <c:v>1452866</c:v>
                </c:pt>
                <c:pt idx="36">
                  <c:v>185882</c:v>
                </c:pt>
                <c:pt idx="37">
                  <c:v>214995</c:v>
                </c:pt>
                <c:pt idx="38">
                  <c:v>58243</c:v>
                </c:pt>
                <c:pt idx="39">
                  <c:v>258833</c:v>
                </c:pt>
                <c:pt idx="40">
                  <c:v>665739</c:v>
                </c:pt>
                <c:pt idx="41">
                  <c:v>201430</c:v>
                </c:pt>
                <c:pt idx="42">
                  <c:v>71706</c:v>
                </c:pt>
                <c:pt idx="43">
                  <c:v>1241415</c:v>
                </c:pt>
                <c:pt idx="44">
                  <c:v>1263386</c:v>
                </c:pt>
                <c:pt idx="45">
                  <c:v>247344</c:v>
                </c:pt>
                <c:pt idx="46">
                  <c:v>150243</c:v>
                </c:pt>
                <c:pt idx="47">
                  <c:v>2903306</c:v>
                </c:pt>
                <c:pt idx="48">
                  <c:v>526678</c:v>
                </c:pt>
                <c:pt idx="49">
                  <c:v>388665</c:v>
                </c:pt>
                <c:pt idx="50">
                  <c:v>923187</c:v>
                </c:pt>
                <c:pt idx="51">
                  <c:v>516790</c:v>
                </c:pt>
                <c:pt idx="52">
                  <c:v>1433972</c:v>
                </c:pt>
                <c:pt idx="53">
                  <c:v>539491</c:v>
                </c:pt>
                <c:pt idx="54">
                  <c:v>201307</c:v>
                </c:pt>
                <c:pt idx="55">
                  <c:v>1495549</c:v>
                </c:pt>
                <c:pt idx="56">
                  <c:v>623572</c:v>
                </c:pt>
                <c:pt idx="57">
                  <c:v>317885</c:v>
                </c:pt>
                <c:pt idx="58">
                  <c:v>572378</c:v>
                </c:pt>
                <c:pt idx="59">
                  <c:v>1753224</c:v>
                </c:pt>
                <c:pt idx="60">
                  <c:v>1722897</c:v>
                </c:pt>
                <c:pt idx="61">
                  <c:v>532491</c:v>
                </c:pt>
                <c:pt idx="62">
                  <c:v>211095</c:v>
                </c:pt>
                <c:pt idx="63">
                  <c:v>1248395</c:v>
                </c:pt>
                <c:pt idx="64">
                  <c:v>448067</c:v>
                </c:pt>
                <c:pt idx="65">
                  <c:v>62627</c:v>
                </c:pt>
                <c:pt idx="66">
                  <c:v>383820</c:v>
                </c:pt>
                <c:pt idx="67">
                  <c:v>1182370</c:v>
                </c:pt>
                <c:pt idx="68">
                  <c:v>1130789</c:v>
                </c:pt>
                <c:pt idx="69">
                  <c:v>646196</c:v>
                </c:pt>
                <c:pt idx="70">
                  <c:v>791552</c:v>
                </c:pt>
                <c:pt idx="71">
                  <c:v>1329569</c:v>
                </c:pt>
                <c:pt idx="72">
                  <c:v>484549</c:v>
                </c:pt>
                <c:pt idx="73">
                  <c:v>252191</c:v>
                </c:pt>
                <c:pt idx="74">
                  <c:v>513430</c:v>
                </c:pt>
                <c:pt idx="75">
                  <c:v>100843</c:v>
                </c:pt>
                <c:pt idx="76">
                  <c:v>372780</c:v>
                </c:pt>
                <c:pt idx="77">
                  <c:v>321754</c:v>
                </c:pt>
                <c:pt idx="78">
                  <c:v>990612</c:v>
                </c:pt>
                <c:pt idx="79">
                  <c:v>434620</c:v>
                </c:pt>
                <c:pt idx="80">
                  <c:v>295873</c:v>
                </c:pt>
                <c:pt idx="81">
                  <c:v>36220</c:v>
                </c:pt>
                <c:pt idx="82">
                  <c:v>237878</c:v>
                </c:pt>
                <c:pt idx="83">
                  <c:v>26974</c:v>
                </c:pt>
                <c:pt idx="84">
                  <c:v>19656</c:v>
                </c:pt>
              </c:numCache>
            </c:numRef>
          </c:xVal>
          <c:yVal>
            <c:numRef>
              <c:f>Лист1!$G$4:$G$88</c:f>
              <c:numCache>
                <c:formatCode>_-* #,##0\ _₽_-;\-* #,##0\ _₽_-;_-* "-"??\ _₽_-;_-@_-</c:formatCode>
                <c:ptCount val="85"/>
                <c:pt idx="0">
                  <c:v>3863.3062780826967</c:v>
                </c:pt>
                <c:pt idx="1">
                  <c:v>1141.2107051960047</c:v>
                </c:pt>
                <c:pt idx="2">
                  <c:v>12592.787496145807</c:v>
                </c:pt>
                <c:pt idx="3">
                  <c:v>7162.5015596741305</c:v>
                </c:pt>
                <c:pt idx="4">
                  <c:v>2464.9142217210756</c:v>
                </c:pt>
                <c:pt idx="5">
                  <c:v>2439.4503909940368</c:v>
                </c:pt>
                <c:pt idx="6">
                  <c:v>-119.88584678744246</c:v>
                </c:pt>
                <c:pt idx="7">
                  <c:v>439.36638498328739</c:v>
                </c:pt>
                <c:pt idx="8">
                  <c:v>1616.8037269056513</c:v>
                </c:pt>
                <c:pt idx="9">
                  <c:v>144477.11386769864</c:v>
                </c:pt>
                <c:pt idx="10">
                  <c:v>-598.5361372731636</c:v>
                </c:pt>
                <c:pt idx="11">
                  <c:v>4635.3470984829055</c:v>
                </c:pt>
                <c:pt idx="12">
                  <c:v>-332.32579950386116</c:v>
                </c:pt>
                <c:pt idx="13">
                  <c:v>258.94729997417198</c:v>
                </c:pt>
                <c:pt idx="14">
                  <c:v>13127.46089604573</c:v>
                </c:pt>
                <c:pt idx="15">
                  <c:v>3832.9883627199606</c:v>
                </c:pt>
                <c:pt idx="16">
                  <c:v>13633.988650502761</c:v>
                </c:pt>
                <c:pt idx="17">
                  <c:v>130307.41058964159</c:v>
                </c:pt>
                <c:pt idx="18">
                  <c:v>1662.4213952223372</c:v>
                </c:pt>
                <c:pt idx="19">
                  <c:v>394.24485238903435</c:v>
                </c:pt>
                <c:pt idx="20">
                  <c:v>1009.855420413448</c:v>
                </c:pt>
                <c:pt idx="21">
                  <c:v>-3737.5600349601841</c:v>
                </c:pt>
                <c:pt idx="22">
                  <c:v>7672.636354923985</c:v>
                </c:pt>
                <c:pt idx="23">
                  <c:v>2876.1168721030544</c:v>
                </c:pt>
                <c:pt idx="24">
                  <c:v>161910.96110901088</c:v>
                </c:pt>
                <c:pt idx="25">
                  <c:v>954.28821950094152</c:v>
                </c:pt>
                <c:pt idx="26">
                  <c:v>6333.8208124750727</c:v>
                </c:pt>
                <c:pt idx="27">
                  <c:v>7044.8101208688531</c:v>
                </c:pt>
                <c:pt idx="28">
                  <c:v>75059.747900529241</c:v>
                </c:pt>
                <c:pt idx="29">
                  <c:v>-2527.9140983004072</c:v>
                </c:pt>
                <c:pt idx="30">
                  <c:v>-3017.3721020910225</c:v>
                </c:pt>
                <c:pt idx="31">
                  <c:v>37040.63953623049</c:v>
                </c:pt>
                <c:pt idx="32">
                  <c:v>189023.83970482886</c:v>
                </c:pt>
                <c:pt idx="33">
                  <c:v>-21.047565434622811</c:v>
                </c:pt>
                <c:pt idx="34">
                  <c:v>7033.3989992528914</c:v>
                </c:pt>
                <c:pt idx="35">
                  <c:v>15579.618408708084</c:v>
                </c:pt>
                <c:pt idx="36">
                  <c:v>-1409.4632710532646</c:v>
                </c:pt>
                <c:pt idx="37">
                  <c:v>-1019.0849119398958</c:v>
                </c:pt>
                <c:pt idx="38">
                  <c:v>-3120.9840136380631</c:v>
                </c:pt>
                <c:pt idx="39">
                  <c:v>-431.25794437173545</c:v>
                </c:pt>
                <c:pt idx="40">
                  <c:v>5024.9745494758354</c:v>
                </c:pt>
                <c:pt idx="41">
                  <c:v>-1200.9789950427312</c:v>
                </c:pt>
                <c:pt idx="42">
                  <c:v>-2940.4576560403139</c:v>
                </c:pt>
                <c:pt idx="43">
                  <c:v>12744.256391297273</c:v>
                </c:pt>
                <c:pt idx="44">
                  <c:v>13038.867146907476</c:v>
                </c:pt>
                <c:pt idx="45">
                  <c:v>-585.31479072400043</c:v>
                </c:pt>
                <c:pt idx="46">
                  <c:v>-1887.349244344967</c:v>
                </c:pt>
                <c:pt idx="47">
                  <c:v>35028.675091028505</c:v>
                </c:pt>
                <c:pt idx="48">
                  <c:v>3160.2953684685826</c:v>
                </c:pt>
                <c:pt idx="49">
                  <c:v>1309.6688965724079</c:v>
                </c:pt>
                <c:pt idx="50">
                  <c:v>8477.113724312454</c:v>
                </c:pt>
                <c:pt idx="51">
                  <c:v>3027.7064489167333</c:v>
                </c:pt>
                <c:pt idx="52">
                  <c:v>15326.267372501305</c:v>
                </c:pt>
                <c:pt idx="53">
                  <c:v>3332.1058282398053</c:v>
                </c:pt>
                <c:pt idx="54">
                  <c:v>-1202.6283110929817</c:v>
                </c:pt>
                <c:pt idx="55">
                  <c:v>16151.957896292184</c:v>
                </c:pt>
                <c:pt idx="56">
                  <c:v>4459.5541438586406</c:v>
                </c:pt>
                <c:pt idx="57">
                  <c:v>360.57466863148056</c:v>
                </c:pt>
                <c:pt idx="58">
                  <c:v>3773.090031041349</c:v>
                </c:pt>
                <c:pt idx="59">
                  <c:v>19607.140930831298</c:v>
                </c:pt>
                <c:pt idx="60">
                  <c:v>19200.483956392691</c:v>
                </c:pt>
                <c:pt idx="61">
                  <c:v>3238.2423131848955</c:v>
                </c:pt>
                <c:pt idx="62">
                  <c:v>-1071.3802988990597</c:v>
                </c:pt>
                <c:pt idx="63">
                  <c:v>12837.851724880598</c:v>
                </c:pt>
                <c:pt idx="64">
                  <c:v>2106.1946853283698</c:v>
                </c:pt>
                <c:pt idx="65">
                  <c:v>-3062.1986350665311</c:v>
                </c:pt>
                <c:pt idx="66">
                  <c:v>1244.7019350808314</c:v>
                </c:pt>
                <c:pt idx="67">
                  <c:v>11952.517641809112</c:v>
                </c:pt>
                <c:pt idx="68">
                  <c:v>11260.864217516642</c:v>
                </c:pt>
                <c:pt idx="69">
                  <c:v>4762.9210245161066</c:v>
                </c:pt>
                <c:pt idx="70">
                  <c:v>6712.0103237048825</c:v>
                </c:pt>
                <c:pt idx="71">
                  <c:v>13926.319863604487</c:v>
                </c:pt>
                <c:pt idx="72">
                  <c:v>2595.3845076473999</c:v>
                </c:pt>
                <c:pt idx="73">
                  <c:v>-520.32101108526558</c:v>
                </c:pt>
                <c:pt idx="74">
                  <c:v>2982.651961690377</c:v>
                </c:pt>
                <c:pt idx="75">
                  <c:v>-2549.7574791610423</c:v>
                </c:pt>
                <c:pt idx="76">
                  <c:v>1096.6657627656605</c:v>
                </c:pt>
                <c:pt idx="77">
                  <c:v>412.45437430968741</c:v>
                </c:pt>
                <c:pt idx="78">
                  <c:v>9381.2205103949218</c:v>
                </c:pt>
                <c:pt idx="79">
                  <c:v>1925.8828729078887</c:v>
                </c:pt>
                <c:pt idx="80">
                  <c:v>65.414141004528119</c:v>
                </c:pt>
                <c:pt idx="81">
                  <c:v>-3416.2920410743877</c:v>
                </c:pt>
                <c:pt idx="82">
                  <c:v>-712.24508122539692</c:v>
                </c:pt>
                <c:pt idx="83">
                  <c:v>-3540.2723353883439</c:v>
                </c:pt>
                <c:pt idx="84">
                  <c:v>-3638.3999358414621</c:v>
                </c:pt>
              </c:numCache>
            </c:numRef>
          </c:yVal>
          <c:smooth val="1"/>
        </c:ser>
        <c:ser>
          <c:idx val="2"/>
          <c:order val="2"/>
          <c:tx>
            <c:v>b0+b1/x</c:v>
          </c:tx>
          <c:marker>
            <c:symbol val="none"/>
          </c:marker>
          <c:xVal>
            <c:numRef>
              <c:f>Лист1!$B$4:$B$88</c:f>
              <c:numCache>
                <c:formatCode>_-* #,##0\ _₽_-;\-* #,##0\ _₽_-;_-* "-"??\ _₽_-;_-@_-</c:formatCode>
                <c:ptCount val="85"/>
                <c:pt idx="0">
                  <c:v>579106</c:v>
                </c:pt>
                <c:pt idx="1">
                  <c:v>376102</c:v>
                </c:pt>
                <c:pt idx="2">
                  <c:v>1230119</c:v>
                </c:pt>
                <c:pt idx="3">
                  <c:v>825148</c:v>
                </c:pt>
                <c:pt idx="4">
                  <c:v>474819</c:v>
                </c:pt>
                <c:pt idx="5">
                  <c:v>472920</c:v>
                </c:pt>
                <c:pt idx="6">
                  <c:v>282054</c:v>
                </c:pt>
                <c:pt idx="7">
                  <c:v>323761</c:v>
                </c:pt>
                <c:pt idx="8">
                  <c:v>411570</c:v>
                </c:pt>
                <c:pt idx="9">
                  <c:v>11065573</c:v>
                </c:pt>
                <c:pt idx="10">
                  <c:v>246358</c:v>
                </c:pt>
                <c:pt idx="11">
                  <c:v>636682</c:v>
                </c:pt>
                <c:pt idx="12">
                  <c:v>266211</c:v>
                </c:pt>
                <c:pt idx="13">
                  <c:v>310306</c:v>
                </c:pt>
                <c:pt idx="14">
                  <c:v>1269993</c:v>
                </c:pt>
                <c:pt idx="15">
                  <c:v>576845</c:v>
                </c:pt>
                <c:pt idx="16">
                  <c:v>1307768</c:v>
                </c:pt>
                <c:pt idx="17">
                  <c:v>10008848</c:v>
                </c:pt>
                <c:pt idx="18">
                  <c:v>414972</c:v>
                </c:pt>
                <c:pt idx="19">
                  <c:v>320396</c:v>
                </c:pt>
                <c:pt idx="20">
                  <c:v>366306</c:v>
                </c:pt>
                <c:pt idx="21">
                  <c:v>12261</c:v>
                </c:pt>
                <c:pt idx="22">
                  <c:v>863192</c:v>
                </c:pt>
                <c:pt idx="23">
                  <c:v>505485</c:v>
                </c:pt>
                <c:pt idx="24">
                  <c:v>12365726</c:v>
                </c:pt>
                <c:pt idx="25">
                  <c:v>362162</c:v>
                </c:pt>
                <c:pt idx="26">
                  <c:v>763348</c:v>
                </c:pt>
                <c:pt idx="27">
                  <c:v>816371</c:v>
                </c:pt>
                <c:pt idx="28">
                  <c:v>5888678</c:v>
                </c:pt>
                <c:pt idx="29">
                  <c:v>102472</c:v>
                </c:pt>
                <c:pt idx="30">
                  <c:v>65970</c:v>
                </c:pt>
                <c:pt idx="31">
                  <c:v>3053351</c:v>
                </c:pt>
                <c:pt idx="32">
                  <c:v>14387706</c:v>
                </c:pt>
                <c:pt idx="33">
                  <c:v>289425</c:v>
                </c:pt>
                <c:pt idx="34">
                  <c:v>815520</c:v>
                </c:pt>
                <c:pt idx="35">
                  <c:v>1452866</c:v>
                </c:pt>
                <c:pt idx="36">
                  <c:v>185882</c:v>
                </c:pt>
                <c:pt idx="37">
                  <c:v>214995</c:v>
                </c:pt>
                <c:pt idx="38">
                  <c:v>58243</c:v>
                </c:pt>
                <c:pt idx="39">
                  <c:v>258833</c:v>
                </c:pt>
                <c:pt idx="40">
                  <c:v>665739</c:v>
                </c:pt>
                <c:pt idx="41">
                  <c:v>201430</c:v>
                </c:pt>
                <c:pt idx="42">
                  <c:v>71706</c:v>
                </c:pt>
                <c:pt idx="43">
                  <c:v>1241415</c:v>
                </c:pt>
                <c:pt idx="44">
                  <c:v>1263386</c:v>
                </c:pt>
                <c:pt idx="45">
                  <c:v>247344</c:v>
                </c:pt>
                <c:pt idx="46">
                  <c:v>150243</c:v>
                </c:pt>
                <c:pt idx="47">
                  <c:v>2903306</c:v>
                </c:pt>
                <c:pt idx="48">
                  <c:v>526678</c:v>
                </c:pt>
                <c:pt idx="49">
                  <c:v>388665</c:v>
                </c:pt>
                <c:pt idx="50">
                  <c:v>923187</c:v>
                </c:pt>
                <c:pt idx="51">
                  <c:v>516790</c:v>
                </c:pt>
                <c:pt idx="52">
                  <c:v>1433972</c:v>
                </c:pt>
                <c:pt idx="53">
                  <c:v>539491</c:v>
                </c:pt>
                <c:pt idx="54">
                  <c:v>201307</c:v>
                </c:pt>
                <c:pt idx="55">
                  <c:v>1495549</c:v>
                </c:pt>
                <c:pt idx="56">
                  <c:v>623572</c:v>
                </c:pt>
                <c:pt idx="57">
                  <c:v>317885</c:v>
                </c:pt>
                <c:pt idx="58">
                  <c:v>572378</c:v>
                </c:pt>
                <c:pt idx="59">
                  <c:v>1753224</c:v>
                </c:pt>
                <c:pt idx="60">
                  <c:v>1722897</c:v>
                </c:pt>
                <c:pt idx="61">
                  <c:v>532491</c:v>
                </c:pt>
                <c:pt idx="62">
                  <c:v>211095</c:v>
                </c:pt>
                <c:pt idx="63">
                  <c:v>1248395</c:v>
                </c:pt>
                <c:pt idx="64">
                  <c:v>448067</c:v>
                </c:pt>
                <c:pt idx="65">
                  <c:v>62627</c:v>
                </c:pt>
                <c:pt idx="66">
                  <c:v>383820</c:v>
                </c:pt>
                <c:pt idx="67">
                  <c:v>1182370</c:v>
                </c:pt>
                <c:pt idx="68">
                  <c:v>1130789</c:v>
                </c:pt>
                <c:pt idx="69">
                  <c:v>646196</c:v>
                </c:pt>
                <c:pt idx="70">
                  <c:v>791552</c:v>
                </c:pt>
                <c:pt idx="71">
                  <c:v>1329569</c:v>
                </c:pt>
                <c:pt idx="72">
                  <c:v>484549</c:v>
                </c:pt>
                <c:pt idx="73">
                  <c:v>252191</c:v>
                </c:pt>
                <c:pt idx="74">
                  <c:v>513430</c:v>
                </c:pt>
                <c:pt idx="75">
                  <c:v>100843</c:v>
                </c:pt>
                <c:pt idx="76">
                  <c:v>372780</c:v>
                </c:pt>
                <c:pt idx="77">
                  <c:v>321754</c:v>
                </c:pt>
                <c:pt idx="78">
                  <c:v>990612</c:v>
                </c:pt>
                <c:pt idx="79">
                  <c:v>434620</c:v>
                </c:pt>
                <c:pt idx="80">
                  <c:v>295873</c:v>
                </c:pt>
                <c:pt idx="81">
                  <c:v>36220</c:v>
                </c:pt>
                <c:pt idx="82">
                  <c:v>237878</c:v>
                </c:pt>
                <c:pt idx="83">
                  <c:v>26974</c:v>
                </c:pt>
                <c:pt idx="84">
                  <c:v>19656</c:v>
                </c:pt>
              </c:numCache>
            </c:numRef>
          </c:xVal>
          <c:yVal>
            <c:numRef>
              <c:f>Лист1!$L$4:$L$88</c:f>
              <c:numCache>
                <c:formatCode>_-* #,##0\ _₽_-;\-* #,##0\ _₽_-;_-* "-"??\ _₽_-;_-@_-</c:formatCode>
                <c:ptCount val="85"/>
                <c:pt idx="0">
                  <c:v>1877109.3216342195</c:v>
                </c:pt>
                <c:pt idx="1">
                  <c:v>1366453.6365549632</c:v>
                </c:pt>
                <c:pt idx="2">
                  <c:v>2377802.5908695078</c:v>
                </c:pt>
                <c:pt idx="3">
                  <c:v>2159211.6144893384</c:v>
                </c:pt>
                <c:pt idx="4">
                  <c:v>1669316.1346129386</c:v>
                </c:pt>
                <c:pt idx="5">
                  <c:v>1664682.7699925993</c:v>
                </c:pt>
                <c:pt idx="6">
                  <c:v>880719.14688779251</c:v>
                </c:pt>
                <c:pt idx="7">
                  <c:v>1130949.1834839012</c:v>
                </c:pt>
                <c:pt idx="8">
                  <c:v>1491991.4700559562</c:v>
                </c:pt>
                <c:pt idx="9">
                  <c:v>2773679.9466678151</c:v>
                </c:pt>
                <c:pt idx="10">
                  <c:v>599264.83695100294</c:v>
                </c:pt>
                <c:pt idx="11">
                  <c:v>1962664.8615968195</c:v>
                </c:pt>
                <c:pt idx="12">
                  <c:v>765116.85466144839</c:v>
                </c:pt>
                <c:pt idx="13">
                  <c:v>1057572.8039217193</c:v>
                </c:pt>
                <c:pt idx="14">
                  <c:v>2391786.5013192324</c:v>
                </c:pt>
                <c:pt idx="15">
                  <c:v>1873401.0576043776</c:v>
                </c:pt>
                <c:pt idx="16">
                  <c:v>2404247.6971990038</c:v>
                </c:pt>
                <c:pt idx="17">
                  <c:v>2768452.4800998252</c:v>
                </c:pt>
                <c:pt idx="18">
                  <c:v>1502904.8452922418</c:v>
                </c:pt>
                <c:pt idx="19">
                  <c:v>1113176.1837804914</c:v>
                </c:pt>
                <c:pt idx="20">
                  <c:v>1327496.5576881599</c:v>
                </c:pt>
                <c:pt idx="21">
                  <c:v>-41861769.512789838</c:v>
                </c:pt>
                <c:pt idx="22">
                  <c:v>2188475.6488661342</c:v>
                </c:pt>
                <c:pt idx="23">
                  <c:v>1739317.7485331199</c:v>
                </c:pt>
                <c:pt idx="24">
                  <c:v>2778885.7555374564</c:v>
                </c:pt>
                <c:pt idx="25">
                  <c:v>1310382.2191742284</c:v>
                </c:pt>
                <c:pt idx="26">
                  <c:v>2105456.3089096826</c:v>
                </c:pt>
                <c:pt idx="27">
                  <c:v>2152072.9994681743</c:v>
                </c:pt>
                <c:pt idx="28">
                  <c:v>2730152.3263089317</c:v>
                </c:pt>
                <c:pt idx="29">
                  <c:v>-2523461.6032439475</c:v>
                </c:pt>
                <c:pt idx="30">
                  <c:v>-5481829.9520748593</c:v>
                </c:pt>
                <c:pt idx="31">
                  <c:v>2643755.8762948583</c:v>
                </c:pt>
                <c:pt idx="32">
                  <c:v>2785112.3841775595</c:v>
                </c:pt>
                <c:pt idx="33">
                  <c:v>930189.54318827903</c:v>
                </c:pt>
                <c:pt idx="34">
                  <c:v>2151372.6824851301</c:v>
                </c:pt>
                <c:pt idx="35">
                  <c:v>2446087.7710818793</c:v>
                </c:pt>
                <c:pt idx="36">
                  <c:v>-124281.47696625721</c:v>
                </c:pt>
                <c:pt idx="37">
                  <c:v>274843.16978227906</c:v>
                </c:pt>
                <c:pt idx="38">
                  <c:v>-6583643.1617587861</c:v>
                </c:pt>
                <c:pt idx="39">
                  <c:v>706451.69035383733</c:v>
                </c:pt>
                <c:pt idx="40">
                  <c:v>2000223.6423469293</c:v>
                </c:pt>
                <c:pt idx="41">
                  <c:v>103228.43685928173</c:v>
                </c:pt>
                <c:pt idx="42">
                  <c:v>-4817483.7674935833</c:v>
                </c:pt>
                <c:pt idx="43">
                  <c:v>2381855.32255519</c:v>
                </c:pt>
                <c:pt idx="44">
                  <c:v>2389530.4228393482</c:v>
                </c:pt>
                <c:pt idx="45">
                  <c:v>608130.19231378892</c:v>
                </c:pt>
                <c:pt idx="46">
                  <c:v>-823448.94002590002</c:v>
                </c:pt>
                <c:pt idx="47">
                  <c:v>2634482.4704290642</c:v>
                </c:pt>
                <c:pt idx="48">
                  <c:v>1782931.783868813</c:v>
                </c:pt>
                <c:pt idx="49">
                  <c:v>1413540.4788283906</c:v>
                </c:pt>
                <c:pt idx="50">
                  <c:v>2229723.8728593076</c:v>
                </c:pt>
                <c:pt idx="51">
                  <c:v>1763027.9626537065</c:v>
                </c:pt>
                <c:pt idx="52">
                  <c:v>2441119.0460626311</c:v>
                </c:pt>
                <c:pt idx="53">
                  <c:v>1807638.1417339584</c:v>
                </c:pt>
                <c:pt idx="54">
                  <c:v>101566.51972546289</c:v>
                </c:pt>
                <c:pt idx="55">
                  <c:v>2456850.3416615534</c:v>
                </c:pt>
                <c:pt idx="56">
                  <c:v>1944573.1024595241</c:v>
                </c:pt>
                <c:pt idx="57">
                  <c:v>1099668.624718155</c:v>
                </c:pt>
                <c:pt idx="58">
                  <c:v>1865988.6179553862</c:v>
                </c:pt>
                <c:pt idx="59">
                  <c:v>2510692.382633171</c:v>
                </c:pt>
                <c:pt idx="60">
                  <c:v>2505191.6566314818</c:v>
                </c:pt>
                <c:pt idx="61">
                  <c:v>1794287.908671408</c:v>
                </c:pt>
                <c:pt idx="62">
                  <c:v>227762.1800763905</c:v>
                </c:pt>
                <c:pt idx="63">
                  <c:v>2384322.9165049042</c:v>
                </c:pt>
                <c:pt idx="64">
                  <c:v>1600423.5480414866</c:v>
                </c:pt>
                <c:pt idx="65">
                  <c:v>-5925148.1585204471</c:v>
                </c:pt>
                <c:pt idx="66">
                  <c:v>1395746.2967459525</c:v>
                </c:pt>
                <c:pt idx="67">
                  <c:v>2359815.9097377481</c:v>
                </c:pt>
                <c:pt idx="68">
                  <c:v>2338678.9722098652</c:v>
                </c:pt>
                <c:pt idx="69">
                  <c:v>1975334.481711233</c:v>
                </c:pt>
                <c:pt idx="70">
                  <c:v>2131030.1502638981</c:v>
                </c:pt>
                <c:pt idx="71">
                  <c:v>2411117.1494843462</c:v>
                </c:pt>
                <c:pt idx="72">
                  <c:v>1692486.577385383</c:v>
                </c:pt>
                <c:pt idx="73">
                  <c:v>650702.7104814318</c:v>
                </c:pt>
                <c:pt idx="74">
                  <c:v>1756090.0118142725</c:v>
                </c:pt>
                <c:pt idx="75">
                  <c:v>-2609830.5051261908</c:v>
                </c:pt>
                <c:pt idx="76">
                  <c:v>1353472.0233600268</c:v>
                </c:pt>
                <c:pt idx="77">
                  <c:v>1120393.5046402807</c:v>
                </c:pt>
                <c:pt idx="78">
                  <c:v>2270117.6972982902</c:v>
                </c:pt>
                <c:pt idx="79">
                  <c:v>1562591.4852936594</c:v>
                </c:pt>
                <c:pt idx="80">
                  <c:v>971444.00585951353</c:v>
                </c:pt>
                <c:pt idx="81">
                  <c:v>-12303321.154285852</c:v>
                </c:pt>
                <c:pt idx="82">
                  <c:v>519985.10238155304</c:v>
                </c:pt>
                <c:pt idx="83">
                  <c:v>-17488304.589991145</c:v>
                </c:pt>
                <c:pt idx="84">
                  <c:v>-25050348.448344857</c:v>
                </c:pt>
              </c:numCache>
            </c:numRef>
          </c:yVal>
          <c:smooth val="1"/>
        </c:ser>
        <c:axId val="57567104"/>
        <c:axId val="57551488"/>
      </c:scatterChart>
      <c:valAx>
        <c:axId val="57567104"/>
        <c:scaling>
          <c:orientation val="minMax"/>
        </c:scaling>
        <c:axPos val="b"/>
        <c:numFmt formatCode="_-* #,##0\ _₽_-;\-* #,##0\ _₽_-;_-* &quot;-&quot;??\ _₽_-;_-@_-" sourceLinked="1"/>
        <c:tickLblPos val="nextTo"/>
        <c:crossAx val="57551488"/>
        <c:crosses val="autoZero"/>
        <c:crossBetween val="midCat"/>
      </c:valAx>
      <c:valAx>
        <c:axId val="57551488"/>
        <c:scaling>
          <c:orientation val="minMax"/>
        </c:scaling>
        <c:axPos val="l"/>
        <c:majorGridlines/>
        <c:numFmt formatCode="#,##0" sourceLinked="1"/>
        <c:tickLblPos val="nextTo"/>
        <c:crossAx val="57567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219334225721351"/>
          <c:y val="0.36247820584926882"/>
          <c:w val="0.18780665774278643"/>
          <c:h val="0.34944811586051744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8465</xdr:colOff>
      <xdr:row>2</xdr:row>
      <xdr:rowOff>8467</xdr:rowOff>
    </xdr:from>
    <xdr:to>
      <xdr:col>35</xdr:col>
      <xdr:colOff>601133</xdr:colOff>
      <xdr:row>19</xdr:row>
      <xdr:rowOff>169332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16931</xdr:colOff>
      <xdr:row>36</xdr:row>
      <xdr:rowOff>186266</xdr:rowOff>
    </xdr:from>
    <xdr:to>
      <xdr:col>35</xdr:col>
      <xdr:colOff>601134</xdr:colOff>
      <xdr:row>51</xdr:row>
      <xdr:rowOff>609600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topLeftCell="L1" zoomScale="50" zoomScaleNormal="50" workbookViewId="0">
      <selection activeCell="AE1" sqref="AE1"/>
    </sheetView>
  </sheetViews>
  <sheetFormatPr defaultRowHeight="14.4"/>
  <cols>
    <col min="1" max="1" width="22.6640625" customWidth="1"/>
    <col min="2" max="2" width="21.88671875" customWidth="1"/>
    <col min="3" max="3" width="18.77734375" customWidth="1"/>
    <col min="4" max="4" width="24.33203125" customWidth="1"/>
    <col min="5" max="5" width="24.77734375" customWidth="1"/>
    <col min="6" max="6" width="26.5546875" customWidth="1"/>
    <col min="7" max="7" width="17.109375" customWidth="1"/>
    <col min="8" max="9" width="30.109375" style="32" customWidth="1"/>
    <col min="10" max="11" width="21.88671875" style="32" customWidth="1"/>
    <col min="12" max="12" width="21.21875" customWidth="1"/>
    <col min="13" max="15" width="21.21875" style="32" customWidth="1"/>
    <col min="16" max="16" width="32.6640625" style="32" customWidth="1"/>
    <col min="17" max="21" width="21.21875" style="32" customWidth="1"/>
    <col min="22" max="22" width="24.109375" customWidth="1"/>
    <col min="23" max="23" width="19.6640625" customWidth="1"/>
    <col min="24" max="24" width="22.88671875" customWidth="1"/>
  </cols>
  <sheetData>
    <row r="1" spans="1:37" ht="100.8">
      <c r="B1" s="25" t="s">
        <v>98</v>
      </c>
    </row>
    <row r="2" spans="1:37" ht="86.4">
      <c r="A2" s="1" t="s">
        <v>0</v>
      </c>
      <c r="B2" s="17" t="s">
        <v>86</v>
      </c>
      <c r="C2" s="17" t="s">
        <v>89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 t="s">
        <v>97</v>
      </c>
      <c r="U2" s="51"/>
      <c r="V2" s="31"/>
      <c r="W2" s="31"/>
      <c r="X2" s="31"/>
      <c r="Y2" s="27" t="s">
        <v>106</v>
      </c>
      <c r="Z2" s="31"/>
      <c r="AA2" s="26"/>
      <c r="AB2" s="31"/>
      <c r="AC2" s="31"/>
      <c r="AD2" s="31"/>
      <c r="AE2" s="31"/>
      <c r="AF2" s="31"/>
      <c r="AG2" s="31"/>
      <c r="AH2" s="31"/>
      <c r="AI2" s="31"/>
      <c r="AJ2" s="31"/>
    </row>
    <row r="3" spans="1:37" ht="25.8">
      <c r="A3" s="13"/>
      <c r="B3" s="8" t="s">
        <v>90</v>
      </c>
      <c r="C3" s="9" t="s">
        <v>91</v>
      </c>
      <c r="D3" s="9" t="s">
        <v>92</v>
      </c>
      <c r="E3" s="9" t="s">
        <v>93</v>
      </c>
      <c r="F3" s="9" t="s">
        <v>94</v>
      </c>
      <c r="G3" s="9" t="s">
        <v>113</v>
      </c>
      <c r="H3" s="9" t="s">
        <v>119</v>
      </c>
      <c r="I3" s="9" t="s">
        <v>120</v>
      </c>
      <c r="J3" s="9" t="s">
        <v>117</v>
      </c>
      <c r="K3" s="9" t="s">
        <v>121</v>
      </c>
      <c r="L3" s="9" t="s">
        <v>116</v>
      </c>
      <c r="M3" s="9" t="s">
        <v>133</v>
      </c>
      <c r="N3" s="9" t="s">
        <v>134</v>
      </c>
      <c r="O3" s="9" t="s">
        <v>135</v>
      </c>
      <c r="P3" s="9" t="s">
        <v>136</v>
      </c>
      <c r="Q3" s="9" t="s">
        <v>137</v>
      </c>
      <c r="R3" s="9" t="s">
        <v>138</v>
      </c>
      <c r="S3" s="9" t="s">
        <v>139</v>
      </c>
      <c r="T3" s="9" t="s">
        <v>140</v>
      </c>
      <c r="U3" s="49"/>
      <c r="AK3" s="28"/>
    </row>
    <row r="4" spans="1:37">
      <c r="A4" s="2" t="s">
        <v>1</v>
      </c>
      <c r="B4" s="16">
        <v>579106</v>
      </c>
      <c r="C4" s="4">
        <v>1295</v>
      </c>
      <c r="D4" s="22">
        <f>B4^2</f>
        <v>335363759236</v>
      </c>
      <c r="E4" s="21">
        <f>C4^2</f>
        <v>1677025</v>
      </c>
      <c r="F4" s="22">
        <f>B4*C4</f>
        <v>749942270</v>
      </c>
      <c r="G4" s="22">
        <f>$W$41 + $W$40 * B4</f>
        <v>3863.3062780826967</v>
      </c>
      <c r="H4" s="43">
        <f>1/B4</f>
        <v>1.7267995841866601E-6</v>
      </c>
      <c r="I4" s="43">
        <f xml:space="preserve"> H4^2</f>
        <v>2.9818368039472222E-12</v>
      </c>
      <c r="J4" s="43">
        <f>C4*H4</f>
        <v>2.2362054615217247E-3</v>
      </c>
      <c r="K4" s="43">
        <f xml:space="preserve"> C4*H4</f>
        <v>2.2362054615217247E-3</v>
      </c>
      <c r="L4" s="22">
        <f>$W$48+($W$49/B4)</f>
        <v>1877109.3216342195</v>
      </c>
      <c r="M4" s="22">
        <f>C4-G4</f>
        <v>-2568.3062780826967</v>
      </c>
      <c r="N4" s="22">
        <f>M4^2</f>
        <v>6596197.1380389947</v>
      </c>
      <c r="O4" s="22">
        <f>C4-L4</f>
        <v>-1875814.3216342195</v>
      </c>
      <c r="P4" s="22">
        <f>O4^2</f>
        <v>3518679369248.0469</v>
      </c>
      <c r="Q4" s="22">
        <f>ABS(C4-G4)</f>
        <v>2568.3062780826967</v>
      </c>
      <c r="R4" s="42">
        <f>Q4/C4</f>
        <v>1.9832480911835495</v>
      </c>
      <c r="S4" s="22">
        <f>ABS(C4-L4)</f>
        <v>1875814.3216342195</v>
      </c>
      <c r="T4" s="22">
        <f>S4/C4</f>
        <v>1448.5052676712119</v>
      </c>
      <c r="U4" s="48"/>
    </row>
    <row r="5" spans="1:37">
      <c r="A5" s="2" t="s">
        <v>2</v>
      </c>
      <c r="B5" s="16">
        <v>376102</v>
      </c>
      <c r="C5" s="4">
        <v>4760</v>
      </c>
      <c r="D5" s="22">
        <f>B5^2</f>
        <v>141452714404</v>
      </c>
      <c r="E5" s="21">
        <f>C5^2</f>
        <v>22657600</v>
      </c>
      <c r="F5" s="22">
        <f>B5*C5</f>
        <v>1790245520</v>
      </c>
      <c r="G5" s="22">
        <f t="shared" ref="G5:G68" si="0">$W$41 + $W$40 * B5</f>
        <v>1141.2107051960047</v>
      </c>
      <c r="H5" s="43">
        <f>1/B5</f>
        <v>2.6588531834449165E-6</v>
      </c>
      <c r="I5" s="43">
        <f t="shared" ref="I5:I68" si="1" xml:space="preserve"> H5^2</f>
        <v>7.0695002511151666E-12</v>
      </c>
      <c r="J5" s="43">
        <f t="shared" ref="J5:J68" si="2">C5*H5</f>
        <v>1.2656141153197803E-2</v>
      </c>
      <c r="K5" s="43">
        <f t="shared" ref="K5:K68" si="3" xml:space="preserve"> C5*H5</f>
        <v>1.2656141153197803E-2</v>
      </c>
      <c r="L5" s="22">
        <f t="shared" ref="L5:L68" si="4">$W$48+($W$49/B5)</f>
        <v>1366453.6365549632</v>
      </c>
      <c r="M5" s="22">
        <f t="shared" ref="M5:M68" si="5">C5-G5</f>
        <v>3618.7892948039953</v>
      </c>
      <c r="N5" s="22">
        <f t="shared" ref="N5:N68" si="6">M5^2</f>
        <v>13095635.960187998</v>
      </c>
      <c r="O5" s="22">
        <f>C5-L5</f>
        <v>-1361693.6365549632</v>
      </c>
      <c r="P5" s="22">
        <f t="shared" ref="P5:P68" si="7">O5^2</f>
        <v>1854209559834.2803</v>
      </c>
      <c r="Q5" s="22">
        <f t="shared" ref="Q5:Q68" si="8">ABS(C5-G5)</f>
        <v>3618.7892948039953</v>
      </c>
      <c r="R5" s="42">
        <f t="shared" ref="R5:R68" si="9">Q5/C5</f>
        <v>0.76024985184957883</v>
      </c>
      <c r="S5" s="22">
        <f t="shared" ref="S5:S68" si="10">ABS(C5-L5)</f>
        <v>1361693.6365549632</v>
      </c>
      <c r="T5" s="22">
        <f t="shared" ref="T5:T68" si="11">S5/C5</f>
        <v>286.07009171322755</v>
      </c>
      <c r="U5" s="48"/>
    </row>
    <row r="6" spans="1:37">
      <c r="A6" s="2" t="s">
        <v>3</v>
      </c>
      <c r="B6" s="16">
        <v>1230119</v>
      </c>
      <c r="C6" s="4">
        <v>7073</v>
      </c>
      <c r="D6" s="22">
        <f t="shared" ref="D6:D69" si="12">B6^2</f>
        <v>1513192754161</v>
      </c>
      <c r="E6" s="21">
        <f t="shared" ref="E6:E69" si="13">C6^2</f>
        <v>50027329</v>
      </c>
      <c r="F6" s="22">
        <f t="shared" ref="F6:F69" si="14">B6*C6</f>
        <v>8700631687</v>
      </c>
      <c r="G6" s="22">
        <f t="shared" si="0"/>
        <v>12592.787496145807</v>
      </c>
      <c r="H6" s="43">
        <f t="shared" ref="H6:H69" si="15">1/B6</f>
        <v>8.1292948080632844E-7</v>
      </c>
      <c r="I6" s="43">
        <f t="shared" si="1"/>
        <v>6.6085434076404676E-13</v>
      </c>
      <c r="J6" s="43">
        <f t="shared" si="2"/>
        <v>5.7498502177431611E-3</v>
      </c>
      <c r="K6" s="43">
        <f t="shared" si="3"/>
        <v>5.7498502177431611E-3</v>
      </c>
      <c r="L6" s="22">
        <f t="shared" si="4"/>
        <v>2377802.5908695078</v>
      </c>
      <c r="M6" s="22">
        <f t="shared" si="5"/>
        <v>-5519.7874961458074</v>
      </c>
      <c r="N6" s="22">
        <f t="shared" si="6"/>
        <v>30468054.002607603</v>
      </c>
      <c r="O6" s="22">
        <f>C6-L6</f>
        <v>-2370729.5908695078</v>
      </c>
      <c r="P6" s="22">
        <f t="shared" si="7"/>
        <v>5620358793024.3037</v>
      </c>
      <c r="Q6" s="22">
        <f t="shared" si="8"/>
        <v>5519.7874961458074</v>
      </c>
      <c r="R6" s="42">
        <f t="shared" si="9"/>
        <v>0.78040258675891527</v>
      </c>
      <c r="S6" s="22">
        <f t="shared" si="10"/>
        <v>2370729.5908695078</v>
      </c>
      <c r="T6" s="22">
        <f t="shared" si="11"/>
        <v>335.18020512788178</v>
      </c>
      <c r="U6" s="48"/>
    </row>
    <row r="7" spans="1:37">
      <c r="A7" s="2" t="s">
        <v>4</v>
      </c>
      <c r="B7" s="16">
        <v>825148</v>
      </c>
      <c r="C7" s="4">
        <v>5422</v>
      </c>
      <c r="D7" s="22">
        <f t="shared" si="12"/>
        <v>680869221904</v>
      </c>
      <c r="E7" s="21">
        <f t="shared" si="13"/>
        <v>29398084</v>
      </c>
      <c r="F7" s="22">
        <f t="shared" si="14"/>
        <v>4473952456</v>
      </c>
      <c r="G7" s="22">
        <f t="shared" si="0"/>
        <v>7162.5015596741305</v>
      </c>
      <c r="H7" s="43">
        <f t="shared" si="15"/>
        <v>1.2119038039236597E-6</v>
      </c>
      <c r="I7" s="43">
        <f t="shared" si="1"/>
        <v>1.4687108299646362E-12</v>
      </c>
      <c r="J7" s="43">
        <f t="shared" si="2"/>
        <v>6.5709424248740827E-3</v>
      </c>
      <c r="K7" s="43">
        <f t="shared" si="3"/>
        <v>6.5709424248740827E-3</v>
      </c>
      <c r="L7" s="22">
        <f t="shared" si="4"/>
        <v>2159211.6144893384</v>
      </c>
      <c r="M7" s="22">
        <f t="shared" si="5"/>
        <v>-1740.5015596741305</v>
      </c>
      <c r="N7" s="22">
        <f t="shared" si="6"/>
        <v>3029345.6792280809</v>
      </c>
      <c r="O7" s="22">
        <f>C7-L7</f>
        <v>-2153789.6144893384</v>
      </c>
      <c r="P7" s="22">
        <f t="shared" si="7"/>
        <v>4638809703482.1328</v>
      </c>
      <c r="Q7" s="22">
        <f t="shared" si="8"/>
        <v>1740.5015596741305</v>
      </c>
      <c r="R7" s="42">
        <f t="shared" si="9"/>
        <v>0.32100729614056261</v>
      </c>
      <c r="S7" s="22">
        <f t="shared" si="10"/>
        <v>2153789.6144893384</v>
      </c>
      <c r="T7" s="22">
        <f t="shared" si="11"/>
        <v>397.23157773687541</v>
      </c>
      <c r="U7" s="48"/>
    </row>
    <row r="8" spans="1:37">
      <c r="A8" s="2" t="s">
        <v>5</v>
      </c>
      <c r="B8" s="16">
        <v>474819</v>
      </c>
      <c r="C8" s="4">
        <v>1360</v>
      </c>
      <c r="D8" s="22">
        <f t="shared" si="12"/>
        <v>225453082761</v>
      </c>
      <c r="E8" s="21">
        <f t="shared" si="13"/>
        <v>1849600</v>
      </c>
      <c r="F8" s="22">
        <f t="shared" si="14"/>
        <v>645753840</v>
      </c>
      <c r="G8" s="22">
        <f t="shared" si="0"/>
        <v>2464.9142217210756</v>
      </c>
      <c r="H8" s="43">
        <f t="shared" si="15"/>
        <v>2.106065679764289E-6</v>
      </c>
      <c r="I8" s="43">
        <f t="shared" si="1"/>
        <v>4.4355126474810168E-12</v>
      </c>
      <c r="J8" s="43">
        <f t="shared" si="2"/>
        <v>2.864249324479433E-3</v>
      </c>
      <c r="K8" s="43">
        <f t="shared" si="3"/>
        <v>2.864249324479433E-3</v>
      </c>
      <c r="L8" s="22">
        <f t="shared" si="4"/>
        <v>1669316.1346129386</v>
      </c>
      <c r="M8" s="22">
        <f t="shared" si="5"/>
        <v>-1104.9142217210756</v>
      </c>
      <c r="N8" s="22">
        <f t="shared" si="6"/>
        <v>1220835.4373614902</v>
      </c>
      <c r="O8" s="22">
        <f>C8-L8</f>
        <v>-1667956.1346129386</v>
      </c>
      <c r="P8" s="22">
        <f t="shared" si="7"/>
        <v>2782077666992.9355</v>
      </c>
      <c r="Q8" s="22">
        <f t="shared" si="8"/>
        <v>1104.9142217210756</v>
      </c>
      <c r="R8" s="42">
        <f t="shared" si="9"/>
        <v>0.812436927736085</v>
      </c>
      <c r="S8" s="22">
        <f t="shared" si="10"/>
        <v>1667956.1346129386</v>
      </c>
      <c r="T8" s="22">
        <f t="shared" si="11"/>
        <v>1226.4383342742196</v>
      </c>
      <c r="U8" s="48"/>
    </row>
    <row r="9" spans="1:37">
      <c r="A9" s="2" t="s">
        <v>6</v>
      </c>
      <c r="B9" s="16">
        <v>472920</v>
      </c>
      <c r="C9" s="4">
        <v>4604</v>
      </c>
      <c r="D9" s="22">
        <f t="shared" si="12"/>
        <v>223653326400</v>
      </c>
      <c r="E9" s="21">
        <f t="shared" si="13"/>
        <v>21196816</v>
      </c>
      <c r="F9" s="22">
        <f t="shared" si="14"/>
        <v>2177323680</v>
      </c>
      <c r="G9" s="22">
        <f t="shared" si="0"/>
        <v>2439.4503909940368</v>
      </c>
      <c r="H9" s="43">
        <f t="shared" si="15"/>
        <v>2.1145225408102851E-6</v>
      </c>
      <c r="I9" s="43">
        <f t="shared" si="1"/>
        <v>4.4712055755947838E-12</v>
      </c>
      <c r="J9" s="43">
        <f t="shared" si="2"/>
        <v>9.7352617778905526E-3</v>
      </c>
      <c r="K9" s="43">
        <f t="shared" si="3"/>
        <v>9.7352617778905526E-3</v>
      </c>
      <c r="L9" s="22">
        <f t="shared" si="4"/>
        <v>1664682.7699925993</v>
      </c>
      <c r="M9" s="22">
        <f t="shared" si="5"/>
        <v>2164.5496090059632</v>
      </c>
      <c r="N9" s="22">
        <f t="shared" si="6"/>
        <v>4685275.0098478682</v>
      </c>
      <c r="O9" s="22">
        <f>C9-L9</f>
        <v>-1660078.7699925993</v>
      </c>
      <c r="P9" s="22">
        <f t="shared" si="7"/>
        <v>2755861522580.1411</v>
      </c>
      <c r="Q9" s="22">
        <f t="shared" si="8"/>
        <v>2164.5496090059632</v>
      </c>
      <c r="R9" s="42">
        <f t="shared" si="9"/>
        <v>0.47014544070503111</v>
      </c>
      <c r="S9" s="22">
        <f t="shared" si="10"/>
        <v>1660078.7699925993</v>
      </c>
      <c r="T9" s="22">
        <f t="shared" si="11"/>
        <v>360.57314726164191</v>
      </c>
      <c r="U9" s="48"/>
    </row>
    <row r="10" spans="1:37">
      <c r="A10" s="2" t="s">
        <v>7</v>
      </c>
      <c r="B10" s="16">
        <v>282054</v>
      </c>
      <c r="C10" s="4">
        <v>1153</v>
      </c>
      <c r="D10" s="22">
        <f t="shared" si="12"/>
        <v>79554458916</v>
      </c>
      <c r="E10" s="21">
        <f t="shared" si="13"/>
        <v>1329409</v>
      </c>
      <c r="F10" s="22">
        <f t="shared" si="14"/>
        <v>325208262</v>
      </c>
      <c r="G10" s="22">
        <f t="shared" si="0"/>
        <v>-119.88584678744246</v>
      </c>
      <c r="H10" s="43">
        <f t="shared" si="15"/>
        <v>3.5454203804945154E-6</v>
      </c>
      <c r="I10" s="43">
        <f t="shared" si="1"/>
        <v>1.2570005674425874E-11</v>
      </c>
      <c r="J10" s="43">
        <f t="shared" si="2"/>
        <v>4.0878696987101766E-3</v>
      </c>
      <c r="K10" s="43">
        <f t="shared" si="3"/>
        <v>4.0878696987101766E-3</v>
      </c>
      <c r="L10" s="22">
        <f t="shared" si="4"/>
        <v>880719.14688779251</v>
      </c>
      <c r="M10" s="22">
        <f t="shared" si="5"/>
        <v>1272.8858467874425</v>
      </c>
      <c r="N10" s="22">
        <f t="shared" si="6"/>
        <v>1620238.3789517845</v>
      </c>
      <c r="O10" s="22">
        <f>C10-L10</f>
        <v>-879566.14688779251</v>
      </c>
      <c r="P10" s="22">
        <f t="shared" si="7"/>
        <v>773636606751.03784</v>
      </c>
      <c r="Q10" s="22">
        <f t="shared" si="8"/>
        <v>1272.8858467874425</v>
      </c>
      <c r="R10" s="42">
        <f t="shared" si="9"/>
        <v>1.1039773172484324</v>
      </c>
      <c r="S10" s="22">
        <f t="shared" si="10"/>
        <v>879566.14688779251</v>
      </c>
      <c r="T10" s="22">
        <f t="shared" si="11"/>
        <v>762.85008403104291</v>
      </c>
      <c r="U10" s="48"/>
    </row>
    <row r="11" spans="1:37">
      <c r="A11" s="2" t="s">
        <v>8</v>
      </c>
      <c r="B11" s="16">
        <v>323761</v>
      </c>
      <c r="C11" s="4">
        <v>1719</v>
      </c>
      <c r="D11" s="22">
        <f t="shared" si="12"/>
        <v>104821185121</v>
      </c>
      <c r="E11" s="21">
        <f t="shared" si="13"/>
        <v>2954961</v>
      </c>
      <c r="F11" s="22">
        <f t="shared" si="14"/>
        <v>556545159</v>
      </c>
      <c r="G11" s="22">
        <f t="shared" si="0"/>
        <v>439.36638498328739</v>
      </c>
      <c r="H11" s="43">
        <f t="shared" si="15"/>
        <v>3.0886981446190246E-6</v>
      </c>
      <c r="I11" s="43">
        <f t="shared" si="1"/>
        <v>9.5400562285730045E-12</v>
      </c>
      <c r="J11" s="43">
        <f t="shared" si="2"/>
        <v>5.3094721106001037E-3</v>
      </c>
      <c r="K11" s="43">
        <f t="shared" si="3"/>
        <v>5.3094721106001037E-3</v>
      </c>
      <c r="L11" s="22">
        <f t="shared" si="4"/>
        <v>1130949.1834839012</v>
      </c>
      <c r="M11" s="22">
        <f t="shared" si="5"/>
        <v>1279.6336150167126</v>
      </c>
      <c r="N11" s="22">
        <f t="shared" si="6"/>
        <v>1637462.1886807403</v>
      </c>
      <c r="O11" s="22">
        <f>C11-L11</f>
        <v>-1129230.1834839012</v>
      </c>
      <c r="P11" s="22">
        <f t="shared" si="7"/>
        <v>1275160807291.0852</v>
      </c>
      <c r="Q11" s="22">
        <f t="shared" si="8"/>
        <v>1279.6336150167126</v>
      </c>
      <c r="R11" s="42">
        <f t="shared" si="9"/>
        <v>0.74440582607138606</v>
      </c>
      <c r="S11" s="22">
        <f t="shared" si="10"/>
        <v>1129230.1834839012</v>
      </c>
      <c r="T11" s="22">
        <f t="shared" si="11"/>
        <v>656.91110150314205</v>
      </c>
      <c r="U11" s="48"/>
    </row>
    <row r="12" spans="1:37">
      <c r="A12" s="2" t="s">
        <v>9</v>
      </c>
      <c r="B12" s="16">
        <v>411570</v>
      </c>
      <c r="C12" s="4">
        <v>1221</v>
      </c>
      <c r="D12" s="22">
        <f t="shared" si="12"/>
        <v>169389864900</v>
      </c>
      <c r="E12" s="21">
        <f t="shared" si="13"/>
        <v>1490841</v>
      </c>
      <c r="F12" s="22">
        <f t="shared" si="14"/>
        <v>502526970</v>
      </c>
      <c r="G12" s="22">
        <f t="shared" si="0"/>
        <v>1616.8037269056513</v>
      </c>
      <c r="H12" s="43">
        <f t="shared" si="15"/>
        <v>2.4297203391889595E-6</v>
      </c>
      <c r="I12" s="43">
        <f t="shared" si="1"/>
        <v>5.903540926668512E-12</v>
      </c>
      <c r="J12" s="43">
        <f t="shared" si="2"/>
        <v>2.9666885341497196E-3</v>
      </c>
      <c r="K12" s="43">
        <f t="shared" si="3"/>
        <v>2.9666885341497196E-3</v>
      </c>
      <c r="L12" s="22">
        <f t="shared" si="4"/>
        <v>1491991.4700559562</v>
      </c>
      <c r="M12" s="22">
        <f t="shared" si="5"/>
        <v>-395.80372690565127</v>
      </c>
      <c r="N12" s="22">
        <f t="shared" si="6"/>
        <v>156660.59023240337</v>
      </c>
      <c r="O12" s="22">
        <f>C12-L12</f>
        <v>-1490770.4700559562</v>
      </c>
      <c r="P12" s="22">
        <f t="shared" si="7"/>
        <v>2222396594390.8564</v>
      </c>
      <c r="Q12" s="22">
        <f t="shared" si="8"/>
        <v>395.80372690565127</v>
      </c>
      <c r="R12" s="42">
        <f t="shared" si="9"/>
        <v>0.32416357649930488</v>
      </c>
      <c r="S12" s="22">
        <f t="shared" si="10"/>
        <v>1490770.4700559562</v>
      </c>
      <c r="T12" s="22">
        <f t="shared" si="11"/>
        <v>1220.9422359180639</v>
      </c>
      <c r="U12" s="48"/>
    </row>
    <row r="13" spans="1:37">
      <c r="A13" s="2" t="s">
        <v>10</v>
      </c>
      <c r="B13" s="16">
        <v>11065573</v>
      </c>
      <c r="C13" s="4">
        <v>267154</v>
      </c>
      <c r="D13" s="22">
        <f t="shared" si="12"/>
        <v>122446905818329</v>
      </c>
      <c r="E13" s="21">
        <f t="shared" si="13"/>
        <v>71371259716</v>
      </c>
      <c r="F13" s="22">
        <f t="shared" si="14"/>
        <v>2956212089242</v>
      </c>
      <c r="G13" s="22">
        <f t="shared" si="0"/>
        <v>144477.11386769864</v>
      </c>
      <c r="H13" s="43">
        <f t="shared" si="15"/>
        <v>9.0370376662826226E-8</v>
      </c>
      <c r="I13" s="43">
        <f t="shared" si="1"/>
        <v>8.1668049781810863E-15</v>
      </c>
      <c r="J13" s="43">
        <f t="shared" si="2"/>
        <v>2.4142807606980676E-2</v>
      </c>
      <c r="K13" s="43">
        <f t="shared" si="3"/>
        <v>2.4142807606980676E-2</v>
      </c>
      <c r="L13" s="22">
        <f t="shared" si="4"/>
        <v>2773679.9466678151</v>
      </c>
      <c r="M13" s="22">
        <f t="shared" si="5"/>
        <v>122676.88613230136</v>
      </c>
      <c r="N13" s="22">
        <f t="shared" si="6"/>
        <v>15049618391.117632</v>
      </c>
      <c r="O13" s="22">
        <f>C13-L13</f>
        <v>-2506525.9466678151</v>
      </c>
      <c r="P13" s="22">
        <f t="shared" si="7"/>
        <v>6282672321318.9863</v>
      </c>
      <c r="Q13" s="22">
        <f t="shared" si="8"/>
        <v>122676.88613230136</v>
      </c>
      <c r="R13" s="42">
        <f t="shared" si="9"/>
        <v>0.45919913657404104</v>
      </c>
      <c r="S13" s="22">
        <f t="shared" si="10"/>
        <v>2506525.9466678151</v>
      </c>
      <c r="T13" s="22">
        <f t="shared" si="11"/>
        <v>9.3823260990582771</v>
      </c>
      <c r="U13" s="48"/>
    </row>
    <row r="14" spans="1:37">
      <c r="A14" s="2" t="s">
        <v>11</v>
      </c>
      <c r="B14" s="16">
        <v>246358</v>
      </c>
      <c r="C14" s="4">
        <v>1342</v>
      </c>
      <c r="D14" s="22">
        <f t="shared" si="12"/>
        <v>60692264164</v>
      </c>
      <c r="E14" s="21">
        <f t="shared" si="13"/>
        <v>1800964</v>
      </c>
      <c r="F14" s="22">
        <f t="shared" si="14"/>
        <v>330612436</v>
      </c>
      <c r="G14" s="22">
        <f t="shared" si="0"/>
        <v>-598.5361372731636</v>
      </c>
      <c r="H14" s="43">
        <f t="shared" si="15"/>
        <v>4.0591334561897727E-6</v>
      </c>
      <c r="I14" s="43">
        <f t="shared" si="1"/>
        <v>1.647656441515913E-11</v>
      </c>
      <c r="J14" s="43">
        <f t="shared" si="2"/>
        <v>5.4473570982066753E-3</v>
      </c>
      <c r="K14" s="43">
        <f t="shared" si="3"/>
        <v>5.4473570982066753E-3</v>
      </c>
      <c r="L14" s="22">
        <f t="shared" si="4"/>
        <v>599264.83695100294</v>
      </c>
      <c r="M14" s="22">
        <f t="shared" si="5"/>
        <v>1940.5361372731636</v>
      </c>
      <c r="N14" s="22">
        <f t="shared" si="6"/>
        <v>3765680.5000630505</v>
      </c>
      <c r="O14" s="22">
        <f>C14-L14</f>
        <v>-597922.83695100294</v>
      </c>
      <c r="P14" s="22">
        <f t="shared" si="7"/>
        <v>357511718947.53564</v>
      </c>
      <c r="Q14" s="22">
        <f t="shared" si="8"/>
        <v>1940.5361372731636</v>
      </c>
      <c r="R14" s="42">
        <f t="shared" si="9"/>
        <v>1.4460030829159192</v>
      </c>
      <c r="S14" s="22">
        <f t="shared" si="10"/>
        <v>597922.83695100294</v>
      </c>
      <c r="T14" s="22">
        <f t="shared" si="11"/>
        <v>445.54607820492021</v>
      </c>
      <c r="U14" s="48"/>
    </row>
    <row r="15" spans="1:37">
      <c r="A15" s="2" t="s">
        <v>12</v>
      </c>
      <c r="B15" s="16">
        <v>636682</v>
      </c>
      <c r="C15" s="4">
        <v>2991</v>
      </c>
      <c r="D15" s="22">
        <f t="shared" si="12"/>
        <v>405363969124</v>
      </c>
      <c r="E15" s="21">
        <f t="shared" si="13"/>
        <v>8946081</v>
      </c>
      <c r="F15" s="22">
        <f t="shared" si="14"/>
        <v>1904315862</v>
      </c>
      <c r="G15" s="22">
        <f t="shared" si="0"/>
        <v>4635.3470984829055</v>
      </c>
      <c r="H15" s="43">
        <f t="shared" si="15"/>
        <v>1.570642801272849E-6</v>
      </c>
      <c r="I15" s="43">
        <f t="shared" si="1"/>
        <v>2.466918809190222E-12</v>
      </c>
      <c r="J15" s="43">
        <f t="shared" si="2"/>
        <v>4.697792618607091E-3</v>
      </c>
      <c r="K15" s="43">
        <f t="shared" si="3"/>
        <v>4.697792618607091E-3</v>
      </c>
      <c r="L15" s="22">
        <f t="shared" si="4"/>
        <v>1962664.8615968195</v>
      </c>
      <c r="M15" s="22">
        <f t="shared" si="5"/>
        <v>-1644.3470984829055</v>
      </c>
      <c r="N15" s="22">
        <f t="shared" si="6"/>
        <v>2703877.3802891499</v>
      </c>
      <c r="O15" s="22">
        <f>C15-L15</f>
        <v>-1959673.8615968195</v>
      </c>
      <c r="P15" s="22">
        <f t="shared" si="7"/>
        <v>3840321643825.7905</v>
      </c>
      <c r="Q15" s="22">
        <f t="shared" si="8"/>
        <v>1644.3470984829055</v>
      </c>
      <c r="R15" s="42">
        <f t="shared" si="9"/>
        <v>0.54976499447773508</v>
      </c>
      <c r="S15" s="22">
        <f t="shared" si="10"/>
        <v>1959673.8615968195</v>
      </c>
      <c r="T15" s="22">
        <f t="shared" si="11"/>
        <v>655.19019110558997</v>
      </c>
      <c r="U15" s="48"/>
    </row>
    <row r="16" spans="1:37">
      <c r="A16" s="2" t="s">
        <v>13</v>
      </c>
      <c r="B16" s="16">
        <v>266211</v>
      </c>
      <c r="C16" s="4">
        <v>1989</v>
      </c>
      <c r="D16" s="22">
        <f t="shared" si="12"/>
        <v>70868296521</v>
      </c>
      <c r="E16" s="21">
        <f t="shared" si="13"/>
        <v>3956121</v>
      </c>
      <c r="F16" s="22">
        <f t="shared" si="14"/>
        <v>529493679</v>
      </c>
      <c r="G16" s="22">
        <f t="shared" si="0"/>
        <v>-332.32579950386116</v>
      </c>
      <c r="H16" s="43">
        <f t="shared" si="15"/>
        <v>3.7564187805913354E-6</v>
      </c>
      <c r="I16" s="43">
        <f t="shared" si="1"/>
        <v>1.4110682055179296E-11</v>
      </c>
      <c r="J16" s="43">
        <f t="shared" si="2"/>
        <v>7.4715169545961661E-3</v>
      </c>
      <c r="K16" s="43">
        <f t="shared" si="3"/>
        <v>7.4715169545961661E-3</v>
      </c>
      <c r="L16" s="22">
        <f t="shared" si="4"/>
        <v>765116.85466144839</v>
      </c>
      <c r="M16" s="22">
        <f t="shared" si="5"/>
        <v>2321.3257995038612</v>
      </c>
      <c r="N16" s="22">
        <f t="shared" si="6"/>
        <v>5388553.4674422406</v>
      </c>
      <c r="O16" s="22">
        <f>C16-L16</f>
        <v>-763127.85466144839</v>
      </c>
      <c r="P16" s="22">
        <f t="shared" si="7"/>
        <v>582364122560.18469</v>
      </c>
      <c r="Q16" s="22">
        <f t="shared" si="8"/>
        <v>2321.3257995038612</v>
      </c>
      <c r="R16" s="42">
        <f t="shared" si="9"/>
        <v>1.1670818499265265</v>
      </c>
      <c r="S16" s="22">
        <f t="shared" si="10"/>
        <v>763127.85466144839</v>
      </c>
      <c r="T16" s="22">
        <f t="shared" si="11"/>
        <v>383.67413507362915</v>
      </c>
      <c r="U16" s="48"/>
    </row>
    <row r="17" spans="1:37">
      <c r="A17" s="2" t="s">
        <v>14</v>
      </c>
      <c r="B17" s="16">
        <v>310306</v>
      </c>
      <c r="C17" s="4">
        <v>1576</v>
      </c>
      <c r="D17" s="22">
        <f t="shared" si="12"/>
        <v>96289813636</v>
      </c>
      <c r="E17" s="21">
        <f t="shared" si="13"/>
        <v>2483776</v>
      </c>
      <c r="F17" s="22">
        <f t="shared" si="14"/>
        <v>489042256</v>
      </c>
      <c r="G17" s="22">
        <f t="shared" si="0"/>
        <v>258.94729997417198</v>
      </c>
      <c r="H17" s="43">
        <f t="shared" si="15"/>
        <v>3.2226254084677707E-6</v>
      </c>
      <c r="I17" s="43">
        <f t="shared" si="1"/>
        <v>1.0385314523302066E-11</v>
      </c>
      <c r="J17" s="43">
        <f t="shared" si="2"/>
        <v>5.0788576437452064E-3</v>
      </c>
      <c r="K17" s="43">
        <f t="shared" si="3"/>
        <v>5.0788576437452064E-3</v>
      </c>
      <c r="L17" s="22">
        <f t="shared" si="4"/>
        <v>1057572.8039217193</v>
      </c>
      <c r="M17" s="22">
        <f t="shared" si="5"/>
        <v>1317.052700025828</v>
      </c>
      <c r="N17" s="22">
        <f t="shared" si="6"/>
        <v>1734627.8146453237</v>
      </c>
      <c r="O17" s="22">
        <f>C17-L17</f>
        <v>-1055996.8039217193</v>
      </c>
      <c r="P17" s="22">
        <f t="shared" si="7"/>
        <v>1115129249892.8862</v>
      </c>
      <c r="Q17" s="22">
        <f t="shared" si="8"/>
        <v>1317.052700025828</v>
      </c>
      <c r="R17" s="42">
        <f t="shared" si="9"/>
        <v>0.8356933375798401</v>
      </c>
      <c r="S17" s="22">
        <f t="shared" si="10"/>
        <v>1055996.8039217193</v>
      </c>
      <c r="T17" s="22">
        <f t="shared" si="11"/>
        <v>670.04873345286762</v>
      </c>
      <c r="U17" s="48"/>
    </row>
    <row r="18" spans="1:37">
      <c r="A18" s="2" t="s">
        <v>15</v>
      </c>
      <c r="B18" s="16">
        <v>1269993</v>
      </c>
      <c r="C18" s="4">
        <v>6556</v>
      </c>
      <c r="D18" s="22">
        <f t="shared" si="12"/>
        <v>1612882220049</v>
      </c>
      <c r="E18" s="21">
        <f t="shared" si="13"/>
        <v>42981136</v>
      </c>
      <c r="F18" s="22">
        <f t="shared" si="14"/>
        <v>8326074108</v>
      </c>
      <c r="G18" s="22">
        <f t="shared" si="0"/>
        <v>13127.46089604573</v>
      </c>
      <c r="H18" s="43">
        <f t="shared" si="15"/>
        <v>7.8740591483575103E-7</v>
      </c>
      <c r="I18" s="43">
        <f t="shared" si="1"/>
        <v>6.2000807471832602E-13</v>
      </c>
      <c r="J18" s="43">
        <f t="shared" si="2"/>
        <v>5.1622331776631841E-3</v>
      </c>
      <c r="K18" s="43">
        <f t="shared" si="3"/>
        <v>5.1622331776631841E-3</v>
      </c>
      <c r="L18" s="22">
        <f t="shared" si="4"/>
        <v>2391786.5013192324</v>
      </c>
      <c r="M18" s="22">
        <f t="shared" si="5"/>
        <v>-6571.4608960457299</v>
      </c>
      <c r="N18" s="22">
        <f t="shared" si="6"/>
        <v>43184098.308258146</v>
      </c>
      <c r="O18" s="22">
        <f>C18-L18</f>
        <v>-2385230.5013192324</v>
      </c>
      <c r="P18" s="22">
        <f t="shared" si="7"/>
        <v>5689324544423.5967</v>
      </c>
      <c r="Q18" s="22">
        <f t="shared" si="8"/>
        <v>6571.4608960457299</v>
      </c>
      <c r="R18" s="42">
        <f t="shared" si="9"/>
        <v>1.0023582818861698</v>
      </c>
      <c r="S18" s="22">
        <f t="shared" si="10"/>
        <v>2385230.5013192324</v>
      </c>
      <c r="T18" s="22">
        <f t="shared" si="11"/>
        <v>363.82405450262848</v>
      </c>
      <c r="U18" s="48"/>
    </row>
    <row r="19" spans="1:37">
      <c r="A19" s="2" t="s">
        <v>16</v>
      </c>
      <c r="B19" s="16">
        <v>576845</v>
      </c>
      <c r="C19" s="4">
        <v>2793</v>
      </c>
      <c r="D19" s="22">
        <f t="shared" si="12"/>
        <v>332750154025</v>
      </c>
      <c r="E19" s="21">
        <f t="shared" si="13"/>
        <v>7800849</v>
      </c>
      <c r="F19" s="22">
        <f t="shared" si="14"/>
        <v>1611128085</v>
      </c>
      <c r="G19" s="22">
        <f t="shared" si="0"/>
        <v>3832.9883627199606</v>
      </c>
      <c r="H19" s="43">
        <f t="shared" si="15"/>
        <v>1.7335679428616006E-6</v>
      </c>
      <c r="I19" s="43">
        <f t="shared" si="1"/>
        <v>3.0052578125174019E-12</v>
      </c>
      <c r="J19" s="43">
        <f t="shared" si="2"/>
        <v>4.8418552644124502E-3</v>
      </c>
      <c r="K19" s="43">
        <f t="shared" si="3"/>
        <v>4.8418552644124502E-3</v>
      </c>
      <c r="L19" s="22">
        <f t="shared" si="4"/>
        <v>1873401.0576043776</v>
      </c>
      <c r="M19" s="22">
        <f t="shared" si="5"/>
        <v>-1039.9883627199606</v>
      </c>
      <c r="N19" s="22">
        <f t="shared" si="6"/>
        <v>1081575.7945929444</v>
      </c>
      <c r="O19" s="22">
        <f>C19-L19</f>
        <v>-1870608.0576043776</v>
      </c>
      <c r="P19" s="22">
        <f t="shared" si="7"/>
        <v>3499174505174.4224</v>
      </c>
      <c r="Q19" s="22">
        <f t="shared" si="8"/>
        <v>1039.9883627199606</v>
      </c>
      <c r="R19" s="42">
        <f t="shared" si="9"/>
        <v>0.37235530351591856</v>
      </c>
      <c r="S19" s="22">
        <f t="shared" si="10"/>
        <v>1870608.0576043776</v>
      </c>
      <c r="T19" s="22">
        <f t="shared" si="11"/>
        <v>669.74867798223329</v>
      </c>
      <c r="U19" s="48"/>
    </row>
    <row r="20" spans="1:37">
      <c r="A20" s="2" t="s">
        <v>17</v>
      </c>
      <c r="B20" s="16">
        <v>1307768</v>
      </c>
      <c r="C20" s="4">
        <v>3598</v>
      </c>
      <c r="D20" s="22">
        <f t="shared" si="12"/>
        <v>1710257141824</v>
      </c>
      <c r="E20" s="21">
        <f t="shared" si="13"/>
        <v>12945604</v>
      </c>
      <c r="F20" s="22">
        <f t="shared" si="14"/>
        <v>4705349264</v>
      </c>
      <c r="G20" s="22">
        <f t="shared" si="0"/>
        <v>13633.988650502761</v>
      </c>
      <c r="H20" s="43">
        <f t="shared" si="15"/>
        <v>7.6466162193905955E-7</v>
      </c>
      <c r="I20" s="43">
        <f t="shared" si="1"/>
        <v>5.8470739606647321E-13</v>
      </c>
      <c r="J20" s="43">
        <f t="shared" si="2"/>
        <v>2.7512525157367363E-3</v>
      </c>
      <c r="K20" s="43">
        <f t="shared" si="3"/>
        <v>2.7512525157367363E-3</v>
      </c>
      <c r="L20" s="22">
        <f t="shared" si="4"/>
        <v>2404247.6971990038</v>
      </c>
      <c r="M20" s="22">
        <f t="shared" si="5"/>
        <v>-10035.988650502761</v>
      </c>
      <c r="N20" s="22">
        <f t="shared" si="6"/>
        <v>100721068.19302022</v>
      </c>
      <c r="O20" s="22">
        <f>C20-L20</f>
        <v>-2400649.6971990038</v>
      </c>
      <c r="P20" s="22">
        <f t="shared" si="7"/>
        <v>5763118968661.6689</v>
      </c>
      <c r="Q20" s="22">
        <f t="shared" si="8"/>
        <v>10035.988650502761</v>
      </c>
      <c r="R20" s="42">
        <f t="shared" si="9"/>
        <v>2.789324249722835</v>
      </c>
      <c r="S20" s="22">
        <f t="shared" si="10"/>
        <v>2400649.6971990038</v>
      </c>
      <c r="T20" s="22">
        <f t="shared" si="11"/>
        <v>667.21781467454241</v>
      </c>
      <c r="U20" s="48"/>
      <c r="AK20">
        <f>1</f>
        <v>1</v>
      </c>
    </row>
    <row r="21" spans="1:37">
      <c r="A21" s="2" t="s">
        <v>18</v>
      </c>
      <c r="B21" s="16">
        <v>10008848</v>
      </c>
      <c r="C21" s="4">
        <v>447426</v>
      </c>
      <c r="D21" s="22">
        <f t="shared" si="12"/>
        <v>100177038287104</v>
      </c>
      <c r="E21" s="21">
        <f t="shared" si="13"/>
        <v>200190025476</v>
      </c>
      <c r="F21" s="22">
        <f t="shared" si="14"/>
        <v>4478218825248</v>
      </c>
      <c r="G21" s="22">
        <f t="shared" si="0"/>
        <v>130307.41058964159</v>
      </c>
      <c r="H21" s="43">
        <f t="shared" si="15"/>
        <v>9.9911598217896803E-8</v>
      </c>
      <c r="I21" s="43">
        <f t="shared" si="1"/>
        <v>9.9823274584544396E-15</v>
      </c>
      <c r="J21" s="43">
        <f t="shared" si="2"/>
        <v>4.4703046744240693E-2</v>
      </c>
      <c r="K21" s="43">
        <f t="shared" si="3"/>
        <v>4.4703046744240693E-2</v>
      </c>
      <c r="L21" s="22">
        <f t="shared" si="4"/>
        <v>2768452.4800998252</v>
      </c>
      <c r="M21" s="22">
        <f t="shared" si="5"/>
        <v>317118.5894103584</v>
      </c>
      <c r="N21" s="22">
        <f t="shared" si="6"/>
        <v>100564199749.61548</v>
      </c>
      <c r="O21" s="22">
        <f>C21-L21</f>
        <v>-2321026.4800998252</v>
      </c>
      <c r="P21" s="22">
        <f t="shared" si="7"/>
        <v>5387163921324.584</v>
      </c>
      <c r="Q21" s="22">
        <f t="shared" si="8"/>
        <v>317118.5894103584</v>
      </c>
      <c r="R21" s="42">
        <f t="shared" si="9"/>
        <v>0.70876209565460746</v>
      </c>
      <c r="S21" s="22">
        <f t="shared" si="10"/>
        <v>2321026.4800998252</v>
      </c>
      <c r="T21" s="22">
        <f t="shared" si="11"/>
        <v>5.1875091749246245</v>
      </c>
      <c r="U21" s="48"/>
      <c r="V21" s="20" t="s">
        <v>102</v>
      </c>
    </row>
    <row r="22" spans="1:37">
      <c r="A22" s="2" t="s">
        <v>19</v>
      </c>
      <c r="B22" s="16">
        <v>414972</v>
      </c>
      <c r="C22" s="4">
        <v>1464</v>
      </c>
      <c r="D22" s="22">
        <f t="shared" si="12"/>
        <v>172201760784</v>
      </c>
      <c r="E22" s="21">
        <f t="shared" si="13"/>
        <v>2143296</v>
      </c>
      <c r="F22" s="22">
        <f t="shared" si="14"/>
        <v>607519008</v>
      </c>
      <c r="G22" s="22">
        <f t="shared" si="0"/>
        <v>1662.4213952223372</v>
      </c>
      <c r="H22" s="43">
        <f t="shared" si="15"/>
        <v>2.4098011432096625E-6</v>
      </c>
      <c r="I22" s="43">
        <f t="shared" si="1"/>
        <v>5.8071415498145959E-12</v>
      </c>
      <c r="J22" s="43">
        <f t="shared" si="2"/>
        <v>3.5279488736589459E-3</v>
      </c>
      <c r="K22" s="43">
        <f t="shared" si="3"/>
        <v>3.5279488736589459E-3</v>
      </c>
      <c r="L22" s="22">
        <f t="shared" si="4"/>
        <v>1502904.8452922418</v>
      </c>
      <c r="M22" s="22">
        <f t="shared" si="5"/>
        <v>-198.4213952223372</v>
      </c>
      <c r="N22" s="22">
        <f t="shared" si="6"/>
        <v>39371.050081978938</v>
      </c>
      <c r="O22" s="22">
        <f>C22-L22</f>
        <v>-1501440.8452922418</v>
      </c>
      <c r="P22" s="22">
        <f t="shared" si="7"/>
        <v>2254324611911.8813</v>
      </c>
      <c r="Q22" s="22">
        <f t="shared" si="8"/>
        <v>198.4213952223372</v>
      </c>
      <c r="R22" s="42">
        <f t="shared" si="9"/>
        <v>0.13553373990596804</v>
      </c>
      <c r="S22" s="22">
        <f t="shared" si="10"/>
        <v>1501440.8452922418</v>
      </c>
      <c r="T22" s="22">
        <f t="shared" si="11"/>
        <v>1025.5743478772142</v>
      </c>
      <c r="U22" s="48"/>
      <c r="V22" s="20" t="s">
        <v>87</v>
      </c>
    </row>
    <row r="23" spans="1:37">
      <c r="A23" s="2" t="s">
        <v>20</v>
      </c>
      <c r="B23" s="16">
        <v>320396</v>
      </c>
      <c r="C23" s="4">
        <v>1577</v>
      </c>
      <c r="D23" s="22">
        <f t="shared" si="12"/>
        <v>102653596816</v>
      </c>
      <c r="E23" s="21">
        <f t="shared" si="13"/>
        <v>2486929</v>
      </c>
      <c r="F23" s="22">
        <f t="shared" si="14"/>
        <v>505264492</v>
      </c>
      <c r="G23" s="22">
        <f t="shared" si="0"/>
        <v>394.24485238903435</v>
      </c>
      <c r="H23" s="43">
        <f t="shared" si="15"/>
        <v>3.1211375922296159E-6</v>
      </c>
      <c r="I23" s="43">
        <f t="shared" si="1"/>
        <v>9.7414998696288844E-12</v>
      </c>
      <c r="J23" s="43">
        <f t="shared" si="2"/>
        <v>4.922033982946104E-3</v>
      </c>
      <c r="K23" s="43">
        <f t="shared" si="3"/>
        <v>4.922033982946104E-3</v>
      </c>
      <c r="L23" s="22">
        <f t="shared" si="4"/>
        <v>1113176.1837804914</v>
      </c>
      <c r="M23" s="22">
        <f t="shared" si="5"/>
        <v>1182.7551476109657</v>
      </c>
      <c r="N23" s="22">
        <f t="shared" si="6"/>
        <v>1398909.7392002372</v>
      </c>
      <c r="O23" s="22">
        <f>C23-L23</f>
        <v>-1111599.1837804914</v>
      </c>
      <c r="P23" s="22">
        <f t="shared" si="7"/>
        <v>1235652745381.4546</v>
      </c>
      <c r="Q23" s="22">
        <f t="shared" si="8"/>
        <v>1182.7551476109657</v>
      </c>
      <c r="R23" s="42">
        <f t="shared" si="9"/>
        <v>0.75000326417943286</v>
      </c>
      <c r="S23" s="22">
        <f t="shared" si="10"/>
        <v>1111599.1837804914</v>
      </c>
      <c r="T23" s="22">
        <f t="shared" si="11"/>
        <v>704.88217107196658</v>
      </c>
      <c r="U23" s="48"/>
      <c r="V23" s="33" t="s">
        <v>104</v>
      </c>
      <c r="W23" s="32"/>
      <c r="X23" s="32"/>
    </row>
    <row r="24" spans="1:37">
      <c r="A24" s="2" t="s">
        <v>21</v>
      </c>
      <c r="B24" s="16">
        <v>366306</v>
      </c>
      <c r="C24" s="4">
        <v>2761</v>
      </c>
      <c r="D24" s="22">
        <f t="shared" si="12"/>
        <v>134180085636</v>
      </c>
      <c r="E24" s="21">
        <f t="shared" si="13"/>
        <v>7623121</v>
      </c>
      <c r="F24" s="22">
        <f t="shared" si="14"/>
        <v>1011370866</v>
      </c>
      <c r="G24" s="22">
        <f t="shared" si="0"/>
        <v>1009.855420413448</v>
      </c>
      <c r="H24" s="43">
        <f t="shared" si="15"/>
        <v>2.7299580132457562E-6</v>
      </c>
      <c r="I24" s="43">
        <f t="shared" si="1"/>
        <v>7.452670754084716E-12</v>
      </c>
      <c r="J24" s="43">
        <f t="shared" si="2"/>
        <v>7.5374140745715331E-3</v>
      </c>
      <c r="K24" s="43">
        <f t="shared" si="3"/>
        <v>7.5374140745715331E-3</v>
      </c>
      <c r="L24" s="22">
        <f t="shared" si="4"/>
        <v>1327496.5576881599</v>
      </c>
      <c r="M24" s="22">
        <f t="shared" si="5"/>
        <v>1751.144579586552</v>
      </c>
      <c r="N24" s="22">
        <f t="shared" si="6"/>
        <v>3066507.3386153621</v>
      </c>
      <c r="O24" s="22">
        <f>C24-L24</f>
        <v>-1324735.5576881599</v>
      </c>
      <c r="P24" s="22">
        <f t="shared" si="7"/>
        <v>1754924297803.3599</v>
      </c>
      <c r="Q24" s="22">
        <f t="shared" si="8"/>
        <v>1751.144579586552</v>
      </c>
      <c r="R24" s="42">
        <f t="shared" si="9"/>
        <v>0.63424287561990289</v>
      </c>
      <c r="S24" s="22">
        <f t="shared" si="10"/>
        <v>1324735.5576881599</v>
      </c>
      <c r="T24" s="22">
        <f t="shared" si="11"/>
        <v>479.80280973855844</v>
      </c>
      <c r="U24" s="48"/>
      <c r="V24" s="33"/>
      <c r="W24" s="33"/>
      <c r="X24" s="32"/>
    </row>
    <row r="25" spans="1:37" ht="57.6">
      <c r="A25" s="2" t="s">
        <v>22</v>
      </c>
      <c r="B25" s="16">
        <v>12261</v>
      </c>
      <c r="C25" s="5">
        <v>21</v>
      </c>
      <c r="D25" s="22">
        <f t="shared" si="12"/>
        <v>150332121</v>
      </c>
      <c r="E25" s="21">
        <f t="shared" si="13"/>
        <v>441</v>
      </c>
      <c r="F25" s="22">
        <f t="shared" si="14"/>
        <v>257481</v>
      </c>
      <c r="G25" s="22">
        <f t="shared" si="0"/>
        <v>-3737.5600349601841</v>
      </c>
      <c r="H25" s="43">
        <f t="shared" si="15"/>
        <v>8.1559416034581198E-5</v>
      </c>
      <c r="I25" s="43">
        <f t="shared" si="1"/>
        <v>6.6519383439019004E-9</v>
      </c>
      <c r="J25" s="43">
        <f t="shared" si="2"/>
        <v>1.7127477367262051E-3</v>
      </c>
      <c r="K25" s="43">
        <f t="shared" si="3"/>
        <v>1.7127477367262051E-3</v>
      </c>
      <c r="L25" s="22">
        <f t="shared" si="4"/>
        <v>-41861769.512789838</v>
      </c>
      <c r="M25" s="22">
        <f t="shared" si="5"/>
        <v>3758.5600349601841</v>
      </c>
      <c r="N25" s="22">
        <f t="shared" si="6"/>
        <v>14126773.536399901</v>
      </c>
      <c r="O25" s="22">
        <f>C25-L25</f>
        <v>41861790.512789838</v>
      </c>
      <c r="P25" s="22">
        <f t="shared" si="7"/>
        <v>1752409504936701.2</v>
      </c>
      <c r="Q25" s="22">
        <f t="shared" si="8"/>
        <v>3758.5600349601841</v>
      </c>
      <c r="R25" s="42">
        <f t="shared" si="9"/>
        <v>178.97904928381828</v>
      </c>
      <c r="S25" s="22">
        <f t="shared" si="10"/>
        <v>41861790.512789838</v>
      </c>
      <c r="T25" s="22">
        <f t="shared" si="11"/>
        <v>1993418.5958471352</v>
      </c>
      <c r="U25" s="48"/>
      <c r="V25" s="25" t="s">
        <v>108</v>
      </c>
      <c r="W25" s="30" t="s">
        <v>103</v>
      </c>
    </row>
    <row r="26" spans="1:37">
      <c r="A26" s="2" t="s">
        <v>23</v>
      </c>
      <c r="B26" s="16">
        <v>863192</v>
      </c>
      <c r="C26" s="4">
        <v>1282</v>
      </c>
      <c r="D26" s="22">
        <f t="shared" si="12"/>
        <v>745100428864</v>
      </c>
      <c r="E26" s="21">
        <f t="shared" si="13"/>
        <v>1643524</v>
      </c>
      <c r="F26" s="22">
        <f t="shared" si="14"/>
        <v>1106612144</v>
      </c>
      <c r="G26" s="22">
        <f t="shared" si="0"/>
        <v>7672.636354923985</v>
      </c>
      <c r="H26" s="43">
        <f t="shared" si="15"/>
        <v>1.1584908108508883E-6</v>
      </c>
      <c r="I26" s="43">
        <f t="shared" si="1"/>
        <v>1.3421009588259487E-12</v>
      </c>
      <c r="J26" s="43">
        <f t="shared" si="2"/>
        <v>1.485185219510839E-3</v>
      </c>
      <c r="K26" s="43">
        <f t="shared" si="3"/>
        <v>1.485185219510839E-3</v>
      </c>
      <c r="L26" s="22">
        <f t="shared" si="4"/>
        <v>2188475.6488661342</v>
      </c>
      <c r="M26" s="22">
        <f t="shared" si="5"/>
        <v>-6390.636354923985</v>
      </c>
      <c r="N26" s="22">
        <f t="shared" si="6"/>
        <v>40840233.020876117</v>
      </c>
      <c r="O26" s="22">
        <f>C26-L26</f>
        <v>-2187193.6488661342</v>
      </c>
      <c r="P26" s="22">
        <f t="shared" si="7"/>
        <v>4783816057640.3545</v>
      </c>
      <c r="Q26" s="22">
        <f t="shared" si="8"/>
        <v>6390.636354923985</v>
      </c>
      <c r="R26" s="42">
        <f t="shared" si="9"/>
        <v>4.9848957526708153</v>
      </c>
      <c r="S26" s="22">
        <f t="shared" si="10"/>
        <v>2187193.6488661342</v>
      </c>
      <c r="T26" s="22">
        <f t="shared" si="11"/>
        <v>1706.0792892871561</v>
      </c>
      <c r="U26" s="48"/>
      <c r="V26" s="38" t="s">
        <v>99</v>
      </c>
      <c r="W26" s="3">
        <f>SQRT(D90 - (B90)^2)</f>
        <v>2538635.7450672179</v>
      </c>
      <c r="X26" s="29"/>
    </row>
    <row r="27" spans="1:37" ht="27.6">
      <c r="A27" s="2" t="s">
        <v>24</v>
      </c>
      <c r="B27" s="16">
        <v>505485</v>
      </c>
      <c r="C27" s="4">
        <v>5161</v>
      </c>
      <c r="D27" s="22">
        <f t="shared" si="12"/>
        <v>255515085225</v>
      </c>
      <c r="E27" s="21">
        <f t="shared" si="13"/>
        <v>26635921</v>
      </c>
      <c r="F27" s="22">
        <f t="shared" si="14"/>
        <v>2608808085</v>
      </c>
      <c r="G27" s="22">
        <f t="shared" si="0"/>
        <v>2876.1168721030544</v>
      </c>
      <c r="H27" s="43">
        <f t="shared" si="15"/>
        <v>1.9782980701702326E-6</v>
      </c>
      <c r="I27" s="43">
        <f t="shared" si="1"/>
        <v>3.9136632544392667E-12</v>
      </c>
      <c r="J27" s="43">
        <f t="shared" si="2"/>
        <v>1.020999634014857E-2</v>
      </c>
      <c r="K27" s="43">
        <f t="shared" si="3"/>
        <v>1.020999634014857E-2</v>
      </c>
      <c r="L27" s="22">
        <f t="shared" si="4"/>
        <v>1739317.7485331199</v>
      </c>
      <c r="M27" s="22">
        <f t="shared" si="5"/>
        <v>2284.8831278969456</v>
      </c>
      <c r="N27" s="22">
        <f t="shared" si="6"/>
        <v>5220690.9081481295</v>
      </c>
      <c r="O27" s="22">
        <f>C27-L27</f>
        <v>-1734156.7485331199</v>
      </c>
      <c r="P27" s="22">
        <f t="shared" si="7"/>
        <v>3007299628482.9624</v>
      </c>
      <c r="Q27" s="22">
        <f t="shared" si="8"/>
        <v>2284.8831278969456</v>
      </c>
      <c r="R27" s="42">
        <f t="shared" si="9"/>
        <v>0.44272100908679435</v>
      </c>
      <c r="S27" s="22">
        <f t="shared" si="10"/>
        <v>1734156.7485331199</v>
      </c>
      <c r="T27" s="22">
        <f t="shared" si="11"/>
        <v>336.01177069039329</v>
      </c>
      <c r="U27" s="48"/>
      <c r="V27" s="38" t="s">
        <v>100</v>
      </c>
      <c r="W27" s="3">
        <f>SQRT(E90-(C90)^2)</f>
        <v>55769.974320679699</v>
      </c>
    </row>
    <row r="28" spans="1:37">
      <c r="A28" s="2" t="s">
        <v>25</v>
      </c>
      <c r="B28" s="16">
        <v>12365726</v>
      </c>
      <c r="C28" s="4">
        <v>25293</v>
      </c>
      <c r="D28" s="22">
        <f t="shared" si="12"/>
        <v>152911179507076</v>
      </c>
      <c r="E28" s="21">
        <f t="shared" si="13"/>
        <v>639735849</v>
      </c>
      <c r="F28" s="22">
        <f t="shared" si="14"/>
        <v>312766307718</v>
      </c>
      <c r="G28" s="22">
        <f t="shared" si="0"/>
        <v>161910.96110901088</v>
      </c>
      <c r="H28" s="43">
        <f t="shared" si="15"/>
        <v>8.0868684944175542E-8</v>
      </c>
      <c r="I28" s="43">
        <f t="shared" si="1"/>
        <v>6.5397442046003237E-15</v>
      </c>
      <c r="J28" s="43">
        <f t="shared" si="2"/>
        <v>2.0454116482930321E-3</v>
      </c>
      <c r="K28" s="43">
        <f t="shared" si="3"/>
        <v>2.0454116482930321E-3</v>
      </c>
      <c r="L28" s="22">
        <f t="shared" si="4"/>
        <v>2778885.7555374564</v>
      </c>
      <c r="M28" s="22">
        <f t="shared" si="5"/>
        <v>-136617.96110901088</v>
      </c>
      <c r="N28" s="22">
        <f t="shared" si="6"/>
        <v>18664467297.58321</v>
      </c>
      <c r="O28" s="22">
        <f>C28-L28</f>
        <v>-2753592.7555374564</v>
      </c>
      <c r="P28" s="22">
        <f t="shared" si="7"/>
        <v>7582273063348.3623</v>
      </c>
      <c r="Q28" s="22">
        <f t="shared" si="8"/>
        <v>136617.96110901088</v>
      </c>
      <c r="R28" s="42">
        <f t="shared" si="9"/>
        <v>5.4014138737599682</v>
      </c>
      <c r="S28" s="22">
        <f t="shared" si="10"/>
        <v>2753592.7555374564</v>
      </c>
      <c r="T28" s="22">
        <f t="shared" si="11"/>
        <v>108.86777984175291</v>
      </c>
      <c r="U28" s="48"/>
      <c r="V28" s="39" t="s">
        <v>101</v>
      </c>
      <c r="W28" s="1">
        <f xml:space="preserve"> (F90 - B90*C90)/(W26*W27)</f>
        <v>0.61037778681486465</v>
      </c>
    </row>
    <row r="29" spans="1:37">
      <c r="A29" s="2" t="s">
        <v>26</v>
      </c>
      <c r="B29" s="16">
        <v>362162</v>
      </c>
      <c r="C29" s="4">
        <v>574</v>
      </c>
      <c r="D29" s="22">
        <f t="shared" si="12"/>
        <v>131161314244</v>
      </c>
      <c r="E29" s="21">
        <f t="shared" si="13"/>
        <v>329476</v>
      </c>
      <c r="F29" s="22">
        <f t="shared" si="14"/>
        <v>207880988</v>
      </c>
      <c r="G29" s="22">
        <f t="shared" si="0"/>
        <v>954.28821950094152</v>
      </c>
      <c r="H29" s="43">
        <f t="shared" si="15"/>
        <v>2.7611952662068356E-6</v>
      </c>
      <c r="I29" s="43">
        <f t="shared" si="1"/>
        <v>7.6241992981230377E-12</v>
      </c>
      <c r="J29" s="43">
        <f t="shared" si="2"/>
        <v>1.5849260828027236E-3</v>
      </c>
      <c r="K29" s="43">
        <f t="shared" si="3"/>
        <v>1.5849260828027236E-3</v>
      </c>
      <c r="L29" s="22">
        <f t="shared" si="4"/>
        <v>1310382.2191742284</v>
      </c>
      <c r="M29" s="22">
        <f t="shared" si="5"/>
        <v>-380.28821950094152</v>
      </c>
      <c r="N29" s="22">
        <f t="shared" si="6"/>
        <v>144619.12989119627</v>
      </c>
      <c r="O29" s="22">
        <f>C29-L29</f>
        <v>-1309808.2191742284</v>
      </c>
      <c r="P29" s="22">
        <f t="shared" si="7"/>
        <v>1715597571016.3635</v>
      </c>
      <c r="Q29" s="22">
        <f t="shared" si="8"/>
        <v>380.28821950094152</v>
      </c>
      <c r="R29" s="42">
        <f t="shared" si="9"/>
        <v>0.66252303048944516</v>
      </c>
      <c r="S29" s="22">
        <f t="shared" si="10"/>
        <v>1309808.2191742284</v>
      </c>
      <c r="T29" s="22">
        <f t="shared" si="11"/>
        <v>2281.89585221991</v>
      </c>
      <c r="U29" s="48"/>
      <c r="V29" s="20" t="s">
        <v>87</v>
      </c>
    </row>
    <row r="30" spans="1:37">
      <c r="A30" s="2" t="s">
        <v>27</v>
      </c>
      <c r="B30" s="16">
        <v>763348</v>
      </c>
      <c r="C30" s="4">
        <v>1065</v>
      </c>
      <c r="D30" s="22">
        <f t="shared" si="12"/>
        <v>582700169104</v>
      </c>
      <c r="E30" s="21">
        <f t="shared" si="13"/>
        <v>1134225</v>
      </c>
      <c r="F30" s="22">
        <f t="shared" si="14"/>
        <v>812965620</v>
      </c>
      <c r="G30" s="22">
        <f t="shared" si="0"/>
        <v>6333.8208124750727</v>
      </c>
      <c r="H30" s="43">
        <f t="shared" si="15"/>
        <v>1.3100184974611841E-6</v>
      </c>
      <c r="I30" s="43">
        <f t="shared" si="1"/>
        <v>1.7161484636904583E-12</v>
      </c>
      <c r="J30" s="43">
        <f t="shared" si="2"/>
        <v>1.395169699796161E-3</v>
      </c>
      <c r="K30" s="43">
        <f t="shared" si="3"/>
        <v>1.395169699796161E-3</v>
      </c>
      <c r="L30" s="22">
        <f t="shared" si="4"/>
        <v>2105456.3089096826</v>
      </c>
      <c r="M30" s="22">
        <f t="shared" si="5"/>
        <v>-5268.8208124750727</v>
      </c>
      <c r="N30" s="22">
        <f t="shared" si="6"/>
        <v>27760472.753970485</v>
      </c>
      <c r="O30" s="22">
        <f>C30-L30</f>
        <v>-2104391.3089096826</v>
      </c>
      <c r="P30" s="22">
        <f t="shared" si="7"/>
        <v>4428462781014.6074</v>
      </c>
      <c r="Q30" s="22">
        <f t="shared" si="8"/>
        <v>5268.8208124750727</v>
      </c>
      <c r="R30" s="42">
        <f t="shared" si="9"/>
        <v>4.9472495891784716</v>
      </c>
      <c r="S30" s="22">
        <f t="shared" si="10"/>
        <v>2104391.3089096826</v>
      </c>
      <c r="T30" s="22">
        <f t="shared" si="11"/>
        <v>1975.9542806663685</v>
      </c>
      <c r="U30" s="48"/>
      <c r="V30" s="20" t="s">
        <v>105</v>
      </c>
    </row>
    <row r="31" spans="1:37">
      <c r="A31" s="2" t="s">
        <v>28</v>
      </c>
      <c r="B31" s="16">
        <v>816371</v>
      </c>
      <c r="C31" s="4">
        <v>885</v>
      </c>
      <c r="D31" s="22">
        <f t="shared" si="12"/>
        <v>666461609641</v>
      </c>
      <c r="E31" s="21">
        <f t="shared" si="13"/>
        <v>783225</v>
      </c>
      <c r="F31" s="22">
        <f t="shared" si="14"/>
        <v>722488335</v>
      </c>
      <c r="G31" s="22">
        <f t="shared" si="0"/>
        <v>7044.8101208688531</v>
      </c>
      <c r="H31" s="43">
        <f t="shared" si="15"/>
        <v>1.2249332717600209E-6</v>
      </c>
      <c r="I31" s="43">
        <f t="shared" si="1"/>
        <v>1.5004615202647092E-12</v>
      </c>
      <c r="J31" s="43">
        <f t="shared" si="2"/>
        <v>1.0840659455076185E-3</v>
      </c>
      <c r="K31" s="43">
        <f t="shared" si="3"/>
        <v>1.0840659455076185E-3</v>
      </c>
      <c r="L31" s="22">
        <f t="shared" si="4"/>
        <v>2152072.9994681743</v>
      </c>
      <c r="M31" s="22">
        <f t="shared" si="5"/>
        <v>-6159.8101208688531</v>
      </c>
      <c r="N31" s="22">
        <f t="shared" si="6"/>
        <v>37943260.725158356</v>
      </c>
      <c r="O31" s="22">
        <f>C31-L31</f>
        <v>-2151187.9994681743</v>
      </c>
      <c r="P31" s="22">
        <f t="shared" si="7"/>
        <v>4627609809055.8857</v>
      </c>
      <c r="Q31" s="22">
        <f t="shared" si="8"/>
        <v>6159.8101208688531</v>
      </c>
      <c r="R31" s="42">
        <f t="shared" si="9"/>
        <v>6.9602374247105683</v>
      </c>
      <c r="S31" s="22">
        <f t="shared" si="10"/>
        <v>2151187.9994681743</v>
      </c>
      <c r="T31" s="22">
        <f t="shared" si="11"/>
        <v>2430.7209033538693</v>
      </c>
      <c r="U31" s="48"/>
    </row>
    <row r="32" spans="1:37">
      <c r="A32" s="2" t="s">
        <v>29</v>
      </c>
      <c r="B32" s="16">
        <v>5888678</v>
      </c>
      <c r="C32" s="4">
        <v>56583</v>
      </c>
      <c r="D32" s="22">
        <f t="shared" si="12"/>
        <v>34676528587684</v>
      </c>
      <c r="E32" s="21">
        <f t="shared" si="13"/>
        <v>3201635889</v>
      </c>
      <c r="F32" s="22">
        <f t="shared" si="14"/>
        <v>333199067274</v>
      </c>
      <c r="G32" s="22">
        <f t="shared" si="0"/>
        <v>75059.747900529241</v>
      </c>
      <c r="H32" s="43">
        <f t="shared" si="15"/>
        <v>1.6981740214017476E-7</v>
      </c>
      <c r="I32" s="43">
        <f t="shared" si="1"/>
        <v>2.8837950069637829E-14</v>
      </c>
      <c r="J32" s="43">
        <f t="shared" si="2"/>
        <v>9.6087780652975088E-3</v>
      </c>
      <c r="K32" s="43">
        <f t="shared" si="3"/>
        <v>9.6087780652975088E-3</v>
      </c>
      <c r="L32" s="22">
        <f t="shared" si="4"/>
        <v>2730152.3263089317</v>
      </c>
      <c r="M32" s="22">
        <f t="shared" si="5"/>
        <v>-18476.747900529241</v>
      </c>
      <c r="N32" s="22">
        <f t="shared" si="6"/>
        <v>341390212.97971171</v>
      </c>
      <c r="O32" s="22">
        <f>C32-L32</f>
        <v>-2673569.3263089317</v>
      </c>
      <c r="P32" s="22">
        <f t="shared" si="7"/>
        <v>7147972942579.9951</v>
      </c>
      <c r="Q32" s="22">
        <f t="shared" si="8"/>
        <v>18476.747900529241</v>
      </c>
      <c r="R32" s="42">
        <f t="shared" si="9"/>
        <v>0.3265423872988219</v>
      </c>
      <c r="S32" s="22">
        <f t="shared" si="10"/>
        <v>2673569.3263089317</v>
      </c>
      <c r="T32" s="22">
        <f t="shared" si="11"/>
        <v>47.250398994555461</v>
      </c>
      <c r="U32" s="48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>
      <c r="A33" s="2" t="s">
        <v>30</v>
      </c>
      <c r="B33" s="16">
        <v>102472</v>
      </c>
      <c r="C33" s="4">
        <v>177</v>
      </c>
      <c r="D33" s="22">
        <f t="shared" si="12"/>
        <v>10500510784</v>
      </c>
      <c r="E33" s="21">
        <f t="shared" si="13"/>
        <v>31329</v>
      </c>
      <c r="F33" s="22">
        <f t="shared" si="14"/>
        <v>18137544</v>
      </c>
      <c r="G33" s="22">
        <f t="shared" si="0"/>
        <v>-2527.9140983004072</v>
      </c>
      <c r="H33" s="43">
        <f t="shared" si="15"/>
        <v>9.7587633695058168E-6</v>
      </c>
      <c r="I33" s="43">
        <f t="shared" si="1"/>
        <v>9.523346250200852E-11</v>
      </c>
      <c r="J33" s="43">
        <f t="shared" si="2"/>
        <v>1.7273011164025296E-3</v>
      </c>
      <c r="K33" s="43">
        <f t="shared" si="3"/>
        <v>1.7273011164025296E-3</v>
      </c>
      <c r="L33" s="22">
        <f t="shared" si="4"/>
        <v>-2523461.6032439475</v>
      </c>
      <c r="M33" s="22">
        <f t="shared" si="5"/>
        <v>2704.9140983004072</v>
      </c>
      <c r="N33" s="22">
        <f t="shared" si="6"/>
        <v>7316560.2791843051</v>
      </c>
      <c r="O33" s="22">
        <f>C33-L33</f>
        <v>2523638.6032439475</v>
      </c>
      <c r="P33" s="22">
        <f t="shared" si="7"/>
        <v>6368751799783.0625</v>
      </c>
      <c r="Q33" s="22">
        <f t="shared" si="8"/>
        <v>2704.9140983004072</v>
      </c>
      <c r="R33" s="42">
        <f t="shared" si="9"/>
        <v>15.282000555369532</v>
      </c>
      <c r="S33" s="22">
        <f t="shared" si="10"/>
        <v>2523638.6032439475</v>
      </c>
      <c r="T33" s="22">
        <f t="shared" si="11"/>
        <v>14257.845216067501</v>
      </c>
      <c r="U33" s="48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 ht="27.6">
      <c r="A34" s="2" t="s">
        <v>31</v>
      </c>
      <c r="B34" s="16">
        <v>65970</v>
      </c>
      <c r="C34" s="4">
        <v>122</v>
      </c>
      <c r="D34" s="22">
        <f t="shared" si="12"/>
        <v>4352040900</v>
      </c>
      <c r="E34" s="21">
        <f t="shared" si="13"/>
        <v>14884</v>
      </c>
      <c r="F34" s="22">
        <f t="shared" si="14"/>
        <v>8048340</v>
      </c>
      <c r="G34" s="22">
        <f t="shared" si="0"/>
        <v>-3017.3721020910225</v>
      </c>
      <c r="H34" s="43">
        <f t="shared" si="15"/>
        <v>1.5158405335758679E-5</v>
      </c>
      <c r="I34" s="43">
        <f t="shared" si="1"/>
        <v>2.2977725232315718E-10</v>
      </c>
      <c r="J34" s="43">
        <f t="shared" si="2"/>
        <v>1.8493254509625589E-3</v>
      </c>
      <c r="K34" s="43">
        <f t="shared" si="3"/>
        <v>1.8493254509625589E-3</v>
      </c>
      <c r="L34" s="22">
        <f t="shared" si="4"/>
        <v>-5481829.9520748593</v>
      </c>
      <c r="M34" s="22">
        <f t="shared" si="5"/>
        <v>3139.3721020910225</v>
      </c>
      <c r="N34" s="22">
        <f t="shared" si="6"/>
        <v>9855657.1953874063</v>
      </c>
      <c r="O34" s="22">
        <f>C34-L34</f>
        <v>5481951.9520748593</v>
      </c>
      <c r="P34" s="22">
        <f t="shared" si="7"/>
        <v>30051797204857.359</v>
      </c>
      <c r="Q34" s="22">
        <f t="shared" si="8"/>
        <v>3139.3721020910225</v>
      </c>
      <c r="R34" s="42">
        <f t="shared" si="9"/>
        <v>25.732558213860841</v>
      </c>
      <c r="S34" s="22">
        <f t="shared" si="10"/>
        <v>5481951.9520748593</v>
      </c>
      <c r="T34" s="22">
        <f t="shared" si="11"/>
        <v>44934.032394056223</v>
      </c>
      <c r="U34" s="48"/>
      <c r="V34" s="31"/>
      <c r="W34" s="31"/>
      <c r="X34" s="31"/>
      <c r="Y34" s="31" t="s">
        <v>107</v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>
      <c r="A35" s="2" t="s">
        <v>32</v>
      </c>
      <c r="B35" s="16">
        <v>3053351</v>
      </c>
      <c r="C35" s="15">
        <v>5539</v>
      </c>
      <c r="D35" s="22">
        <f t="shared" si="12"/>
        <v>9322952329201</v>
      </c>
      <c r="E35" s="21">
        <f t="shared" si="13"/>
        <v>30680521</v>
      </c>
      <c r="F35" s="22">
        <f t="shared" si="14"/>
        <v>16912511189</v>
      </c>
      <c r="G35" s="22">
        <f t="shared" si="0"/>
        <v>37040.63953623049</v>
      </c>
      <c r="H35" s="43">
        <f t="shared" si="15"/>
        <v>3.2750902205478503E-7</v>
      </c>
      <c r="I35" s="43">
        <f t="shared" si="1"/>
        <v>1.0726215952728167E-13</v>
      </c>
      <c r="J35" s="43">
        <f t="shared" si="2"/>
        <v>1.8140724731614544E-3</v>
      </c>
      <c r="K35" s="43">
        <f t="shared" si="3"/>
        <v>1.8140724731614544E-3</v>
      </c>
      <c r="L35" s="22">
        <f t="shared" si="4"/>
        <v>2643755.8762948583</v>
      </c>
      <c r="M35" s="22">
        <f t="shared" si="5"/>
        <v>-31501.63953623049</v>
      </c>
      <c r="N35" s="22">
        <f t="shared" si="6"/>
        <v>992353293.47059989</v>
      </c>
      <c r="O35" s="22">
        <f>C35-L35</f>
        <v>-2638216.8762948583</v>
      </c>
      <c r="P35" s="22">
        <f t="shared" si="7"/>
        <v>6960188286367</v>
      </c>
      <c r="Q35" s="22">
        <f t="shared" si="8"/>
        <v>31501.63953623049</v>
      </c>
      <c r="R35" s="42">
        <f t="shared" si="9"/>
        <v>5.6872431009623563</v>
      </c>
      <c r="S35" s="22">
        <f t="shared" si="10"/>
        <v>2638216.8762948583</v>
      </c>
      <c r="T35" s="22">
        <f t="shared" si="11"/>
        <v>476.29840698589243</v>
      </c>
      <c r="U35" s="48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>
      <c r="A36" s="2" t="s">
        <v>33</v>
      </c>
      <c r="B36" s="16">
        <v>14387706</v>
      </c>
      <c r="C36" s="4">
        <v>20907</v>
      </c>
      <c r="D36" s="22">
        <f t="shared" si="12"/>
        <v>207006083942436</v>
      </c>
      <c r="E36" s="21">
        <f t="shared" si="13"/>
        <v>437102649</v>
      </c>
      <c r="F36" s="22">
        <f t="shared" si="14"/>
        <v>300803769342</v>
      </c>
      <c r="G36" s="22">
        <f t="shared" si="0"/>
        <v>189023.83970482886</v>
      </c>
      <c r="H36" s="43">
        <f t="shared" si="15"/>
        <v>6.9503783299436343E-8</v>
      </c>
      <c r="I36" s="43">
        <f t="shared" si="1"/>
        <v>4.8307758929350066E-15</v>
      </c>
      <c r="J36" s="43">
        <f t="shared" si="2"/>
        <v>1.4531155974413157E-3</v>
      </c>
      <c r="K36" s="43">
        <f t="shared" si="3"/>
        <v>1.4531155974413157E-3</v>
      </c>
      <c r="L36" s="22">
        <f t="shared" si="4"/>
        <v>2785112.3841775595</v>
      </c>
      <c r="M36" s="22">
        <f t="shared" si="5"/>
        <v>-168116.83970482886</v>
      </c>
      <c r="N36" s="22">
        <f t="shared" si="6"/>
        <v>28263271792.339123</v>
      </c>
      <c r="O36" s="22">
        <f>C36-L36</f>
        <v>-2764205.3841775595</v>
      </c>
      <c r="P36" s="22">
        <f t="shared" si="7"/>
        <v>7640831405916.209</v>
      </c>
      <c r="Q36" s="22">
        <f t="shared" si="8"/>
        <v>168116.83970482886</v>
      </c>
      <c r="R36" s="42">
        <f t="shared" si="9"/>
        <v>8.0411747120499761</v>
      </c>
      <c r="S36" s="22">
        <f t="shared" si="10"/>
        <v>2764205.3841775595</v>
      </c>
      <c r="T36" s="22">
        <f t="shared" si="11"/>
        <v>132.21434850421196</v>
      </c>
      <c r="U36" s="48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>
      <c r="A37" s="2" t="s">
        <v>34</v>
      </c>
      <c r="B37" s="16">
        <v>289425</v>
      </c>
      <c r="C37" s="4">
        <v>863</v>
      </c>
      <c r="D37" s="22">
        <f t="shared" si="12"/>
        <v>83766830625</v>
      </c>
      <c r="E37" s="21">
        <f t="shared" si="13"/>
        <v>744769</v>
      </c>
      <c r="F37" s="22">
        <f t="shared" si="14"/>
        <v>249773775</v>
      </c>
      <c r="G37" s="22">
        <f t="shared" si="0"/>
        <v>-21.047565434622811</v>
      </c>
      <c r="H37" s="43">
        <f t="shared" si="15"/>
        <v>3.4551265440096743E-6</v>
      </c>
      <c r="I37" s="43">
        <f t="shared" si="1"/>
        <v>1.1937899435120236E-11</v>
      </c>
      <c r="J37" s="43">
        <f t="shared" si="2"/>
        <v>2.9817742074803488E-3</v>
      </c>
      <c r="K37" s="43">
        <f t="shared" si="3"/>
        <v>2.9817742074803488E-3</v>
      </c>
      <c r="L37" s="22">
        <f t="shared" si="4"/>
        <v>930189.54318827903</v>
      </c>
      <c r="M37" s="22">
        <f t="shared" si="5"/>
        <v>884.04756543462281</v>
      </c>
      <c r="N37" s="22">
        <f t="shared" si="6"/>
        <v>781540.09795088368</v>
      </c>
      <c r="O37" s="22">
        <f>C37-L37</f>
        <v>-929326.54318827903</v>
      </c>
      <c r="P37" s="22">
        <f t="shared" si="7"/>
        <v>863647823874.27625</v>
      </c>
      <c r="Q37" s="22">
        <f t="shared" si="8"/>
        <v>884.04756543462281</v>
      </c>
      <c r="R37" s="42">
        <f t="shared" si="9"/>
        <v>1.0243888359613242</v>
      </c>
      <c r="S37" s="22">
        <f t="shared" si="10"/>
        <v>929326.54318827903</v>
      </c>
      <c r="T37" s="22">
        <f t="shared" si="11"/>
        <v>1076.8557858496861</v>
      </c>
      <c r="U37" s="48"/>
    </row>
    <row r="38" spans="1:36">
      <c r="A38" s="2" t="s">
        <v>35</v>
      </c>
      <c r="B38" s="16">
        <v>815520</v>
      </c>
      <c r="C38" s="4">
        <v>3472</v>
      </c>
      <c r="D38" s="22">
        <f t="shared" si="12"/>
        <v>665072870400</v>
      </c>
      <c r="E38" s="21">
        <f t="shared" si="13"/>
        <v>12054784</v>
      </c>
      <c r="F38" s="22">
        <f t="shared" si="14"/>
        <v>2831485440</v>
      </c>
      <c r="G38" s="22">
        <f t="shared" si="0"/>
        <v>7033.3989992528914</v>
      </c>
      <c r="H38" s="43">
        <f t="shared" si="15"/>
        <v>1.2262114969589954E-6</v>
      </c>
      <c r="I38" s="43">
        <f t="shared" si="1"/>
        <v>1.5035946352744206E-12</v>
      </c>
      <c r="J38" s="43">
        <f t="shared" si="2"/>
        <v>4.257406317441632E-3</v>
      </c>
      <c r="K38" s="43">
        <f t="shared" si="3"/>
        <v>4.257406317441632E-3</v>
      </c>
      <c r="L38" s="22">
        <f t="shared" si="4"/>
        <v>2151372.6824851301</v>
      </c>
      <c r="M38" s="22">
        <f t="shared" si="5"/>
        <v>-3561.3989992528914</v>
      </c>
      <c r="N38" s="22">
        <f t="shared" si="6"/>
        <v>12683562.831879497</v>
      </c>
      <c r="O38" s="22">
        <f>C38-L38</f>
        <v>-2147900.6824851301</v>
      </c>
      <c r="P38" s="22">
        <f t="shared" si="7"/>
        <v>4613477341820.0879</v>
      </c>
      <c r="Q38" s="22">
        <f t="shared" si="8"/>
        <v>3561.3989992528914</v>
      </c>
      <c r="R38" s="42">
        <f t="shared" si="9"/>
        <v>1.025748559692653</v>
      </c>
      <c r="S38" s="22">
        <f t="shared" si="10"/>
        <v>2147900.6824851301</v>
      </c>
      <c r="T38" s="22">
        <f t="shared" si="11"/>
        <v>618.63498919502592</v>
      </c>
      <c r="U38" s="48"/>
      <c r="V38" s="20" t="s">
        <v>109</v>
      </c>
    </row>
    <row r="39" spans="1:36">
      <c r="A39" s="2" t="s">
        <v>36</v>
      </c>
      <c r="B39" s="16">
        <v>1452866</v>
      </c>
      <c r="C39" s="4">
        <v>9932</v>
      </c>
      <c r="D39" s="22">
        <f t="shared" si="12"/>
        <v>2110819613956</v>
      </c>
      <c r="E39" s="21">
        <f t="shared" si="13"/>
        <v>98644624</v>
      </c>
      <c r="F39" s="22">
        <f t="shared" si="14"/>
        <v>14429865112</v>
      </c>
      <c r="G39" s="22">
        <f t="shared" si="0"/>
        <v>15579.618408708084</v>
      </c>
      <c r="H39" s="43">
        <f t="shared" si="15"/>
        <v>6.8829472229372843E-7</v>
      </c>
      <c r="I39" s="43">
        <f t="shared" si="1"/>
        <v>4.7374962473740071E-13</v>
      </c>
      <c r="J39" s="43">
        <f t="shared" si="2"/>
        <v>6.8361431818213109E-3</v>
      </c>
      <c r="K39" s="43">
        <f t="shared" si="3"/>
        <v>6.8361431818213109E-3</v>
      </c>
      <c r="L39" s="22">
        <f t="shared" si="4"/>
        <v>2446087.7710818793</v>
      </c>
      <c r="M39" s="22">
        <f t="shared" si="5"/>
        <v>-5647.6184087080837</v>
      </c>
      <c r="N39" s="22">
        <f t="shared" si="6"/>
        <v>31895593.690378428</v>
      </c>
      <c r="O39" s="22">
        <f>C39-L39</f>
        <v>-2436155.7710818793</v>
      </c>
      <c r="P39" s="22">
        <f t="shared" si="7"/>
        <v>5934854940975.5459</v>
      </c>
      <c r="Q39" s="22">
        <f t="shared" si="8"/>
        <v>5647.6184087080837</v>
      </c>
      <c r="R39" s="42">
        <f t="shared" si="9"/>
        <v>0.56862851477125287</v>
      </c>
      <c r="S39" s="22">
        <f t="shared" si="10"/>
        <v>2436155.7710818793</v>
      </c>
      <c r="T39" s="22">
        <f t="shared" si="11"/>
        <v>245.2835049417921</v>
      </c>
      <c r="U39" s="48"/>
      <c r="W39" s="30" t="s">
        <v>114</v>
      </c>
    </row>
    <row r="40" spans="1:36">
      <c r="A40" s="2" t="s">
        <v>37</v>
      </c>
      <c r="B40" s="16">
        <v>185882</v>
      </c>
      <c r="C40" s="5">
        <v>169</v>
      </c>
      <c r="D40" s="22">
        <f t="shared" si="12"/>
        <v>34552117924</v>
      </c>
      <c r="E40" s="21">
        <f t="shared" si="13"/>
        <v>28561</v>
      </c>
      <c r="F40" s="22">
        <f t="shared" si="14"/>
        <v>31414058</v>
      </c>
      <c r="G40" s="22">
        <f t="shared" si="0"/>
        <v>-1409.4632710532646</v>
      </c>
      <c r="H40" s="43">
        <f t="shared" si="15"/>
        <v>5.3797570501716144E-6</v>
      </c>
      <c r="I40" s="43">
        <f t="shared" si="1"/>
        <v>2.8941785918871191E-11</v>
      </c>
      <c r="J40" s="43">
        <f t="shared" si="2"/>
        <v>9.0917894147900279E-4</v>
      </c>
      <c r="K40" s="43">
        <f t="shared" si="3"/>
        <v>9.0917894147900279E-4</v>
      </c>
      <c r="L40" s="22">
        <f t="shared" si="4"/>
        <v>-124281.47696625721</v>
      </c>
      <c r="M40" s="22">
        <f t="shared" si="5"/>
        <v>1578.4632710532646</v>
      </c>
      <c r="N40" s="22">
        <f t="shared" si="6"/>
        <v>2491546.2980641718</v>
      </c>
      <c r="O40" s="22">
        <f>C40-L40</f>
        <v>124450.47696625721</v>
      </c>
      <c r="P40" s="22">
        <f t="shared" si="7"/>
        <v>15487921217.128916</v>
      </c>
      <c r="Q40" s="22">
        <f t="shared" si="8"/>
        <v>1578.4632710532646</v>
      </c>
      <c r="R40" s="42">
        <f t="shared" si="9"/>
        <v>9.3400193553447615</v>
      </c>
      <c r="S40" s="22">
        <f t="shared" si="10"/>
        <v>124450.47696625721</v>
      </c>
      <c r="T40" s="22">
        <f t="shared" si="11"/>
        <v>736.39335482992431</v>
      </c>
      <c r="U40" s="48"/>
      <c r="V40" s="38" t="s">
        <v>110</v>
      </c>
      <c r="W40" s="3">
        <f>(F90-B90*C90)/(W26)^2</f>
        <v>1.3409073579272783E-2</v>
      </c>
    </row>
    <row r="41" spans="1:36">
      <c r="A41" s="2" t="s">
        <v>38</v>
      </c>
      <c r="B41" s="16">
        <v>214995</v>
      </c>
      <c r="C41" s="4">
        <v>1336</v>
      </c>
      <c r="D41" s="22">
        <f t="shared" si="12"/>
        <v>46222850025</v>
      </c>
      <c r="E41" s="21">
        <f t="shared" si="13"/>
        <v>1784896</v>
      </c>
      <c r="F41" s="22">
        <f t="shared" si="14"/>
        <v>287233320</v>
      </c>
      <c r="G41" s="22">
        <f t="shared" si="0"/>
        <v>-1019.0849119398958</v>
      </c>
      <c r="H41" s="43">
        <f t="shared" si="15"/>
        <v>4.6512709597897626E-6</v>
      </c>
      <c r="I41" s="43">
        <f t="shared" si="1"/>
        <v>2.1634321541383579E-11</v>
      </c>
      <c r="J41" s="43">
        <f t="shared" si="2"/>
        <v>6.2140980022791226E-3</v>
      </c>
      <c r="K41" s="43">
        <f t="shared" si="3"/>
        <v>6.2140980022791226E-3</v>
      </c>
      <c r="L41" s="22">
        <f t="shared" si="4"/>
        <v>274843.16978227906</v>
      </c>
      <c r="M41" s="22">
        <f t="shared" si="5"/>
        <v>2355.0849119398958</v>
      </c>
      <c r="N41" s="22">
        <f t="shared" si="6"/>
        <v>5546424.9424469471</v>
      </c>
      <c r="O41" s="22">
        <f>C41-L41</f>
        <v>-273507.16978227906</v>
      </c>
      <c r="P41" s="22">
        <f t="shared" si="7"/>
        <v>74806171922.312424</v>
      </c>
      <c r="Q41" s="22">
        <f t="shared" si="8"/>
        <v>2355.0849119398958</v>
      </c>
      <c r="R41" s="42">
        <f t="shared" si="9"/>
        <v>1.7627881077394429</v>
      </c>
      <c r="S41" s="22">
        <f t="shared" si="10"/>
        <v>273507.16978227906</v>
      </c>
      <c r="T41" s="22">
        <f t="shared" si="11"/>
        <v>204.72093546577773</v>
      </c>
      <c r="U41" s="48"/>
      <c r="V41" s="40" t="s">
        <v>111</v>
      </c>
      <c r="W41" s="34">
        <f>C90-W40*B90</f>
        <v>-3901.9686861156479</v>
      </c>
    </row>
    <row r="42" spans="1:36">
      <c r="A42" s="2" t="s">
        <v>39</v>
      </c>
      <c r="B42" s="16">
        <v>58243</v>
      </c>
      <c r="C42" s="4">
        <v>24</v>
      </c>
      <c r="D42" s="22">
        <f t="shared" si="12"/>
        <v>3392247049</v>
      </c>
      <c r="E42" s="21">
        <f t="shared" si="13"/>
        <v>576</v>
      </c>
      <c r="F42" s="22">
        <f t="shared" si="14"/>
        <v>1397832</v>
      </c>
      <c r="G42" s="22">
        <f t="shared" si="0"/>
        <v>-3120.9840136380631</v>
      </c>
      <c r="H42" s="43">
        <f t="shared" si="15"/>
        <v>1.7169445255223802E-5</v>
      </c>
      <c r="I42" s="43">
        <f t="shared" si="1"/>
        <v>2.9478985037212713E-10</v>
      </c>
      <c r="J42" s="43">
        <f t="shared" si="2"/>
        <v>4.1206668612537125E-4</v>
      </c>
      <c r="K42" s="43">
        <f t="shared" si="3"/>
        <v>4.1206668612537125E-4</v>
      </c>
      <c r="L42" s="22">
        <f t="shared" si="4"/>
        <v>-6583643.1617587861</v>
      </c>
      <c r="M42" s="22">
        <f t="shared" si="5"/>
        <v>3144.9840136380631</v>
      </c>
      <c r="N42" s="22">
        <f t="shared" si="6"/>
        <v>9890924.44603898</v>
      </c>
      <c r="O42" s="22">
        <f>C42-L42</f>
        <v>6583667.1617587861</v>
      </c>
      <c r="P42" s="22">
        <f t="shared" si="7"/>
        <v>43344673296820.992</v>
      </c>
      <c r="Q42" s="22">
        <f t="shared" si="8"/>
        <v>3144.9840136380631</v>
      </c>
      <c r="R42" s="42">
        <f t="shared" si="9"/>
        <v>131.04100056825263</v>
      </c>
      <c r="S42" s="22">
        <f t="shared" si="10"/>
        <v>6583667.1617587861</v>
      </c>
      <c r="T42" s="22">
        <f t="shared" si="11"/>
        <v>274319.46507328277</v>
      </c>
      <c r="U42" s="48"/>
      <c r="V42" s="41" t="s">
        <v>112</v>
      </c>
      <c r="W42" s="35"/>
    </row>
    <row r="43" spans="1:36" ht="56.4" customHeight="1">
      <c r="A43" s="2" t="s">
        <v>40</v>
      </c>
      <c r="B43" s="16">
        <v>258833</v>
      </c>
      <c r="C43" s="4">
        <v>128</v>
      </c>
      <c r="D43" s="22">
        <f t="shared" si="12"/>
        <v>66994521889</v>
      </c>
      <c r="E43" s="21">
        <f t="shared" si="13"/>
        <v>16384</v>
      </c>
      <c r="F43" s="22">
        <f t="shared" si="14"/>
        <v>33130624</v>
      </c>
      <c r="G43" s="22">
        <f t="shared" si="0"/>
        <v>-431.25794437173545</v>
      </c>
      <c r="H43" s="43">
        <f t="shared" si="15"/>
        <v>3.8634949948422343E-6</v>
      </c>
      <c r="I43" s="43">
        <f t="shared" si="1"/>
        <v>1.4926593575170996E-11</v>
      </c>
      <c r="J43" s="43">
        <f t="shared" si="2"/>
        <v>4.9452735933980599E-4</v>
      </c>
      <c r="K43" s="43">
        <f t="shared" si="3"/>
        <v>4.9452735933980599E-4</v>
      </c>
      <c r="L43" s="22">
        <f t="shared" si="4"/>
        <v>706451.69035383733</v>
      </c>
      <c r="M43" s="22">
        <f t="shared" si="5"/>
        <v>559.25794437173545</v>
      </c>
      <c r="N43" s="22">
        <f t="shared" si="6"/>
        <v>312769.44834289915</v>
      </c>
      <c r="O43" s="22">
        <f>C43-L43</f>
        <v>-706323.69035383733</v>
      </c>
      <c r="P43" s="22">
        <f t="shared" si="7"/>
        <v>498893155555.06348</v>
      </c>
      <c r="Q43" s="22">
        <f t="shared" si="8"/>
        <v>559.25794437173545</v>
      </c>
      <c r="R43" s="42">
        <f t="shared" si="9"/>
        <v>4.3692026904041832</v>
      </c>
      <c r="S43" s="22">
        <f t="shared" si="10"/>
        <v>706323.69035383733</v>
      </c>
      <c r="T43" s="22">
        <f t="shared" si="11"/>
        <v>5518.1538308893541</v>
      </c>
      <c r="U43" s="48"/>
      <c r="V43" s="37" t="s">
        <v>87</v>
      </c>
    </row>
    <row r="44" spans="1:36" ht="27.6">
      <c r="A44" s="2" t="s">
        <v>41</v>
      </c>
      <c r="B44" s="16">
        <v>665739</v>
      </c>
      <c r="C44" s="4">
        <v>44</v>
      </c>
      <c r="D44" s="22">
        <f t="shared" si="12"/>
        <v>443208416121</v>
      </c>
      <c r="E44" s="21">
        <f t="shared" si="13"/>
        <v>1936</v>
      </c>
      <c r="F44" s="22">
        <f t="shared" si="14"/>
        <v>29292516</v>
      </c>
      <c r="G44" s="22">
        <f t="shared" si="0"/>
        <v>5024.9745494758354</v>
      </c>
      <c r="H44" s="43">
        <f t="shared" si="15"/>
        <v>1.5020901584554908E-6</v>
      </c>
      <c r="I44" s="43">
        <f t="shared" si="1"/>
        <v>2.2562748441288413E-12</v>
      </c>
      <c r="J44" s="43">
        <f t="shared" si="2"/>
        <v>6.6091966972041597E-5</v>
      </c>
      <c r="K44" s="43">
        <f t="shared" si="3"/>
        <v>6.6091966972041597E-5</v>
      </c>
      <c r="L44" s="22">
        <f t="shared" si="4"/>
        <v>2000223.6423469293</v>
      </c>
      <c r="M44" s="22">
        <f t="shared" si="5"/>
        <v>-4980.9745494758354</v>
      </c>
      <c r="N44" s="22">
        <f t="shared" si="6"/>
        <v>24810107.462526001</v>
      </c>
      <c r="O44" s="22">
        <f>C44-L44</f>
        <v>-2000179.6423469293</v>
      </c>
      <c r="P44" s="22">
        <f t="shared" si="7"/>
        <v>4000718601659.0898</v>
      </c>
      <c r="Q44" s="22">
        <f t="shared" si="8"/>
        <v>4980.9745494758354</v>
      </c>
      <c r="R44" s="42">
        <f t="shared" si="9"/>
        <v>113.20396703354172</v>
      </c>
      <c r="S44" s="22">
        <f t="shared" si="10"/>
        <v>2000179.6423469293</v>
      </c>
      <c r="T44" s="22">
        <f t="shared" si="11"/>
        <v>45458.628235157485</v>
      </c>
      <c r="U44" s="48"/>
      <c r="V44" s="33" t="s">
        <v>105</v>
      </c>
    </row>
    <row r="45" spans="1:36" ht="27.6">
      <c r="A45" s="2" t="s">
        <v>42</v>
      </c>
      <c r="B45" s="16">
        <v>201430</v>
      </c>
      <c r="C45" s="4">
        <v>226</v>
      </c>
      <c r="D45" s="22">
        <f t="shared" si="12"/>
        <v>40574044900</v>
      </c>
      <c r="E45" s="21">
        <f t="shared" si="13"/>
        <v>51076</v>
      </c>
      <c r="F45" s="22">
        <f t="shared" si="14"/>
        <v>45523180</v>
      </c>
      <c r="G45" s="22">
        <f t="shared" si="0"/>
        <v>-1200.9789950427312</v>
      </c>
      <c r="H45" s="43">
        <f t="shared" si="15"/>
        <v>4.9645037978454056E-6</v>
      </c>
      <c r="I45" s="43">
        <f t="shared" si="1"/>
        <v>2.4646297958821455E-11</v>
      </c>
      <c r="J45" s="43">
        <f t="shared" si="2"/>
        <v>1.1219778583130616E-3</v>
      </c>
      <c r="K45" s="43">
        <f t="shared" si="3"/>
        <v>1.1219778583130616E-3</v>
      </c>
      <c r="L45" s="22">
        <f t="shared" si="4"/>
        <v>103228.43685928173</v>
      </c>
      <c r="M45" s="22">
        <f t="shared" si="5"/>
        <v>1426.9789950427312</v>
      </c>
      <c r="N45" s="22">
        <f t="shared" si="6"/>
        <v>2036269.052293163</v>
      </c>
      <c r="O45" s="22">
        <f>C45-L45</f>
        <v>-103002.43685928173</v>
      </c>
      <c r="P45" s="22">
        <f t="shared" si="7"/>
        <v>10609501998.950321</v>
      </c>
      <c r="Q45" s="22">
        <f t="shared" si="8"/>
        <v>1426.9789950427312</v>
      </c>
      <c r="R45" s="42">
        <f t="shared" si="9"/>
        <v>6.3140663497465983</v>
      </c>
      <c r="S45" s="22">
        <f t="shared" si="10"/>
        <v>103002.43685928173</v>
      </c>
      <c r="T45" s="22">
        <f t="shared" si="11"/>
        <v>455.76299495257405</v>
      </c>
      <c r="U45" s="48"/>
    </row>
    <row r="46" spans="1:36">
      <c r="A46" s="2" t="s">
        <v>43</v>
      </c>
      <c r="B46" s="16">
        <v>71706</v>
      </c>
      <c r="C46" s="4">
        <v>52</v>
      </c>
      <c r="D46" s="22">
        <f t="shared" si="12"/>
        <v>5141750436</v>
      </c>
      <c r="E46" s="21">
        <f t="shared" si="13"/>
        <v>2704</v>
      </c>
      <c r="F46" s="22">
        <f t="shared" si="14"/>
        <v>3728712</v>
      </c>
      <c r="G46" s="22">
        <f t="shared" si="0"/>
        <v>-2940.4576560403139</v>
      </c>
      <c r="H46" s="43">
        <f t="shared" si="15"/>
        <v>1.3945834379270912E-5</v>
      </c>
      <c r="I46" s="43">
        <f t="shared" si="1"/>
        <v>1.9448629653405451E-10</v>
      </c>
      <c r="J46" s="43">
        <f t="shared" si="2"/>
        <v>7.2518338772208741E-4</v>
      </c>
      <c r="K46" s="43">
        <f t="shared" si="3"/>
        <v>7.2518338772208741E-4</v>
      </c>
      <c r="L46" s="22">
        <f t="shared" si="4"/>
        <v>-4817483.7674935833</v>
      </c>
      <c r="M46" s="22">
        <f t="shared" si="5"/>
        <v>2992.4576560403139</v>
      </c>
      <c r="N46" s="22">
        <f t="shared" si="6"/>
        <v>8954802.8231942896</v>
      </c>
      <c r="O46" s="22">
        <f>C46-L46</f>
        <v>4817535.7674935833</v>
      </c>
      <c r="P46" s="22">
        <f t="shared" si="7"/>
        <v>23208650871079.988</v>
      </c>
      <c r="Q46" s="22">
        <f t="shared" si="8"/>
        <v>2992.4576560403139</v>
      </c>
      <c r="R46" s="42">
        <f t="shared" si="9"/>
        <v>57.547262616159884</v>
      </c>
      <c r="S46" s="22">
        <f t="shared" si="10"/>
        <v>4817535.7674935833</v>
      </c>
      <c r="T46" s="22">
        <f t="shared" si="11"/>
        <v>92644.918605645827</v>
      </c>
      <c r="U46" s="48"/>
      <c r="V46" s="20" t="s">
        <v>115</v>
      </c>
    </row>
    <row r="47" spans="1:36" ht="28.2">
      <c r="A47" s="2" t="s">
        <v>44</v>
      </c>
      <c r="B47" s="16">
        <v>1241415</v>
      </c>
      <c r="C47" s="4">
        <v>5833</v>
      </c>
      <c r="D47" s="22">
        <f t="shared" si="12"/>
        <v>1541111202225</v>
      </c>
      <c r="E47" s="21">
        <f t="shared" si="13"/>
        <v>34023889</v>
      </c>
      <c r="F47" s="22">
        <f t="shared" si="14"/>
        <v>7241173695</v>
      </c>
      <c r="G47" s="22">
        <f t="shared" si="0"/>
        <v>12744.256391297273</v>
      </c>
      <c r="H47" s="43">
        <f t="shared" si="15"/>
        <v>8.0553239649915625E-7</v>
      </c>
      <c r="I47" s="43">
        <f t="shared" si="1"/>
        <v>6.4888244180967385E-13</v>
      </c>
      <c r="J47" s="43">
        <f t="shared" si="2"/>
        <v>4.6986704687795788E-3</v>
      </c>
      <c r="K47" s="43">
        <f t="shared" si="3"/>
        <v>4.6986704687795788E-3</v>
      </c>
      <c r="L47" s="22">
        <f t="shared" si="4"/>
        <v>2381855.32255519</v>
      </c>
      <c r="M47" s="22">
        <f t="shared" si="5"/>
        <v>-6911.2563912972728</v>
      </c>
      <c r="N47" s="22">
        <f t="shared" si="6"/>
        <v>47765464.9062474</v>
      </c>
      <c r="O47" s="22">
        <f>C47-L47</f>
        <v>-2376022.32255519</v>
      </c>
      <c r="P47" s="22">
        <f t="shared" si="7"/>
        <v>5645482077280.5596</v>
      </c>
      <c r="Q47" s="22">
        <f t="shared" si="8"/>
        <v>6911.2563912972728</v>
      </c>
      <c r="R47" s="42">
        <f t="shared" si="9"/>
        <v>1.1848545159090129</v>
      </c>
      <c r="S47" s="22">
        <f t="shared" si="10"/>
        <v>2376022.32255519</v>
      </c>
      <c r="T47" s="22">
        <f t="shared" si="11"/>
        <v>407.34138908883762</v>
      </c>
      <c r="U47" s="48"/>
      <c r="V47" s="36" t="s">
        <v>124</v>
      </c>
      <c r="W47" s="30" t="s">
        <v>127</v>
      </c>
    </row>
    <row r="48" spans="1:36" ht="27.6">
      <c r="A48" s="2" t="s">
        <v>45</v>
      </c>
      <c r="B48" s="16">
        <v>1263386</v>
      </c>
      <c r="C48" s="4">
        <v>4019</v>
      </c>
      <c r="D48" s="22">
        <f t="shared" si="12"/>
        <v>1596144184996</v>
      </c>
      <c r="E48" s="21">
        <f t="shared" si="13"/>
        <v>16152361</v>
      </c>
      <c r="F48" s="22">
        <f t="shared" si="14"/>
        <v>5077548334</v>
      </c>
      <c r="G48" s="22">
        <f t="shared" si="0"/>
        <v>13038.867146907476</v>
      </c>
      <c r="H48" s="43">
        <f t="shared" si="15"/>
        <v>7.9152373067296933E-7</v>
      </c>
      <c r="I48" s="43">
        <f t="shared" si="1"/>
        <v>6.2650981621845526E-13</v>
      </c>
      <c r="J48" s="43">
        <f t="shared" si="2"/>
        <v>3.1811338735746636E-3</v>
      </c>
      <c r="K48" s="43">
        <f t="shared" si="3"/>
        <v>3.1811338735746636E-3</v>
      </c>
      <c r="L48" s="22">
        <f t="shared" si="4"/>
        <v>2389530.4228393482</v>
      </c>
      <c r="M48" s="22">
        <f t="shared" si="5"/>
        <v>-9019.8671469074761</v>
      </c>
      <c r="N48" s="22">
        <f t="shared" si="6"/>
        <v>81358003.347860813</v>
      </c>
      <c r="O48" s="22">
        <f>C48-L48</f>
        <v>-2385511.4228393482</v>
      </c>
      <c r="P48" s="22">
        <f t="shared" si="7"/>
        <v>5690664748497.0117</v>
      </c>
      <c r="Q48" s="22">
        <f t="shared" si="8"/>
        <v>9019.8671469074761</v>
      </c>
      <c r="R48" s="42">
        <f t="shared" si="9"/>
        <v>2.2443063316515244</v>
      </c>
      <c r="S48" s="22">
        <f t="shared" si="10"/>
        <v>2385511.4228393482</v>
      </c>
      <c r="T48" s="22">
        <f t="shared" si="11"/>
        <v>593.55845305781247</v>
      </c>
      <c r="U48" s="48"/>
      <c r="V48" s="38" t="s">
        <v>122</v>
      </c>
      <c r="W48" s="47">
        <f>C90-H90*W49</f>
        <v>2823192.2779783229</v>
      </c>
    </row>
    <row r="49" spans="1:30">
      <c r="A49" s="2" t="s">
        <v>46</v>
      </c>
      <c r="B49" s="16">
        <v>247344</v>
      </c>
      <c r="C49" s="4">
        <v>115</v>
      </c>
      <c r="D49" s="22">
        <f t="shared" si="12"/>
        <v>61179054336</v>
      </c>
      <c r="E49" s="21">
        <f t="shared" si="13"/>
        <v>13225</v>
      </c>
      <c r="F49" s="22">
        <f t="shared" si="14"/>
        <v>28444560</v>
      </c>
      <c r="G49" s="22">
        <f t="shared" si="0"/>
        <v>-585.31479072400043</v>
      </c>
      <c r="H49" s="43">
        <f t="shared" si="15"/>
        <v>4.0429523255061774E-6</v>
      </c>
      <c r="I49" s="43">
        <f t="shared" si="1"/>
        <v>1.6345463506315807E-11</v>
      </c>
      <c r="J49" s="43">
        <f t="shared" si="2"/>
        <v>4.6493951743321042E-4</v>
      </c>
      <c r="K49" s="43">
        <f t="shared" si="3"/>
        <v>4.6493951743321042E-4</v>
      </c>
      <c r="L49" s="22">
        <f t="shared" si="4"/>
        <v>608130.19231378892</v>
      </c>
      <c r="M49" s="22">
        <f t="shared" si="5"/>
        <v>700.31479072400043</v>
      </c>
      <c r="N49" s="22">
        <f t="shared" si="6"/>
        <v>490440.8061068005</v>
      </c>
      <c r="O49" s="22">
        <f>C49-L49</f>
        <v>-608015.19231378892</v>
      </c>
      <c r="P49" s="22">
        <f t="shared" si="7"/>
        <v>369682474084.37372</v>
      </c>
      <c r="Q49" s="22">
        <f t="shared" si="8"/>
        <v>700.31479072400043</v>
      </c>
      <c r="R49" s="42">
        <f t="shared" si="9"/>
        <v>6.0896938323826122</v>
      </c>
      <c r="S49" s="22">
        <f t="shared" si="10"/>
        <v>608015.19231378892</v>
      </c>
      <c r="T49" s="22">
        <f t="shared" si="11"/>
        <v>5287.0886288155561</v>
      </c>
      <c r="U49" s="48"/>
      <c r="V49" s="40" t="s">
        <v>123</v>
      </c>
      <c r="W49" s="45">
        <f>(K90-J90*C90)/W50</f>
        <v>-547882316516.60846</v>
      </c>
    </row>
    <row r="50" spans="1:30">
      <c r="A50" s="2" t="s">
        <v>47</v>
      </c>
      <c r="B50" s="16">
        <v>150243</v>
      </c>
      <c r="C50" s="4">
        <v>744</v>
      </c>
      <c r="D50" s="22">
        <f t="shared" si="12"/>
        <v>22572959049</v>
      </c>
      <c r="E50" s="21">
        <f t="shared" si="13"/>
        <v>553536</v>
      </c>
      <c r="F50" s="22">
        <f t="shared" si="14"/>
        <v>111780792</v>
      </c>
      <c r="G50" s="22">
        <f t="shared" si="0"/>
        <v>-1887.349244344967</v>
      </c>
      <c r="H50" s="43">
        <f t="shared" si="15"/>
        <v>6.6558841343689891E-6</v>
      </c>
      <c r="I50" s="43">
        <f t="shared" si="1"/>
        <v>4.4300793610144825E-11</v>
      </c>
      <c r="J50" s="43">
        <f t="shared" si="2"/>
        <v>4.951977795970528E-3</v>
      </c>
      <c r="K50" s="43">
        <f t="shared" si="3"/>
        <v>4.951977795970528E-3</v>
      </c>
      <c r="L50" s="22">
        <f t="shared" si="4"/>
        <v>-823448.94002590002</v>
      </c>
      <c r="M50" s="22">
        <f t="shared" si="5"/>
        <v>2631.3492443449668</v>
      </c>
      <c r="N50" s="22">
        <f t="shared" si="6"/>
        <v>6923998.845714828</v>
      </c>
      <c r="O50" s="22">
        <f>C50-L50</f>
        <v>824192.94002590002</v>
      </c>
      <c r="P50" s="22">
        <f t="shared" si="7"/>
        <v>679294002388.53687</v>
      </c>
      <c r="Q50" s="22">
        <f t="shared" si="8"/>
        <v>2631.3492443449668</v>
      </c>
      <c r="R50" s="42">
        <f t="shared" si="9"/>
        <v>3.536759737022805</v>
      </c>
      <c r="S50" s="22">
        <f t="shared" si="10"/>
        <v>824192.94002590002</v>
      </c>
      <c r="T50" s="22">
        <f t="shared" si="11"/>
        <v>1107.7862097122313</v>
      </c>
      <c r="U50" s="48"/>
      <c r="V50" s="38" t="s">
        <v>118</v>
      </c>
      <c r="W50" s="46">
        <f>I90-H90^2</f>
        <v>1.2697237115734806E-10</v>
      </c>
      <c r="Z50" s="20"/>
    </row>
    <row r="51" spans="1:30">
      <c r="A51" s="2" t="s">
        <v>48</v>
      </c>
      <c r="B51" s="16">
        <v>2903306</v>
      </c>
      <c r="C51" s="4">
        <v>7248</v>
      </c>
      <c r="D51" s="22">
        <f t="shared" si="12"/>
        <v>8429185729636</v>
      </c>
      <c r="E51" s="21">
        <f t="shared" si="13"/>
        <v>52533504</v>
      </c>
      <c r="F51" s="22">
        <f t="shared" si="14"/>
        <v>21043161888</v>
      </c>
      <c r="G51" s="22">
        <f t="shared" si="0"/>
        <v>35028.675091028505</v>
      </c>
      <c r="H51" s="43">
        <f t="shared" si="15"/>
        <v>3.4443493038625619E-7</v>
      </c>
      <c r="I51" s="43">
        <f t="shared" si="1"/>
        <v>1.1863542127018516E-13</v>
      </c>
      <c r="J51" s="43">
        <f t="shared" si="2"/>
        <v>2.4964643754395847E-3</v>
      </c>
      <c r="K51" s="43">
        <f t="shared" si="3"/>
        <v>2.4964643754395847E-3</v>
      </c>
      <c r="L51" s="22">
        <f t="shared" si="4"/>
        <v>2634482.4704290642</v>
      </c>
      <c r="M51" s="22">
        <f t="shared" si="5"/>
        <v>-27780.675091028505</v>
      </c>
      <c r="N51" s="22">
        <f t="shared" si="6"/>
        <v>771765908.5132916</v>
      </c>
      <c r="O51" s="22">
        <f>C51-L51</f>
        <v>-2627234.4704290642</v>
      </c>
      <c r="P51" s="22">
        <f t="shared" si="7"/>
        <v>6902360962610.6855</v>
      </c>
      <c r="Q51" s="22">
        <f t="shared" si="8"/>
        <v>27780.675091028505</v>
      </c>
      <c r="R51" s="42">
        <f t="shared" si="9"/>
        <v>3.8328745986518356</v>
      </c>
      <c r="S51" s="22">
        <f t="shared" si="10"/>
        <v>2627234.4704290642</v>
      </c>
      <c r="T51" s="22">
        <f t="shared" si="11"/>
        <v>362.47716203491507</v>
      </c>
      <c r="U51" s="48"/>
      <c r="V51" s="50" t="s">
        <v>125</v>
      </c>
      <c r="W51" s="38"/>
      <c r="Z51" s="20"/>
    </row>
    <row r="52" spans="1:30" ht="61.2" customHeight="1">
      <c r="A52" s="2" t="s">
        <v>49</v>
      </c>
      <c r="B52" s="16">
        <v>526678</v>
      </c>
      <c r="C52" s="4">
        <v>2562</v>
      </c>
      <c r="D52" s="22">
        <f t="shared" si="12"/>
        <v>277389715684</v>
      </c>
      <c r="E52" s="21">
        <f t="shared" si="13"/>
        <v>6563844</v>
      </c>
      <c r="F52" s="22">
        <f t="shared" si="14"/>
        <v>1349349036</v>
      </c>
      <c r="G52" s="22">
        <f t="shared" si="0"/>
        <v>3160.2953684685826</v>
      </c>
      <c r="H52" s="43">
        <f t="shared" si="15"/>
        <v>1.8986933192576868E-6</v>
      </c>
      <c r="I52" s="43">
        <f t="shared" si="1"/>
        <v>3.6050363205937725E-12</v>
      </c>
      <c r="J52" s="43">
        <f t="shared" si="2"/>
        <v>4.8644522839381933E-3</v>
      </c>
      <c r="K52" s="43">
        <f t="shared" si="3"/>
        <v>4.8644522839381933E-3</v>
      </c>
      <c r="L52" s="22">
        <f t="shared" si="4"/>
        <v>1782931.783868813</v>
      </c>
      <c r="M52" s="22">
        <f t="shared" si="5"/>
        <v>-598.29536846858264</v>
      </c>
      <c r="N52" s="22">
        <f t="shared" si="6"/>
        <v>357957.34793095704</v>
      </c>
      <c r="O52" s="22">
        <f>C52-L52</f>
        <v>-1780369.783868813</v>
      </c>
      <c r="P52" s="22">
        <f t="shared" si="7"/>
        <v>3169716567313.084</v>
      </c>
      <c r="Q52" s="22">
        <f t="shared" si="8"/>
        <v>598.29536846858264</v>
      </c>
      <c r="R52" s="42">
        <f t="shared" si="9"/>
        <v>0.23352668558492687</v>
      </c>
      <c r="S52" s="22">
        <f t="shared" si="10"/>
        <v>1780369.783868813</v>
      </c>
      <c r="T52" s="22">
        <f t="shared" si="11"/>
        <v>694.91404522592234</v>
      </c>
      <c r="U52" s="48"/>
      <c r="V52" s="37" t="s">
        <v>87</v>
      </c>
      <c r="Y52" s="20" t="s">
        <v>126</v>
      </c>
      <c r="Z52" s="20"/>
      <c r="AA52" s="32"/>
      <c r="AB52" s="32"/>
      <c r="AC52" s="32"/>
      <c r="AD52" s="32"/>
    </row>
    <row r="53" spans="1:30">
      <c r="A53" s="2" t="s">
        <v>50</v>
      </c>
      <c r="B53" s="16">
        <v>388665</v>
      </c>
      <c r="C53" s="4">
        <v>918</v>
      </c>
      <c r="D53" s="22">
        <f t="shared" si="12"/>
        <v>151060482225</v>
      </c>
      <c r="E53" s="21">
        <f t="shared" si="13"/>
        <v>842724</v>
      </c>
      <c r="F53" s="22">
        <f t="shared" si="14"/>
        <v>356794470</v>
      </c>
      <c r="G53" s="22">
        <f t="shared" si="0"/>
        <v>1309.6688965724079</v>
      </c>
      <c r="H53" s="43">
        <f t="shared" si="15"/>
        <v>2.5729098323749244E-6</v>
      </c>
      <c r="I53" s="43">
        <f t="shared" si="1"/>
        <v>6.6198650055315612E-12</v>
      </c>
      <c r="J53" s="43">
        <f t="shared" si="2"/>
        <v>2.3619312261201806E-3</v>
      </c>
      <c r="K53" s="43">
        <f t="shared" si="3"/>
        <v>2.3619312261201806E-3</v>
      </c>
      <c r="L53" s="22">
        <f t="shared" si="4"/>
        <v>1413540.4788283906</v>
      </c>
      <c r="M53" s="22">
        <f t="shared" si="5"/>
        <v>-391.6688965724079</v>
      </c>
      <c r="N53" s="22">
        <f t="shared" si="6"/>
        <v>153404.52454224756</v>
      </c>
      <c r="O53" s="22">
        <f>C53-L53</f>
        <v>-1412622.4788283906</v>
      </c>
      <c r="P53" s="22">
        <f t="shared" si="7"/>
        <v>1995502267691.2668</v>
      </c>
      <c r="Q53" s="22">
        <f t="shared" si="8"/>
        <v>391.6688965724079</v>
      </c>
      <c r="R53" s="42">
        <f t="shared" si="9"/>
        <v>0.42665457142963825</v>
      </c>
      <c r="S53" s="22">
        <f t="shared" si="10"/>
        <v>1412622.4788283906</v>
      </c>
      <c r="T53" s="22">
        <f t="shared" si="11"/>
        <v>1538.8044431681815</v>
      </c>
      <c r="U53" s="48"/>
      <c r="V53" s="33" t="s">
        <v>105</v>
      </c>
      <c r="Y53" s="20" t="s">
        <v>144</v>
      </c>
      <c r="Z53" s="33"/>
      <c r="AA53" s="32"/>
      <c r="AB53" s="32"/>
      <c r="AC53" s="32"/>
      <c r="AD53" s="32"/>
    </row>
    <row r="54" spans="1:30">
      <c r="A54" s="2" t="s">
        <v>51</v>
      </c>
      <c r="B54" s="16">
        <v>923187</v>
      </c>
      <c r="C54" s="4">
        <v>7317</v>
      </c>
      <c r="D54" s="22">
        <f t="shared" si="12"/>
        <v>852274236969</v>
      </c>
      <c r="E54" s="21">
        <f t="shared" si="13"/>
        <v>53538489</v>
      </c>
      <c r="F54" s="22">
        <f t="shared" si="14"/>
        <v>6754959279</v>
      </c>
      <c r="G54" s="22">
        <f t="shared" si="0"/>
        <v>8477.113724312454</v>
      </c>
      <c r="H54" s="43">
        <f t="shared" si="15"/>
        <v>1.0832041612371057E-6</v>
      </c>
      <c r="I54" s="43">
        <f t="shared" si="1"/>
        <v>1.1733312549213817E-12</v>
      </c>
      <c r="J54" s="43">
        <f t="shared" si="2"/>
        <v>7.9258048477719029E-3</v>
      </c>
      <c r="K54" s="43">
        <f t="shared" si="3"/>
        <v>7.9258048477719029E-3</v>
      </c>
      <c r="L54" s="22">
        <f t="shared" si="4"/>
        <v>2229723.8728593076</v>
      </c>
      <c r="M54" s="22">
        <f t="shared" si="5"/>
        <v>-1160.113724312454</v>
      </c>
      <c r="N54" s="22">
        <f t="shared" si="6"/>
        <v>1345863.8533381126</v>
      </c>
      <c r="O54" s="22">
        <f>C54-L54</f>
        <v>-2222406.8728593076</v>
      </c>
      <c r="P54" s="22">
        <f t="shared" si="7"/>
        <v>4939092308532.2861</v>
      </c>
      <c r="Q54" s="22">
        <f t="shared" si="8"/>
        <v>1160.113724312454</v>
      </c>
      <c r="R54" s="42">
        <f t="shared" si="9"/>
        <v>0.158550461160647</v>
      </c>
      <c r="S54" s="22">
        <f t="shared" si="10"/>
        <v>2222406.8728593076</v>
      </c>
      <c r="T54" s="22">
        <f t="shared" si="11"/>
        <v>303.73197661053814</v>
      </c>
      <c r="U54" s="48"/>
      <c r="Y54" s="20" t="s">
        <v>87</v>
      </c>
      <c r="Z54" s="32"/>
      <c r="AA54" s="32"/>
      <c r="AB54" s="32"/>
      <c r="AC54" s="32"/>
    </row>
    <row r="55" spans="1:30">
      <c r="A55" s="2" t="s">
        <v>52</v>
      </c>
      <c r="B55" s="16">
        <v>516790</v>
      </c>
      <c r="C55" s="4">
        <v>3362</v>
      </c>
      <c r="D55" s="22">
        <f t="shared" si="12"/>
        <v>267071904100</v>
      </c>
      <c r="E55" s="21">
        <f t="shared" si="13"/>
        <v>11303044</v>
      </c>
      <c r="F55" s="22">
        <f t="shared" si="14"/>
        <v>1737447980</v>
      </c>
      <c r="G55" s="22">
        <f t="shared" si="0"/>
        <v>3027.7064489167333</v>
      </c>
      <c r="H55" s="43">
        <f t="shared" si="15"/>
        <v>1.9350219624992742E-6</v>
      </c>
      <c r="I55" s="43">
        <f t="shared" si="1"/>
        <v>3.7443099953545422E-12</v>
      </c>
      <c r="J55" s="43">
        <f t="shared" si="2"/>
        <v>6.5055438379225602E-3</v>
      </c>
      <c r="K55" s="43">
        <f t="shared" si="3"/>
        <v>6.5055438379225602E-3</v>
      </c>
      <c r="L55" s="22">
        <f t="shared" si="4"/>
        <v>1763027.9626537065</v>
      </c>
      <c r="M55" s="22">
        <f t="shared" si="5"/>
        <v>334.29355108326672</v>
      </c>
      <c r="N55" s="22">
        <f t="shared" si="6"/>
        <v>111752.17829586066</v>
      </c>
      <c r="O55" s="22">
        <f>C55-L55</f>
        <v>-1759665.9626537065</v>
      </c>
      <c r="P55" s="22">
        <f t="shared" si="7"/>
        <v>3096424300121.9956</v>
      </c>
      <c r="Q55" s="22">
        <f t="shared" si="8"/>
        <v>334.29355108326672</v>
      </c>
      <c r="R55" s="42">
        <f t="shared" si="9"/>
        <v>9.9432942023577248E-2</v>
      </c>
      <c r="S55" s="22">
        <f t="shared" si="10"/>
        <v>1759665.9626537065</v>
      </c>
      <c r="T55" s="22">
        <f t="shared" si="11"/>
        <v>523.39856117004956</v>
      </c>
      <c r="U55" s="48"/>
      <c r="Y55" s="33" t="s">
        <v>104</v>
      </c>
      <c r="Z55" s="32"/>
      <c r="AA55" s="32"/>
      <c r="AB55" s="32"/>
      <c r="AC55" s="32"/>
    </row>
    <row r="56" spans="1:30">
      <c r="A56" s="2" t="s">
        <v>53</v>
      </c>
      <c r="B56" s="16">
        <v>1433972</v>
      </c>
      <c r="C56" s="4">
        <v>14184</v>
      </c>
      <c r="D56" s="22">
        <f t="shared" si="12"/>
        <v>2056275696784</v>
      </c>
      <c r="E56" s="21">
        <f t="shared" si="13"/>
        <v>201185856</v>
      </c>
      <c r="F56" s="22">
        <f t="shared" si="14"/>
        <v>20339458848</v>
      </c>
      <c r="G56" s="22">
        <f t="shared" si="0"/>
        <v>15326.267372501305</v>
      </c>
      <c r="H56" s="43">
        <f t="shared" si="15"/>
        <v>6.9736368632023496E-7</v>
      </c>
      <c r="I56" s="43">
        <f t="shared" si="1"/>
        <v>4.8631611099814704E-13</v>
      </c>
      <c r="J56" s="43">
        <f t="shared" si="2"/>
        <v>9.8914065267662124E-3</v>
      </c>
      <c r="K56" s="43">
        <f t="shared" si="3"/>
        <v>9.8914065267662124E-3</v>
      </c>
      <c r="L56" s="22">
        <f t="shared" si="4"/>
        <v>2441119.0460626311</v>
      </c>
      <c r="M56" s="22">
        <f t="shared" si="5"/>
        <v>-1142.2673725013046</v>
      </c>
      <c r="N56" s="22">
        <f t="shared" si="6"/>
        <v>1304774.7502810343</v>
      </c>
      <c r="O56" s="22">
        <f>C56-L56</f>
        <v>-2426935.0460626311</v>
      </c>
      <c r="P56" s="22">
        <f t="shared" si="7"/>
        <v>5890013717807.0254</v>
      </c>
      <c r="Q56" s="22">
        <f t="shared" si="8"/>
        <v>1142.2673725013046</v>
      </c>
      <c r="R56" s="42">
        <f t="shared" si="9"/>
        <v>8.0532104660272469E-2</v>
      </c>
      <c r="S56" s="22">
        <f t="shared" si="10"/>
        <v>2426935.0460626311</v>
      </c>
      <c r="T56" s="22">
        <f t="shared" si="11"/>
        <v>171.10371165134174</v>
      </c>
      <c r="U56" s="48"/>
      <c r="V56" s="32"/>
    </row>
    <row r="57" spans="1:30">
      <c r="A57" s="2" t="s">
        <v>54</v>
      </c>
      <c r="B57" s="16">
        <v>539491</v>
      </c>
      <c r="C57" s="4">
        <v>1812</v>
      </c>
      <c r="D57" s="22">
        <f t="shared" si="12"/>
        <v>291050539081</v>
      </c>
      <c r="E57" s="21">
        <f t="shared" si="13"/>
        <v>3283344</v>
      </c>
      <c r="F57" s="22">
        <f t="shared" si="14"/>
        <v>977557692</v>
      </c>
      <c r="G57" s="22">
        <f t="shared" si="0"/>
        <v>3332.1058282398053</v>
      </c>
      <c r="H57" s="43">
        <f t="shared" si="15"/>
        <v>1.8535990405771365E-6</v>
      </c>
      <c r="I57" s="43">
        <f t="shared" si="1"/>
        <v>3.4358294032284811E-12</v>
      </c>
      <c r="J57" s="43">
        <f t="shared" si="2"/>
        <v>3.3587214615257714E-3</v>
      </c>
      <c r="K57" s="43">
        <f t="shared" si="3"/>
        <v>3.3587214615257714E-3</v>
      </c>
      <c r="L57" s="22">
        <f t="shared" si="4"/>
        <v>1807638.1417339584</v>
      </c>
      <c r="M57" s="22">
        <f t="shared" si="5"/>
        <v>-1520.1058282398053</v>
      </c>
      <c r="N57" s="22">
        <f t="shared" si="6"/>
        <v>2310721.7290486246</v>
      </c>
      <c r="O57" s="22">
        <f>C57-L57</f>
        <v>-1805826.1417339584</v>
      </c>
      <c r="P57" s="22">
        <f t="shared" si="7"/>
        <v>3261008054169.7544</v>
      </c>
      <c r="Q57" s="22">
        <f t="shared" si="8"/>
        <v>1520.1058282398053</v>
      </c>
      <c r="R57" s="42">
        <f t="shared" si="9"/>
        <v>0.83891050123609567</v>
      </c>
      <c r="S57" s="22">
        <f t="shared" si="10"/>
        <v>1805826.1417339584</v>
      </c>
      <c r="T57" s="22">
        <f t="shared" si="11"/>
        <v>996.59279345141192</v>
      </c>
      <c r="U57" s="48"/>
      <c r="V57" s="32"/>
    </row>
    <row r="58" spans="1:30">
      <c r="A58" s="2" t="s">
        <v>55</v>
      </c>
      <c r="B58" s="16">
        <v>201307</v>
      </c>
      <c r="C58" s="4">
        <v>1342</v>
      </c>
      <c r="D58" s="22">
        <f t="shared" si="12"/>
        <v>40524508249</v>
      </c>
      <c r="E58" s="21">
        <f t="shared" si="13"/>
        <v>1800964</v>
      </c>
      <c r="F58" s="22">
        <f t="shared" si="14"/>
        <v>270153994</v>
      </c>
      <c r="G58" s="22">
        <f t="shared" si="0"/>
        <v>-1202.6283110929817</v>
      </c>
      <c r="H58" s="43">
        <f t="shared" si="15"/>
        <v>4.9675371447590003E-6</v>
      </c>
      <c r="I58" s="43">
        <f t="shared" si="1"/>
        <v>2.4676425284560403E-11</v>
      </c>
      <c r="J58" s="43">
        <f t="shared" si="2"/>
        <v>6.6664348482665782E-3</v>
      </c>
      <c r="K58" s="43">
        <f t="shared" si="3"/>
        <v>6.6664348482665782E-3</v>
      </c>
      <c r="L58" s="22">
        <f t="shared" si="4"/>
        <v>101566.51972546289</v>
      </c>
      <c r="M58" s="22">
        <f t="shared" si="5"/>
        <v>2544.6283110929817</v>
      </c>
      <c r="N58" s="22">
        <f t="shared" si="6"/>
        <v>6475133.2416159203</v>
      </c>
      <c r="O58" s="22">
        <f>C58-L58</f>
        <v>-100224.51972546289</v>
      </c>
      <c r="P58" s="22">
        <f t="shared" si="7"/>
        <v>10044954354.199699</v>
      </c>
      <c r="Q58" s="22">
        <f t="shared" si="8"/>
        <v>2544.6283110929817</v>
      </c>
      <c r="R58" s="42">
        <f t="shared" si="9"/>
        <v>1.8961462824835928</v>
      </c>
      <c r="S58" s="22">
        <f t="shared" si="10"/>
        <v>100224.51972546289</v>
      </c>
      <c r="T58" s="22">
        <f t="shared" si="11"/>
        <v>74.682950615099017</v>
      </c>
      <c r="U58" s="48"/>
    </row>
    <row r="59" spans="1:30">
      <c r="A59" s="2" t="s">
        <v>56</v>
      </c>
      <c r="B59" s="16">
        <v>1495549</v>
      </c>
      <c r="C59" s="4">
        <v>8433</v>
      </c>
      <c r="D59" s="22">
        <f t="shared" si="12"/>
        <v>2236666811401</v>
      </c>
      <c r="E59" s="21">
        <f t="shared" si="13"/>
        <v>71115489</v>
      </c>
      <c r="F59" s="22">
        <f t="shared" si="14"/>
        <v>12611964717</v>
      </c>
      <c r="G59" s="22">
        <f t="shared" si="0"/>
        <v>16151.957896292184</v>
      </c>
      <c r="H59" s="43">
        <f t="shared" si="15"/>
        <v>6.6865077640384901E-7</v>
      </c>
      <c r="I59" s="43">
        <f t="shared" si="1"/>
        <v>4.4709386078547009E-13</v>
      </c>
      <c r="J59" s="43">
        <f t="shared" si="2"/>
        <v>5.6387319974136587E-3</v>
      </c>
      <c r="K59" s="43">
        <f t="shared" si="3"/>
        <v>5.6387319974136587E-3</v>
      </c>
      <c r="L59" s="22">
        <f t="shared" si="4"/>
        <v>2456850.3416615534</v>
      </c>
      <c r="M59" s="22">
        <f t="shared" si="5"/>
        <v>-7718.9578962921842</v>
      </c>
      <c r="N59" s="22">
        <f t="shared" si="6"/>
        <v>59582311.004731461</v>
      </c>
      <c r="O59" s="22">
        <f>C59-L59</f>
        <v>-2448417.3416615534</v>
      </c>
      <c r="P59" s="22">
        <f t="shared" si="7"/>
        <v>5994747478949.0273</v>
      </c>
      <c r="Q59" s="22">
        <f t="shared" si="8"/>
        <v>7718.9578962921842</v>
      </c>
      <c r="R59" s="42">
        <f t="shared" si="9"/>
        <v>0.91532762911089582</v>
      </c>
      <c r="S59" s="22">
        <f t="shared" si="10"/>
        <v>2448417.3416615534</v>
      </c>
      <c r="T59" s="22">
        <f t="shared" si="11"/>
        <v>290.33764279159885</v>
      </c>
      <c r="U59" s="48"/>
      <c r="V59" s="20" t="s">
        <v>142</v>
      </c>
      <c r="W59" s="33"/>
      <c r="X59" s="54" t="s">
        <v>141</v>
      </c>
    </row>
    <row r="60" spans="1:30">
      <c r="A60" s="2" t="s">
        <v>57</v>
      </c>
      <c r="B60" s="16">
        <v>623572</v>
      </c>
      <c r="C60" s="4">
        <v>4188</v>
      </c>
      <c r="D60" s="22">
        <f t="shared" si="12"/>
        <v>388842039184</v>
      </c>
      <c r="E60" s="21">
        <f t="shared" si="13"/>
        <v>17539344</v>
      </c>
      <c r="F60" s="22">
        <f t="shared" si="14"/>
        <v>2611519536</v>
      </c>
      <c r="G60" s="22">
        <f t="shared" si="0"/>
        <v>4459.5541438586406</v>
      </c>
      <c r="H60" s="43">
        <f t="shared" si="15"/>
        <v>1.6036640516251532E-6</v>
      </c>
      <c r="I60" s="43">
        <f t="shared" si="1"/>
        <v>2.571738390474802E-12</v>
      </c>
      <c r="J60" s="43">
        <f t="shared" si="2"/>
        <v>6.716145048206142E-3</v>
      </c>
      <c r="K60" s="43">
        <f t="shared" si="3"/>
        <v>6.716145048206142E-3</v>
      </c>
      <c r="L60" s="22">
        <f t="shared" si="4"/>
        <v>1944573.1024595241</v>
      </c>
      <c r="M60" s="22">
        <f t="shared" si="5"/>
        <v>-271.5541438586406</v>
      </c>
      <c r="N60" s="22">
        <f t="shared" si="6"/>
        <v>73741.653046799271</v>
      </c>
      <c r="O60" s="22">
        <f>C60-L60</f>
        <v>-1940385.1024595241</v>
      </c>
      <c r="P60" s="22">
        <f t="shared" si="7"/>
        <v>3765094345846.8579</v>
      </c>
      <c r="Q60" s="22">
        <f t="shared" si="8"/>
        <v>271.5541438586406</v>
      </c>
      <c r="R60" s="42">
        <f t="shared" si="9"/>
        <v>6.4841008562235097E-2</v>
      </c>
      <c r="S60" s="22">
        <f t="shared" si="10"/>
        <v>1940385.1024595241</v>
      </c>
      <c r="T60" s="22">
        <f t="shared" si="11"/>
        <v>463.32022503809077</v>
      </c>
      <c r="U60" s="48"/>
      <c r="V60" s="5"/>
      <c r="W60" s="3" t="s">
        <v>131</v>
      </c>
      <c r="X60" s="3" t="s">
        <v>132</v>
      </c>
    </row>
    <row r="61" spans="1:30">
      <c r="A61" s="2" t="s">
        <v>58</v>
      </c>
      <c r="B61" s="16">
        <v>317885</v>
      </c>
      <c r="C61" s="4">
        <v>765</v>
      </c>
      <c r="D61" s="22">
        <f t="shared" si="12"/>
        <v>101050873225</v>
      </c>
      <c r="E61" s="21">
        <f t="shared" si="13"/>
        <v>585225</v>
      </c>
      <c r="F61" s="22">
        <f t="shared" si="14"/>
        <v>243182025</v>
      </c>
      <c r="G61" s="22">
        <f t="shared" si="0"/>
        <v>360.57466863148056</v>
      </c>
      <c r="H61" s="43">
        <f t="shared" si="15"/>
        <v>3.1457917171304087E-6</v>
      </c>
      <c r="I61" s="43">
        <f t="shared" si="1"/>
        <v>9.8960055275662856E-12</v>
      </c>
      <c r="J61" s="43">
        <f t="shared" si="2"/>
        <v>2.4065306636047628E-3</v>
      </c>
      <c r="K61" s="43">
        <f t="shared" si="3"/>
        <v>2.4065306636047628E-3</v>
      </c>
      <c r="L61" s="22">
        <f t="shared" si="4"/>
        <v>1099668.624718155</v>
      </c>
      <c r="M61" s="22">
        <f t="shared" si="5"/>
        <v>404.42533136851944</v>
      </c>
      <c r="N61" s="22">
        <f t="shared" si="6"/>
        <v>163559.84865253675</v>
      </c>
      <c r="O61" s="22">
        <f>C61-L61</f>
        <v>-1098903.624718155</v>
      </c>
      <c r="P61" s="22">
        <f t="shared" si="7"/>
        <v>1207589176418.6997</v>
      </c>
      <c r="Q61" s="22">
        <f t="shared" si="8"/>
        <v>404.42533136851944</v>
      </c>
      <c r="R61" s="42">
        <f t="shared" si="9"/>
        <v>0.5286605638804176</v>
      </c>
      <c r="S61" s="22">
        <f t="shared" si="10"/>
        <v>1098903.624718155</v>
      </c>
      <c r="T61" s="22">
        <f t="shared" si="11"/>
        <v>1436.4753264289609</v>
      </c>
      <c r="U61" s="48"/>
      <c r="V61" s="3" t="s">
        <v>128</v>
      </c>
      <c r="W61" s="1">
        <f>SQRT(N89/85)</f>
        <v>44175.979186821263</v>
      </c>
      <c r="X61" s="1">
        <f>SQRT(P89/85)</f>
        <v>6168695.9159707809</v>
      </c>
    </row>
    <row r="62" spans="1:30">
      <c r="A62" s="2" t="s">
        <v>59</v>
      </c>
      <c r="B62" s="16">
        <v>572378</v>
      </c>
      <c r="C62" s="4">
        <v>1434</v>
      </c>
      <c r="D62" s="22">
        <f t="shared" si="12"/>
        <v>327616574884</v>
      </c>
      <c r="E62" s="21">
        <f t="shared" si="13"/>
        <v>2056356</v>
      </c>
      <c r="F62" s="22">
        <f t="shared" si="14"/>
        <v>820790052</v>
      </c>
      <c r="G62" s="22">
        <f t="shared" si="0"/>
        <v>3773.090031041349</v>
      </c>
      <c r="H62" s="43">
        <f t="shared" si="15"/>
        <v>1.7470971980055139E-6</v>
      </c>
      <c r="I62" s="43">
        <f t="shared" si="1"/>
        <v>3.0523486192787181E-12</v>
      </c>
      <c r="J62" s="43">
        <f t="shared" si="2"/>
        <v>2.5053373819399071E-3</v>
      </c>
      <c r="K62" s="43">
        <f t="shared" si="3"/>
        <v>2.5053373819399071E-3</v>
      </c>
      <c r="L62" s="22">
        <f t="shared" si="4"/>
        <v>1865988.6179553862</v>
      </c>
      <c r="M62" s="22">
        <f t="shared" si="5"/>
        <v>-2339.090031041349</v>
      </c>
      <c r="N62" s="22">
        <f t="shared" si="6"/>
        <v>5471342.1733170189</v>
      </c>
      <c r="O62" s="22">
        <f>C62-L62</f>
        <v>-1864554.6179553862</v>
      </c>
      <c r="P62" s="22">
        <f t="shared" si="7"/>
        <v>3476563923338.7559</v>
      </c>
      <c r="Q62" s="22">
        <f t="shared" si="8"/>
        <v>2339.090031041349</v>
      </c>
      <c r="R62" s="42">
        <f t="shared" si="9"/>
        <v>1.6311645962631443</v>
      </c>
      <c r="S62" s="22">
        <f t="shared" si="10"/>
        <v>1864554.6179553862</v>
      </c>
      <c r="T62" s="22">
        <f t="shared" si="11"/>
        <v>1300.2472928559177</v>
      </c>
      <c r="U62" s="48"/>
      <c r="V62" s="3" t="s">
        <v>129</v>
      </c>
      <c r="W62" s="1">
        <f>(R89/85)*100%</f>
        <v>8.4160158012582862</v>
      </c>
      <c r="X62" s="1">
        <f>(T89/85)*100%%</f>
        <v>320.11902747687003</v>
      </c>
    </row>
    <row r="63" spans="1:30">
      <c r="A63" s="2" t="s">
        <v>60</v>
      </c>
      <c r="B63" s="16">
        <v>1753224</v>
      </c>
      <c r="C63" s="4">
        <v>13813</v>
      </c>
      <c r="D63" s="22">
        <f t="shared" si="12"/>
        <v>3073794394176</v>
      </c>
      <c r="E63" s="21">
        <f t="shared" si="13"/>
        <v>190798969</v>
      </c>
      <c r="F63" s="22">
        <f t="shared" si="14"/>
        <v>24217283112</v>
      </c>
      <c r="G63" s="22">
        <f t="shared" si="0"/>
        <v>19607.140930831298</v>
      </c>
      <c r="H63" s="43">
        <f t="shared" si="15"/>
        <v>5.7037777260635269E-7</v>
      </c>
      <c r="I63" s="43">
        <f t="shared" si="1"/>
        <v>3.2533080348338418E-13</v>
      </c>
      <c r="J63" s="43">
        <f t="shared" si="2"/>
        <v>7.8786281730115499E-3</v>
      </c>
      <c r="K63" s="43">
        <f t="shared" si="3"/>
        <v>7.8786281730115499E-3</v>
      </c>
      <c r="L63" s="22">
        <f t="shared" si="4"/>
        <v>2510692.382633171</v>
      </c>
      <c r="M63" s="22">
        <f t="shared" si="5"/>
        <v>-5794.1409308312977</v>
      </c>
      <c r="N63" s="22">
        <f t="shared" si="6"/>
        <v>33572069.126334578</v>
      </c>
      <c r="O63" s="22">
        <f>C63-L63</f>
        <v>-2496879.382633171</v>
      </c>
      <c r="P63" s="22">
        <f t="shared" si="7"/>
        <v>6234406651418.6055</v>
      </c>
      <c r="Q63" s="22">
        <f t="shared" si="8"/>
        <v>5794.1409308312977</v>
      </c>
      <c r="R63" s="42">
        <f t="shared" si="9"/>
        <v>0.41947013182011855</v>
      </c>
      <c r="S63" s="22">
        <f t="shared" si="10"/>
        <v>2496879.382633171</v>
      </c>
      <c r="T63" s="22">
        <f t="shared" si="11"/>
        <v>180.76300460675964</v>
      </c>
      <c r="U63" s="48"/>
      <c r="V63" s="3" t="s">
        <v>130</v>
      </c>
      <c r="W63" s="53">
        <f>W40*(B90/C90)%</f>
        <v>1.3118783454243121E-2</v>
      </c>
      <c r="X63" s="52">
        <f>W49*(B90/C90)%%</f>
        <v>-5360213311.0080814</v>
      </c>
    </row>
    <row r="64" spans="1:30">
      <c r="A64" s="2" t="s">
        <v>61</v>
      </c>
      <c r="B64" s="16">
        <v>1722897</v>
      </c>
      <c r="C64" s="4">
        <v>4672</v>
      </c>
      <c r="D64" s="22">
        <f t="shared" si="12"/>
        <v>2968374072609</v>
      </c>
      <c r="E64" s="21">
        <f t="shared" si="13"/>
        <v>21827584</v>
      </c>
      <c r="F64" s="22">
        <f t="shared" si="14"/>
        <v>8049374784</v>
      </c>
      <c r="G64" s="22">
        <f t="shared" si="0"/>
        <v>19200.483956392691</v>
      </c>
      <c r="H64" s="43">
        <f t="shared" si="15"/>
        <v>5.8041774987129239E-7</v>
      </c>
      <c r="I64" s="43">
        <f t="shared" si="1"/>
        <v>3.3688476436565412E-13</v>
      </c>
      <c r="J64" s="43">
        <f t="shared" si="2"/>
        <v>2.7117117273986781E-3</v>
      </c>
      <c r="K64" s="43">
        <f t="shared" si="3"/>
        <v>2.7117117273986781E-3</v>
      </c>
      <c r="L64" s="22">
        <f t="shared" si="4"/>
        <v>2505191.6566314818</v>
      </c>
      <c r="M64" s="22">
        <f t="shared" si="5"/>
        <v>-14528.483956392691</v>
      </c>
      <c r="N64" s="22">
        <f t="shared" si="6"/>
        <v>211076846.07115981</v>
      </c>
      <c r="O64" s="22">
        <f>C64-L64</f>
        <v>-2500519.6566314818</v>
      </c>
      <c r="P64" s="22">
        <f t="shared" si="7"/>
        <v>6252598553200.4238</v>
      </c>
      <c r="Q64" s="22">
        <f t="shared" si="8"/>
        <v>14528.483956392691</v>
      </c>
      <c r="R64" s="42">
        <f t="shared" si="9"/>
        <v>3.1096926276525449</v>
      </c>
      <c r="S64" s="22">
        <f t="shared" si="10"/>
        <v>2500519.6566314818</v>
      </c>
      <c r="T64" s="22">
        <f t="shared" si="11"/>
        <v>535.21396760091648</v>
      </c>
      <c r="U64" s="48"/>
      <c r="V64" s="55" t="s">
        <v>143</v>
      </c>
      <c r="W64" s="56">
        <f>((F90-B90*C90)/(W26*W27))^2</f>
        <v>0.37256104263701234</v>
      </c>
      <c r="X64" s="57"/>
    </row>
    <row r="65" spans="1:22" ht="41.4">
      <c r="A65" s="2" t="s">
        <v>62</v>
      </c>
      <c r="B65" s="16">
        <v>532491</v>
      </c>
      <c r="C65" s="4">
        <v>1614</v>
      </c>
      <c r="D65" s="22">
        <f t="shared" si="12"/>
        <v>283546665081</v>
      </c>
      <c r="E65" s="21">
        <f t="shared" si="13"/>
        <v>2604996</v>
      </c>
      <c r="F65" s="22">
        <f t="shared" si="14"/>
        <v>859440474</v>
      </c>
      <c r="G65" s="22">
        <f t="shared" si="0"/>
        <v>3238.2423131848955</v>
      </c>
      <c r="H65" s="43">
        <f t="shared" si="15"/>
        <v>1.8779660125711046E-6</v>
      </c>
      <c r="I65" s="43">
        <f t="shared" si="1"/>
        <v>3.5267563443722142E-12</v>
      </c>
      <c r="J65" s="43">
        <f t="shared" si="2"/>
        <v>3.0310371442897627E-3</v>
      </c>
      <c r="K65" s="43">
        <f t="shared" si="3"/>
        <v>3.0310371442897627E-3</v>
      </c>
      <c r="L65" s="22">
        <f t="shared" si="4"/>
        <v>1794287.908671408</v>
      </c>
      <c r="M65" s="22">
        <f t="shared" si="5"/>
        <v>-1624.2423131848955</v>
      </c>
      <c r="N65" s="22">
        <f t="shared" si="6"/>
        <v>2638163.09194022</v>
      </c>
      <c r="O65" s="22">
        <f>C65-L65</f>
        <v>-1792673.908671408</v>
      </c>
      <c r="P65" s="22">
        <f t="shared" si="7"/>
        <v>3213679742831.2236</v>
      </c>
      <c r="Q65" s="22">
        <f t="shared" si="8"/>
        <v>1624.2423131848955</v>
      </c>
      <c r="R65" s="42">
        <f t="shared" si="9"/>
        <v>1.0063459189497495</v>
      </c>
      <c r="S65" s="22">
        <f t="shared" si="10"/>
        <v>1792673.908671408</v>
      </c>
      <c r="T65" s="22">
        <f t="shared" si="11"/>
        <v>1110.7025456452341</v>
      </c>
      <c r="U65" s="48"/>
      <c r="V65" s="58" t="s">
        <v>87</v>
      </c>
    </row>
    <row r="66" spans="1:22" ht="27.6">
      <c r="A66" s="2" t="s">
        <v>63</v>
      </c>
      <c r="B66" s="16">
        <v>211095</v>
      </c>
      <c r="C66" s="4">
        <v>772</v>
      </c>
      <c r="D66" s="22">
        <f t="shared" si="12"/>
        <v>44561099025</v>
      </c>
      <c r="E66" s="21">
        <f t="shared" si="13"/>
        <v>595984</v>
      </c>
      <c r="F66" s="22">
        <f t="shared" si="14"/>
        <v>162965340</v>
      </c>
      <c r="G66" s="22">
        <f t="shared" si="0"/>
        <v>-1071.3802988990597</v>
      </c>
      <c r="H66" s="43">
        <f t="shared" si="15"/>
        <v>4.7372036286979799E-6</v>
      </c>
      <c r="I66" s="43">
        <f t="shared" si="1"/>
        <v>2.2441098219749308E-11</v>
      </c>
      <c r="J66" s="43">
        <f t="shared" si="2"/>
        <v>3.6571212013548405E-3</v>
      </c>
      <c r="K66" s="43">
        <f t="shared" si="3"/>
        <v>3.6571212013548405E-3</v>
      </c>
      <c r="L66" s="22">
        <f t="shared" si="4"/>
        <v>227762.1800763905</v>
      </c>
      <c r="M66" s="22">
        <f t="shared" si="5"/>
        <v>1843.3802988990597</v>
      </c>
      <c r="N66" s="22">
        <f t="shared" si="6"/>
        <v>3398050.9263691865</v>
      </c>
      <c r="O66" s="22">
        <f>C66-L66</f>
        <v>-226990.1800763905</v>
      </c>
      <c r="P66" s="22">
        <f t="shared" si="7"/>
        <v>51524541851.11219</v>
      </c>
      <c r="Q66" s="22">
        <f t="shared" si="8"/>
        <v>1843.3802988990597</v>
      </c>
      <c r="R66" s="42">
        <f t="shared" si="9"/>
        <v>2.3877983146360875</v>
      </c>
      <c r="S66" s="22">
        <f t="shared" si="10"/>
        <v>226990.1800763905</v>
      </c>
      <c r="T66" s="22">
        <f t="shared" si="11"/>
        <v>294.02873066889964</v>
      </c>
      <c r="U66" s="48"/>
      <c r="V66" s="33" t="s">
        <v>105</v>
      </c>
    </row>
    <row r="67" spans="1:22">
      <c r="A67" s="2" t="s">
        <v>64</v>
      </c>
      <c r="B67" s="16">
        <v>1248395</v>
      </c>
      <c r="C67" s="4">
        <v>3901</v>
      </c>
      <c r="D67" s="22">
        <f t="shared" si="12"/>
        <v>1558490076025</v>
      </c>
      <c r="E67" s="21">
        <f t="shared" si="13"/>
        <v>15217801</v>
      </c>
      <c r="F67" s="22">
        <f t="shared" si="14"/>
        <v>4869988895</v>
      </c>
      <c r="G67" s="22">
        <f t="shared" si="0"/>
        <v>12837.851724880598</v>
      </c>
      <c r="H67" s="43">
        <f t="shared" si="15"/>
        <v>8.0102852062047667E-7</v>
      </c>
      <c r="I67" s="43">
        <f t="shared" si="1"/>
        <v>6.416466908474294E-13</v>
      </c>
      <c r="J67" s="43">
        <f t="shared" si="2"/>
        <v>3.1248122589404796E-3</v>
      </c>
      <c r="K67" s="43">
        <f t="shared" si="3"/>
        <v>3.1248122589404796E-3</v>
      </c>
      <c r="L67" s="22">
        <f t="shared" si="4"/>
        <v>2384322.9165049042</v>
      </c>
      <c r="M67" s="22">
        <f t="shared" si="5"/>
        <v>-8936.8517248805983</v>
      </c>
      <c r="N67" s="22">
        <f t="shared" si="6"/>
        <v>79867318.752501324</v>
      </c>
      <c r="O67" s="22">
        <f>C67-L67</f>
        <v>-2380421.9165049042</v>
      </c>
      <c r="P67" s="22">
        <f t="shared" si="7"/>
        <v>5666408500576.8809</v>
      </c>
      <c r="Q67" s="22">
        <f t="shared" si="8"/>
        <v>8936.8517248805983</v>
      </c>
      <c r="R67" s="42">
        <f t="shared" si="9"/>
        <v>2.290913028679979</v>
      </c>
      <c r="S67" s="22">
        <f t="shared" si="10"/>
        <v>2380421.9165049042</v>
      </c>
      <c r="T67" s="22">
        <f t="shared" si="11"/>
        <v>610.20813035244919</v>
      </c>
      <c r="U67" s="48"/>
    </row>
    <row r="68" spans="1:22">
      <c r="A68" s="2" t="s">
        <v>65</v>
      </c>
      <c r="B68" s="16">
        <v>448067</v>
      </c>
      <c r="C68" s="5">
        <v>1216</v>
      </c>
      <c r="D68" s="22">
        <f t="shared" si="12"/>
        <v>200764036489</v>
      </c>
      <c r="E68" s="21">
        <f t="shared" si="13"/>
        <v>1478656</v>
      </c>
      <c r="F68" s="22">
        <f t="shared" si="14"/>
        <v>544849472</v>
      </c>
      <c r="G68" s="22">
        <f t="shared" si="0"/>
        <v>2106.1946853283698</v>
      </c>
      <c r="H68" s="43">
        <f t="shared" si="15"/>
        <v>2.2318090821238787E-6</v>
      </c>
      <c r="I68" s="43">
        <f t="shared" si="1"/>
        <v>4.9809717790506297E-12</v>
      </c>
      <c r="J68" s="43">
        <f t="shared" si="2"/>
        <v>2.7138798438626367E-3</v>
      </c>
      <c r="K68" s="43">
        <f t="shared" si="3"/>
        <v>2.7138798438626367E-3</v>
      </c>
      <c r="L68" s="22">
        <f t="shared" si="4"/>
        <v>1600423.5480414866</v>
      </c>
      <c r="M68" s="22">
        <f t="shared" si="5"/>
        <v>-890.19468532836981</v>
      </c>
      <c r="N68" s="22">
        <f t="shared" si="6"/>
        <v>792446.57778687531</v>
      </c>
      <c r="O68" s="22">
        <f>C68-L68</f>
        <v>-1599207.5480414866</v>
      </c>
      <c r="P68" s="22">
        <f t="shared" si="7"/>
        <v>2557464781712.8638</v>
      </c>
      <c r="Q68" s="22">
        <f t="shared" si="8"/>
        <v>890.19468532836981</v>
      </c>
      <c r="R68" s="42">
        <f t="shared" si="9"/>
        <v>0.73206799780293574</v>
      </c>
      <c r="S68" s="22">
        <f t="shared" si="10"/>
        <v>1599207.5480414866</v>
      </c>
      <c r="T68" s="22">
        <f t="shared" si="11"/>
        <v>1315.1377862183278</v>
      </c>
      <c r="U68" s="48"/>
    </row>
    <row r="69" spans="1:22">
      <c r="A69" s="2" t="s">
        <v>66</v>
      </c>
      <c r="B69" s="16">
        <v>62627</v>
      </c>
      <c r="C69" s="5">
        <v>105</v>
      </c>
      <c r="D69" s="22">
        <f t="shared" si="12"/>
        <v>3922141129</v>
      </c>
      <c r="E69" s="21">
        <f t="shared" si="13"/>
        <v>11025</v>
      </c>
      <c r="F69" s="22">
        <f t="shared" si="14"/>
        <v>6575835</v>
      </c>
      <c r="G69" s="22">
        <f>$W$41 + $W$40 * B69</f>
        <v>-3062.1986350665311</v>
      </c>
      <c r="H69" s="43">
        <f t="shared" si="15"/>
        <v>1.5967553930413401E-5</v>
      </c>
      <c r="I69" s="43">
        <f t="shared" ref="I69:I88" si="16" xml:space="preserve"> H69^2</f>
        <v>2.5496277852066047E-10</v>
      </c>
      <c r="J69" s="43">
        <f>C69*H69</f>
        <v>1.676593162693407E-3</v>
      </c>
      <c r="K69" s="43">
        <f t="shared" ref="K69:K90" si="17" xml:space="preserve"> C69*H69</f>
        <v>1.676593162693407E-3</v>
      </c>
      <c r="L69" s="22">
        <f>$W$48+($W$49/B69)</f>
        <v>-5925148.1585204471</v>
      </c>
      <c r="M69" s="22">
        <f t="shared" ref="M69:M88" si="18">C69-G69</f>
        <v>3167.1986350665311</v>
      </c>
      <c r="N69" s="22">
        <f t="shared" ref="N69:N88" si="19">M69^2</f>
        <v>10031147.193967298</v>
      </c>
      <c r="O69" s="22">
        <f>C69-L69</f>
        <v>5925253.1585204471</v>
      </c>
      <c r="P69" s="22">
        <f t="shared" ref="P69:P88" si="20">O69^2</f>
        <v>35108624992556.535</v>
      </c>
      <c r="Q69" s="22">
        <f t="shared" ref="Q69:Q89" si="21">ABS(C69-G69)</f>
        <v>3167.1986350665311</v>
      </c>
      <c r="R69" s="42">
        <f t="shared" ref="R69:R88" si="22">Q69/C69</f>
        <v>30.163796524443153</v>
      </c>
      <c r="S69" s="22">
        <f t="shared" ref="S69:S89" si="23">ABS(C69-L69)</f>
        <v>5925253.1585204471</v>
      </c>
      <c r="T69" s="22">
        <f t="shared" ref="T69:T88" si="24">S69/C69</f>
        <v>56430.982462099499</v>
      </c>
      <c r="U69" s="48"/>
    </row>
    <row r="70" spans="1:22">
      <c r="A70" s="2" t="s">
        <v>67</v>
      </c>
      <c r="B70" s="16">
        <v>383820</v>
      </c>
      <c r="C70" s="4">
        <v>449</v>
      </c>
      <c r="D70" s="22">
        <f t="shared" ref="D70:D88" si="25">B70^2</f>
        <v>147317792400</v>
      </c>
      <c r="E70" s="21">
        <f t="shared" ref="E70:E88" si="26">C70^2</f>
        <v>201601</v>
      </c>
      <c r="F70" s="22">
        <f t="shared" ref="F70:F88" si="27">B70*C70</f>
        <v>172335180</v>
      </c>
      <c r="G70" s="22">
        <f>$W$41 + $W$40 * B70</f>
        <v>1244.7019350808314</v>
      </c>
      <c r="H70" s="43">
        <f t="shared" ref="H70:H88" si="28">1/B70</f>
        <v>2.6053879422646031E-6</v>
      </c>
      <c r="I70" s="43">
        <f t="shared" si="16"/>
        <v>6.7880463296977831E-12</v>
      </c>
      <c r="J70" s="43">
        <f>C70*H70</f>
        <v>1.1698191860768069E-3</v>
      </c>
      <c r="K70" s="43">
        <f t="shared" si="17"/>
        <v>1.1698191860768069E-3</v>
      </c>
      <c r="L70" s="22">
        <f>$W$48+($W$49/B70)</f>
        <v>1395746.2967459525</v>
      </c>
      <c r="M70" s="22">
        <f t="shared" si="18"/>
        <v>-795.70193508083139</v>
      </c>
      <c r="N70" s="22">
        <f t="shared" si="19"/>
        <v>633141.56949137966</v>
      </c>
      <c r="O70" s="22">
        <f>C70-L70</f>
        <v>-1395297.2967459525</v>
      </c>
      <c r="P70" s="22">
        <f t="shared" si="20"/>
        <v>1946854546306.5625</v>
      </c>
      <c r="Q70" s="22">
        <f t="shared" si="21"/>
        <v>795.70193508083139</v>
      </c>
      <c r="R70" s="42">
        <f t="shared" si="22"/>
        <v>1.7721646661043016</v>
      </c>
      <c r="S70" s="22">
        <f t="shared" si="23"/>
        <v>1395297.2967459525</v>
      </c>
      <c r="T70" s="22">
        <f t="shared" si="24"/>
        <v>3107.5663624631457</v>
      </c>
      <c r="U70" s="48"/>
    </row>
    <row r="71" spans="1:22">
      <c r="A71" s="2" t="s">
        <v>68</v>
      </c>
      <c r="B71" s="16">
        <v>1182370</v>
      </c>
      <c r="C71" s="4">
        <v>7951</v>
      </c>
      <c r="D71" s="22">
        <f t="shared" si="25"/>
        <v>1397998816900</v>
      </c>
      <c r="E71" s="21">
        <f t="shared" si="26"/>
        <v>63218401</v>
      </c>
      <c r="F71" s="22">
        <f t="shared" si="27"/>
        <v>9401023870</v>
      </c>
      <c r="G71" s="22">
        <f>$W$41 + $W$40 * B71</f>
        <v>11952.517641809112</v>
      </c>
      <c r="H71" s="43">
        <f t="shared" si="28"/>
        <v>8.4575894178641201E-7</v>
      </c>
      <c r="I71" s="43">
        <f t="shared" si="16"/>
        <v>7.1530818761167148E-13</v>
      </c>
      <c r="J71" s="43">
        <f>C71*H71</f>
        <v>6.7246293461437623E-3</v>
      </c>
      <c r="K71" s="43">
        <f t="shared" si="17"/>
        <v>6.7246293461437623E-3</v>
      </c>
      <c r="L71" s="22">
        <f>$W$48+($W$49/B71)</f>
        <v>2359815.9097377481</v>
      </c>
      <c r="M71" s="22">
        <f t="shared" si="18"/>
        <v>-4001.5176418091123</v>
      </c>
      <c r="N71" s="22">
        <f t="shared" si="19"/>
        <v>16012143.437709559</v>
      </c>
      <c r="O71" s="22">
        <f>C71-L71</f>
        <v>-2351864.9097377481</v>
      </c>
      <c r="P71" s="22">
        <f t="shared" si="20"/>
        <v>5531268553655.7461</v>
      </c>
      <c r="Q71" s="22">
        <f t="shared" si="21"/>
        <v>4001.5176418091123</v>
      </c>
      <c r="R71" s="42">
        <f t="shared" si="22"/>
        <v>0.50327224774356838</v>
      </c>
      <c r="S71" s="22">
        <f t="shared" si="23"/>
        <v>2351864.9097377481</v>
      </c>
      <c r="T71" s="22">
        <f t="shared" si="24"/>
        <v>295.79485721767679</v>
      </c>
      <c r="U71" s="48"/>
    </row>
    <row r="72" spans="1:22">
      <c r="A72" s="2" t="s">
        <v>69</v>
      </c>
      <c r="B72" s="16">
        <v>1130789</v>
      </c>
      <c r="C72" s="4">
        <v>6417</v>
      </c>
      <c r="D72" s="22">
        <f t="shared" si="25"/>
        <v>1278683762521</v>
      </c>
      <c r="E72" s="21">
        <f t="shared" si="26"/>
        <v>41177889</v>
      </c>
      <c r="F72" s="22">
        <f t="shared" si="27"/>
        <v>7256273013</v>
      </c>
      <c r="G72" s="22">
        <f>$W$41 + $W$40 * B72</f>
        <v>11260.864217516642</v>
      </c>
      <c r="H72" s="43">
        <f t="shared" si="28"/>
        <v>8.8433828061645448E-7</v>
      </c>
      <c r="I72" s="43">
        <f t="shared" si="16"/>
        <v>7.8205419456366702E-13</v>
      </c>
      <c r="J72" s="43">
        <f>C72*H72</f>
        <v>5.6747987467157882E-3</v>
      </c>
      <c r="K72" s="43">
        <f t="shared" si="17"/>
        <v>5.6747987467157882E-3</v>
      </c>
      <c r="L72" s="22">
        <f>$W$48+($W$49/B72)</f>
        <v>2338678.9722098652</v>
      </c>
      <c r="M72" s="22">
        <f t="shared" si="18"/>
        <v>-4843.8642175166424</v>
      </c>
      <c r="N72" s="22">
        <f t="shared" si="19"/>
        <v>23463020.557738114</v>
      </c>
      <c r="O72" s="22">
        <f>C72-L72</f>
        <v>-2332261.9722098652</v>
      </c>
      <c r="P72" s="22">
        <f t="shared" si="20"/>
        <v>5439445907016.25</v>
      </c>
      <c r="Q72" s="22">
        <f t="shared" si="21"/>
        <v>4843.8642175166424</v>
      </c>
      <c r="R72" s="42">
        <f t="shared" si="22"/>
        <v>0.75484871708222567</v>
      </c>
      <c r="S72" s="22">
        <f t="shared" si="23"/>
        <v>2332261.9722098652</v>
      </c>
      <c r="T72" s="22">
        <f t="shared" si="24"/>
        <v>363.45051772009742</v>
      </c>
      <c r="U72" s="48"/>
    </row>
    <row r="73" spans="1:22">
      <c r="A73" s="2" t="s">
        <v>70</v>
      </c>
      <c r="B73" s="16">
        <v>646196</v>
      </c>
      <c r="C73" s="4">
        <v>9757</v>
      </c>
      <c r="D73" s="22">
        <f t="shared" si="25"/>
        <v>417569270416</v>
      </c>
      <c r="E73" s="21">
        <f t="shared" si="26"/>
        <v>95199049</v>
      </c>
      <c r="F73" s="22">
        <f t="shared" si="27"/>
        <v>6304934372</v>
      </c>
      <c r="G73" s="22">
        <f>$W$41 + $W$40 * B73</f>
        <v>4762.9210245161066</v>
      </c>
      <c r="H73" s="43">
        <f t="shared" si="28"/>
        <v>1.5475180904864777E-6</v>
      </c>
      <c r="I73" s="43">
        <f t="shared" si="16"/>
        <v>2.3948122403829143E-12</v>
      </c>
      <c r="J73" s="43">
        <f>C73*H73</f>
        <v>1.5099134008876563E-2</v>
      </c>
      <c r="K73" s="43">
        <f t="shared" si="17"/>
        <v>1.5099134008876563E-2</v>
      </c>
      <c r="L73" s="22">
        <f>$W$48+($W$49/B73)</f>
        <v>1975334.481711233</v>
      </c>
      <c r="M73" s="22">
        <f t="shared" si="18"/>
        <v>4994.0789754838934</v>
      </c>
      <c r="N73" s="22">
        <f t="shared" si="19"/>
        <v>24940824.813370254</v>
      </c>
      <c r="O73" s="22">
        <f>C73-L73</f>
        <v>-1965577.481711233</v>
      </c>
      <c r="P73" s="22">
        <f t="shared" si="20"/>
        <v>3863494836610.2725</v>
      </c>
      <c r="Q73" s="22">
        <f t="shared" si="21"/>
        <v>4994.0789754838934</v>
      </c>
      <c r="R73" s="42">
        <f t="shared" si="22"/>
        <v>0.51184574925529291</v>
      </c>
      <c r="S73" s="22">
        <f t="shared" si="23"/>
        <v>1965577.481711233</v>
      </c>
      <c r="T73" s="22">
        <f t="shared" si="24"/>
        <v>201.45305746758564</v>
      </c>
      <c r="U73" s="48"/>
    </row>
    <row r="74" spans="1:22" ht="27.6">
      <c r="A74" s="2" t="s">
        <v>71</v>
      </c>
      <c r="B74" s="16">
        <v>791552</v>
      </c>
      <c r="C74" s="4">
        <v>4390</v>
      </c>
      <c r="D74" s="22">
        <f t="shared" si="25"/>
        <v>626554568704</v>
      </c>
      <c r="E74" s="21">
        <f t="shared" si="26"/>
        <v>19272100</v>
      </c>
      <c r="F74" s="22">
        <f t="shared" si="27"/>
        <v>3474913280</v>
      </c>
      <c r="G74" s="22">
        <f>$W$41 + $W$40 * B74</f>
        <v>6712.0103237048825</v>
      </c>
      <c r="H74" s="43">
        <f t="shared" si="28"/>
        <v>1.2633408796895214E-6</v>
      </c>
      <c r="I74" s="43">
        <f t="shared" si="16"/>
        <v>1.5960301782946938E-12</v>
      </c>
      <c r="J74" s="43">
        <f>C74*H74</f>
        <v>5.5460664618369989E-3</v>
      </c>
      <c r="K74" s="43">
        <f t="shared" si="17"/>
        <v>5.5460664618369989E-3</v>
      </c>
      <c r="L74" s="22">
        <f>$W$48+($W$49/B74)</f>
        <v>2131030.1502638981</v>
      </c>
      <c r="M74" s="22">
        <f t="shared" si="18"/>
        <v>-2322.0103237048825</v>
      </c>
      <c r="N74" s="22">
        <f t="shared" si="19"/>
        <v>5391731.9433920532</v>
      </c>
      <c r="O74" s="22">
        <f>C74-L74</f>
        <v>-2126640.1502638981</v>
      </c>
      <c r="P74" s="22">
        <f t="shared" si="20"/>
        <v>4522598328714.4551</v>
      </c>
      <c r="Q74" s="22">
        <f t="shared" si="21"/>
        <v>2322.0103237048825</v>
      </c>
      <c r="R74" s="42">
        <f t="shared" si="22"/>
        <v>0.52893173660703474</v>
      </c>
      <c r="S74" s="22">
        <f t="shared" si="23"/>
        <v>2126640.1502638981</v>
      </c>
      <c r="T74" s="22">
        <f t="shared" si="24"/>
        <v>484.42828024234581</v>
      </c>
      <c r="U74" s="48"/>
    </row>
    <row r="75" spans="1:22">
      <c r="A75" s="2" t="s">
        <v>72</v>
      </c>
      <c r="B75" s="16">
        <v>1329569</v>
      </c>
      <c r="C75" s="4">
        <v>21444</v>
      </c>
      <c r="D75" s="22">
        <f t="shared" si="25"/>
        <v>1767753725761</v>
      </c>
      <c r="E75" s="21">
        <f t="shared" si="26"/>
        <v>459845136</v>
      </c>
      <c r="F75" s="22">
        <f t="shared" si="27"/>
        <v>28511277636</v>
      </c>
      <c r="G75" s="22">
        <f>$W$41 + $W$40 * B75</f>
        <v>13926.319863604487</v>
      </c>
      <c r="H75" s="43">
        <f t="shared" si="28"/>
        <v>7.5212343248075128E-7</v>
      </c>
      <c r="I75" s="43">
        <f t="shared" si="16"/>
        <v>5.6568965768662722E-13</v>
      </c>
      <c r="J75" s="43">
        <f>C75*H75</f>
        <v>1.6128534886117232E-2</v>
      </c>
      <c r="K75" s="43">
        <f t="shared" si="17"/>
        <v>1.6128534886117232E-2</v>
      </c>
      <c r="L75" s="22">
        <f>$W$48+($W$49/B75)</f>
        <v>2411117.1494843462</v>
      </c>
      <c r="M75" s="22">
        <f t="shared" si="18"/>
        <v>7517.6801363955128</v>
      </c>
      <c r="N75" s="22">
        <f t="shared" si="19"/>
        <v>56515514.633155659</v>
      </c>
      <c r="O75" s="22">
        <f>C75-L75</f>
        <v>-2389673.1494843462</v>
      </c>
      <c r="P75" s="22">
        <f t="shared" si="20"/>
        <v>5710537761366.4346</v>
      </c>
      <c r="Q75" s="22">
        <f t="shared" si="21"/>
        <v>7517.6801363955128</v>
      </c>
      <c r="R75" s="42">
        <f t="shared" si="22"/>
        <v>0.35057266071607501</v>
      </c>
      <c r="S75" s="22">
        <f t="shared" si="23"/>
        <v>2389673.1494843462</v>
      </c>
      <c r="T75" s="22">
        <f t="shared" si="24"/>
        <v>111.43784506082569</v>
      </c>
      <c r="U75" s="48"/>
    </row>
    <row r="76" spans="1:22">
      <c r="A76" s="2" t="s">
        <v>73</v>
      </c>
      <c r="B76" s="16">
        <v>484549</v>
      </c>
      <c r="C76" s="4">
        <v>3485</v>
      </c>
      <c r="D76" s="22">
        <f t="shared" si="25"/>
        <v>234787733401</v>
      </c>
      <c r="E76" s="21">
        <f t="shared" si="26"/>
        <v>12145225</v>
      </c>
      <c r="F76" s="22">
        <f t="shared" si="27"/>
        <v>1688653265</v>
      </c>
      <c r="G76" s="22">
        <f>$W$41 + $W$40 * B76</f>
        <v>2595.3845076473999</v>
      </c>
      <c r="H76" s="43">
        <f t="shared" si="28"/>
        <v>2.0637747678769329E-6</v>
      </c>
      <c r="I76" s="43">
        <f t="shared" si="16"/>
        <v>4.2591662925254879E-12</v>
      </c>
      <c r="J76" s="43">
        <f>C76*H76</f>
        <v>7.1922550660511115E-3</v>
      </c>
      <c r="K76" s="43">
        <f t="shared" si="17"/>
        <v>7.1922550660511115E-3</v>
      </c>
      <c r="L76" s="22">
        <f>$W$48+($W$49/B76)</f>
        <v>1692486.577385383</v>
      </c>
      <c r="M76" s="22">
        <f t="shared" si="18"/>
        <v>889.61549235260009</v>
      </c>
      <c r="N76" s="22">
        <f t="shared" si="19"/>
        <v>791415.7242337591</v>
      </c>
      <c r="O76" s="22">
        <f>C76-L76</f>
        <v>-1689001.577385383</v>
      </c>
      <c r="P76" s="22">
        <f t="shared" si="20"/>
        <v>2852726328410.312</v>
      </c>
      <c r="Q76" s="22">
        <f t="shared" si="21"/>
        <v>889.61549235260009</v>
      </c>
      <c r="R76" s="42">
        <f t="shared" si="22"/>
        <v>0.25526986868080348</v>
      </c>
      <c r="S76" s="22">
        <f t="shared" si="23"/>
        <v>1689001.577385383</v>
      </c>
      <c r="T76" s="22">
        <f t="shared" si="24"/>
        <v>484.6489461651027</v>
      </c>
      <c r="U76" s="48"/>
    </row>
    <row r="77" spans="1:22">
      <c r="A77" s="2" t="s">
        <v>74</v>
      </c>
      <c r="B77" s="16">
        <v>252191</v>
      </c>
      <c r="C77" s="4">
        <v>575</v>
      </c>
      <c r="D77" s="22">
        <f t="shared" si="25"/>
        <v>63600300481</v>
      </c>
      <c r="E77" s="21">
        <f t="shared" si="26"/>
        <v>330625</v>
      </c>
      <c r="F77" s="22">
        <f t="shared" si="27"/>
        <v>145009825</v>
      </c>
      <c r="G77" s="22">
        <f>$W$41 + $W$40 * B77</f>
        <v>-520.32101108526558</v>
      </c>
      <c r="H77" s="43">
        <f t="shared" si="28"/>
        <v>3.9652485616060843E-6</v>
      </c>
      <c r="I77" s="43">
        <f t="shared" si="16"/>
        <v>1.572319615531912E-11</v>
      </c>
      <c r="J77" s="43">
        <f>C77*H77</f>
        <v>2.2800179229234985E-3</v>
      </c>
      <c r="K77" s="43">
        <f t="shared" si="17"/>
        <v>2.2800179229234985E-3</v>
      </c>
      <c r="L77" s="22">
        <f>$W$48+($W$49/B77)</f>
        <v>650702.7104814318</v>
      </c>
      <c r="M77" s="22">
        <f t="shared" si="18"/>
        <v>1095.3210110852656</v>
      </c>
      <c r="N77" s="22">
        <f t="shared" si="19"/>
        <v>1199728.1173248484</v>
      </c>
      <c r="O77" s="22">
        <f>C77-L77</f>
        <v>-650127.7104814318</v>
      </c>
      <c r="P77" s="22">
        <f t="shared" si="20"/>
        <v>422666039935.82843</v>
      </c>
      <c r="Q77" s="22">
        <f t="shared" si="21"/>
        <v>1095.3210110852656</v>
      </c>
      <c r="R77" s="42">
        <f t="shared" si="22"/>
        <v>1.9049061062352446</v>
      </c>
      <c r="S77" s="22">
        <f t="shared" si="23"/>
        <v>650127.7104814318</v>
      </c>
      <c r="T77" s="22">
        <f t="shared" si="24"/>
        <v>1130.6568877937943</v>
      </c>
      <c r="U77" s="48"/>
    </row>
    <row r="78" spans="1:22">
      <c r="A78" s="2" t="s">
        <v>75</v>
      </c>
      <c r="B78" s="16">
        <v>513430</v>
      </c>
      <c r="C78" s="4">
        <v>915</v>
      </c>
      <c r="D78" s="22">
        <f t="shared" si="25"/>
        <v>263610364900</v>
      </c>
      <c r="E78" s="21">
        <f t="shared" si="26"/>
        <v>837225</v>
      </c>
      <c r="F78" s="22">
        <f t="shared" si="27"/>
        <v>469788450</v>
      </c>
      <c r="G78" s="22">
        <f>$W$41 + $W$40 * B78</f>
        <v>2982.651961690377</v>
      </c>
      <c r="H78" s="43">
        <f t="shared" si="28"/>
        <v>1.9476851761681242E-6</v>
      </c>
      <c r="I78" s="43">
        <f t="shared" si="16"/>
        <v>3.7934775454650573E-12</v>
      </c>
      <c r="J78" s="43">
        <f>C78*H78</f>
        <v>1.7821319361938336E-3</v>
      </c>
      <c r="K78" s="43">
        <f t="shared" si="17"/>
        <v>1.7821319361938336E-3</v>
      </c>
      <c r="L78" s="22">
        <f>$W$48+($W$49/B78)</f>
        <v>1756090.0118142725</v>
      </c>
      <c r="M78" s="22">
        <f t="shared" si="18"/>
        <v>-2067.651961690377</v>
      </c>
      <c r="N78" s="22">
        <f t="shared" si="19"/>
        <v>4275184.6346820639</v>
      </c>
      <c r="O78" s="22">
        <f>C78-L78</f>
        <v>-1755175.0118142725</v>
      </c>
      <c r="P78" s="22">
        <f t="shared" si="20"/>
        <v>3080639322097.2314</v>
      </c>
      <c r="Q78" s="22">
        <f t="shared" si="21"/>
        <v>2067.651961690377</v>
      </c>
      <c r="R78" s="42">
        <f t="shared" si="22"/>
        <v>2.2597289198801933</v>
      </c>
      <c r="S78" s="22">
        <f t="shared" si="23"/>
        <v>1755175.0118142725</v>
      </c>
      <c r="T78" s="22">
        <f t="shared" si="24"/>
        <v>1918.2240566276203</v>
      </c>
      <c r="U78" s="48"/>
    </row>
    <row r="79" spans="1:22" ht="27.6">
      <c r="A79" s="2" t="s">
        <v>76</v>
      </c>
      <c r="B79" s="16">
        <v>100843</v>
      </c>
      <c r="C79" s="4">
        <v>351</v>
      </c>
      <c r="D79" s="22">
        <f t="shared" si="25"/>
        <v>10169310649</v>
      </c>
      <c r="E79" s="21">
        <f t="shared" si="26"/>
        <v>123201</v>
      </c>
      <c r="F79" s="22">
        <f t="shared" si="27"/>
        <v>35395893</v>
      </c>
      <c r="G79" s="22">
        <f>$W$41 + $W$40 * B79</f>
        <v>-2549.7574791610423</v>
      </c>
      <c r="H79" s="43">
        <f t="shared" si="28"/>
        <v>9.9164047083089554E-6</v>
      </c>
      <c r="I79" s="43">
        <f t="shared" si="16"/>
        <v>9.8335082338972021E-11</v>
      </c>
      <c r="J79" s="43">
        <f>C79*H79</f>
        <v>3.4806580526164435E-3</v>
      </c>
      <c r="K79" s="43">
        <f t="shared" si="17"/>
        <v>3.4806580526164435E-3</v>
      </c>
      <c r="L79" s="22">
        <f>$W$48+($W$49/B79)</f>
        <v>-2609830.5051261908</v>
      </c>
      <c r="M79" s="22">
        <f t="shared" si="18"/>
        <v>2900.7574791610423</v>
      </c>
      <c r="N79" s="22">
        <f t="shared" si="19"/>
        <v>8414393.9529087245</v>
      </c>
      <c r="O79" s="22">
        <f>C79-L79</f>
        <v>2610181.5051261908</v>
      </c>
      <c r="P79" s="22">
        <f t="shared" si="20"/>
        <v>6813047489702.8271</v>
      </c>
      <c r="Q79" s="22">
        <f t="shared" si="21"/>
        <v>2900.7574791610423</v>
      </c>
      <c r="R79" s="42">
        <f t="shared" si="22"/>
        <v>8.2642663223961321</v>
      </c>
      <c r="S79" s="22">
        <f t="shared" si="23"/>
        <v>2610181.5051261908</v>
      </c>
      <c r="T79" s="22">
        <f t="shared" si="24"/>
        <v>7436.4145445190625</v>
      </c>
      <c r="U79" s="48"/>
    </row>
    <row r="80" spans="1:22">
      <c r="A80" s="2" t="s">
        <v>77</v>
      </c>
      <c r="B80" s="16">
        <v>372780</v>
      </c>
      <c r="C80" s="4">
        <v>1812</v>
      </c>
      <c r="D80" s="22">
        <f t="shared" si="25"/>
        <v>138964928400</v>
      </c>
      <c r="E80" s="21">
        <f t="shared" si="26"/>
        <v>3283344</v>
      </c>
      <c r="F80" s="22">
        <f t="shared" si="27"/>
        <v>675477360</v>
      </c>
      <c r="G80" s="22">
        <f>$W$41 + $W$40 * B80</f>
        <v>1096.6657627656605</v>
      </c>
      <c r="H80" s="43">
        <f t="shared" si="28"/>
        <v>2.682547346960674E-6</v>
      </c>
      <c r="I80" s="43">
        <f t="shared" si="16"/>
        <v>7.1960602686857504E-12</v>
      </c>
      <c r="J80" s="43">
        <f>C80*H80</f>
        <v>4.8607757926927416E-3</v>
      </c>
      <c r="K80" s="43">
        <f t="shared" si="17"/>
        <v>4.8607757926927416E-3</v>
      </c>
      <c r="L80" s="22">
        <f>$W$48+($W$49/B80)</f>
        <v>1353472.0233600268</v>
      </c>
      <c r="M80" s="22">
        <f t="shared" si="18"/>
        <v>715.33423723433953</v>
      </c>
      <c r="N80" s="22">
        <f t="shared" si="19"/>
        <v>511703.07095963432</v>
      </c>
      <c r="O80" s="22">
        <f>C80-L80</f>
        <v>-1351660.0233600268</v>
      </c>
      <c r="P80" s="22">
        <f t="shared" si="20"/>
        <v>1826984818749.6282</v>
      </c>
      <c r="Q80" s="22">
        <f t="shared" si="21"/>
        <v>715.33423723433953</v>
      </c>
      <c r="R80" s="42">
        <f t="shared" si="22"/>
        <v>0.39477606911387392</v>
      </c>
      <c r="S80" s="22">
        <f t="shared" si="23"/>
        <v>1351660.0233600268</v>
      </c>
      <c r="T80" s="22">
        <f t="shared" si="24"/>
        <v>745.94924026491549</v>
      </c>
      <c r="U80" s="48"/>
    </row>
    <row r="81" spans="1:21">
      <c r="A81" s="2" t="s">
        <v>78</v>
      </c>
      <c r="B81" s="16">
        <v>321754</v>
      </c>
      <c r="C81" s="4">
        <v>982</v>
      </c>
      <c r="D81" s="22">
        <f t="shared" si="25"/>
        <v>103525636516</v>
      </c>
      <c r="E81" s="21">
        <f t="shared" si="26"/>
        <v>964324</v>
      </c>
      <c r="F81" s="22">
        <f t="shared" si="27"/>
        <v>315962428</v>
      </c>
      <c r="G81" s="22">
        <f>$W$41 + $W$40 * B81</f>
        <v>412.45437430968741</v>
      </c>
      <c r="H81" s="43">
        <f t="shared" si="28"/>
        <v>3.1079644697501818E-6</v>
      </c>
      <c r="I81" s="43">
        <f t="shared" si="16"/>
        <v>9.6594431452295287E-12</v>
      </c>
      <c r="J81" s="43">
        <f>C81*H81</f>
        <v>3.0520211092946786E-3</v>
      </c>
      <c r="K81" s="43">
        <f t="shared" si="17"/>
        <v>3.0520211092946786E-3</v>
      </c>
      <c r="L81" s="22">
        <f>$W$48+($W$49/B81)</f>
        <v>1120393.5046402807</v>
      </c>
      <c r="M81" s="22">
        <f t="shared" si="18"/>
        <v>569.54562569031259</v>
      </c>
      <c r="N81" s="22">
        <f t="shared" si="19"/>
        <v>324382.21974296967</v>
      </c>
      <c r="O81" s="22">
        <f>C81-L81</f>
        <v>-1119411.5046402807</v>
      </c>
      <c r="P81" s="22">
        <f t="shared" si="20"/>
        <v>1253082116721.0173</v>
      </c>
      <c r="Q81" s="22">
        <f t="shared" si="21"/>
        <v>569.54562569031259</v>
      </c>
      <c r="R81" s="42">
        <f t="shared" si="22"/>
        <v>0.57998536221009434</v>
      </c>
      <c r="S81" s="22">
        <f t="shared" si="23"/>
        <v>1119411.5046402807</v>
      </c>
      <c r="T81" s="22">
        <f t="shared" si="24"/>
        <v>1139.9302491245221</v>
      </c>
      <c r="U81" s="48"/>
    </row>
    <row r="82" spans="1:21">
      <c r="A82" s="2" t="s">
        <v>79</v>
      </c>
      <c r="B82" s="16">
        <v>990612</v>
      </c>
      <c r="C82" s="4">
        <v>5460</v>
      </c>
      <c r="D82" s="22">
        <f t="shared" si="25"/>
        <v>981312134544</v>
      </c>
      <c r="E82" s="21">
        <f t="shared" si="26"/>
        <v>29811600</v>
      </c>
      <c r="F82" s="22">
        <f t="shared" si="27"/>
        <v>5408741520</v>
      </c>
      <c r="G82" s="22">
        <f>$W$41 + $W$40 * B82</f>
        <v>9381.2205103949218</v>
      </c>
      <c r="H82" s="43">
        <f t="shared" si="28"/>
        <v>1.0094769697924112E-6</v>
      </c>
      <c r="I82" s="43">
        <f t="shared" si="16"/>
        <v>1.0190437525412687E-12</v>
      </c>
      <c r="J82" s="43">
        <f>C82*H82</f>
        <v>5.5117442550665649E-3</v>
      </c>
      <c r="K82" s="43">
        <f t="shared" si="17"/>
        <v>5.5117442550665649E-3</v>
      </c>
      <c r="L82" s="22">
        <f>$W$48+($W$49/B82)</f>
        <v>2270117.6972982902</v>
      </c>
      <c r="M82" s="22">
        <f t="shared" si="18"/>
        <v>-3921.2205103949218</v>
      </c>
      <c r="N82" s="22">
        <f t="shared" si="19"/>
        <v>15375970.291141812</v>
      </c>
      <c r="O82" s="22">
        <f>C82-L82</f>
        <v>-2264657.6972982902</v>
      </c>
      <c r="P82" s="22">
        <f t="shared" si="20"/>
        <v>5128674485932.3945</v>
      </c>
      <c r="Q82" s="22">
        <f t="shared" si="21"/>
        <v>3921.2205103949218</v>
      </c>
      <c r="R82" s="42">
        <f t="shared" si="22"/>
        <v>0.71817225465108459</v>
      </c>
      <c r="S82" s="22">
        <f t="shared" si="23"/>
        <v>2264657.6972982902</v>
      </c>
      <c r="T82" s="22">
        <f t="shared" si="24"/>
        <v>414.77247203265387</v>
      </c>
      <c r="U82" s="48"/>
    </row>
    <row r="83" spans="1:21">
      <c r="A83" s="2" t="s">
        <v>80</v>
      </c>
      <c r="B83" s="16">
        <v>434620</v>
      </c>
      <c r="C83" s="4">
        <v>2242</v>
      </c>
      <c r="D83" s="22">
        <f t="shared" si="25"/>
        <v>188894544400</v>
      </c>
      <c r="E83" s="21">
        <f t="shared" si="26"/>
        <v>5026564</v>
      </c>
      <c r="F83" s="22">
        <f t="shared" si="27"/>
        <v>974418040</v>
      </c>
      <c r="G83" s="22">
        <f>$W$41 + $W$40 * B83</f>
        <v>1925.8828729078887</v>
      </c>
      <c r="H83" s="43">
        <f t="shared" si="28"/>
        <v>2.3008605218351666E-6</v>
      </c>
      <c r="I83" s="43">
        <f t="shared" si="16"/>
        <v>5.2939591409395948E-12</v>
      </c>
      <c r="J83" s="43">
        <f>C83*H83</f>
        <v>5.1585292899544435E-3</v>
      </c>
      <c r="K83" s="43">
        <f t="shared" si="17"/>
        <v>5.1585292899544435E-3</v>
      </c>
      <c r="L83" s="22">
        <f>$W$48+($W$49/B83)</f>
        <v>1562591.4852936594</v>
      </c>
      <c r="M83" s="22">
        <f t="shared" si="18"/>
        <v>316.11712709211133</v>
      </c>
      <c r="N83" s="22">
        <f t="shared" si="19"/>
        <v>99930.038040970074</v>
      </c>
      <c r="O83" s="22">
        <f>C83-L83</f>
        <v>-1560349.4852936594</v>
      </c>
      <c r="P83" s="22">
        <f t="shared" si="20"/>
        <v>2434690516256.188</v>
      </c>
      <c r="Q83" s="22">
        <f t="shared" si="21"/>
        <v>316.11712709211133</v>
      </c>
      <c r="R83" s="42">
        <f t="shared" si="22"/>
        <v>0.14099782653528606</v>
      </c>
      <c r="S83" s="22">
        <f t="shared" si="23"/>
        <v>1560349.4852936594</v>
      </c>
      <c r="T83" s="22">
        <f t="shared" si="24"/>
        <v>695.96319593829594</v>
      </c>
      <c r="U83" s="48"/>
    </row>
    <row r="84" spans="1:21">
      <c r="A84" s="2" t="s">
        <v>81</v>
      </c>
      <c r="B84" s="16">
        <v>295873</v>
      </c>
      <c r="C84" s="4">
        <v>1269</v>
      </c>
      <c r="D84" s="22">
        <f t="shared" si="25"/>
        <v>87540832129</v>
      </c>
      <c r="E84" s="21">
        <f t="shared" si="26"/>
        <v>1610361</v>
      </c>
      <c r="F84" s="22">
        <f t="shared" si="27"/>
        <v>375462837</v>
      </c>
      <c r="G84" s="22">
        <f>$W$41 + $W$40 * B84</f>
        <v>65.414141004528119</v>
      </c>
      <c r="H84" s="43">
        <f t="shared" si="28"/>
        <v>3.3798285075015295E-6</v>
      </c>
      <c r="I84" s="43">
        <f t="shared" si="16"/>
        <v>1.1423240740120017E-11</v>
      </c>
      <c r="J84" s="43">
        <f>C84*H84</f>
        <v>4.2890023760194405E-3</v>
      </c>
      <c r="K84" s="43">
        <f t="shared" si="17"/>
        <v>4.2890023760194405E-3</v>
      </c>
      <c r="L84" s="22">
        <f>$W$48+($W$49/B84)</f>
        <v>971444.00585951353</v>
      </c>
      <c r="M84" s="22">
        <f t="shared" si="18"/>
        <v>1203.5858589954719</v>
      </c>
      <c r="N84" s="22">
        <f t="shared" si="19"/>
        <v>1448618.9199738679</v>
      </c>
      <c r="O84" s="22">
        <f>C84-L84</f>
        <v>-970175.00585951353</v>
      </c>
      <c r="P84" s="22">
        <f t="shared" si="20"/>
        <v>941239541994.50708</v>
      </c>
      <c r="Q84" s="22">
        <f t="shared" si="21"/>
        <v>1203.5858589954719</v>
      </c>
      <c r="R84" s="42">
        <f t="shared" si="22"/>
        <v>0.94845221355041121</v>
      </c>
      <c r="S84" s="22">
        <f t="shared" si="23"/>
        <v>970175.00585951353</v>
      </c>
      <c r="T84" s="22">
        <f t="shared" si="24"/>
        <v>764.51931115800915</v>
      </c>
      <c r="U84" s="48"/>
    </row>
    <row r="85" spans="1:21">
      <c r="A85" s="2" t="s">
        <v>82</v>
      </c>
      <c r="B85" s="16">
        <v>36220</v>
      </c>
      <c r="C85" s="4">
        <v>407</v>
      </c>
      <c r="D85" s="22">
        <f t="shared" si="25"/>
        <v>1311888400</v>
      </c>
      <c r="E85" s="21">
        <f t="shared" si="26"/>
        <v>165649</v>
      </c>
      <c r="F85" s="22">
        <f t="shared" si="27"/>
        <v>14741540</v>
      </c>
      <c r="G85" s="22">
        <f>$W$41 + $W$40 * B85</f>
        <v>-3416.2920410743877</v>
      </c>
      <c r="H85" s="43">
        <f t="shared" si="28"/>
        <v>2.7609055770292657E-5</v>
      </c>
      <c r="I85" s="43">
        <f t="shared" si="16"/>
        <v>7.6225996052713019E-10</v>
      </c>
      <c r="J85" s="43">
        <f>C85*H85</f>
        <v>1.1236885698509112E-2</v>
      </c>
      <c r="K85" s="43">
        <f t="shared" si="17"/>
        <v>1.1236885698509112E-2</v>
      </c>
      <c r="L85" s="22">
        <f>$W$48+($W$49/B85)</f>
        <v>-12303321.154285852</v>
      </c>
      <c r="M85" s="22">
        <f t="shared" si="18"/>
        <v>3823.2920410743877</v>
      </c>
      <c r="N85" s="22">
        <f t="shared" si="19"/>
        <v>14617562.031342758</v>
      </c>
      <c r="O85" s="22">
        <f>C85-L85</f>
        <v>12303728.154285852</v>
      </c>
      <c r="P85" s="22">
        <f t="shared" si="20"/>
        <v>151381726494566.34</v>
      </c>
      <c r="Q85" s="22">
        <f t="shared" si="21"/>
        <v>3823.2920410743877</v>
      </c>
      <c r="R85" s="42">
        <f t="shared" si="22"/>
        <v>9.3938379387577093</v>
      </c>
      <c r="S85" s="22">
        <f t="shared" si="23"/>
        <v>12303728.154285852</v>
      </c>
      <c r="T85" s="22">
        <f t="shared" si="24"/>
        <v>30230.290305370643</v>
      </c>
      <c r="U85" s="48"/>
    </row>
    <row r="86" spans="1:21">
      <c r="A86" s="2" t="s">
        <v>83</v>
      </c>
      <c r="B86" s="16">
        <v>237878</v>
      </c>
      <c r="C86" s="4">
        <v>572</v>
      </c>
      <c r="D86" s="22">
        <f t="shared" si="25"/>
        <v>56585942884</v>
      </c>
      <c r="E86" s="21">
        <f t="shared" si="26"/>
        <v>327184</v>
      </c>
      <c r="F86" s="22">
        <f t="shared" si="27"/>
        <v>136066216</v>
      </c>
      <c r="G86" s="22">
        <f>$W$41 + $W$40 * B86</f>
        <v>-712.24508122539692</v>
      </c>
      <c r="H86" s="43">
        <f t="shared" si="28"/>
        <v>4.2038355795828111E-6</v>
      </c>
      <c r="I86" s="43">
        <f t="shared" si="16"/>
        <v>1.767223358016635E-11</v>
      </c>
      <c r="J86" s="43">
        <f>C86*H86</f>
        <v>2.4045939515213678E-3</v>
      </c>
      <c r="K86" s="43">
        <f t="shared" si="17"/>
        <v>2.4045939515213678E-3</v>
      </c>
      <c r="L86" s="22">
        <f>$W$48+($W$49/B86)</f>
        <v>519985.10238155304</v>
      </c>
      <c r="M86" s="22">
        <f t="shared" si="18"/>
        <v>1284.2450812253969</v>
      </c>
      <c r="N86" s="22">
        <f t="shared" si="19"/>
        <v>1649285.4286516262</v>
      </c>
      <c r="O86" s="22">
        <f>C86-L86</f>
        <v>-519413.10238155304</v>
      </c>
      <c r="P86" s="22">
        <f t="shared" si="20"/>
        <v>269789970925.6297</v>
      </c>
      <c r="Q86" s="22">
        <f t="shared" si="21"/>
        <v>1284.2450812253969</v>
      </c>
      <c r="R86" s="42">
        <f t="shared" si="22"/>
        <v>2.2451837084360085</v>
      </c>
      <c r="S86" s="22">
        <f t="shared" si="23"/>
        <v>519413.10238155304</v>
      </c>
      <c r="T86" s="22">
        <f t="shared" si="24"/>
        <v>908.06486430341442</v>
      </c>
      <c r="U86" s="48"/>
    </row>
    <row r="87" spans="1:21" ht="27.6">
      <c r="A87" s="2" t="s">
        <v>84</v>
      </c>
      <c r="B87" s="16">
        <v>26974</v>
      </c>
      <c r="C87" s="14">
        <v>533</v>
      </c>
      <c r="D87" s="22">
        <f t="shared" si="25"/>
        <v>727596676</v>
      </c>
      <c r="E87" s="21">
        <f t="shared" si="26"/>
        <v>284089</v>
      </c>
      <c r="F87" s="22">
        <f t="shared" si="27"/>
        <v>14377142</v>
      </c>
      <c r="G87" s="22">
        <f>$W$41 + $W$40 * B87</f>
        <v>-3540.2723353883439</v>
      </c>
      <c r="H87" s="43">
        <f t="shared" si="28"/>
        <v>3.7072736709423887E-5</v>
      </c>
      <c r="I87" s="43">
        <f t="shared" si="16"/>
        <v>1.3743878071262654E-9</v>
      </c>
      <c r="J87" s="43">
        <f>C87*H87</f>
        <v>1.9759768666122932E-2</v>
      </c>
      <c r="K87" s="43">
        <f t="shared" si="17"/>
        <v>1.9759768666122932E-2</v>
      </c>
      <c r="L87" s="22">
        <f>$W$48+($W$49/B87)</f>
        <v>-17488304.589991145</v>
      </c>
      <c r="M87" s="22">
        <f t="shared" si="18"/>
        <v>4073.2723353883439</v>
      </c>
      <c r="N87" s="22">
        <f t="shared" si="19"/>
        <v>16591547.518240012</v>
      </c>
      <c r="O87" s="22">
        <f>C87-L87</f>
        <v>17488837.589991145</v>
      </c>
      <c r="P87" s="22">
        <f t="shared" si="20"/>
        <v>305859440249087.25</v>
      </c>
      <c r="Q87" s="22">
        <f t="shared" si="21"/>
        <v>4073.2723353883439</v>
      </c>
      <c r="R87" s="42">
        <f t="shared" si="22"/>
        <v>7.6421619800907017</v>
      </c>
      <c r="S87" s="22">
        <f t="shared" si="23"/>
        <v>17488837.589991145</v>
      </c>
      <c r="T87" s="22">
        <f t="shared" si="24"/>
        <v>32812.078030002151</v>
      </c>
      <c r="U87" s="48"/>
    </row>
    <row r="88" spans="1:21" ht="27.6">
      <c r="A88" s="2" t="s">
        <v>85</v>
      </c>
      <c r="B88" s="16">
        <v>19656</v>
      </c>
      <c r="C88" s="5">
        <v>382</v>
      </c>
      <c r="D88" s="22">
        <f t="shared" si="25"/>
        <v>386358336</v>
      </c>
      <c r="E88" s="21">
        <f t="shared" si="26"/>
        <v>145924</v>
      </c>
      <c r="F88" s="22">
        <f t="shared" si="27"/>
        <v>7508592</v>
      </c>
      <c r="G88" s="22">
        <f>$W$41 + $W$40 * B88</f>
        <v>-3638.3999358414621</v>
      </c>
      <c r="H88" s="43">
        <f t="shared" si="28"/>
        <v>5.0875050875050873E-5</v>
      </c>
      <c r="I88" s="43">
        <f t="shared" si="16"/>
        <v>2.5882708015390147E-9</v>
      </c>
      <c r="J88" s="43">
        <f>C88*H88</f>
        <v>1.9434269434269433E-2</v>
      </c>
      <c r="K88" s="43">
        <f t="shared" si="17"/>
        <v>1.9434269434269433E-2</v>
      </c>
      <c r="L88" s="22">
        <f>$W$48+($W$49/B88)</f>
        <v>-25050348.448344857</v>
      </c>
      <c r="M88" s="22">
        <f t="shared" si="18"/>
        <v>4020.3999358414621</v>
      </c>
      <c r="N88" s="22">
        <f t="shared" si="19"/>
        <v>16163615.644114032</v>
      </c>
      <c r="O88" s="22">
        <f>C88-L88</f>
        <v>25050730.448344857</v>
      </c>
      <c r="P88" s="22">
        <f t="shared" si="20"/>
        <v>627539095995632.12</v>
      </c>
      <c r="Q88" s="22">
        <f t="shared" si="21"/>
        <v>4020.3999358414621</v>
      </c>
      <c r="R88" s="42">
        <f t="shared" si="22"/>
        <v>10.524607161888644</v>
      </c>
      <c r="S88" s="22">
        <f t="shared" si="23"/>
        <v>25050730.448344857</v>
      </c>
      <c r="T88" s="22">
        <f t="shared" si="24"/>
        <v>65577.828398808531</v>
      </c>
      <c r="U88" s="48"/>
    </row>
    <row r="89" spans="1:21">
      <c r="A89" s="7" t="s">
        <v>95</v>
      </c>
      <c r="B89" s="10">
        <f xml:space="preserve"> SUM(B4:B88)</f>
        <v>104042858</v>
      </c>
      <c r="C89" s="6">
        <f>SUM(C4:C88)</f>
        <v>1063451</v>
      </c>
      <c r="D89" s="18">
        <f>SUM(D4:D88)</f>
        <v>675149029401400</v>
      </c>
      <c r="E89" s="11">
        <f>SUM(E4:E88)</f>
        <v>277679688677</v>
      </c>
      <c r="F89" s="18">
        <f>SUM(F4:F88)</f>
        <v>8647151038288</v>
      </c>
      <c r="G89" s="22"/>
      <c r="H89" s="44">
        <f>SUM(H4:H88)</f>
        <v>4.3605695133056043E-4</v>
      </c>
      <c r="I89" s="44">
        <f xml:space="preserve"> SUM(I4:I88)</f>
        <v>1.3029659369594618E-8</v>
      </c>
      <c r="J89" s="44">
        <f xml:space="preserve"> SUM(J4:J88)</f>
        <v>0.47266298639678395</v>
      </c>
      <c r="K89" s="44">
        <f xml:space="preserve"> SUM(K4:K88)</f>
        <v>0.47266298639678395</v>
      </c>
      <c r="L89" s="22"/>
      <c r="M89" s="22"/>
      <c r="N89" s="18">
        <f>SUM(N4:N88)</f>
        <v>165878956654.72955</v>
      </c>
      <c r="O89" s="18"/>
      <c r="P89" s="18">
        <f>SUM(P4:P88)</f>
        <v>3234488790815740</v>
      </c>
      <c r="Q89" s="18"/>
      <c r="R89" s="18">
        <f>SUM(R4:R88)</f>
        <v>715.36134310695434</v>
      </c>
      <c r="S89" s="18"/>
      <c r="T89" s="18">
        <f>SUM(T4:T88)</f>
        <v>2721011.7335533951</v>
      </c>
      <c r="U89" s="48"/>
    </row>
    <row r="90" spans="1:21">
      <c r="A90" s="12" t="s">
        <v>96</v>
      </c>
      <c r="B90" s="18">
        <f>B89/85</f>
        <v>1224033.6235294119</v>
      </c>
      <c r="C90" s="19">
        <f>C89/85</f>
        <v>12511.188235294117</v>
      </c>
      <c r="D90" s="18">
        <f>D89/85</f>
        <v>7942929757663.5293</v>
      </c>
      <c r="E90" s="19">
        <f>E89/85</f>
        <v>3266819866.7882352</v>
      </c>
      <c r="F90" s="18">
        <f>F89/85</f>
        <v>101731188685.74118</v>
      </c>
      <c r="G90" s="22"/>
      <c r="H90" s="44">
        <f>H89/85</f>
        <v>5.1300817803595348E-6</v>
      </c>
      <c r="I90" s="44">
        <f xml:space="preserve"> I89/85</f>
        <v>1.5329011023052492E-10</v>
      </c>
      <c r="J90" s="44">
        <f>J89/85</f>
        <v>5.560741016432752E-3</v>
      </c>
      <c r="K90" s="44">
        <f xml:space="preserve"> K89/85</f>
        <v>5.560741016432752E-3</v>
      </c>
      <c r="L90" s="22"/>
      <c r="M90" s="22"/>
      <c r="N90" s="22"/>
      <c r="O90" s="22"/>
      <c r="P90" s="22"/>
      <c r="Q90" s="22"/>
      <c r="R90" s="22"/>
      <c r="S90" s="22"/>
      <c r="T90" s="22"/>
      <c r="U90" s="48"/>
    </row>
    <row r="92" spans="1:21">
      <c r="A92" s="33" t="s">
        <v>87</v>
      </c>
      <c r="B92" s="24"/>
      <c r="C92" s="24"/>
      <c r="D92" s="23"/>
    </row>
    <row r="93" spans="1:21">
      <c r="A93" s="20" t="s">
        <v>88</v>
      </c>
      <c r="B93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2022-12-10T08:57:37Z</dcterms:created>
  <dcterms:modified xsi:type="dcterms:W3CDTF">2022-12-10T21:10:00Z</dcterms:modified>
</cp:coreProperties>
</file>