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Karen/Desktop/DGV/09_10_2025/"/>
    </mc:Choice>
  </mc:AlternateContent>
  <xr:revisionPtr revIDLastSave="0" documentId="8_{2939EDC3-2B63-2F4C-BFA0-4FBACEF1B574}" xr6:coauthVersionLast="47" xr6:coauthVersionMax="47" xr10:uidLastSave="{00000000-0000-0000-0000-000000000000}"/>
  <bookViews>
    <workbookView xWindow="0" yWindow="500" windowWidth="20500" windowHeight="10920" activeTab="2" xr2:uid="{00000000-000D-0000-FFFF-FFFF00000000}"/>
  </bookViews>
  <sheets>
    <sheet name="AH" sheetId="1" r:id="rId1"/>
    <sheet name="CARTERA HZ" sheetId="2" r:id="rId2"/>
    <sheet name="PERALTE" sheetId="3" r:id="rId3"/>
    <sheet name="Grafica_Peraltes" sheetId="7" r:id="rId4"/>
    <sheet name="AV" sheetId="4" r:id="rId5"/>
    <sheet name="PERFIL" sheetId="5" r:id="rId6"/>
    <sheet name="RASANTE" sheetId="6" r:id="rId7"/>
  </sheets>
  <definedNames>
    <definedName name="_xlnm.Print_Area" localSheetId="2">PERALTE!$A$1:$AB$56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" i="4" l="1"/>
  <c r="G5" i="6"/>
  <c r="G204" i="6"/>
  <c r="G207" i="6"/>
  <c r="G209" i="6"/>
  <c r="G211" i="6"/>
  <c r="G213" i="6"/>
  <c r="G215" i="6"/>
  <c r="G217" i="6"/>
  <c r="G218" i="6"/>
  <c r="G221" i="6"/>
  <c r="G222" i="6"/>
  <c r="G223" i="6"/>
  <c r="G224" i="6"/>
  <c r="G225" i="6"/>
  <c r="G226" i="6"/>
  <c r="G229" i="6"/>
  <c r="G230" i="6"/>
  <c r="G232" i="6"/>
  <c r="G234" i="6"/>
  <c r="G236" i="6"/>
  <c r="G238" i="6"/>
  <c r="G239" i="6"/>
  <c r="G241" i="6"/>
  <c r="G243" i="6"/>
  <c r="G245" i="6"/>
  <c r="G247" i="6"/>
  <c r="G251" i="6"/>
  <c r="G252" i="6"/>
  <c r="G170" i="6"/>
  <c r="G171" i="6"/>
  <c r="G172" i="6"/>
  <c r="G173" i="6"/>
  <c r="G174" i="6"/>
  <c r="G176" i="6"/>
  <c r="G178" i="6"/>
  <c r="G181" i="6"/>
  <c r="G183" i="6"/>
  <c r="G186" i="6"/>
  <c r="G187" i="6"/>
  <c r="G188" i="6"/>
  <c r="G189" i="6"/>
  <c r="G190" i="6"/>
  <c r="G191" i="6"/>
  <c r="G192" i="6"/>
  <c r="G193" i="6"/>
  <c r="G194" i="6"/>
  <c r="G197" i="6"/>
  <c r="G199" i="6"/>
  <c r="G169" i="6"/>
  <c r="G133" i="6"/>
  <c r="G134" i="6"/>
  <c r="G137" i="6"/>
  <c r="G138" i="6"/>
  <c r="G139" i="6"/>
  <c r="G140" i="6"/>
  <c r="G141" i="6"/>
  <c r="G142" i="6"/>
  <c r="G145" i="6"/>
  <c r="G146" i="6"/>
  <c r="G149" i="6"/>
  <c r="G151" i="6"/>
  <c r="G153" i="6"/>
  <c r="G155" i="6"/>
  <c r="G156" i="6"/>
  <c r="G157" i="6"/>
  <c r="G158" i="6"/>
  <c r="G160" i="6"/>
  <c r="G161" i="6"/>
  <c r="G162" i="6"/>
  <c r="G163" i="6"/>
  <c r="G164" i="6"/>
  <c r="G165" i="6"/>
  <c r="G166" i="6"/>
  <c r="G167" i="6"/>
  <c r="G130" i="6"/>
  <c r="C282" i="6"/>
  <c r="C281" i="6"/>
  <c r="C280" i="6"/>
  <c r="E164" i="6"/>
  <c r="E166" i="6"/>
  <c r="E130" i="6"/>
  <c r="C39" i="4"/>
  <c r="Q10" i="4"/>
  <c r="E131" i="6" s="1"/>
  <c r="Q8" i="4"/>
  <c r="E79" i="6" s="1"/>
  <c r="AL14" i="4"/>
  <c r="AK14" i="4" s="1"/>
  <c r="AK13" i="4"/>
  <c r="AO13" i="4" s="1"/>
  <c r="AL12" i="4"/>
  <c r="AO11" i="4"/>
  <c r="AO10" i="4"/>
  <c r="AK5" i="4"/>
  <c r="AL5" i="4" s="1"/>
  <c r="L8" i="4"/>
  <c r="L10" i="4"/>
  <c r="I38" i="4"/>
  <c r="I33" i="4"/>
  <c r="F38" i="4"/>
  <c r="F33" i="4"/>
  <c r="C38" i="4"/>
  <c r="C33" i="4"/>
  <c r="J16" i="4"/>
  <c r="I39" i="4" s="1"/>
  <c r="J14" i="4"/>
  <c r="Q14" i="4" s="1"/>
  <c r="E205" i="6" s="1"/>
  <c r="J12" i="4"/>
  <c r="F39" i="4" s="1"/>
  <c r="J10" i="4"/>
  <c r="J8" i="4"/>
  <c r="Q12" i="4" l="1"/>
  <c r="E165" i="6" s="1"/>
  <c r="L14" i="4"/>
  <c r="L12" i="4"/>
  <c r="L16" i="4"/>
  <c r="Q16" i="4"/>
  <c r="E257" i="6" s="1"/>
  <c r="J6" i="4"/>
  <c r="H102" i="5"/>
  <c r="D102" i="5" s="1"/>
  <c r="H100" i="5"/>
  <c r="D100" i="5" s="1"/>
  <c r="H98" i="5"/>
  <c r="D98" i="5" s="1"/>
  <c r="C97" i="5"/>
  <c r="C98" i="5" s="1"/>
  <c r="D96" i="5"/>
  <c r="H96" i="5"/>
  <c r="D95" i="5"/>
  <c r="H95" i="5"/>
  <c r="H93" i="5"/>
  <c r="D93" i="5" s="1"/>
  <c r="C90" i="5"/>
  <c r="C91" i="5" s="1"/>
  <c r="C92" i="5" s="1"/>
  <c r="D89" i="5"/>
  <c r="H89" i="5"/>
  <c r="C89" i="5"/>
  <c r="H88" i="5"/>
  <c r="D88" i="5" s="1"/>
  <c r="D87" i="5"/>
  <c r="H87" i="5"/>
  <c r="C86" i="5"/>
  <c r="C85" i="5"/>
  <c r="H84" i="5"/>
  <c r="D84" i="5" s="1"/>
  <c r="C84" i="5"/>
  <c r="D83" i="5"/>
  <c r="H83" i="5"/>
  <c r="D81" i="5"/>
  <c r="H81" i="5"/>
  <c r="C79" i="5"/>
  <c r="D79" i="5"/>
  <c r="H79" i="5"/>
  <c r="C78" i="5"/>
  <c r="C80" i="5" s="1"/>
  <c r="D77" i="5"/>
  <c r="H77" i="5"/>
  <c r="C74" i="5"/>
  <c r="C75" i="5" s="1"/>
  <c r="C76" i="5" s="1"/>
  <c r="D73" i="5"/>
  <c r="H73" i="5"/>
  <c r="C72" i="5"/>
  <c r="C71" i="5"/>
  <c r="D71" i="5"/>
  <c r="H71" i="5"/>
  <c r="H70" i="5"/>
  <c r="D70" i="5" s="1"/>
  <c r="D66" i="5"/>
  <c r="H66" i="5"/>
  <c r="D64" i="5"/>
  <c r="H64" i="5"/>
  <c r="H60" i="5"/>
  <c r="D60" i="5" s="1"/>
  <c r="C59" i="5"/>
  <c r="C60" i="5" s="1"/>
  <c r="C61" i="5" s="1"/>
  <c r="C62" i="5" s="1"/>
  <c r="C63" i="5" s="1"/>
  <c r="C58" i="5"/>
  <c r="C56" i="5"/>
  <c r="D55" i="5"/>
  <c r="H55" i="5"/>
  <c r="C52" i="5"/>
  <c r="C53" i="5" s="1"/>
  <c r="C54" i="5" s="1"/>
  <c r="C51" i="5"/>
  <c r="H51" i="5"/>
  <c r="D51" i="5" s="1"/>
  <c r="D50" i="5"/>
  <c r="H50" i="5"/>
  <c r="H46" i="5"/>
  <c r="D46" i="5" s="1"/>
  <c r="C45" i="5"/>
  <c r="C47" i="5" s="1"/>
  <c r="C48" i="5" s="1"/>
  <c r="C49" i="5" s="1"/>
  <c r="C44" i="5"/>
  <c r="D43" i="5"/>
  <c r="H43" i="5"/>
  <c r="H42" i="5"/>
  <c r="D42" i="5" s="1"/>
  <c r="D40" i="5"/>
  <c r="H40" i="5"/>
  <c r="H36" i="5"/>
  <c r="D36" i="5" s="1"/>
  <c r="D35" i="5"/>
  <c r="H35" i="5"/>
  <c r="D34" i="5"/>
  <c r="H34" i="5"/>
  <c r="D29" i="5"/>
  <c r="H29" i="5"/>
  <c r="D27" i="5"/>
  <c r="H27" i="5"/>
  <c r="D25" i="5"/>
  <c r="H25" i="5"/>
  <c r="H23" i="5"/>
  <c r="D23" i="5" s="1"/>
  <c r="C20" i="5"/>
  <c r="C21" i="5" s="1"/>
  <c r="C22" i="5" s="1"/>
  <c r="C19" i="5"/>
  <c r="H19" i="5"/>
  <c r="D19" i="5" s="1"/>
  <c r="C17" i="5"/>
  <c r="H18" i="5"/>
  <c r="D17" i="5"/>
  <c r="H13" i="5"/>
  <c r="D13" i="5" s="1"/>
  <c r="C14" i="5"/>
  <c r="C15" i="5" s="1"/>
  <c r="C16" i="5" s="1"/>
  <c r="C12" i="5"/>
  <c r="C13" i="5" s="1"/>
  <c r="M12" i="5"/>
  <c r="E8" i="5"/>
  <c r="H11" i="5"/>
  <c r="D11" i="5" s="1"/>
  <c r="C10" i="5"/>
  <c r="F10" i="5" s="1"/>
  <c r="H9" i="5"/>
  <c r="D9" i="5" s="1"/>
  <c r="D8" i="5"/>
  <c r="H8" i="5"/>
  <c r="C8" i="5"/>
  <c r="D21" i="3"/>
  <c r="N22" i="1"/>
  <c r="O22" i="1" s="1"/>
  <c r="I23" i="1"/>
  <c r="J23" i="1" s="1"/>
  <c r="I21" i="1"/>
  <c r="K20" i="1" s="1"/>
  <c r="I19" i="1"/>
  <c r="K18" i="1" s="1"/>
  <c r="I17" i="1"/>
  <c r="K16" i="1" s="1"/>
  <c r="I15" i="1"/>
  <c r="J15" i="1" s="1"/>
  <c r="I13" i="1"/>
  <c r="J13" i="1" s="1"/>
  <c r="I11" i="1"/>
  <c r="J11" i="1" s="1"/>
  <c r="I9" i="1"/>
  <c r="J9" i="1" s="1"/>
  <c r="F23" i="1"/>
  <c r="G23" i="1" s="1"/>
  <c r="F21" i="1"/>
  <c r="C24" i="5" l="1"/>
  <c r="C23" i="5"/>
  <c r="C94" i="5"/>
  <c r="C93" i="5"/>
  <c r="L16" i="1"/>
  <c r="B186" i="6" s="1"/>
  <c r="H16" i="1"/>
  <c r="L18" i="1"/>
  <c r="H18" i="1"/>
  <c r="L20" i="1"/>
  <c r="H20" i="1"/>
  <c r="F11" i="5"/>
  <c r="E11" i="5"/>
  <c r="C65" i="5"/>
  <c r="C66" i="5" s="1"/>
  <c r="C67" i="5" s="1"/>
  <c r="C68" i="5" s="1"/>
  <c r="C69" i="5" s="1"/>
  <c r="C64" i="5"/>
  <c r="C82" i="5"/>
  <c r="C81" i="5"/>
  <c r="J17" i="1"/>
  <c r="K22" i="1"/>
  <c r="C99" i="5"/>
  <c r="J19" i="1"/>
  <c r="J21" i="1"/>
  <c r="L6" i="4"/>
  <c r="M6" i="4" s="1"/>
  <c r="Q6" i="4"/>
  <c r="E45" i="6" s="1"/>
  <c r="K10" i="1"/>
  <c r="G21" i="1"/>
  <c r="K12" i="1"/>
  <c r="K14" i="1"/>
  <c r="E10" i="5"/>
  <c r="C46" i="5"/>
  <c r="Q22" i="1"/>
  <c r="P22" i="1"/>
  <c r="C101" i="5" l="1"/>
  <c r="C100" i="5"/>
  <c r="H12" i="1"/>
  <c r="L12" i="1"/>
  <c r="H22" i="1"/>
  <c r="C283" i="6" s="1"/>
  <c r="L22" i="1"/>
  <c r="B279" i="6" s="1"/>
  <c r="H14" i="1"/>
  <c r="L14" i="1"/>
  <c r="H10" i="1"/>
  <c r="L10" i="1"/>
  <c r="C26" i="5"/>
  <c r="C25" i="5"/>
  <c r="R22" i="1"/>
  <c r="B280" i="6" s="1"/>
  <c r="S22" i="1"/>
  <c r="B281" i="6" s="1"/>
  <c r="C28" i="5" l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27" i="5"/>
  <c r="C102" i="5"/>
  <c r="C103" i="5"/>
  <c r="C252" i="6"/>
  <c r="C251" i="6"/>
  <c r="C223" i="6"/>
  <c r="D221" i="6"/>
  <c r="C188" i="6"/>
  <c r="C187" i="6"/>
  <c r="C139" i="6"/>
  <c r="C138" i="6"/>
  <c r="C108" i="6"/>
  <c r="C107" i="6"/>
  <c r="C66" i="6"/>
  <c r="D64" i="6"/>
  <c r="C28" i="6"/>
  <c r="C27" i="6"/>
  <c r="J4" i="6"/>
  <c r="F4" i="6"/>
  <c r="F31" i="5"/>
  <c r="E29" i="5"/>
  <c r="F28" i="5"/>
  <c r="H21" i="5"/>
  <c r="F21" i="5"/>
  <c r="F19" i="5"/>
  <c r="F17" i="5"/>
  <c r="F15" i="5"/>
  <c r="E15" i="5"/>
  <c r="F14" i="5"/>
  <c r="E14" i="5"/>
  <c r="F13" i="5"/>
  <c r="E13" i="5"/>
  <c r="F12" i="5"/>
  <c r="E12" i="5"/>
  <c r="F9" i="5"/>
  <c r="E9" i="5"/>
  <c r="F8" i="5"/>
  <c r="F7" i="5"/>
  <c r="E7" i="5"/>
  <c r="F6" i="5"/>
  <c r="E6" i="5"/>
  <c r="F5" i="5"/>
  <c r="E5" i="5"/>
  <c r="F4" i="5"/>
  <c r="E4" i="5"/>
  <c r="F76" i="6"/>
  <c r="E42" i="6"/>
  <c r="G18" i="3"/>
  <c r="J18" i="3" s="1"/>
  <c r="L18" i="3" s="1"/>
  <c r="G16" i="3"/>
  <c r="J16" i="3" s="1"/>
  <c r="L16" i="3" s="1"/>
  <c r="G14" i="3"/>
  <c r="J14" i="3" s="1"/>
  <c r="L14" i="3" s="1"/>
  <c r="G12" i="3"/>
  <c r="J12" i="3" s="1"/>
  <c r="L12" i="3" s="1"/>
  <c r="G10" i="3"/>
  <c r="J10" i="3" s="1"/>
  <c r="L10" i="3" s="1"/>
  <c r="G8" i="3"/>
  <c r="J8" i="3" s="1"/>
  <c r="L8" i="3" s="1"/>
  <c r="G6" i="3"/>
  <c r="J6" i="3" s="1"/>
  <c r="L6" i="3" s="1"/>
  <c r="F19" i="1"/>
  <c r="G19" i="1" s="1"/>
  <c r="F17" i="1"/>
  <c r="G17" i="1" s="1"/>
  <c r="F15" i="1"/>
  <c r="G15" i="1" s="1"/>
  <c r="F13" i="1"/>
  <c r="G13" i="1" s="1"/>
  <c r="F11" i="1"/>
  <c r="G11" i="1" s="1"/>
  <c r="F9" i="1"/>
  <c r="G9" i="1" s="1"/>
  <c r="M8" i="1"/>
  <c r="I7" i="1"/>
  <c r="J7" i="1" s="1"/>
  <c r="F7" i="1"/>
  <c r="AR2" i="1"/>
  <c r="AQ2" i="1"/>
  <c r="C41" i="5" l="1"/>
  <c r="C40" i="5"/>
  <c r="E28" i="5"/>
  <c r="E21" i="5"/>
  <c r="F33" i="5"/>
  <c r="V22" i="1"/>
  <c r="U22" i="1"/>
  <c r="G7" i="1"/>
  <c r="C254" i="6"/>
  <c r="D223" i="6"/>
  <c r="B106" i="6"/>
  <c r="B64" i="6"/>
  <c r="AK10" i="1"/>
  <c r="K8" i="1"/>
  <c r="L8" i="1" s="1"/>
  <c r="B27" i="6" s="1"/>
  <c r="N8" i="1"/>
  <c r="O8" i="1" s="1"/>
  <c r="F5" i="4"/>
  <c r="AO10" i="1"/>
  <c r="AG10" i="1"/>
  <c r="AL10" i="1"/>
  <c r="F6" i="3"/>
  <c r="H6" i="3" s="1"/>
  <c r="I6" i="3" s="1"/>
  <c r="AJ10" i="1"/>
  <c r="AB10" i="1"/>
  <c r="AP10" i="1"/>
  <c r="AE10" i="1"/>
  <c r="AF10" i="1"/>
  <c r="F16" i="5"/>
  <c r="E16" i="5"/>
  <c r="E203" i="6"/>
  <c r="F34" i="5"/>
  <c r="E34" i="5"/>
  <c r="F18" i="5"/>
  <c r="E18" i="5"/>
  <c r="E255" i="6"/>
  <c r="E204" i="6"/>
  <c r="F29" i="5"/>
  <c r="G4" i="6"/>
  <c r="J5" i="6" s="1"/>
  <c r="E43" i="6"/>
  <c r="E77" i="6"/>
  <c r="G76" i="6"/>
  <c r="F46" i="6"/>
  <c r="G46" i="6" s="1"/>
  <c r="E17" i="5"/>
  <c r="E19" i="5"/>
  <c r="E31" i="5"/>
  <c r="E256" i="6"/>
  <c r="B282" i="6" l="1"/>
  <c r="T23" i="1"/>
  <c r="C21" i="3" s="1"/>
  <c r="P21" i="3" s="1"/>
  <c r="C279" i="6"/>
  <c r="E20" i="3"/>
  <c r="M16" i="4"/>
  <c r="E251" i="6" s="1"/>
  <c r="E33" i="5"/>
  <c r="F35" i="5"/>
  <c r="E35" i="5"/>
  <c r="E23" i="5"/>
  <c r="F23" i="5"/>
  <c r="B250" i="6"/>
  <c r="AI10" i="1"/>
  <c r="B221" i="6"/>
  <c r="C110" i="6"/>
  <c r="D66" i="6"/>
  <c r="H8" i="1"/>
  <c r="AC10" i="1"/>
  <c r="AM10" i="1"/>
  <c r="C190" i="6"/>
  <c r="AN10" i="1"/>
  <c r="AD10" i="1"/>
  <c r="AH10" i="1"/>
  <c r="M10" i="1" s="1"/>
  <c r="N10" i="1" s="1"/>
  <c r="O10" i="1" s="1"/>
  <c r="C141" i="6"/>
  <c r="B137" i="6"/>
  <c r="M10" i="4"/>
  <c r="N10" i="4" s="1"/>
  <c r="E36" i="5"/>
  <c r="F36" i="5"/>
  <c r="K6" i="3"/>
  <c r="M6" i="3" s="1"/>
  <c r="N6" i="3"/>
  <c r="F32" i="5"/>
  <c r="E32" i="5"/>
  <c r="Q8" i="1"/>
  <c r="P8" i="1"/>
  <c r="F27" i="5"/>
  <c r="E27" i="5"/>
  <c r="E39" i="6"/>
  <c r="N6" i="4"/>
  <c r="F26" i="5"/>
  <c r="E26" i="5"/>
  <c r="F25" i="5"/>
  <c r="E25" i="5"/>
  <c r="F128" i="6"/>
  <c r="G128" i="6" s="1"/>
  <c r="F30" i="5"/>
  <c r="E30" i="5"/>
  <c r="F22" i="5"/>
  <c r="E22" i="5"/>
  <c r="F20" i="5"/>
  <c r="E20" i="5"/>
  <c r="F24" i="5"/>
  <c r="E24" i="5"/>
  <c r="E129" i="6"/>
  <c r="E78" i="6"/>
  <c r="C30" i="6" l="1"/>
  <c r="V10" i="4"/>
  <c r="V6" i="4"/>
  <c r="O6" i="4"/>
  <c r="N16" i="4"/>
  <c r="M12" i="4"/>
  <c r="N12" i="4" s="1"/>
  <c r="AE12" i="1"/>
  <c r="C29" i="6"/>
  <c r="D5" i="3"/>
  <c r="R8" i="1"/>
  <c r="S8" i="1"/>
  <c r="V8" i="1"/>
  <c r="F37" i="5"/>
  <c r="E37" i="5"/>
  <c r="M14" i="4"/>
  <c r="N14" i="4" s="1"/>
  <c r="E125" i="6"/>
  <c r="E40" i="6"/>
  <c r="S6" i="4"/>
  <c r="F8" i="3"/>
  <c r="H8" i="3" s="1"/>
  <c r="I8" i="3" s="1"/>
  <c r="AC12" i="1"/>
  <c r="AI12" i="1"/>
  <c r="AL12" i="1"/>
  <c r="AJ12" i="1"/>
  <c r="AP12" i="1"/>
  <c r="AD12" i="1"/>
  <c r="AB12" i="1"/>
  <c r="F168" i="6"/>
  <c r="G168" i="6" s="1"/>
  <c r="O16" i="4" l="1"/>
  <c r="X16" i="4" s="1"/>
  <c r="V16" i="4"/>
  <c r="P16" i="4"/>
  <c r="I40" i="4" s="1"/>
  <c r="V14" i="4"/>
  <c r="O12" i="4"/>
  <c r="X12" i="4" s="1"/>
  <c r="V12" i="4"/>
  <c r="R6" i="4"/>
  <c r="X6" i="4"/>
  <c r="P6" i="4"/>
  <c r="C34" i="4" s="1"/>
  <c r="G7" i="6"/>
  <c r="G73" i="6"/>
  <c r="G10" i="6"/>
  <c r="G9" i="6"/>
  <c r="G92" i="6"/>
  <c r="G48" i="6"/>
  <c r="G83" i="6"/>
  <c r="G61" i="6"/>
  <c r="E41" i="6"/>
  <c r="E44" i="6"/>
  <c r="U6" i="4"/>
  <c r="E253" i="6"/>
  <c r="E254" i="6"/>
  <c r="E252" i="6"/>
  <c r="S12" i="4"/>
  <c r="F159" i="6" s="1"/>
  <c r="AF12" i="1"/>
  <c r="M12" i="1" s="1"/>
  <c r="N12" i="1" s="1"/>
  <c r="O12" i="1" s="1"/>
  <c r="AG12" i="1"/>
  <c r="AN12" i="1"/>
  <c r="AH12" i="1"/>
  <c r="AK12" i="1"/>
  <c r="AO12" i="1"/>
  <c r="AM12" i="1"/>
  <c r="F201" i="6"/>
  <c r="G201" i="6" s="1"/>
  <c r="G56" i="6"/>
  <c r="F38" i="6"/>
  <c r="F54" i="5"/>
  <c r="E54" i="5"/>
  <c r="F40" i="5"/>
  <c r="E40" i="5"/>
  <c r="F44" i="5"/>
  <c r="E44" i="5"/>
  <c r="E126" i="6"/>
  <c r="S10" i="4"/>
  <c r="F124" i="6" s="1"/>
  <c r="F43" i="5"/>
  <c r="E43" i="5"/>
  <c r="F47" i="5"/>
  <c r="E47" i="5"/>
  <c r="F45" i="5"/>
  <c r="E45" i="5"/>
  <c r="E160" i="6"/>
  <c r="E199" i="6"/>
  <c r="S14" i="4"/>
  <c r="F198" i="6" s="1"/>
  <c r="G198" i="6" s="1"/>
  <c r="F38" i="5"/>
  <c r="E38" i="5"/>
  <c r="E161" i="6"/>
  <c r="O10" i="4"/>
  <c r="F46" i="5"/>
  <c r="E46" i="5"/>
  <c r="F49" i="5"/>
  <c r="E49" i="5"/>
  <c r="B31" i="6"/>
  <c r="E6" i="3"/>
  <c r="F52" i="5"/>
  <c r="E52" i="5"/>
  <c r="F53" i="5"/>
  <c r="E53" i="5"/>
  <c r="B29" i="6"/>
  <c r="U8" i="1"/>
  <c r="P10" i="1"/>
  <c r="Q10" i="1"/>
  <c r="N8" i="3"/>
  <c r="K8" i="3"/>
  <c r="M8" i="3" s="1"/>
  <c r="F55" i="5"/>
  <c r="E55" i="5"/>
  <c r="E42" i="5"/>
  <c r="F42" i="5"/>
  <c r="B107" i="6"/>
  <c r="B28" i="6"/>
  <c r="F57" i="5"/>
  <c r="E57" i="5"/>
  <c r="F56" i="5"/>
  <c r="E56" i="5"/>
  <c r="F58" i="5"/>
  <c r="E58" i="5"/>
  <c r="M8" i="4"/>
  <c r="U12" i="4" l="1"/>
  <c r="F180" i="6" s="1"/>
  <c r="R12" i="4"/>
  <c r="P12" i="4"/>
  <c r="F40" i="4" s="1"/>
  <c r="G159" i="6"/>
  <c r="E162" i="6"/>
  <c r="R16" i="4"/>
  <c r="X10" i="4"/>
  <c r="P10" i="4"/>
  <c r="F34" i="4" s="1"/>
  <c r="K46" i="6"/>
  <c r="F52" i="6"/>
  <c r="G52" i="6" s="1"/>
  <c r="AK12" i="4"/>
  <c r="AO12" i="4" s="1"/>
  <c r="G65" i="6"/>
  <c r="G29" i="6"/>
  <c r="G86" i="6"/>
  <c r="G43" i="6"/>
  <c r="G68" i="6"/>
  <c r="G18" i="6"/>
  <c r="G81" i="6"/>
  <c r="G23" i="6"/>
  <c r="G8" i="6"/>
  <c r="G85" i="6"/>
  <c r="G70" i="6"/>
  <c r="G53" i="6"/>
  <c r="G77" i="6"/>
  <c r="G94" i="6"/>
  <c r="G50" i="6"/>
  <c r="G16" i="6"/>
  <c r="G63" i="6"/>
  <c r="G47" i="6"/>
  <c r="G59" i="6"/>
  <c r="G12" i="6"/>
  <c r="G109" i="6"/>
  <c r="G120" i="6"/>
  <c r="G103" i="6"/>
  <c r="G99" i="6"/>
  <c r="G24" i="6"/>
  <c r="G106" i="6"/>
  <c r="G97" i="6"/>
  <c r="J6" i="6"/>
  <c r="G117" i="6"/>
  <c r="G110" i="6"/>
  <c r="G78" i="6"/>
  <c r="G67" i="6"/>
  <c r="G102" i="6"/>
  <c r="G30" i="6"/>
  <c r="G51" i="6"/>
  <c r="G121" i="6"/>
  <c r="G37" i="6"/>
  <c r="G55" i="6"/>
  <c r="G114" i="6"/>
  <c r="G54" i="6"/>
  <c r="G11" i="6"/>
  <c r="G118" i="6"/>
  <c r="G15" i="6"/>
  <c r="G122" i="6"/>
  <c r="G41" i="6"/>
  <c r="G80" i="6"/>
  <c r="G112" i="6"/>
  <c r="G21" i="6"/>
  <c r="G90" i="6"/>
  <c r="G119" i="6"/>
  <c r="G6" i="6"/>
  <c r="G71" i="6"/>
  <c r="G28" i="6"/>
  <c r="G35" i="6"/>
  <c r="G14" i="6"/>
  <c r="G13" i="6"/>
  <c r="G49" i="6"/>
  <c r="G69" i="6"/>
  <c r="G95" i="6"/>
  <c r="G125" i="6"/>
  <c r="G27" i="6"/>
  <c r="G127" i="6"/>
  <c r="G44" i="6"/>
  <c r="G74" i="6"/>
  <c r="G31" i="6"/>
  <c r="G34" i="6"/>
  <c r="G45" i="6"/>
  <c r="G88" i="6"/>
  <c r="G75" i="6"/>
  <c r="T7" i="1"/>
  <c r="C5" i="3" s="1"/>
  <c r="P5" i="3" s="1"/>
  <c r="Q6" i="3" s="1"/>
  <c r="F41" i="5"/>
  <c r="E41" i="5"/>
  <c r="E51" i="5"/>
  <c r="F51" i="5"/>
  <c r="F39" i="5"/>
  <c r="E39" i="5"/>
  <c r="AM14" i="1"/>
  <c r="AE14" i="1"/>
  <c r="AL14" i="1"/>
  <c r="AD14" i="1"/>
  <c r="F10" i="3"/>
  <c r="H10" i="3" s="1"/>
  <c r="I10" i="3" s="1"/>
  <c r="AK14" i="1"/>
  <c r="AC14" i="1"/>
  <c r="AJ14" i="1"/>
  <c r="AB14" i="1"/>
  <c r="AP14" i="1"/>
  <c r="AH14" i="1"/>
  <c r="AO14" i="1"/>
  <c r="AG14" i="1"/>
  <c r="AF14" i="1"/>
  <c r="AN14" i="1"/>
  <c r="AI14" i="1"/>
  <c r="F255" i="6"/>
  <c r="G255" i="6" s="1"/>
  <c r="S16" i="4"/>
  <c r="F250" i="6" s="1"/>
  <c r="G250" i="6" s="1"/>
  <c r="U16" i="4"/>
  <c r="F260" i="6" s="1"/>
  <c r="B30" i="6"/>
  <c r="W8" i="1"/>
  <c r="F50" i="5"/>
  <c r="E50" i="5"/>
  <c r="F48" i="5"/>
  <c r="E48" i="5"/>
  <c r="E200" i="6"/>
  <c r="F59" i="5"/>
  <c r="E59" i="5"/>
  <c r="D65" i="6"/>
  <c r="D7" i="3"/>
  <c r="O14" i="4"/>
  <c r="F61" i="5"/>
  <c r="E61" i="5"/>
  <c r="R10" i="1"/>
  <c r="B65" i="6" s="1"/>
  <c r="S10" i="1"/>
  <c r="V10" i="1"/>
  <c r="E73" i="6"/>
  <c r="N8" i="4"/>
  <c r="F60" i="5"/>
  <c r="E60" i="5"/>
  <c r="F62" i="5"/>
  <c r="E62" i="5"/>
  <c r="G124" i="6"/>
  <c r="E127" i="6"/>
  <c r="U10" i="4"/>
  <c r="F132" i="6" s="1"/>
  <c r="G132" i="6" s="1"/>
  <c r="R10" i="4"/>
  <c r="G38" i="6"/>
  <c r="M14" i="1" l="1"/>
  <c r="N14" i="1" s="1"/>
  <c r="E163" i="6"/>
  <c r="G180" i="6"/>
  <c r="J7" i="6"/>
  <c r="J8" i="6" s="1"/>
  <c r="J9" i="6" s="1"/>
  <c r="J10" i="6" s="1"/>
  <c r="J11" i="6" s="1"/>
  <c r="J12" i="6" s="1"/>
  <c r="J13" i="6" s="1"/>
  <c r="J14" i="6" s="1"/>
  <c r="J15" i="6" s="1"/>
  <c r="J16" i="6" s="1"/>
  <c r="R14" i="4"/>
  <c r="X14" i="4"/>
  <c r="P14" i="4"/>
  <c r="I34" i="4" s="1"/>
  <c r="E128" i="6"/>
  <c r="V8" i="4"/>
  <c r="G202" i="6"/>
  <c r="R6" i="3"/>
  <c r="F17" i="6"/>
  <c r="G17" i="6" s="1"/>
  <c r="AL16" i="1"/>
  <c r="F80" i="5"/>
  <c r="E80" i="5"/>
  <c r="F77" i="5"/>
  <c r="E77" i="5"/>
  <c r="F81" i="5"/>
  <c r="E81" i="5"/>
  <c r="Q12" i="1"/>
  <c r="P12" i="1"/>
  <c r="N10" i="3"/>
  <c r="K10" i="3"/>
  <c r="M10" i="3" s="1"/>
  <c r="F78" i="5"/>
  <c r="E78" i="5"/>
  <c r="F63" i="5"/>
  <c r="E63" i="5"/>
  <c r="F79" i="5"/>
  <c r="E79" i="5"/>
  <c r="F67" i="5"/>
  <c r="E67" i="5"/>
  <c r="F73" i="5"/>
  <c r="E73" i="5"/>
  <c r="E74" i="6"/>
  <c r="S8" i="4"/>
  <c r="F75" i="5"/>
  <c r="E75" i="5"/>
  <c r="F83" i="5"/>
  <c r="E83" i="5"/>
  <c r="O8" i="4"/>
  <c r="F76" i="5"/>
  <c r="E76" i="5"/>
  <c r="F65" i="5"/>
  <c r="E65" i="5"/>
  <c r="E72" i="5"/>
  <c r="F72" i="5"/>
  <c r="F12" i="3"/>
  <c r="H12" i="3" s="1"/>
  <c r="I12" i="3" s="1"/>
  <c r="F69" i="5"/>
  <c r="E69" i="5"/>
  <c r="F82" i="5"/>
  <c r="E82" i="5"/>
  <c r="C65" i="6"/>
  <c r="E8" i="3"/>
  <c r="E201" i="6"/>
  <c r="U14" i="4"/>
  <c r="F205" i="6" s="1"/>
  <c r="X8" i="1"/>
  <c r="V6" i="3"/>
  <c r="F26" i="6" s="1"/>
  <c r="F71" i="5"/>
  <c r="E71" i="5"/>
  <c r="B66" i="6"/>
  <c r="U10" i="1"/>
  <c r="E202" i="6"/>
  <c r="G205" i="6" l="1"/>
  <c r="K15" i="6"/>
  <c r="K81" i="6"/>
  <c r="K145" i="6"/>
  <c r="K17" i="6"/>
  <c r="K104" i="6"/>
  <c r="K69" i="6"/>
  <c r="K52" i="6"/>
  <c r="J17" i="6"/>
  <c r="J18" i="6" s="1"/>
  <c r="R8" i="4"/>
  <c r="X8" i="4"/>
  <c r="P8" i="4"/>
  <c r="C40" i="4" s="1"/>
  <c r="AC16" i="1"/>
  <c r="AH16" i="1"/>
  <c r="AN16" i="1"/>
  <c r="O14" i="1"/>
  <c r="Q14" i="1" s="1"/>
  <c r="AG16" i="1"/>
  <c r="AO16" i="1"/>
  <c r="AI16" i="1"/>
  <c r="AE16" i="1"/>
  <c r="AP16" i="1"/>
  <c r="C64" i="6"/>
  <c r="T9" i="1"/>
  <c r="C7" i="3" s="1"/>
  <c r="P7" i="3" s="1"/>
  <c r="AM16" i="1"/>
  <c r="AB16" i="1"/>
  <c r="AF16" i="1"/>
  <c r="AJ16" i="1"/>
  <c r="U6" i="3"/>
  <c r="T6" i="3"/>
  <c r="F22" i="6" s="1"/>
  <c r="G22" i="6" s="1"/>
  <c r="S6" i="3"/>
  <c r="F20" i="6" s="1"/>
  <c r="G20" i="6" s="1"/>
  <c r="F19" i="6"/>
  <c r="G19" i="6" s="1"/>
  <c r="AK16" i="1"/>
  <c r="AD16" i="1"/>
  <c r="F70" i="5"/>
  <c r="E70" i="5"/>
  <c r="F90" i="5"/>
  <c r="E90" i="5"/>
  <c r="F87" i="5"/>
  <c r="E87" i="5"/>
  <c r="G26" i="6"/>
  <c r="F85" i="5"/>
  <c r="E85" i="5"/>
  <c r="F68" i="5"/>
  <c r="E68" i="5"/>
  <c r="F66" i="5"/>
  <c r="E66" i="5"/>
  <c r="F88" i="5"/>
  <c r="E88" i="5"/>
  <c r="W6" i="3"/>
  <c r="W10" i="1"/>
  <c r="V8" i="3" s="1"/>
  <c r="C109" i="6"/>
  <c r="D9" i="3"/>
  <c r="N12" i="3"/>
  <c r="K12" i="3"/>
  <c r="M12" i="3" s="1"/>
  <c r="E76" i="6"/>
  <c r="U8" i="4"/>
  <c r="K110" i="6" s="1"/>
  <c r="E86" i="5"/>
  <c r="F86" i="5"/>
  <c r="F64" i="5"/>
  <c r="E64" i="5"/>
  <c r="S12" i="1"/>
  <c r="R12" i="1"/>
  <c r="V12" i="1"/>
  <c r="F74" i="5"/>
  <c r="E74" i="5"/>
  <c r="F84" i="5"/>
  <c r="E84" i="5"/>
  <c r="F89" i="5"/>
  <c r="E89" i="5"/>
  <c r="F72" i="6"/>
  <c r="M16" i="1" l="1"/>
  <c r="N16" i="1" s="1"/>
  <c r="K38" i="6"/>
  <c r="K36" i="6"/>
  <c r="K146" i="6"/>
  <c r="K94" i="6"/>
  <c r="K18" i="6"/>
  <c r="K144" i="6"/>
  <c r="K90" i="6"/>
  <c r="K66" i="6"/>
  <c r="K128" i="6"/>
  <c r="K43" i="6"/>
  <c r="K132" i="6"/>
  <c r="K24" i="6"/>
  <c r="K148" i="6"/>
  <c r="K83" i="6"/>
  <c r="K5" i="6"/>
  <c r="K58" i="6"/>
  <c r="K141" i="6"/>
  <c r="K61" i="6"/>
  <c r="K30" i="6"/>
  <c r="K86" i="6"/>
  <c r="K92" i="6"/>
  <c r="K59" i="6"/>
  <c r="K14" i="6"/>
  <c r="K126" i="6"/>
  <c r="K139" i="6"/>
  <c r="K37" i="6"/>
  <c r="K82" i="6"/>
  <c r="K27" i="6"/>
  <c r="K125" i="6"/>
  <c r="K62" i="6"/>
  <c r="K19" i="6"/>
  <c r="K96" i="6"/>
  <c r="K124" i="6"/>
  <c r="K140" i="6"/>
  <c r="K31" i="6"/>
  <c r="K107" i="6"/>
  <c r="K95" i="6"/>
  <c r="K25" i="6"/>
  <c r="K65" i="6"/>
  <c r="K108" i="6"/>
  <c r="K6" i="6"/>
  <c r="K93" i="6"/>
  <c r="K102" i="6"/>
  <c r="K22" i="6"/>
  <c r="K8" i="6"/>
  <c r="K143" i="6"/>
  <c r="K53" i="6"/>
  <c r="E75" i="6"/>
  <c r="K64" i="6"/>
  <c r="K63" i="6"/>
  <c r="K23" i="6"/>
  <c r="K105" i="6"/>
  <c r="K60" i="6"/>
  <c r="K116" i="6"/>
  <c r="K12" i="6"/>
  <c r="K112" i="6"/>
  <c r="K32" i="6"/>
  <c r="K138" i="6"/>
  <c r="K121" i="6"/>
  <c r="K84" i="6"/>
  <c r="K34" i="6"/>
  <c r="K70" i="6"/>
  <c r="K16" i="6"/>
  <c r="K142" i="6"/>
  <c r="K135" i="6"/>
  <c r="K55" i="6"/>
  <c r="K101" i="6"/>
  <c r="K120" i="6"/>
  <c r="K100" i="6"/>
  <c r="K127" i="6"/>
  <c r="K33" i="6"/>
  <c r="K97" i="6"/>
  <c r="K91" i="6"/>
  <c r="K129" i="6"/>
  <c r="K114" i="6"/>
  <c r="K35" i="6"/>
  <c r="K89" i="6"/>
  <c r="K133" i="6"/>
  <c r="K118" i="6"/>
  <c r="K13" i="6"/>
  <c r="K11" i="6"/>
  <c r="J19" i="6"/>
  <c r="J20" i="6" s="1"/>
  <c r="J21" i="6" s="1"/>
  <c r="J22" i="6" s="1"/>
  <c r="J23" i="6" s="1"/>
  <c r="J24" i="6" s="1"/>
  <c r="K41" i="6"/>
  <c r="K241" i="6"/>
  <c r="K76" i="6"/>
  <c r="K167" i="6"/>
  <c r="K158" i="6"/>
  <c r="K166" i="6"/>
  <c r="K169" i="6"/>
  <c r="K204" i="6"/>
  <c r="K207" i="6"/>
  <c r="K243" i="6"/>
  <c r="K157" i="6"/>
  <c r="K168" i="6"/>
  <c r="K201" i="6"/>
  <c r="P14" i="1"/>
  <c r="AB18" i="1"/>
  <c r="F25" i="6"/>
  <c r="G25" i="6" s="1"/>
  <c r="X6" i="3"/>
  <c r="B108" i="6"/>
  <c r="U12" i="1"/>
  <c r="F79" i="6"/>
  <c r="K255" i="6"/>
  <c r="F64" i="6"/>
  <c r="X10" i="1"/>
  <c r="F101" i="5"/>
  <c r="E101" i="5"/>
  <c r="G72" i="6"/>
  <c r="F33" i="6"/>
  <c r="Q8" i="3"/>
  <c r="F95" i="5"/>
  <c r="E95" i="5"/>
  <c r="F92" i="5"/>
  <c r="E92" i="5"/>
  <c r="F98" i="5"/>
  <c r="E98" i="5"/>
  <c r="F100" i="5"/>
  <c r="E100" i="5"/>
  <c r="F99" i="5"/>
  <c r="E99" i="5"/>
  <c r="C140" i="6"/>
  <c r="D11" i="3"/>
  <c r="F103" i="5"/>
  <c r="E103" i="5"/>
  <c r="E102" i="5"/>
  <c r="F102" i="5"/>
  <c r="S14" i="1"/>
  <c r="R14" i="1"/>
  <c r="B138" i="6" s="1"/>
  <c r="V14" i="1"/>
  <c r="F91" i="5"/>
  <c r="E91" i="5"/>
  <c r="F93" i="5"/>
  <c r="E93" i="5"/>
  <c r="C106" i="6"/>
  <c r="E10" i="3"/>
  <c r="J25" i="6" l="1"/>
  <c r="J26" i="6" s="1"/>
  <c r="J27" i="6" s="1"/>
  <c r="J28" i="6" s="1"/>
  <c r="J29" i="6" s="1"/>
  <c r="J30" i="6" s="1"/>
  <c r="J31" i="6" s="1"/>
  <c r="AJ18" i="1"/>
  <c r="AC18" i="1"/>
  <c r="M18" i="1" s="1"/>
  <c r="N18" i="1" s="1"/>
  <c r="O16" i="1"/>
  <c r="Q16" i="1" s="1"/>
  <c r="AN18" i="1"/>
  <c r="AE18" i="1"/>
  <c r="AK18" i="1"/>
  <c r="AF18" i="1"/>
  <c r="F14" i="3"/>
  <c r="H14" i="3" s="1"/>
  <c r="I14" i="3" s="1"/>
  <c r="K14" i="3" s="1"/>
  <c r="M14" i="3" s="1"/>
  <c r="AO18" i="1"/>
  <c r="AG18" i="1"/>
  <c r="AH18" i="1"/>
  <c r="AD18" i="1"/>
  <c r="AP18" i="1"/>
  <c r="AL18" i="1"/>
  <c r="AI18" i="1"/>
  <c r="AM18" i="1"/>
  <c r="B109" i="6"/>
  <c r="T11" i="1"/>
  <c r="C9" i="3" s="1"/>
  <c r="P9" i="3" s="1"/>
  <c r="F32" i="6"/>
  <c r="G32" i="6" s="1"/>
  <c r="AA6" i="3"/>
  <c r="Z6" i="3"/>
  <c r="F39" i="6" s="1"/>
  <c r="Y6" i="3"/>
  <c r="F36" i="6" s="1"/>
  <c r="G36" i="6" s="1"/>
  <c r="F96" i="5"/>
  <c r="E96" i="5"/>
  <c r="B139" i="6"/>
  <c r="U14" i="1"/>
  <c r="P16" i="1"/>
  <c r="E104" i="5"/>
  <c r="F104" i="5"/>
  <c r="F57" i="6"/>
  <c r="R8" i="3"/>
  <c r="W8" i="3"/>
  <c r="W12" i="1"/>
  <c r="G33" i="6"/>
  <c r="G64" i="6"/>
  <c r="G79" i="6"/>
  <c r="F94" i="5"/>
  <c r="E94" i="5"/>
  <c r="K250" i="6"/>
  <c r="C137" i="6"/>
  <c r="E12" i="3"/>
  <c r="K268" i="6"/>
  <c r="K222" i="6"/>
  <c r="K149" i="6"/>
  <c r="K183" i="6"/>
  <c r="K218" i="6"/>
  <c r="K234" i="6"/>
  <c r="K187" i="6"/>
  <c r="K223" i="6"/>
  <c r="K291" i="6"/>
  <c r="K172" i="6"/>
  <c r="K164" i="6"/>
  <c r="K202" i="6"/>
  <c r="K266" i="6"/>
  <c r="K190" i="6"/>
  <c r="K174" i="6"/>
  <c r="K194" i="6"/>
  <c r="K44" i="6"/>
  <c r="K180" i="6"/>
  <c r="K211" i="6"/>
  <c r="K153" i="6"/>
  <c r="K74" i="6"/>
  <c r="K73" i="6"/>
  <c r="K209" i="6"/>
  <c r="K275" i="6"/>
  <c r="K221" i="6"/>
  <c r="K189" i="6"/>
  <c r="K225" i="6"/>
  <c r="K159" i="6"/>
  <c r="K286" i="6"/>
  <c r="K213" i="6"/>
  <c r="K271" i="6"/>
  <c r="K193" i="6"/>
  <c r="K261" i="6"/>
  <c r="K238" i="6"/>
  <c r="K279" i="6"/>
  <c r="K269" i="6"/>
  <c r="M12" i="6"/>
  <c r="K252" i="6"/>
  <c r="K165" i="6"/>
  <c r="K226" i="6"/>
  <c r="K49" i="6"/>
  <c r="K170" i="6"/>
  <c r="M8" i="6"/>
  <c r="K78" i="6"/>
  <c r="K290" i="6"/>
  <c r="K293" i="6"/>
  <c r="K217" i="6"/>
  <c r="K297" i="6"/>
  <c r="K45" i="6"/>
  <c r="K47" i="6"/>
  <c r="K191" i="6"/>
  <c r="K299" i="6"/>
  <c r="K199" i="6"/>
  <c r="K173" i="6"/>
  <c r="K163" i="6"/>
  <c r="K162" i="6"/>
  <c r="K197" i="6"/>
  <c r="K188" i="6"/>
  <c r="K229" i="6"/>
  <c r="K171" i="6"/>
  <c r="K4" i="6"/>
  <c r="M4" i="6" s="1"/>
  <c r="K258" i="6"/>
  <c r="K273" i="6"/>
  <c r="K51" i="6"/>
  <c r="K251" i="6"/>
  <c r="K245" i="6"/>
  <c r="K181" i="6"/>
  <c r="K282" i="6"/>
  <c r="K192" i="6"/>
  <c r="K280" i="6"/>
  <c r="K176" i="6"/>
  <c r="K155" i="6"/>
  <c r="K294" i="6"/>
  <c r="K156" i="6"/>
  <c r="K161" i="6"/>
  <c r="M5" i="6"/>
  <c r="K283" i="6"/>
  <c r="K276" i="6"/>
  <c r="K296" i="6"/>
  <c r="K267" i="6"/>
  <c r="K224" i="6"/>
  <c r="K239" i="6"/>
  <c r="M6" i="6"/>
  <c r="K300" i="6"/>
  <c r="K247" i="6"/>
  <c r="K198" i="6"/>
  <c r="K50" i="6"/>
  <c r="K265" i="6"/>
  <c r="K186" i="6"/>
  <c r="K295" i="6"/>
  <c r="K215" i="6"/>
  <c r="K292" i="6"/>
  <c r="K151" i="6"/>
  <c r="K75" i="6"/>
  <c r="K77" i="6"/>
  <c r="K160" i="6"/>
  <c r="K277" i="6"/>
  <c r="K232" i="6"/>
  <c r="K230" i="6"/>
  <c r="K288" i="6"/>
  <c r="K298" i="6"/>
  <c r="K178" i="6"/>
  <c r="K48" i="6"/>
  <c r="M11" i="6"/>
  <c r="K236" i="6"/>
  <c r="K256" i="6"/>
  <c r="K263" i="6"/>
  <c r="K260" i="6"/>
  <c r="J32" i="6" l="1"/>
  <c r="J33" i="6" s="1"/>
  <c r="J34" i="6" s="1"/>
  <c r="J35" i="6" s="1"/>
  <c r="J36" i="6" s="1"/>
  <c r="J37" i="6" s="1"/>
  <c r="J38" i="6" s="1"/>
  <c r="J39" i="6" s="1"/>
  <c r="N14" i="3"/>
  <c r="D13" i="3" s="1"/>
  <c r="AB20" i="1"/>
  <c r="B140" i="6"/>
  <c r="T13" i="1"/>
  <c r="C11" i="3" s="1"/>
  <c r="P11" i="3" s="1"/>
  <c r="G39" i="6"/>
  <c r="K39" i="6"/>
  <c r="F40" i="6"/>
  <c r="AB6" i="3"/>
  <c r="F58" i="6"/>
  <c r="T8" i="3"/>
  <c r="F62" i="6" s="1"/>
  <c r="S8" i="3"/>
  <c r="F60" i="6" s="1"/>
  <c r="U8" i="3"/>
  <c r="F82" i="6"/>
  <c r="Q10" i="3"/>
  <c r="G57" i="6"/>
  <c r="M13" i="6"/>
  <c r="E97" i="5"/>
  <c r="F97" i="5"/>
  <c r="K205" i="6"/>
  <c r="R16" i="1"/>
  <c r="B187" i="6" s="1"/>
  <c r="S16" i="1"/>
  <c r="V16" i="1"/>
  <c r="V10" i="3"/>
  <c r="F105" i="6" s="1"/>
  <c r="X12" i="1"/>
  <c r="J40" i="6" l="1"/>
  <c r="C189" i="6"/>
  <c r="AN20" i="1"/>
  <c r="O18" i="1"/>
  <c r="Q18" i="1" s="1"/>
  <c r="AC20" i="1"/>
  <c r="M20" i="1" s="1"/>
  <c r="N20" i="1" s="1"/>
  <c r="AJ20" i="1"/>
  <c r="F16" i="3"/>
  <c r="H16" i="3" s="1"/>
  <c r="I16" i="3" s="1"/>
  <c r="N16" i="3" s="1"/>
  <c r="AK20" i="1"/>
  <c r="AD20" i="1"/>
  <c r="AL20" i="1"/>
  <c r="AH20" i="1"/>
  <c r="AE20" i="1"/>
  <c r="AG20" i="1"/>
  <c r="AO20" i="1"/>
  <c r="AP20" i="1"/>
  <c r="AM20" i="1"/>
  <c r="AI20" i="1"/>
  <c r="AF20" i="1"/>
  <c r="H36" i="6"/>
  <c r="H16" i="6"/>
  <c r="I14" i="6"/>
  <c r="I27" i="6"/>
  <c r="H13" i="6"/>
  <c r="L13" i="6" s="1"/>
  <c r="H12" i="6"/>
  <c r="L12" i="6" s="1"/>
  <c r="H18" i="6"/>
  <c r="H17" i="6"/>
  <c r="H22" i="6"/>
  <c r="H39" i="6"/>
  <c r="H8" i="6"/>
  <c r="L8" i="6" s="1"/>
  <c r="I16" i="6"/>
  <c r="H4" i="6"/>
  <c r="L4" i="6" s="1"/>
  <c r="I21" i="6"/>
  <c r="I17" i="6"/>
  <c r="H26" i="6"/>
  <c r="I6" i="6"/>
  <c r="N6" i="6" s="1"/>
  <c r="H5" i="6"/>
  <c r="L5" i="6" s="1"/>
  <c r="I30" i="6"/>
  <c r="H15" i="6"/>
  <c r="I34" i="6"/>
  <c r="I24" i="6"/>
  <c r="H34" i="6"/>
  <c r="I18" i="6"/>
  <c r="H38" i="6"/>
  <c r="I25" i="6"/>
  <c r="I29" i="6"/>
  <c r="H9" i="6"/>
  <c r="I10" i="6"/>
  <c r="I22" i="6"/>
  <c r="I26" i="6"/>
  <c r="I23" i="6"/>
  <c r="H7" i="6"/>
  <c r="I9" i="6"/>
  <c r="I39" i="6"/>
  <c r="F42" i="6"/>
  <c r="H11" i="6"/>
  <c r="L11" i="6" s="1"/>
  <c r="I13" i="6"/>
  <c r="N13" i="6" s="1"/>
  <c r="H29" i="6"/>
  <c r="H24" i="6"/>
  <c r="H30" i="6"/>
  <c r="H28" i="6"/>
  <c r="I19" i="6"/>
  <c r="H25" i="6"/>
  <c r="I5" i="6"/>
  <c r="N5" i="6" s="1"/>
  <c r="I28" i="6"/>
  <c r="H23" i="6"/>
  <c r="H31" i="6"/>
  <c r="H32" i="6"/>
  <c r="H35" i="6"/>
  <c r="I8" i="6"/>
  <c r="N8" i="6" s="1"/>
  <c r="H10" i="6"/>
  <c r="H19" i="6"/>
  <c r="I32" i="6"/>
  <c r="I15" i="6"/>
  <c r="I37" i="6"/>
  <c r="H14" i="6"/>
  <c r="I12" i="6"/>
  <c r="N12" i="6" s="1"/>
  <c r="H21" i="6"/>
  <c r="I31" i="6"/>
  <c r="H27" i="6"/>
  <c r="I20" i="6"/>
  <c r="I35" i="6"/>
  <c r="H6" i="6"/>
  <c r="L6" i="6" s="1"/>
  <c r="I11" i="6"/>
  <c r="N11" i="6" s="1"/>
  <c r="H37" i="6"/>
  <c r="I38" i="6"/>
  <c r="H20" i="6"/>
  <c r="I36" i="6"/>
  <c r="I7" i="6"/>
  <c r="I4" i="6"/>
  <c r="N4" i="6" s="1"/>
  <c r="G40" i="6"/>
  <c r="I40" i="6"/>
  <c r="H40" i="6"/>
  <c r="K40" i="6"/>
  <c r="F96" i="6"/>
  <c r="R10" i="3"/>
  <c r="G62" i="6"/>
  <c r="W10" i="3"/>
  <c r="W14" i="1"/>
  <c r="G105" i="6"/>
  <c r="G82" i="6"/>
  <c r="G58" i="6"/>
  <c r="K16" i="3"/>
  <c r="M16" i="3" s="1"/>
  <c r="G60" i="6"/>
  <c r="C186" i="6"/>
  <c r="E14" i="3"/>
  <c r="M14" i="6"/>
  <c r="B188" i="6"/>
  <c r="U16" i="1"/>
  <c r="F66" i="6"/>
  <c r="X8" i="3"/>
  <c r="J41" i="6" l="1"/>
  <c r="J42" i="6" s="1"/>
  <c r="P18" i="1"/>
  <c r="AE24" i="1"/>
  <c r="B189" i="6"/>
  <c r="T15" i="1"/>
  <c r="C13" i="3" s="1"/>
  <c r="P13" i="3" s="1"/>
  <c r="K42" i="6"/>
  <c r="H42" i="6"/>
  <c r="G42" i="6"/>
  <c r="I42" i="6"/>
  <c r="AK24" i="1"/>
  <c r="S18" i="1"/>
  <c r="R18" i="1"/>
  <c r="B222" i="6" s="1"/>
  <c r="V18" i="1"/>
  <c r="F84" i="6"/>
  <c r="AA8" i="3"/>
  <c r="Z8" i="3"/>
  <c r="F89" i="6" s="1"/>
  <c r="Y8" i="3"/>
  <c r="F87" i="6" s="1"/>
  <c r="G66" i="6"/>
  <c r="N14" i="6"/>
  <c r="L14" i="6"/>
  <c r="D222" i="6"/>
  <c r="D15" i="3"/>
  <c r="V12" i="3"/>
  <c r="F136" i="6" s="1"/>
  <c r="G136" i="6" s="1"/>
  <c r="X14" i="1"/>
  <c r="W25" i="1" s="1"/>
  <c r="M15" i="6"/>
  <c r="F108" i="6"/>
  <c r="Q12" i="3"/>
  <c r="F98" i="6"/>
  <c r="S10" i="3"/>
  <c r="F100" i="6" s="1"/>
  <c r="U10" i="3"/>
  <c r="T10" i="3"/>
  <c r="F101" i="6" s="1"/>
  <c r="G96" i="6"/>
  <c r="J43" i="6" l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AC24" i="1"/>
  <c r="O20" i="1"/>
  <c r="Q20" i="1" s="1"/>
  <c r="AP24" i="1"/>
  <c r="AO24" i="1"/>
  <c r="F18" i="3"/>
  <c r="H18" i="3" s="1"/>
  <c r="I18" i="3" s="1"/>
  <c r="N18" i="3" s="1"/>
  <c r="AM24" i="1"/>
  <c r="AH24" i="1"/>
  <c r="AG24" i="1"/>
  <c r="AL24" i="1"/>
  <c r="AN24" i="1"/>
  <c r="AB24" i="1"/>
  <c r="AD24" i="1"/>
  <c r="AF24" i="1"/>
  <c r="AJ24" i="1"/>
  <c r="AI24" i="1"/>
  <c r="W12" i="3"/>
  <c r="W16" i="1"/>
  <c r="F123" i="6"/>
  <c r="R12" i="3"/>
  <c r="S12" i="3" s="1"/>
  <c r="G87" i="6"/>
  <c r="G101" i="6"/>
  <c r="G108" i="6"/>
  <c r="G89" i="6"/>
  <c r="F91" i="6"/>
  <c r="AB8" i="3"/>
  <c r="F104" i="6"/>
  <c r="X10" i="3"/>
  <c r="G100" i="6"/>
  <c r="M16" i="6"/>
  <c r="G84" i="6"/>
  <c r="C222" i="6"/>
  <c r="E16" i="3"/>
  <c r="G98" i="6"/>
  <c r="N15" i="6"/>
  <c r="L15" i="6"/>
  <c r="B223" i="6"/>
  <c r="U18" i="1"/>
  <c r="J85" i="6" l="1"/>
  <c r="J86" i="6" s="1"/>
  <c r="J87" i="6" s="1"/>
  <c r="J88" i="6" s="1"/>
  <c r="J89" i="6" s="1"/>
  <c r="J90" i="6" s="1"/>
  <c r="J91" i="6" s="1"/>
  <c r="P20" i="1"/>
  <c r="K18" i="3"/>
  <c r="M18" i="3" s="1"/>
  <c r="D19" i="3" s="1"/>
  <c r="C221" i="6"/>
  <c r="T17" i="1"/>
  <c r="C15" i="3" s="1"/>
  <c r="P15" i="3" s="1"/>
  <c r="H41" i="6"/>
  <c r="I41" i="6"/>
  <c r="H46" i="6"/>
  <c r="I46" i="6"/>
  <c r="H33" i="6"/>
  <c r="I33" i="6"/>
  <c r="N16" i="6"/>
  <c r="L16" i="6"/>
  <c r="C253" i="6"/>
  <c r="M18" i="6"/>
  <c r="H89" i="6"/>
  <c r="H87" i="6"/>
  <c r="G104" i="6"/>
  <c r="I89" i="6"/>
  <c r="I87" i="6"/>
  <c r="F126" i="6"/>
  <c r="U12" i="3"/>
  <c r="T12" i="3"/>
  <c r="F131" i="6" s="1"/>
  <c r="G131" i="6" s="1"/>
  <c r="F129" i="6"/>
  <c r="G129" i="6" s="1"/>
  <c r="H84" i="6"/>
  <c r="G91" i="6"/>
  <c r="I91" i="6"/>
  <c r="H91" i="6"/>
  <c r="S20" i="1"/>
  <c r="R20" i="1"/>
  <c r="B251" i="6" s="1"/>
  <c r="V20" i="1"/>
  <c r="E18" i="3" s="1"/>
  <c r="G123" i="6"/>
  <c r="V14" i="3"/>
  <c r="F185" i="6" s="1"/>
  <c r="X16" i="1"/>
  <c r="F93" i="6"/>
  <c r="I64" i="6"/>
  <c r="H47" i="6"/>
  <c r="I47" i="6"/>
  <c r="H64" i="6"/>
  <c r="H44" i="6"/>
  <c r="I43" i="6"/>
  <c r="I45" i="6"/>
  <c r="I48" i="6"/>
  <c r="H52" i="6"/>
  <c r="H43" i="6"/>
  <c r="I44" i="6"/>
  <c r="H48" i="6"/>
  <c r="H45" i="6"/>
  <c r="I52" i="6"/>
  <c r="I57" i="6"/>
  <c r="H57" i="6"/>
  <c r="H58" i="6"/>
  <c r="I58" i="6"/>
  <c r="I62" i="6"/>
  <c r="H62" i="6"/>
  <c r="H60" i="6"/>
  <c r="I60" i="6"/>
  <c r="I66" i="6"/>
  <c r="H66" i="6"/>
  <c r="I84" i="6"/>
  <c r="F107" i="6"/>
  <c r="AA10" i="3"/>
  <c r="Z10" i="3"/>
  <c r="F113" i="6" s="1"/>
  <c r="Y10" i="3"/>
  <c r="F111" i="6" s="1"/>
  <c r="F144" i="6"/>
  <c r="G144" i="6" s="1"/>
  <c r="Q14" i="3"/>
  <c r="G185" i="6" l="1"/>
  <c r="K88" i="6"/>
  <c r="K29" i="6"/>
  <c r="K57" i="6"/>
  <c r="K10" i="6"/>
  <c r="M10" i="6" s="1"/>
  <c r="K137" i="6"/>
  <c r="D17" i="3"/>
  <c r="J92" i="6"/>
  <c r="J93" i="6" s="1"/>
  <c r="F135" i="6"/>
  <c r="G135" i="6" s="1"/>
  <c r="X12" i="3"/>
  <c r="C250" i="6"/>
  <c r="G126" i="6"/>
  <c r="G93" i="6"/>
  <c r="I93" i="6"/>
  <c r="H93" i="6"/>
  <c r="N18" i="6"/>
  <c r="L18" i="6"/>
  <c r="G107" i="6"/>
  <c r="F175" i="6"/>
  <c r="R14" i="3"/>
  <c r="G111" i="6"/>
  <c r="W14" i="3"/>
  <c r="Q16" i="3" s="1"/>
  <c r="R16" i="3" s="1"/>
  <c r="W18" i="1"/>
  <c r="B252" i="6"/>
  <c r="U20" i="1"/>
  <c r="T21" i="1" s="1"/>
  <c r="C19" i="3" s="1"/>
  <c r="P19" i="3" s="1"/>
  <c r="M17" i="6"/>
  <c r="K185" i="6"/>
  <c r="G113" i="6"/>
  <c r="F115" i="6"/>
  <c r="AB10" i="3"/>
  <c r="N10" i="6" l="1"/>
  <c r="L10" i="6"/>
  <c r="G175" i="6"/>
  <c r="J94" i="6"/>
  <c r="J95" i="6" s="1"/>
  <c r="J96" i="6" s="1"/>
  <c r="J97" i="6" s="1"/>
  <c r="J98" i="6" s="1"/>
  <c r="J99" i="6" s="1"/>
  <c r="J100" i="6" s="1"/>
  <c r="J101" i="6" s="1"/>
  <c r="J102" i="6" s="1"/>
  <c r="J103" i="6" s="1"/>
  <c r="J104" i="6" s="1"/>
  <c r="J105" i="6" s="1"/>
  <c r="J106" i="6" s="1"/>
  <c r="J107" i="6" s="1"/>
  <c r="J108" i="6" s="1"/>
  <c r="J109" i="6" s="1"/>
  <c r="J110" i="6" s="1"/>
  <c r="J111" i="6" s="1"/>
  <c r="J112" i="6" s="1"/>
  <c r="J113" i="6" s="1"/>
  <c r="J114" i="6" s="1"/>
  <c r="J115" i="6" s="1"/>
  <c r="T16" i="3"/>
  <c r="U16" i="3"/>
  <c r="B253" i="6"/>
  <c r="T19" i="1"/>
  <c r="C17" i="3" s="1"/>
  <c r="P17" i="3" s="1"/>
  <c r="I82" i="6"/>
  <c r="H82" i="6"/>
  <c r="H49" i="6"/>
  <c r="H50" i="6"/>
  <c r="H51" i="6"/>
  <c r="I53" i="6"/>
  <c r="I49" i="6"/>
  <c r="H53" i="6"/>
  <c r="I50" i="6"/>
  <c r="I51" i="6"/>
  <c r="F116" i="6"/>
  <c r="I100" i="6"/>
  <c r="I98" i="6"/>
  <c r="H108" i="6"/>
  <c r="H104" i="6"/>
  <c r="I96" i="6"/>
  <c r="H96" i="6"/>
  <c r="H98" i="6"/>
  <c r="H105" i="6"/>
  <c r="I108" i="6"/>
  <c r="H101" i="6"/>
  <c r="H100" i="6"/>
  <c r="I105" i="6"/>
  <c r="I104" i="6"/>
  <c r="I101" i="6"/>
  <c r="V16" i="3"/>
  <c r="F220" i="6" s="1"/>
  <c r="X18" i="1"/>
  <c r="K175" i="6"/>
  <c r="F148" i="6"/>
  <c r="V23" i="3"/>
  <c r="I113" i="6"/>
  <c r="F196" i="6"/>
  <c r="F177" i="6"/>
  <c r="U14" i="3"/>
  <c r="T14" i="3"/>
  <c r="F182" i="6" s="1"/>
  <c r="S14" i="3"/>
  <c r="F179" i="6" s="1"/>
  <c r="G179" i="6" s="1"/>
  <c r="H113" i="6"/>
  <c r="F143" i="6"/>
  <c r="G143" i="6" s="1"/>
  <c r="Z12" i="3"/>
  <c r="F150" i="6" s="1"/>
  <c r="G150" i="6" s="1"/>
  <c r="Y12" i="3"/>
  <c r="F147" i="6" s="1"/>
  <c r="G147" i="6" s="1"/>
  <c r="AA12" i="3"/>
  <c r="G115" i="6"/>
  <c r="I115" i="6"/>
  <c r="H115" i="6"/>
  <c r="N17" i="6"/>
  <c r="L17" i="6"/>
  <c r="H111" i="6"/>
  <c r="I107" i="6"/>
  <c r="I111" i="6"/>
  <c r="H107" i="6"/>
  <c r="G177" i="6" l="1"/>
  <c r="G220" i="6"/>
  <c r="K123" i="6"/>
  <c r="G196" i="6"/>
  <c r="K72" i="6"/>
  <c r="K68" i="6"/>
  <c r="K99" i="6"/>
  <c r="K80" i="6"/>
  <c r="K21" i="6"/>
  <c r="M21" i="6" s="1"/>
  <c r="G182" i="6"/>
  <c r="K26" i="6"/>
  <c r="K7" i="6"/>
  <c r="M7" i="6" s="1"/>
  <c r="K134" i="6"/>
  <c r="K54" i="6"/>
  <c r="K85" i="6"/>
  <c r="G148" i="6"/>
  <c r="J116" i="6"/>
  <c r="F152" i="6"/>
  <c r="G152" i="6" s="1"/>
  <c r="AB12" i="3"/>
  <c r="K179" i="6"/>
  <c r="W16" i="3"/>
  <c r="Q18" i="3" s="1"/>
  <c r="R18" i="3" s="1"/>
  <c r="W20" i="1"/>
  <c r="V18" i="3" s="1"/>
  <c r="K220" i="6"/>
  <c r="K182" i="6"/>
  <c r="M19" i="6"/>
  <c r="F184" i="6"/>
  <c r="X14" i="3"/>
  <c r="K196" i="6"/>
  <c r="F210" i="6"/>
  <c r="K177" i="6"/>
  <c r="K150" i="6"/>
  <c r="N21" i="6"/>
  <c r="L21" i="6"/>
  <c r="G116" i="6"/>
  <c r="H116" i="6"/>
  <c r="I116" i="6"/>
  <c r="I143" i="6" l="1"/>
  <c r="G184" i="6"/>
  <c r="K136" i="6"/>
  <c r="K56" i="6"/>
  <c r="K28" i="6"/>
  <c r="K87" i="6"/>
  <c r="K9" i="6"/>
  <c r="M9" i="6" s="1"/>
  <c r="L7" i="6"/>
  <c r="N7" i="6"/>
  <c r="G210" i="6"/>
  <c r="K113" i="6"/>
  <c r="J117" i="6"/>
  <c r="J118" i="6" s="1"/>
  <c r="J119" i="6" s="1"/>
  <c r="J120" i="6" s="1"/>
  <c r="J121" i="6" s="1"/>
  <c r="J122" i="6" s="1"/>
  <c r="J123" i="6" s="1"/>
  <c r="J124" i="6" s="1"/>
  <c r="J125" i="6" s="1"/>
  <c r="J126" i="6" s="1"/>
  <c r="J127" i="6" s="1"/>
  <c r="J128" i="6" s="1"/>
  <c r="J129" i="6" s="1"/>
  <c r="J130" i="6" s="1"/>
  <c r="J131" i="6" s="1"/>
  <c r="J132" i="6" s="1"/>
  <c r="J133" i="6" s="1"/>
  <c r="J134" i="6" s="1"/>
  <c r="J135" i="6" s="1"/>
  <c r="J136" i="6" s="1"/>
  <c r="J137" i="6" s="1"/>
  <c r="J138" i="6" s="1"/>
  <c r="J139" i="6" s="1"/>
  <c r="J140" i="6" s="1"/>
  <c r="J141" i="6" s="1"/>
  <c r="J142" i="6" s="1"/>
  <c r="J143" i="6" s="1"/>
  <c r="J144" i="6" s="1"/>
  <c r="J145" i="6" s="1"/>
  <c r="J146" i="6" s="1"/>
  <c r="J147" i="6" s="1"/>
  <c r="J148" i="6" s="1"/>
  <c r="J149" i="6" s="1"/>
  <c r="J150" i="6" s="1"/>
  <c r="J151" i="6" s="1"/>
  <c r="J152" i="6" s="1"/>
  <c r="J153" i="6" s="1"/>
  <c r="U18" i="3"/>
  <c r="X18" i="3" s="1"/>
  <c r="T18" i="3"/>
  <c r="S18" i="3"/>
  <c r="H147" i="6"/>
  <c r="H143" i="6"/>
  <c r="I147" i="6"/>
  <c r="H150" i="6"/>
  <c r="I150" i="6"/>
  <c r="F212" i="6"/>
  <c r="F216" i="6"/>
  <c r="S16" i="3"/>
  <c r="F214" i="6" s="1"/>
  <c r="F154" i="6"/>
  <c r="I131" i="6"/>
  <c r="H131" i="6"/>
  <c r="I126" i="6"/>
  <c r="I136" i="6"/>
  <c r="H129" i="6"/>
  <c r="H136" i="6"/>
  <c r="H123" i="6"/>
  <c r="I123" i="6"/>
  <c r="H126" i="6"/>
  <c r="I135" i="6"/>
  <c r="H135" i="6"/>
  <c r="I129" i="6"/>
  <c r="H152" i="6"/>
  <c r="I152" i="6"/>
  <c r="K152" i="6"/>
  <c r="K184" i="6"/>
  <c r="M23" i="6"/>
  <c r="N19" i="6"/>
  <c r="L19" i="6"/>
  <c r="F249" i="6"/>
  <c r="G249" i="6" s="1"/>
  <c r="X20" i="1"/>
  <c r="W18" i="3" s="1"/>
  <c r="Q20" i="3" s="1"/>
  <c r="K210" i="6"/>
  <c r="F195" i="6"/>
  <c r="Y14" i="3"/>
  <c r="F200" i="6" s="1"/>
  <c r="AA14" i="3"/>
  <c r="Z14" i="3"/>
  <c r="F203" i="6" s="1"/>
  <c r="F228" i="6"/>
  <c r="R20" i="3" l="1"/>
  <c r="F270" i="6"/>
  <c r="K270" i="6" s="1"/>
  <c r="G212" i="6"/>
  <c r="K115" i="6"/>
  <c r="G216" i="6"/>
  <c r="K119" i="6"/>
  <c r="G203" i="6"/>
  <c r="H297" i="6"/>
  <c r="K106" i="6"/>
  <c r="G228" i="6"/>
  <c r="K131" i="6"/>
  <c r="J154" i="6"/>
  <c r="G154" i="6"/>
  <c r="I289" i="6"/>
  <c r="I301" i="6"/>
  <c r="N9" i="6"/>
  <c r="L9" i="6"/>
  <c r="G200" i="6"/>
  <c r="K103" i="6"/>
  <c r="G195" i="6"/>
  <c r="K79" i="6"/>
  <c r="K98" i="6"/>
  <c r="K67" i="6"/>
  <c r="K20" i="6"/>
  <c r="K71" i="6"/>
  <c r="K147" i="6"/>
  <c r="G214" i="6"/>
  <c r="K117" i="6"/>
  <c r="Z18" i="3"/>
  <c r="Y18" i="3"/>
  <c r="AA18" i="3"/>
  <c r="AB18" i="3" s="1"/>
  <c r="W22" i="1"/>
  <c r="M20" i="6"/>
  <c r="F240" i="6"/>
  <c r="G240" i="6" s="1"/>
  <c r="K214" i="6"/>
  <c r="K249" i="6"/>
  <c r="K216" i="6"/>
  <c r="K200" i="6"/>
  <c r="K228" i="6"/>
  <c r="K203" i="6"/>
  <c r="F219" i="6"/>
  <c r="X16" i="3"/>
  <c r="K212" i="6"/>
  <c r="F206" i="6"/>
  <c r="AB14" i="3"/>
  <c r="K195" i="6"/>
  <c r="N23" i="6"/>
  <c r="L23" i="6"/>
  <c r="H154" i="6"/>
  <c r="I154" i="6"/>
  <c r="K154" i="6"/>
  <c r="I203" i="6" l="1"/>
  <c r="I292" i="6"/>
  <c r="H290" i="6"/>
  <c r="I299" i="6"/>
  <c r="I300" i="6"/>
  <c r="I295" i="6"/>
  <c r="H266" i="6"/>
  <c r="H291" i="6"/>
  <c r="I291" i="6"/>
  <c r="H268" i="6"/>
  <c r="H299" i="6"/>
  <c r="I298" i="6"/>
  <c r="H298" i="6"/>
  <c r="I290" i="6"/>
  <c r="I294" i="6"/>
  <c r="H265" i="6"/>
  <c r="H293" i="6"/>
  <c r="H301" i="6"/>
  <c r="I293" i="6"/>
  <c r="I296" i="6"/>
  <c r="I297" i="6"/>
  <c r="I177" i="6"/>
  <c r="J155" i="6"/>
  <c r="J156" i="6" s="1"/>
  <c r="J157" i="6" s="1"/>
  <c r="G206" i="6"/>
  <c r="H292" i="6"/>
  <c r="H300" i="6"/>
  <c r="H267" i="6"/>
  <c r="K109" i="6"/>
  <c r="G219" i="6"/>
  <c r="K122" i="6"/>
  <c r="X22" i="1"/>
  <c r="V20" i="3"/>
  <c r="F278" i="6" s="1"/>
  <c r="K278" i="6" s="1"/>
  <c r="H289" i="6"/>
  <c r="T20" i="3"/>
  <c r="F272" i="6"/>
  <c r="K272" i="6" s="1"/>
  <c r="S20" i="3"/>
  <c r="F274" i="6" s="1"/>
  <c r="K274" i="6" s="1"/>
  <c r="U20" i="3"/>
  <c r="X20" i="3" s="1"/>
  <c r="H195" i="6"/>
  <c r="H203" i="6"/>
  <c r="I144" i="6"/>
  <c r="H144" i="6"/>
  <c r="I200" i="6"/>
  <c r="I195" i="6"/>
  <c r="M22" i="6"/>
  <c r="H200" i="6"/>
  <c r="N20" i="6"/>
  <c r="L20" i="6"/>
  <c r="I206" i="6"/>
  <c r="H206" i="6"/>
  <c r="K206" i="6"/>
  <c r="F227" i="6"/>
  <c r="AA16" i="3"/>
  <c r="Z16" i="3"/>
  <c r="F233" i="6" s="1"/>
  <c r="G233" i="6" s="1"/>
  <c r="Y16" i="3"/>
  <c r="F231" i="6" s="1"/>
  <c r="G231" i="6" s="1"/>
  <c r="F254" i="6"/>
  <c r="G254" i="6" s="1"/>
  <c r="F242" i="6"/>
  <c r="G242" i="6" s="1"/>
  <c r="F246" i="6"/>
  <c r="G246" i="6" s="1"/>
  <c r="F244" i="6"/>
  <c r="G244" i="6" s="1"/>
  <c r="K219" i="6"/>
  <c r="F208" i="6"/>
  <c r="H179" i="6"/>
  <c r="H177" i="6"/>
  <c r="I179" i="6"/>
  <c r="H182" i="6"/>
  <c r="I182" i="6"/>
  <c r="I185" i="6"/>
  <c r="H184" i="6"/>
  <c r="I184" i="6"/>
  <c r="H185" i="6"/>
  <c r="H175" i="6"/>
  <c r="I175" i="6"/>
  <c r="K240" i="6"/>
  <c r="J158" i="6" l="1"/>
  <c r="J159" i="6" s="1"/>
  <c r="J160" i="6" s="1"/>
  <c r="J161" i="6" s="1"/>
  <c r="J162" i="6" s="1"/>
  <c r="J163" i="6" s="1"/>
  <c r="J164" i="6" s="1"/>
  <c r="J165" i="6" s="1"/>
  <c r="M157" i="6"/>
  <c r="G227" i="6"/>
  <c r="K130" i="6"/>
  <c r="Z20" i="3"/>
  <c r="F285" i="6" s="1"/>
  <c r="K285" i="6" s="1"/>
  <c r="AA20" i="3"/>
  <c r="Y20" i="3"/>
  <c r="F284" i="6" s="1"/>
  <c r="K284" i="6" s="1"/>
  <c r="W24" i="1"/>
  <c r="V22" i="3" s="1"/>
  <c r="F301" i="6" s="1"/>
  <c r="K301" i="6" s="1"/>
  <c r="W20" i="3"/>
  <c r="F281" i="6" s="1"/>
  <c r="K281" i="6" s="1"/>
  <c r="G208" i="6"/>
  <c r="H269" i="6"/>
  <c r="H294" i="6"/>
  <c r="K111" i="6"/>
  <c r="J166" i="6"/>
  <c r="J167" i="6" s="1"/>
  <c r="J168" i="6" s="1"/>
  <c r="J169" i="6" s="1"/>
  <c r="J170" i="6" s="1"/>
  <c r="J171" i="6" s="1"/>
  <c r="J172" i="6" s="1"/>
  <c r="J173" i="6" s="1"/>
  <c r="J174" i="6" s="1"/>
  <c r="J175" i="6" s="1"/>
  <c r="J176" i="6" s="1"/>
  <c r="J177" i="6" s="1"/>
  <c r="J178" i="6" s="1"/>
  <c r="J179" i="6" s="1"/>
  <c r="J180" i="6" s="1"/>
  <c r="J181" i="6" s="1"/>
  <c r="J182" i="6" s="1"/>
  <c r="J183" i="6" s="1"/>
  <c r="J184" i="6" s="1"/>
  <c r="J185" i="6" s="1"/>
  <c r="J186" i="6" s="1"/>
  <c r="J187" i="6" s="1"/>
  <c r="J188" i="6" s="1"/>
  <c r="J189" i="6" s="1"/>
  <c r="K244" i="6"/>
  <c r="H208" i="6"/>
  <c r="I208" i="6"/>
  <c r="K208" i="6"/>
  <c r="K246" i="6"/>
  <c r="F248" i="6"/>
  <c r="G248" i="6" s="1"/>
  <c r="K242" i="6"/>
  <c r="K231" i="6"/>
  <c r="K233" i="6"/>
  <c r="K254" i="6"/>
  <c r="F235" i="6"/>
  <c r="G235" i="6" s="1"/>
  <c r="AB16" i="3"/>
  <c r="M24" i="6"/>
  <c r="K227" i="6"/>
  <c r="N22" i="6"/>
  <c r="L22" i="6"/>
  <c r="AB20" i="3" l="1"/>
  <c r="F289" i="6" s="1"/>
  <c r="K289" i="6" s="1"/>
  <c r="F287" i="6"/>
  <c r="K287" i="6" s="1"/>
  <c r="F237" i="6"/>
  <c r="G237" i="6" s="1"/>
  <c r="I269" i="6"/>
  <c r="I266" i="6"/>
  <c r="H270" i="6"/>
  <c r="H296" i="6"/>
  <c r="H213" i="6"/>
  <c r="I267" i="6"/>
  <c r="H211" i="6"/>
  <c r="H295" i="6"/>
  <c r="H237" i="6"/>
  <c r="K237" i="6"/>
  <c r="I237" i="6"/>
  <c r="H227" i="6"/>
  <c r="I196" i="6"/>
  <c r="H196" i="6"/>
  <c r="F253" i="6"/>
  <c r="G253" i="6" s="1"/>
  <c r="F259" i="6"/>
  <c r="I265" i="6" s="1"/>
  <c r="F257" i="6"/>
  <c r="K248" i="6"/>
  <c r="I216" i="6"/>
  <c r="I212" i="6"/>
  <c r="I214" i="6"/>
  <c r="H210" i="6"/>
  <c r="H214" i="6"/>
  <c r="H148" i="6"/>
  <c r="H216" i="6"/>
  <c r="H212" i="6"/>
  <c r="H219" i="6"/>
  <c r="I219" i="6"/>
  <c r="I148" i="6"/>
  <c r="I210" i="6"/>
  <c r="M27" i="6"/>
  <c r="N24" i="6"/>
  <c r="L24" i="6"/>
  <c r="I233" i="6"/>
  <c r="H233" i="6"/>
  <c r="I227" i="6"/>
  <c r="H235" i="6"/>
  <c r="I235" i="6"/>
  <c r="K235" i="6"/>
  <c r="I231" i="6"/>
  <c r="H231" i="6"/>
  <c r="K257" i="6" l="1"/>
  <c r="K259" i="6"/>
  <c r="M25" i="6"/>
  <c r="N27" i="6"/>
  <c r="L27" i="6"/>
  <c r="F262" i="6"/>
  <c r="I268" i="6" s="1"/>
  <c r="H253" i="6"/>
  <c r="K253" i="6"/>
  <c r="H220" i="6" l="1"/>
  <c r="I228" i="6"/>
  <c r="I220" i="6"/>
  <c r="H228" i="6"/>
  <c r="H257" i="6"/>
  <c r="H259" i="6"/>
  <c r="I257" i="6"/>
  <c r="F264" i="6"/>
  <c r="I270" i="6" s="1"/>
  <c r="H248" i="6"/>
  <c r="I240" i="6"/>
  <c r="I242" i="6"/>
  <c r="H244" i="6"/>
  <c r="I246" i="6"/>
  <c r="I248" i="6"/>
  <c r="H240" i="6"/>
  <c r="H242" i="6"/>
  <c r="I244" i="6"/>
  <c r="H246" i="6"/>
  <c r="I259" i="6"/>
  <c r="I262" i="6"/>
  <c r="H262" i="6"/>
  <c r="K262" i="6"/>
  <c r="M26" i="6"/>
  <c r="I253" i="6"/>
  <c r="N25" i="6"/>
  <c r="L25" i="6"/>
  <c r="M28" i="6" l="1"/>
  <c r="L26" i="6"/>
  <c r="N26" i="6"/>
  <c r="H264" i="6"/>
  <c r="I264" i="6"/>
  <c r="K264" i="6"/>
  <c r="I249" i="6" l="1"/>
  <c r="H254" i="6"/>
  <c r="I254" i="6"/>
  <c r="H249" i="6"/>
  <c r="M29" i="6"/>
  <c r="N28" i="6"/>
  <c r="L28" i="6"/>
  <c r="M30" i="6" l="1"/>
  <c r="N29" i="6"/>
  <c r="L29" i="6"/>
  <c r="M31" i="6" l="1"/>
  <c r="N30" i="6"/>
  <c r="L30" i="6"/>
  <c r="M34" i="6" l="1"/>
  <c r="L31" i="6"/>
  <c r="N31" i="6"/>
  <c r="H166" i="6" l="1"/>
  <c r="I76" i="6"/>
  <c r="I168" i="6"/>
  <c r="H170" i="6"/>
  <c r="H56" i="6"/>
  <c r="H168" i="6"/>
  <c r="I250" i="6"/>
  <c r="H188" i="6"/>
  <c r="H180" i="6"/>
  <c r="I72" i="6"/>
  <c r="H117" i="6"/>
  <c r="H54" i="6"/>
  <c r="H125" i="6"/>
  <c r="I83" i="6"/>
  <c r="I102" i="6"/>
  <c r="I127" i="6"/>
  <c r="H76" i="6"/>
  <c r="I189" i="6"/>
  <c r="I86" i="6"/>
  <c r="I61" i="6"/>
  <c r="H199" i="6"/>
  <c r="I149" i="6"/>
  <c r="I145" i="6"/>
  <c r="H138" i="6"/>
  <c r="H112" i="6"/>
  <c r="I68" i="6"/>
  <c r="I79" i="6"/>
  <c r="H106" i="6"/>
  <c r="I186" i="6"/>
  <c r="H63" i="6"/>
  <c r="I158" i="6"/>
  <c r="H69" i="6"/>
  <c r="H86" i="6"/>
  <c r="I73" i="6"/>
  <c r="H160" i="6"/>
  <c r="H114" i="6"/>
  <c r="H157" i="6"/>
  <c r="I59" i="6"/>
  <c r="I199" i="6"/>
  <c r="I75" i="6"/>
  <c r="I124" i="6"/>
  <c r="I85" i="6"/>
  <c r="I205" i="6"/>
  <c r="I139" i="6"/>
  <c r="H75" i="6"/>
  <c r="I112" i="6"/>
  <c r="I81" i="6"/>
  <c r="H181" i="6"/>
  <c r="I97" i="6"/>
  <c r="H109" i="6"/>
  <c r="H162" i="6"/>
  <c r="I63" i="6"/>
  <c r="I137" i="6"/>
  <c r="H221" i="6"/>
  <c r="I223" i="6"/>
  <c r="I229" i="6"/>
  <c r="H99" i="6"/>
  <c r="I56" i="6"/>
  <c r="H118" i="6"/>
  <c r="H186" i="6"/>
  <c r="I122" i="6"/>
  <c r="I67" i="6"/>
  <c r="I88" i="6"/>
  <c r="H74" i="6"/>
  <c r="I146" i="6"/>
  <c r="H79" i="6"/>
  <c r="H133" i="6"/>
  <c r="I90" i="6"/>
  <c r="I114" i="6"/>
  <c r="H102" i="6"/>
  <c r="H176" i="6"/>
  <c r="I260" i="6"/>
  <c r="H73" i="6"/>
  <c r="I178" i="6"/>
  <c r="H197" i="6"/>
  <c r="H145" i="6"/>
  <c r="I171" i="6"/>
  <c r="H127" i="6"/>
  <c r="H183" i="6"/>
  <c r="H174" i="6"/>
  <c r="H194" i="6"/>
  <c r="I192" i="6"/>
  <c r="H141" i="6"/>
  <c r="I110" i="6"/>
  <c r="H207" i="6"/>
  <c r="H215" i="6"/>
  <c r="I226" i="6"/>
  <c r="I222" i="6"/>
  <c r="I201" i="6"/>
  <c r="I162" i="6"/>
  <c r="H161" i="6"/>
  <c r="I187" i="6"/>
  <c r="H158" i="6"/>
  <c r="H120" i="6"/>
  <c r="I166" i="6"/>
  <c r="I157" i="6"/>
  <c r="H77" i="6"/>
  <c r="H83" i="6"/>
  <c r="H172" i="6"/>
  <c r="H61" i="6"/>
  <c r="H165" i="6"/>
  <c r="I173" i="6"/>
  <c r="I160" i="6"/>
  <c r="H153" i="6"/>
  <c r="I103" i="6"/>
  <c r="H128" i="6"/>
  <c r="H193" i="6"/>
  <c r="H255" i="6"/>
  <c r="H65" i="6"/>
  <c r="H55" i="6"/>
  <c r="H191" i="6"/>
  <c r="I163" i="6"/>
  <c r="I188" i="6"/>
  <c r="I198" i="6"/>
  <c r="I134" i="6"/>
  <c r="I230" i="6"/>
  <c r="H229" i="6"/>
  <c r="I232" i="6"/>
  <c r="H173" i="6"/>
  <c r="H209" i="6"/>
  <c r="H224" i="6"/>
  <c r="I106" i="6"/>
  <c r="H198" i="6"/>
  <c r="I181" i="6"/>
  <c r="I140" i="6"/>
  <c r="H68" i="6"/>
  <c r="H225" i="6"/>
  <c r="H222" i="6"/>
  <c r="H95" i="6"/>
  <c r="I117" i="6"/>
  <c r="I120" i="6"/>
  <c r="H192" i="6"/>
  <c r="H88" i="6"/>
  <c r="I170" i="6"/>
  <c r="H81" i="6"/>
  <c r="H142" i="6"/>
  <c r="H187" i="6"/>
  <c r="I194" i="6"/>
  <c r="H132" i="6"/>
  <c r="H121" i="6"/>
  <c r="I55" i="6"/>
  <c r="I119" i="6"/>
  <c r="H146" i="6"/>
  <c r="H163" i="6"/>
  <c r="I202" i="6"/>
  <c r="H205" i="6"/>
  <c r="I94" i="6"/>
  <c r="I132" i="6"/>
  <c r="H71" i="6"/>
  <c r="H122" i="6"/>
  <c r="I128" i="6"/>
  <c r="H90" i="6"/>
  <c r="I159" i="6"/>
  <c r="I80" i="6"/>
  <c r="I191" i="6"/>
  <c r="I211" i="6"/>
  <c r="I224" i="6"/>
  <c r="H217" i="6"/>
  <c r="H223" i="6"/>
  <c r="I217" i="6"/>
  <c r="H72" i="6"/>
  <c r="I225" i="6"/>
  <c r="H232" i="6"/>
  <c r="I118" i="6"/>
  <c r="H169" i="6"/>
  <c r="H167" i="6"/>
  <c r="I142" i="6"/>
  <c r="H155" i="6"/>
  <c r="I213" i="6"/>
  <c r="I121" i="6"/>
  <c r="I74" i="6"/>
  <c r="I180" i="6"/>
  <c r="I70" i="6"/>
  <c r="I54" i="6"/>
  <c r="I190" i="6"/>
  <c r="H130" i="6"/>
  <c r="I77" i="6"/>
  <c r="I197" i="6"/>
  <c r="I183" i="6"/>
  <c r="I161" i="6"/>
  <c r="H149" i="6"/>
  <c r="I153" i="6"/>
  <c r="I204" i="6"/>
  <c r="H78" i="6"/>
  <c r="H85" i="6"/>
  <c r="H201" i="6"/>
  <c r="H204" i="6"/>
  <c r="I169" i="6"/>
  <c r="H137" i="6"/>
  <c r="I141" i="6"/>
  <c r="H159" i="6"/>
  <c r="H103" i="6"/>
  <c r="I69" i="6"/>
  <c r="I151" i="6"/>
  <c r="H189" i="6"/>
  <c r="H230" i="6"/>
  <c r="H119" i="6"/>
  <c r="H156" i="6"/>
  <c r="I133" i="6"/>
  <c r="I176" i="6"/>
  <c r="H178" i="6"/>
  <c r="I221" i="6"/>
  <c r="H59" i="6"/>
  <c r="H67" i="6"/>
  <c r="I167" i="6"/>
  <c r="H151" i="6"/>
  <c r="I78" i="6"/>
  <c r="H140" i="6"/>
  <c r="H202" i="6"/>
  <c r="H190" i="6"/>
  <c r="I130" i="6"/>
  <c r="I255" i="6"/>
  <c r="H250" i="6"/>
  <c r="I109" i="6"/>
  <c r="H92" i="6"/>
  <c r="H110" i="6"/>
  <c r="I65" i="6"/>
  <c r="I193" i="6"/>
  <c r="I172" i="6"/>
  <c r="H139" i="6"/>
  <c r="H260" i="6"/>
  <c r="I155" i="6"/>
  <c r="I71" i="6"/>
  <c r="I138" i="6"/>
  <c r="H97" i="6"/>
  <c r="I99" i="6"/>
  <c r="H134" i="6"/>
  <c r="H94" i="6"/>
  <c r="I207" i="6"/>
  <c r="I209" i="6"/>
  <c r="I218" i="6"/>
  <c r="I215" i="6"/>
  <c r="I165" i="6"/>
  <c r="I92" i="6"/>
  <c r="H171" i="6"/>
  <c r="H124" i="6"/>
  <c r="H80" i="6"/>
  <c r="I156" i="6"/>
  <c r="I174" i="6"/>
  <c r="I95" i="6"/>
  <c r="H70" i="6"/>
  <c r="I125" i="6"/>
  <c r="H226" i="6"/>
  <c r="H218" i="6"/>
  <c r="H234" i="6"/>
  <c r="I261" i="6"/>
  <c r="I252" i="6"/>
  <c r="I247" i="6"/>
  <c r="H241" i="6"/>
  <c r="H258" i="6"/>
  <c r="H239" i="6"/>
  <c r="H261" i="6"/>
  <c r="H243" i="6"/>
  <c r="I243" i="6"/>
  <c r="I241" i="6"/>
  <c r="I258" i="6"/>
  <c r="I256" i="6"/>
  <c r="I263" i="6"/>
  <c r="H236" i="6"/>
  <c r="H252" i="6"/>
  <c r="I245" i="6"/>
  <c r="H256" i="6"/>
  <c r="H247" i="6"/>
  <c r="I236" i="6"/>
  <c r="I251" i="6"/>
  <c r="I239" i="6"/>
  <c r="H263" i="6"/>
  <c r="H245" i="6"/>
  <c r="H251" i="6"/>
  <c r="H238" i="6"/>
  <c r="I234" i="6"/>
  <c r="I238" i="6"/>
  <c r="L34" i="6"/>
  <c r="N34" i="6"/>
  <c r="M32" i="6"/>
  <c r="N32" i="6" l="1"/>
  <c r="L32" i="6"/>
  <c r="M33" i="6"/>
  <c r="N33" i="6" l="1"/>
  <c r="L33" i="6"/>
  <c r="M35" i="6"/>
  <c r="M36" i="6" l="1"/>
  <c r="N35" i="6"/>
  <c r="L35" i="6"/>
  <c r="M37" i="6" l="1"/>
  <c r="N36" i="6"/>
  <c r="L36" i="6"/>
  <c r="M38" i="6" l="1"/>
  <c r="N37" i="6"/>
  <c r="L37" i="6"/>
  <c r="M39" i="6" l="1"/>
  <c r="N38" i="6"/>
  <c r="L38" i="6"/>
  <c r="M40" i="6" l="1"/>
  <c r="N39" i="6"/>
  <c r="L39" i="6"/>
  <c r="L40" i="6" l="1"/>
  <c r="N40" i="6"/>
  <c r="M41" i="6"/>
  <c r="N41" i="6" l="1"/>
  <c r="L41" i="6"/>
  <c r="M46" i="6"/>
  <c r="M42" i="6" l="1"/>
  <c r="N46" i="6"/>
  <c r="L46" i="6"/>
  <c r="M43" i="6" l="1"/>
  <c r="N42" i="6"/>
  <c r="L42" i="6"/>
  <c r="M52" i="6" l="1"/>
  <c r="N43" i="6"/>
  <c r="L43" i="6"/>
  <c r="M44" i="6" l="1"/>
  <c r="L52" i="6"/>
  <c r="N52" i="6"/>
  <c r="M45" i="6" l="1"/>
  <c r="L44" i="6"/>
  <c r="N44" i="6"/>
  <c r="M47" i="6" l="1"/>
  <c r="L45" i="6"/>
  <c r="N45" i="6"/>
  <c r="M48" i="6" l="1"/>
  <c r="L47" i="6"/>
  <c r="N47" i="6"/>
  <c r="M49" i="6" l="1"/>
  <c r="L48" i="6"/>
  <c r="N48" i="6"/>
  <c r="M57" i="6" l="1"/>
  <c r="L49" i="6"/>
  <c r="N49" i="6"/>
  <c r="M50" i="6" l="1"/>
  <c r="L57" i="6"/>
  <c r="N57" i="6"/>
  <c r="N50" i="6" l="1"/>
  <c r="L50" i="6"/>
  <c r="M58" i="6"/>
  <c r="M60" i="6" l="1"/>
  <c r="N58" i="6"/>
  <c r="L58" i="6"/>
  <c r="M51" i="6" l="1"/>
  <c r="N60" i="6"/>
  <c r="L60" i="6"/>
  <c r="M62" i="6" l="1"/>
  <c r="N51" i="6"/>
  <c r="L51" i="6"/>
  <c r="M53" i="6" l="1"/>
  <c r="L62" i="6"/>
  <c r="N62" i="6"/>
  <c r="M54" i="6" l="1"/>
  <c r="L53" i="6"/>
  <c r="N53" i="6"/>
  <c r="M66" i="6" l="1"/>
  <c r="L54" i="6"/>
  <c r="N54" i="6"/>
  <c r="N66" i="6" l="1"/>
  <c r="L66" i="6"/>
  <c r="M64" i="6"/>
  <c r="N64" i="6" l="1"/>
  <c r="L64" i="6"/>
  <c r="M84" i="6"/>
  <c r="L84" i="6" l="1"/>
  <c r="N84" i="6"/>
  <c r="M82" i="6"/>
  <c r="N82" i="6" l="1"/>
  <c r="L82" i="6"/>
  <c r="M55" i="6"/>
  <c r="N55" i="6" l="1"/>
  <c r="L55" i="6"/>
  <c r="M56" i="6"/>
  <c r="M87" i="6" l="1"/>
  <c r="L56" i="6"/>
  <c r="N56" i="6"/>
  <c r="N87" i="6" l="1"/>
  <c r="L87" i="6"/>
  <c r="M89" i="6"/>
  <c r="M59" i="6" l="1"/>
  <c r="N89" i="6"/>
  <c r="L89" i="6"/>
  <c r="M91" i="6" l="1"/>
  <c r="N59" i="6"/>
  <c r="L59" i="6"/>
  <c r="M61" i="6" l="1"/>
  <c r="L91" i="6"/>
  <c r="N91" i="6"/>
  <c r="L61" i="6" l="1"/>
  <c r="N61" i="6"/>
  <c r="M93" i="6"/>
  <c r="N93" i="6" l="1"/>
  <c r="L93" i="6"/>
  <c r="M63" i="6"/>
  <c r="N63" i="6" l="1"/>
  <c r="L63" i="6"/>
  <c r="M72" i="6"/>
  <c r="N72" i="6" l="1"/>
  <c r="L72" i="6"/>
  <c r="M65" i="6"/>
  <c r="N65" i="6" l="1"/>
  <c r="L65" i="6"/>
  <c r="M67" i="6"/>
  <c r="M76" i="6" l="1"/>
  <c r="N67" i="6"/>
  <c r="L67" i="6"/>
  <c r="N76" i="6" l="1"/>
  <c r="L76" i="6"/>
  <c r="M68" i="6"/>
  <c r="M69" i="6" l="1"/>
  <c r="N68" i="6"/>
  <c r="L68" i="6"/>
  <c r="L69" i="6" l="1"/>
  <c r="N69" i="6"/>
  <c r="M79" i="6"/>
  <c r="L79" i="6" l="1"/>
  <c r="N79" i="6"/>
  <c r="M70" i="6"/>
  <c r="L70" i="6" l="1"/>
  <c r="N70" i="6"/>
  <c r="M71" i="6"/>
  <c r="L71" i="6" l="1"/>
  <c r="N71" i="6"/>
  <c r="M73" i="6"/>
  <c r="L73" i="6" l="1"/>
  <c r="N73" i="6"/>
  <c r="M74" i="6"/>
  <c r="L74" i="6" l="1"/>
  <c r="N74" i="6"/>
  <c r="M75" i="6"/>
  <c r="L75" i="6" l="1"/>
  <c r="N75" i="6"/>
  <c r="M77" i="6"/>
  <c r="N77" i="6" l="1"/>
  <c r="L77" i="6"/>
  <c r="M78" i="6"/>
  <c r="N78" i="6" l="1"/>
  <c r="L78" i="6"/>
  <c r="M80" i="6"/>
  <c r="M96" i="6" l="1"/>
  <c r="N80" i="6"/>
  <c r="L80" i="6"/>
  <c r="M98" i="6" l="1"/>
  <c r="N96" i="6"/>
  <c r="L96" i="6"/>
  <c r="M81" i="6" l="1"/>
  <c r="N98" i="6"/>
  <c r="L98" i="6"/>
  <c r="M100" i="6" l="1"/>
  <c r="N81" i="6"/>
  <c r="L81" i="6"/>
  <c r="M83" i="6" l="1"/>
  <c r="N100" i="6"/>
  <c r="L100" i="6"/>
  <c r="M101" i="6" l="1"/>
  <c r="N83" i="6"/>
  <c r="L83" i="6"/>
  <c r="M85" i="6" l="1"/>
  <c r="N101" i="6"/>
  <c r="L101" i="6"/>
  <c r="M104" i="6" l="1"/>
  <c r="N85" i="6"/>
  <c r="L85" i="6"/>
  <c r="M105" i="6" l="1"/>
  <c r="L104" i="6"/>
  <c r="N104" i="6"/>
  <c r="L105" i="6" l="1"/>
  <c r="N105" i="6"/>
  <c r="M86" i="6"/>
  <c r="M88" i="6" l="1"/>
  <c r="N86" i="6"/>
  <c r="L86" i="6"/>
  <c r="M90" i="6" l="1"/>
  <c r="N88" i="6"/>
  <c r="L88" i="6"/>
  <c r="M92" i="6" l="1"/>
  <c r="N90" i="6"/>
  <c r="L90" i="6"/>
  <c r="L92" i="6" l="1"/>
  <c r="N92" i="6"/>
  <c r="M107" i="6"/>
  <c r="M108" i="6" l="1"/>
  <c r="N107" i="6"/>
  <c r="L107" i="6"/>
  <c r="M94" i="6" l="1"/>
  <c r="N108" i="6"/>
  <c r="L108" i="6"/>
  <c r="M124" i="6" l="1"/>
  <c r="N94" i="6"/>
  <c r="L94" i="6"/>
  <c r="M111" i="6" l="1"/>
  <c r="N124" i="6"/>
  <c r="L124" i="6"/>
  <c r="M128" i="6" l="1"/>
  <c r="N111" i="6"/>
  <c r="L111" i="6"/>
  <c r="L128" i="6" l="1"/>
  <c r="N128" i="6"/>
  <c r="M95" i="6"/>
  <c r="M113" i="6" l="1"/>
  <c r="N95" i="6"/>
  <c r="L95" i="6"/>
  <c r="M115" i="6" l="1"/>
  <c r="N113" i="6"/>
  <c r="L113" i="6"/>
  <c r="M97" i="6" l="1"/>
  <c r="N115" i="6"/>
  <c r="L115" i="6"/>
  <c r="M132" i="6" l="1"/>
  <c r="N97" i="6"/>
  <c r="L97" i="6"/>
  <c r="M116" i="6" l="1"/>
  <c r="L132" i="6"/>
  <c r="N132" i="6"/>
  <c r="L116" i="6" l="1"/>
  <c r="N116" i="6"/>
  <c r="M99" i="6"/>
  <c r="L99" i="6" l="1"/>
  <c r="N99" i="6"/>
  <c r="M102" i="6"/>
  <c r="L102" i="6" l="1"/>
  <c r="N102" i="6"/>
  <c r="M103" i="6"/>
  <c r="L103" i="6" l="1"/>
  <c r="N103" i="6"/>
  <c r="M106" i="6"/>
  <c r="L106" i="6" l="1"/>
  <c r="N106" i="6"/>
  <c r="M109" i="6"/>
  <c r="L109" i="6" l="1"/>
  <c r="N109" i="6"/>
  <c r="M110" i="6"/>
  <c r="L110" i="6" l="1"/>
  <c r="N110" i="6"/>
  <c r="M123" i="6"/>
  <c r="N123" i="6" l="1"/>
  <c r="L123" i="6"/>
  <c r="M112" i="6"/>
  <c r="N112" i="6" l="1"/>
  <c r="L112" i="6"/>
  <c r="M126" i="6"/>
  <c r="M129" i="6" l="1"/>
  <c r="N126" i="6"/>
  <c r="L126" i="6"/>
  <c r="M114" i="6" l="1"/>
  <c r="N129" i="6"/>
  <c r="L129" i="6"/>
  <c r="N114" i="6" l="1"/>
  <c r="L114" i="6"/>
  <c r="M131" i="6"/>
  <c r="N131" i="6" l="1"/>
  <c r="L131" i="6"/>
  <c r="M117" i="6"/>
  <c r="N117" i="6" l="1"/>
  <c r="L117" i="6"/>
  <c r="M135" i="6"/>
  <c r="N135" i="6" l="1"/>
  <c r="L135" i="6"/>
  <c r="M136" i="6"/>
  <c r="N136" i="6" l="1"/>
  <c r="L136" i="6"/>
  <c r="M118" i="6"/>
  <c r="N118" i="6" l="1"/>
  <c r="L118" i="6"/>
  <c r="M119" i="6"/>
  <c r="L119" i="6" l="1"/>
  <c r="N119" i="6"/>
  <c r="M120" i="6"/>
  <c r="M143" i="6" l="1"/>
  <c r="N120" i="6"/>
  <c r="L120" i="6"/>
  <c r="M144" i="6" l="1"/>
  <c r="N143" i="6"/>
  <c r="L143" i="6"/>
  <c r="M121" i="6" l="1"/>
  <c r="N144" i="6"/>
  <c r="L144" i="6"/>
  <c r="M147" i="6" l="1"/>
  <c r="N121" i="6"/>
  <c r="L121" i="6"/>
  <c r="L147" i="6" l="1"/>
  <c r="N147" i="6"/>
  <c r="M122" i="6"/>
  <c r="L122" i="6" l="1"/>
  <c r="N122" i="6"/>
  <c r="M150" i="6"/>
  <c r="M125" i="6" l="1"/>
  <c r="L150" i="6"/>
  <c r="N150" i="6"/>
  <c r="N125" i="6" l="1"/>
  <c r="L125" i="6"/>
  <c r="M152" i="6"/>
  <c r="M159" i="6" l="1"/>
  <c r="N152" i="6"/>
  <c r="L152" i="6"/>
  <c r="M154" i="6" l="1"/>
  <c r="L159" i="6"/>
  <c r="N159" i="6"/>
  <c r="M127" i="6" l="1"/>
  <c r="N154" i="6"/>
  <c r="L154" i="6"/>
  <c r="N127" i="6" l="1"/>
  <c r="L127" i="6"/>
  <c r="M130" i="6"/>
  <c r="N130" i="6" l="1"/>
  <c r="L130" i="6"/>
  <c r="M133" i="6" l="1"/>
  <c r="M134" i="6" l="1"/>
  <c r="N133" i="6"/>
  <c r="L133" i="6"/>
  <c r="N134" i="6" l="1"/>
  <c r="L134" i="6"/>
  <c r="M137" i="6" l="1"/>
  <c r="M138" i="6" l="1"/>
  <c r="N137" i="6"/>
  <c r="L137" i="6"/>
  <c r="M139" i="6" l="1"/>
  <c r="N138" i="6"/>
  <c r="L138" i="6"/>
  <c r="M140" i="6" l="1"/>
  <c r="N139" i="6"/>
  <c r="L139" i="6"/>
  <c r="M141" i="6" l="1"/>
  <c r="N140" i="6"/>
  <c r="L140" i="6"/>
  <c r="N141" i="6" l="1"/>
  <c r="L141" i="6"/>
  <c r="M142" i="6" l="1"/>
  <c r="L142" i="6" l="1"/>
  <c r="N142" i="6"/>
  <c r="M145" i="6" l="1"/>
  <c r="N145" i="6" l="1"/>
  <c r="L145" i="6"/>
  <c r="M146" i="6" l="1"/>
  <c r="L146" i="6" l="1"/>
  <c r="N146" i="6"/>
  <c r="M149" i="6"/>
  <c r="L149" i="6" l="1"/>
  <c r="N149" i="6"/>
  <c r="M151" i="6" l="1"/>
  <c r="M153" i="6" l="1"/>
  <c r="N151" i="6"/>
  <c r="L151" i="6"/>
  <c r="N153" i="6" l="1"/>
  <c r="L153" i="6"/>
  <c r="M155" i="6"/>
  <c r="L155" i="6" l="1"/>
  <c r="N155" i="6"/>
  <c r="M156" i="6" l="1"/>
  <c r="N156" i="6" l="1"/>
  <c r="L156" i="6"/>
  <c r="N157" i="6" l="1"/>
  <c r="L157" i="6"/>
  <c r="M158" i="6" l="1"/>
  <c r="N158" i="6" l="1"/>
  <c r="L158" i="6"/>
  <c r="M160" i="6" l="1"/>
  <c r="N160" i="6" l="1"/>
  <c r="L160" i="6"/>
  <c r="M161" i="6" l="1"/>
  <c r="N161" i="6" l="1"/>
  <c r="L161" i="6"/>
  <c r="M162" i="6"/>
  <c r="N162" i="6" l="1"/>
  <c r="L162" i="6"/>
  <c r="M163" i="6"/>
  <c r="N163" i="6" l="1"/>
  <c r="L163" i="6"/>
  <c r="M148" i="6" l="1"/>
  <c r="N148" i="6" l="1"/>
  <c r="L148" i="6"/>
  <c r="M168" i="6"/>
  <c r="N168" i="6" s="1"/>
  <c r="M171" i="6"/>
  <c r="N171" i="6" s="1"/>
  <c r="M165" i="6"/>
  <c r="L165" i="6" s="1"/>
  <c r="N165" i="6"/>
  <c r="M166" i="6"/>
  <c r="L166" i="6" s="1"/>
  <c r="M173" i="6"/>
  <c r="N173" i="6" s="1"/>
  <c r="M167" i="6"/>
  <c r="N167" i="6" s="1"/>
  <c r="M169" i="6"/>
  <c r="L169" i="6" s="1"/>
  <c r="M170" i="6"/>
  <c r="N170" i="6" s="1"/>
  <c r="M164" i="6"/>
  <c r="N164" i="6" s="1"/>
  <c r="M175" i="6"/>
  <c r="L175" i="6" s="1"/>
  <c r="M172" i="6"/>
  <c r="N172" i="6" s="1"/>
  <c r="M174" i="6"/>
  <c r="N174" i="6" s="1"/>
  <c r="M176" i="6"/>
  <c r="N166" i="6" l="1"/>
  <c r="L167" i="6"/>
  <c r="N169" i="6"/>
  <c r="L164" i="6"/>
  <c r="L170" i="6"/>
  <c r="L173" i="6"/>
  <c r="N175" i="6"/>
  <c r="N176" i="6"/>
  <c r="L176" i="6"/>
  <c r="M177" i="6"/>
  <c r="L171" i="6"/>
  <c r="L172" i="6"/>
  <c r="L168" i="6"/>
  <c r="L174" i="6"/>
  <c r="M178" i="6" l="1"/>
  <c r="N177" i="6"/>
  <c r="L177" i="6"/>
  <c r="M179" i="6" l="1"/>
  <c r="N178" i="6"/>
  <c r="L178" i="6"/>
  <c r="L179" i="6" l="1"/>
  <c r="N179" i="6"/>
  <c r="M180" i="6"/>
  <c r="M181" i="6" l="1"/>
  <c r="L180" i="6"/>
  <c r="N180" i="6"/>
  <c r="L181" i="6" l="1"/>
  <c r="N181" i="6"/>
  <c r="M182" i="6"/>
  <c r="M183" i="6" l="1"/>
  <c r="N182" i="6"/>
  <c r="L182" i="6"/>
  <c r="M184" i="6" l="1"/>
  <c r="N183" i="6"/>
  <c r="L183" i="6"/>
  <c r="M185" i="6" l="1"/>
  <c r="L184" i="6"/>
  <c r="N184" i="6"/>
  <c r="N185" i="6" l="1"/>
  <c r="L185" i="6"/>
  <c r="M186" i="6"/>
  <c r="L186" i="6" l="1"/>
  <c r="N186" i="6"/>
  <c r="M187" i="6"/>
  <c r="L187" i="6" l="1"/>
  <c r="N187" i="6"/>
  <c r="M188" i="6"/>
  <c r="N188" i="6" l="1"/>
  <c r="L188" i="6"/>
  <c r="J190" i="6"/>
  <c r="M189" i="6"/>
  <c r="N189" i="6" l="1"/>
  <c r="L189" i="6"/>
  <c r="M190" i="6"/>
  <c r="J191" i="6"/>
  <c r="M191" i="6" l="1"/>
  <c r="J192" i="6"/>
  <c r="N190" i="6"/>
  <c r="L190" i="6"/>
  <c r="M192" i="6" l="1"/>
  <c r="J193" i="6"/>
  <c r="N191" i="6"/>
  <c r="L191" i="6"/>
  <c r="J194" i="6" l="1"/>
  <c r="M193" i="6"/>
  <c r="L192" i="6"/>
  <c r="N192" i="6"/>
  <c r="L193" i="6" l="1"/>
  <c r="N193" i="6"/>
  <c r="M194" i="6"/>
  <c r="J195" i="6"/>
  <c r="N194" i="6" l="1"/>
  <c r="L194" i="6"/>
  <c r="J196" i="6"/>
  <c r="M195" i="6"/>
  <c r="N195" i="6" l="1"/>
  <c r="L195" i="6"/>
  <c r="J197" i="6"/>
  <c r="M196" i="6"/>
  <c r="L196" i="6" l="1"/>
  <c r="N196" i="6"/>
  <c r="J198" i="6"/>
  <c r="M197" i="6"/>
  <c r="N197" i="6" l="1"/>
  <c r="L197" i="6"/>
  <c r="M198" i="6"/>
  <c r="J199" i="6"/>
  <c r="M199" i="6" l="1"/>
  <c r="J200" i="6"/>
  <c r="N198" i="6"/>
  <c r="L198" i="6"/>
  <c r="J201" i="6" l="1"/>
  <c r="M200" i="6"/>
  <c r="L199" i="6"/>
  <c r="N199" i="6"/>
  <c r="N200" i="6" l="1"/>
  <c r="L200" i="6"/>
  <c r="J202" i="6"/>
  <c r="M201" i="6"/>
  <c r="L201" i="6" l="1"/>
  <c r="N201" i="6"/>
  <c r="J203" i="6"/>
  <c r="M202" i="6"/>
  <c r="N202" i="6" l="1"/>
  <c r="L202" i="6"/>
  <c r="J204" i="6"/>
  <c r="M203" i="6"/>
  <c r="N203" i="6" l="1"/>
  <c r="L203" i="6"/>
  <c r="J205" i="6"/>
  <c r="M204" i="6"/>
  <c r="L204" i="6" l="1"/>
  <c r="N204" i="6"/>
  <c r="J206" i="6"/>
  <c r="M205" i="6"/>
  <c r="N205" i="6" l="1"/>
  <c r="L205" i="6"/>
  <c r="M206" i="6"/>
  <c r="J207" i="6"/>
  <c r="M207" i="6" l="1"/>
  <c r="J208" i="6"/>
  <c r="N206" i="6"/>
  <c r="L206" i="6"/>
  <c r="M208" i="6" l="1"/>
  <c r="J209" i="6"/>
  <c r="N207" i="6"/>
  <c r="L207" i="6"/>
  <c r="L208" i="6" l="1"/>
  <c r="N208" i="6"/>
  <c r="J210" i="6"/>
  <c r="M209" i="6"/>
  <c r="L209" i="6" l="1"/>
  <c r="N209" i="6"/>
  <c r="M210" i="6"/>
  <c r="J211" i="6"/>
  <c r="M211" i="6" l="1"/>
  <c r="J212" i="6"/>
  <c r="N210" i="6"/>
  <c r="L210" i="6"/>
  <c r="J213" i="6" l="1"/>
  <c r="M212" i="6"/>
  <c r="N211" i="6"/>
  <c r="L211" i="6"/>
  <c r="L212" i="6" l="1"/>
  <c r="N212" i="6"/>
  <c r="M213" i="6"/>
  <c r="J214" i="6"/>
  <c r="J215" i="6" l="1"/>
  <c r="M214" i="6"/>
  <c r="N213" i="6"/>
  <c r="L213" i="6"/>
  <c r="L214" i="6" l="1"/>
  <c r="N214" i="6"/>
  <c r="M215" i="6"/>
  <c r="J216" i="6"/>
  <c r="M216" i="6" l="1"/>
  <c r="J217" i="6"/>
  <c r="N215" i="6"/>
  <c r="L215" i="6"/>
  <c r="J218" i="6" l="1"/>
  <c r="M217" i="6"/>
  <c r="N216" i="6"/>
  <c r="L216" i="6"/>
  <c r="N217" i="6" l="1"/>
  <c r="L217" i="6"/>
  <c r="J219" i="6"/>
  <c r="M218" i="6"/>
  <c r="N218" i="6" l="1"/>
  <c r="L218" i="6"/>
  <c r="J220" i="6"/>
  <c r="M219" i="6"/>
  <c r="L219" i="6" l="1"/>
  <c r="N219" i="6"/>
  <c r="M220" i="6"/>
  <c r="J221" i="6"/>
  <c r="M221" i="6" l="1"/>
  <c r="J222" i="6"/>
  <c r="N220" i="6"/>
  <c r="L220" i="6"/>
  <c r="M222" i="6" l="1"/>
  <c r="J223" i="6"/>
  <c r="N221" i="6"/>
  <c r="L221" i="6"/>
  <c r="M223" i="6" l="1"/>
  <c r="J224" i="6"/>
  <c r="L222" i="6"/>
  <c r="N222" i="6"/>
  <c r="M224" i="6" l="1"/>
  <c r="J225" i="6"/>
  <c r="N223" i="6"/>
  <c r="L223" i="6"/>
  <c r="J226" i="6" l="1"/>
  <c r="M225" i="6"/>
  <c r="N224" i="6"/>
  <c r="L224" i="6"/>
  <c r="N225" i="6" l="1"/>
  <c r="L225" i="6"/>
  <c r="M226" i="6"/>
  <c r="J227" i="6"/>
  <c r="J228" i="6" l="1"/>
  <c r="M227" i="6"/>
  <c r="N226" i="6"/>
  <c r="L226" i="6"/>
  <c r="L227" i="6" l="1"/>
  <c r="N227" i="6"/>
  <c r="M228" i="6"/>
  <c r="J229" i="6"/>
  <c r="J230" i="6" l="1"/>
  <c r="M229" i="6"/>
  <c r="L228" i="6"/>
  <c r="N228" i="6"/>
  <c r="N229" i="6" l="1"/>
  <c r="L229" i="6"/>
  <c r="M230" i="6"/>
  <c r="J231" i="6"/>
  <c r="M231" i="6" l="1"/>
  <c r="J232" i="6"/>
  <c r="L230" i="6"/>
  <c r="N230" i="6"/>
  <c r="M232" i="6" l="1"/>
  <c r="J233" i="6"/>
  <c r="N231" i="6"/>
  <c r="L231" i="6"/>
  <c r="J234" i="6" l="1"/>
  <c r="M233" i="6"/>
  <c r="N232" i="6"/>
  <c r="L232" i="6"/>
  <c r="N233" i="6" l="1"/>
  <c r="L233" i="6"/>
  <c r="J235" i="6"/>
  <c r="M234" i="6"/>
  <c r="N234" i="6" l="1"/>
  <c r="L234" i="6"/>
  <c r="M235" i="6"/>
  <c r="J236" i="6"/>
  <c r="M236" i="6" l="1"/>
  <c r="J237" i="6"/>
  <c r="N235" i="6"/>
  <c r="L235" i="6"/>
  <c r="M237" i="6" l="1"/>
  <c r="J238" i="6"/>
  <c r="N236" i="6"/>
  <c r="L236" i="6"/>
  <c r="J239" i="6" l="1"/>
  <c r="M238" i="6"/>
  <c r="L237" i="6"/>
  <c r="N237" i="6"/>
  <c r="N238" i="6" l="1"/>
  <c r="L238" i="6"/>
  <c r="M239" i="6"/>
  <c r="J240" i="6"/>
  <c r="M240" i="6" l="1"/>
  <c r="J241" i="6"/>
  <c r="N239" i="6"/>
  <c r="L239" i="6"/>
  <c r="J242" i="6" l="1"/>
  <c r="M241" i="6"/>
  <c r="N240" i="6"/>
  <c r="L240" i="6"/>
  <c r="N241" i="6" l="1"/>
  <c r="L241" i="6"/>
  <c r="J243" i="6"/>
  <c r="M242" i="6"/>
  <c r="L242" i="6" l="1"/>
  <c r="N242" i="6"/>
  <c r="J244" i="6"/>
  <c r="M243" i="6"/>
  <c r="N243" i="6" l="1"/>
  <c r="L243" i="6"/>
  <c r="J245" i="6"/>
  <c r="M244" i="6"/>
  <c r="L244" i="6" l="1"/>
  <c r="N244" i="6"/>
  <c r="M245" i="6"/>
  <c r="J246" i="6"/>
  <c r="M246" i="6" l="1"/>
  <c r="J247" i="6"/>
  <c r="N245" i="6"/>
  <c r="L245" i="6"/>
  <c r="M247" i="6" l="1"/>
  <c r="J248" i="6"/>
  <c r="N246" i="6"/>
  <c r="L246" i="6"/>
  <c r="M248" i="6" l="1"/>
  <c r="J249" i="6"/>
  <c r="L247" i="6"/>
  <c r="N247" i="6"/>
  <c r="J250" i="6" l="1"/>
  <c r="M249" i="6"/>
  <c r="L248" i="6"/>
  <c r="N248" i="6"/>
  <c r="N249" i="6" l="1"/>
  <c r="L249" i="6"/>
  <c r="M250" i="6"/>
  <c r="J251" i="6"/>
  <c r="M251" i="6" l="1"/>
  <c r="J252" i="6"/>
  <c r="L250" i="6"/>
  <c r="N250" i="6"/>
  <c r="J253" i="6" l="1"/>
  <c r="M252" i="6"/>
  <c r="L251" i="6"/>
  <c r="N251" i="6"/>
  <c r="L252" i="6" l="1"/>
  <c r="N252" i="6"/>
  <c r="M253" i="6"/>
  <c r="J254" i="6"/>
  <c r="M254" i="6" l="1"/>
  <c r="J255" i="6"/>
  <c r="L253" i="6"/>
  <c r="N253" i="6"/>
  <c r="J256" i="6" l="1"/>
  <c r="M255" i="6"/>
  <c r="N254" i="6"/>
  <c r="L254" i="6"/>
  <c r="N255" i="6" l="1"/>
  <c r="L255" i="6"/>
  <c r="M256" i="6"/>
  <c r="J257" i="6"/>
  <c r="J258" i="6" l="1"/>
  <c r="M257" i="6"/>
  <c r="N256" i="6"/>
  <c r="L256" i="6"/>
  <c r="N257" i="6" l="1"/>
  <c r="L257" i="6"/>
  <c r="M258" i="6"/>
  <c r="J259" i="6"/>
  <c r="M259" i="6" l="1"/>
  <c r="J260" i="6"/>
  <c r="L258" i="6"/>
  <c r="N258" i="6"/>
  <c r="J261" i="6" l="1"/>
  <c r="M260" i="6"/>
  <c r="L259" i="6"/>
  <c r="N259" i="6"/>
  <c r="L260" i="6" l="1"/>
  <c r="N260" i="6"/>
  <c r="M261" i="6"/>
  <c r="J262" i="6"/>
  <c r="M262" i="6" l="1"/>
  <c r="J263" i="6"/>
  <c r="N261" i="6"/>
  <c r="L261" i="6"/>
  <c r="M263" i="6" l="1"/>
  <c r="J264" i="6"/>
  <c r="L262" i="6"/>
  <c r="N262" i="6"/>
  <c r="M264" i="6" l="1"/>
  <c r="J265" i="6"/>
  <c r="N263" i="6"/>
  <c r="L263" i="6"/>
  <c r="J266" i="6" l="1"/>
  <c r="M265" i="6"/>
  <c r="N264" i="6"/>
  <c r="L264" i="6"/>
  <c r="L265" i="6" l="1"/>
  <c r="N265" i="6"/>
  <c r="M266" i="6"/>
  <c r="J267" i="6"/>
  <c r="J268" i="6" l="1"/>
  <c r="M267" i="6"/>
  <c r="N266" i="6"/>
  <c r="L266" i="6"/>
  <c r="N267" i="6" l="1"/>
  <c r="L267" i="6"/>
  <c r="M268" i="6"/>
  <c r="J269" i="6"/>
  <c r="M269" i="6" l="1"/>
  <c r="J270" i="6"/>
  <c r="L268" i="6"/>
  <c r="N268" i="6"/>
  <c r="M270" i="6" l="1"/>
  <c r="J271" i="6"/>
  <c r="N269" i="6"/>
  <c r="L269" i="6"/>
  <c r="M271" i="6" l="1"/>
  <c r="J272" i="6"/>
  <c r="L270" i="6"/>
  <c r="N270" i="6"/>
  <c r="M272" i="6" l="1"/>
  <c r="J273" i="6"/>
  <c r="L271" i="6"/>
  <c r="N271" i="6"/>
  <c r="J274" i="6" l="1"/>
  <c r="M273" i="6"/>
  <c r="L272" i="6"/>
  <c r="N272" i="6"/>
  <c r="L273" i="6" l="1"/>
  <c r="N273" i="6"/>
  <c r="M274" i="6"/>
  <c r="J275" i="6"/>
  <c r="J276" i="6" l="1"/>
  <c r="M275" i="6"/>
  <c r="N274" i="6"/>
  <c r="L274" i="6"/>
  <c r="N275" i="6" l="1"/>
  <c r="L275" i="6"/>
  <c r="M276" i="6"/>
  <c r="J277" i="6"/>
  <c r="J278" i="6" l="1"/>
  <c r="M277" i="6"/>
  <c r="L276" i="6"/>
  <c r="N276" i="6"/>
  <c r="N277" i="6" l="1"/>
  <c r="L277" i="6"/>
  <c r="M278" i="6"/>
  <c r="J279" i="6"/>
  <c r="M279" i="6" l="1"/>
  <c r="J280" i="6"/>
  <c r="N278" i="6"/>
  <c r="L278" i="6"/>
  <c r="M280" i="6" l="1"/>
  <c r="J281" i="6"/>
  <c r="N279" i="6"/>
  <c r="L279" i="6"/>
  <c r="J282" i="6" l="1"/>
  <c r="M281" i="6"/>
  <c r="N280" i="6"/>
  <c r="L280" i="6"/>
  <c r="L281" i="6" l="1"/>
  <c r="N281" i="6"/>
  <c r="M282" i="6"/>
  <c r="J283" i="6"/>
  <c r="L282" i="6" l="1"/>
  <c r="N282" i="6"/>
  <c r="M283" i="6"/>
  <c r="J284" i="6"/>
  <c r="M284" i="6" l="1"/>
  <c r="J285" i="6"/>
  <c r="N283" i="6"/>
  <c r="L283" i="6"/>
  <c r="M285" i="6" l="1"/>
  <c r="J286" i="6"/>
  <c r="L284" i="6"/>
  <c r="N284" i="6"/>
  <c r="M286" i="6" l="1"/>
  <c r="J287" i="6"/>
  <c r="L285" i="6"/>
  <c r="N285" i="6"/>
  <c r="M287" i="6" l="1"/>
  <c r="J288" i="6"/>
  <c r="N286" i="6"/>
  <c r="L286" i="6"/>
  <c r="M288" i="6" l="1"/>
  <c r="J289" i="6"/>
  <c r="N287" i="6"/>
  <c r="L287" i="6"/>
  <c r="J290" i="6" l="1"/>
  <c r="M289" i="6"/>
  <c r="N288" i="6"/>
  <c r="L288" i="6"/>
  <c r="N289" i="6" l="1"/>
  <c r="L289" i="6"/>
  <c r="M290" i="6"/>
  <c r="J291" i="6"/>
  <c r="J292" i="6" l="1"/>
  <c r="M291" i="6"/>
  <c r="N290" i="6"/>
  <c r="L290" i="6"/>
  <c r="L291" i="6" l="1"/>
  <c r="N291" i="6"/>
  <c r="J293" i="6"/>
  <c r="M292" i="6"/>
  <c r="L292" i="6" l="1"/>
  <c r="N292" i="6"/>
  <c r="J294" i="6"/>
  <c r="M293" i="6"/>
  <c r="L293" i="6" l="1"/>
  <c r="N293" i="6"/>
  <c r="J295" i="6"/>
  <c r="M294" i="6"/>
  <c r="N294" i="6" l="1"/>
  <c r="L294" i="6"/>
  <c r="J296" i="6"/>
  <c r="M295" i="6"/>
  <c r="N295" i="6" l="1"/>
  <c r="L295" i="6"/>
  <c r="M296" i="6"/>
  <c r="J297" i="6"/>
  <c r="M297" i="6" l="1"/>
  <c r="J298" i="6"/>
  <c r="L296" i="6"/>
  <c r="N296" i="6"/>
  <c r="M298" i="6" l="1"/>
  <c r="J299" i="6"/>
  <c r="N297" i="6"/>
  <c r="L297" i="6"/>
  <c r="M299" i="6" l="1"/>
  <c r="J300" i="6"/>
  <c r="N298" i="6"/>
  <c r="L298" i="6"/>
  <c r="M300" i="6" l="1"/>
  <c r="J301" i="6"/>
  <c r="M301" i="6" s="1"/>
  <c r="N299" i="6"/>
  <c r="L299" i="6"/>
  <c r="L301" i="6" l="1"/>
  <c r="N301" i="6"/>
  <c r="N300" i="6"/>
  <c r="L300" i="6"/>
</calcChain>
</file>

<file path=xl/sharedStrings.xml><?xml version="1.0" encoding="utf-8"?>
<sst xmlns="http://schemas.openxmlformats.org/spreadsheetml/2006/main" count="575" uniqueCount="387">
  <si>
    <t>Vtr+10</t>
  </si>
  <si>
    <t>Vtr+20</t>
  </si>
  <si>
    <r>
      <rPr>
        <b/>
        <sz val="11"/>
        <color theme="0"/>
        <rFont val="Calibri"/>
        <family val="2"/>
      </rPr>
      <t>V</t>
    </r>
    <r>
      <rPr>
        <b/>
        <vertAlign val="subscript"/>
        <sz val="11"/>
        <color theme="0"/>
        <rFont val="Calibri"/>
        <family val="2"/>
      </rPr>
      <t>TR</t>
    </r>
    <r>
      <rPr>
        <b/>
        <sz val="11"/>
        <color theme="0"/>
        <rFont val="Calibri"/>
        <family val="2"/>
      </rPr>
      <t xml:space="preserve"> [km/h]</t>
    </r>
  </si>
  <si>
    <t>c [m]</t>
  </si>
  <si>
    <t>PUNTO</t>
  </si>
  <si>
    <t>COORDENADAS</t>
  </si>
  <si>
    <t>Altura</t>
  </si>
  <si>
    <t>DISTANCIA 
[m]</t>
  </si>
  <si>
    <t>PENDIENTE
[%]</t>
  </si>
  <si>
    <t>SENTIDO</t>
  </si>
  <si>
    <t>Acimut
[°]</t>
  </si>
  <si>
    <t>ACIMUT
[°   '   '']</t>
  </si>
  <si>
    <t>Deflexion</t>
  </si>
  <si>
    <r>
      <rPr>
        <b/>
        <sz val="11"/>
        <color theme="0"/>
        <rFont val="Calibri"/>
        <family val="2"/>
      </rPr>
      <t xml:space="preserve">DEFLEXION - </t>
    </r>
    <r>
      <rPr>
        <b/>
        <sz val="11"/>
        <color theme="0"/>
        <rFont val="Calibri"/>
        <family val="2"/>
      </rPr>
      <t>Δ</t>
    </r>
  </si>
  <si>
    <r>
      <rPr>
        <b/>
        <sz val="11"/>
        <color theme="0"/>
        <rFont val="Calibri"/>
        <family val="2"/>
      </rPr>
      <t>V</t>
    </r>
    <r>
      <rPr>
        <b/>
        <vertAlign val="subscript"/>
        <sz val="11"/>
        <color theme="0"/>
        <rFont val="Calibri"/>
        <family val="2"/>
      </rPr>
      <t>CH</t>
    </r>
    <r>
      <rPr>
        <b/>
        <sz val="11"/>
        <color theme="0"/>
        <rFont val="Calibri"/>
        <family val="2"/>
      </rPr>
      <t xml:space="preserve">
[km/h]</t>
    </r>
  </si>
  <si>
    <r>
      <rPr>
        <b/>
        <sz val="11"/>
        <color theme="0"/>
        <rFont val="Calibri"/>
        <family val="2"/>
      </rPr>
      <t>R</t>
    </r>
    <r>
      <rPr>
        <b/>
        <vertAlign val="subscript"/>
        <sz val="11"/>
        <color theme="0"/>
        <rFont val="Calibri"/>
        <family val="2"/>
      </rPr>
      <t>min</t>
    </r>
    <r>
      <rPr>
        <b/>
        <sz val="11"/>
        <color theme="0"/>
        <rFont val="Calibri"/>
        <family val="2"/>
      </rPr>
      <t xml:space="preserve">
[m]</t>
    </r>
  </si>
  <si>
    <r>
      <rPr>
        <b/>
        <sz val="11"/>
        <color theme="0"/>
        <rFont val="Calibri"/>
        <family val="2"/>
      </rPr>
      <t>G</t>
    </r>
    <r>
      <rPr>
        <b/>
        <vertAlign val="subscript"/>
        <sz val="11"/>
        <color theme="0"/>
        <rFont val="Calibri"/>
        <family val="2"/>
      </rPr>
      <t>c max</t>
    </r>
    <r>
      <rPr>
        <b/>
        <sz val="11"/>
        <color theme="0"/>
        <rFont val="Calibri"/>
        <family val="2"/>
      </rPr>
      <t xml:space="preserve">
[°]</t>
    </r>
  </si>
  <si>
    <r>
      <rPr>
        <b/>
        <sz val="11"/>
        <color theme="0"/>
        <rFont val="Calibri"/>
        <family val="2"/>
      </rPr>
      <t>G</t>
    </r>
    <r>
      <rPr>
        <b/>
        <vertAlign val="subscript"/>
        <sz val="11"/>
        <color theme="0"/>
        <rFont val="Calibri"/>
        <family val="2"/>
      </rPr>
      <t>c max</t>
    </r>
    <r>
      <rPr>
        <b/>
        <sz val="11"/>
        <color theme="0"/>
        <rFont val="Calibri"/>
        <family val="2"/>
      </rPr>
      <t xml:space="preserve">
[°   '   '']</t>
    </r>
  </si>
  <si>
    <r>
      <rPr>
        <b/>
        <sz val="11"/>
        <color theme="0"/>
        <rFont val="Calibri"/>
        <family val="2"/>
      </rPr>
      <t>G</t>
    </r>
    <r>
      <rPr>
        <b/>
        <vertAlign val="subscript"/>
        <sz val="11"/>
        <color theme="0"/>
        <rFont val="Calibri"/>
        <family val="2"/>
      </rPr>
      <t>redondo</t>
    </r>
    <r>
      <rPr>
        <b/>
        <sz val="11"/>
        <color theme="0"/>
        <rFont val="Calibri"/>
        <family val="2"/>
      </rPr>
      <t xml:space="preserve">
[°]</t>
    </r>
  </si>
  <si>
    <r>
      <rPr>
        <b/>
        <sz val="11"/>
        <color theme="0"/>
        <rFont val="Calibri"/>
        <family val="2"/>
      </rPr>
      <t>G</t>
    </r>
    <r>
      <rPr>
        <b/>
        <vertAlign val="subscript"/>
        <sz val="11"/>
        <color theme="0"/>
        <rFont val="Calibri"/>
        <family val="2"/>
      </rPr>
      <t>redondo</t>
    </r>
    <r>
      <rPr>
        <b/>
        <sz val="11"/>
        <color theme="0"/>
        <rFont val="Calibri"/>
        <family val="2"/>
      </rPr>
      <t xml:space="preserve">
[°   '   '']</t>
    </r>
  </si>
  <si>
    <r>
      <rPr>
        <b/>
        <sz val="11"/>
        <color theme="0"/>
        <rFont val="Calibri"/>
        <family val="2"/>
      </rPr>
      <t>R</t>
    </r>
    <r>
      <rPr>
        <b/>
        <vertAlign val="subscript"/>
        <sz val="11"/>
        <color theme="0"/>
        <rFont val="Calibri"/>
        <family val="2"/>
      </rPr>
      <t>min Definitivo</t>
    </r>
    <r>
      <rPr>
        <b/>
        <sz val="11"/>
        <color theme="0"/>
        <rFont val="Calibri"/>
        <family val="2"/>
      </rPr>
      <t xml:space="preserve">
[m]</t>
    </r>
  </si>
  <si>
    <r>
      <rPr>
        <b/>
        <sz val="11"/>
        <color theme="0"/>
        <rFont val="Calibri"/>
        <family val="2"/>
      </rPr>
      <t>DIST</t>
    </r>
    <r>
      <rPr>
        <b/>
        <vertAlign val="subscript"/>
        <sz val="11"/>
        <color theme="0"/>
        <rFont val="Calibri"/>
        <family val="2"/>
      </rPr>
      <t>Definitiva</t>
    </r>
    <r>
      <rPr>
        <b/>
        <sz val="11"/>
        <color theme="0"/>
        <rFont val="Calibri"/>
        <family val="2"/>
      </rPr>
      <t xml:space="preserve">
[m]</t>
    </r>
  </si>
  <si>
    <t>T
[m]</t>
  </si>
  <si>
    <r>
      <rPr>
        <b/>
        <sz val="11"/>
        <color theme="0"/>
        <rFont val="Calibri"/>
        <family val="2"/>
      </rPr>
      <t>L</t>
    </r>
    <r>
      <rPr>
        <b/>
        <vertAlign val="subscript"/>
        <sz val="11"/>
        <color theme="0"/>
        <rFont val="Calibri"/>
        <family val="2"/>
      </rPr>
      <t>c</t>
    </r>
    <r>
      <rPr>
        <b/>
        <sz val="11"/>
        <color theme="0"/>
        <rFont val="Calibri"/>
        <family val="2"/>
      </rPr>
      <t xml:space="preserve">
[m]</t>
    </r>
  </si>
  <si>
    <t>ABSCISAS</t>
  </si>
  <si>
    <t>NORTE</t>
  </si>
  <si>
    <t>ESTE</t>
  </si>
  <si>
    <t>[°]</t>
  </si>
  <si>
    <t>[°   '   '']</t>
  </si>
  <si>
    <t>PC</t>
  </si>
  <si>
    <t>PT</t>
  </si>
  <si>
    <t>P1 (Inicial)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</si>
  <si>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</si>
  <si>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</si>
  <si>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</si>
  <si>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</si>
  <si>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</si>
  <si>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</si>
  <si>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</si>
  <si>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</si>
  <si>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</si>
  <si>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</si>
  <si>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</si>
  <si>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</si>
  <si>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</si>
  <si>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</si>
  <si>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PI1</t>
  </si>
  <si>
    <t>PI2</t>
  </si>
  <si>
    <t>PI3</t>
  </si>
  <si>
    <t>PI4</t>
  </si>
  <si>
    <t>PI5</t>
  </si>
  <si>
    <t>PI6</t>
  </si>
  <si>
    <t>PI7</t>
  </si>
  <si>
    <t>P3 (Final)</t>
  </si>
  <si>
    <t>P2</t>
  </si>
  <si>
    <t>VTR [km/h]</t>
  </si>
  <si>
    <t>DEFLEXION - Δ</t>
  </si>
  <si>
    <t>VCH
[km/h]</t>
  </si>
  <si>
    <t>Rmin
[m]</t>
  </si>
  <si>
    <t>Gc max
[°   '   '']</t>
  </si>
  <si>
    <t>Gredondo
[°   '   '']</t>
  </si>
  <si>
    <t>Rmin Definitivo
[m]</t>
  </si>
  <si>
    <t>DISTDefinitiva
[m]</t>
  </si>
  <si>
    <t>Lc
[m]</t>
  </si>
  <si>
    <t>6° 59' 30''</t>
  </si>
  <si>
    <r>
      <rPr>
        <b/>
        <sz val="11"/>
        <color theme="0"/>
        <rFont val="Calibri"/>
        <family val="2"/>
      </rPr>
      <t>E</t>
    </r>
    <r>
      <rPr>
        <b/>
        <vertAlign val="subscript"/>
        <sz val="11"/>
        <color theme="0"/>
        <rFont val="Calibri"/>
        <family val="2"/>
      </rPr>
      <t>Real</t>
    </r>
    <r>
      <rPr>
        <b/>
        <sz val="11"/>
        <color theme="0"/>
        <rFont val="Calibri"/>
        <family val="2"/>
      </rPr>
      <t xml:space="preserve">
[m]</t>
    </r>
  </si>
  <si>
    <r>
      <rPr>
        <b/>
        <sz val="11"/>
        <color theme="0"/>
        <rFont val="Calibri"/>
        <family val="2"/>
      </rPr>
      <t>E</t>
    </r>
    <r>
      <rPr>
        <b/>
        <vertAlign val="subscript"/>
        <sz val="11"/>
        <color theme="0"/>
        <rFont val="Calibri"/>
        <family val="2"/>
      </rPr>
      <t>Ideal</t>
    </r>
    <r>
      <rPr>
        <b/>
        <sz val="11"/>
        <color theme="0"/>
        <rFont val="Calibri"/>
        <family val="2"/>
      </rPr>
      <t xml:space="preserve">
[m]</t>
    </r>
  </si>
  <si>
    <r>
      <rPr>
        <b/>
        <sz val="11"/>
        <color theme="0"/>
        <rFont val="Calibri"/>
        <family val="2"/>
      </rPr>
      <t>L</t>
    </r>
    <r>
      <rPr>
        <b/>
        <vertAlign val="subscript"/>
        <sz val="11"/>
        <color theme="0"/>
        <rFont val="Calibri"/>
        <family val="2"/>
      </rPr>
      <t>c</t>
    </r>
    <r>
      <rPr>
        <b/>
        <sz val="11"/>
        <color theme="0"/>
        <rFont val="Calibri"/>
        <family val="2"/>
      </rPr>
      <t xml:space="preserve">
[m]</t>
    </r>
  </si>
  <si>
    <r>
      <rPr>
        <b/>
        <sz val="11"/>
        <color theme="0"/>
        <rFont val="Calibri"/>
        <family val="2"/>
      </rPr>
      <t>V</t>
    </r>
    <r>
      <rPr>
        <b/>
        <vertAlign val="subscript"/>
        <sz val="11"/>
        <color theme="0"/>
        <rFont val="Calibri"/>
        <family val="2"/>
      </rPr>
      <t>CH</t>
    </r>
    <r>
      <rPr>
        <b/>
        <sz val="11"/>
        <color theme="0"/>
        <rFont val="Calibri"/>
        <family val="2"/>
      </rPr>
      <t xml:space="preserve">
[km/h]</t>
    </r>
  </si>
  <si>
    <t>Δs_min [m]</t>
  </si>
  <si>
    <t>Δs_max (%)</t>
  </si>
  <si>
    <t>LR_min [m]</t>
  </si>
  <si>
    <t>LR_max [m]</t>
  </si>
  <si>
    <t>N_min
[m]</t>
  </si>
  <si>
    <t>N_max
[m]</t>
  </si>
  <si>
    <t>N_def [m]</t>
  </si>
  <si>
    <t>LR_def [m]</t>
  </si>
  <si>
    <t>% LR en recta</t>
  </si>
  <si>
    <r>
      <rPr>
        <b/>
        <sz val="11"/>
        <color theme="0"/>
        <rFont val="Calibri"/>
        <family val="2"/>
      </rPr>
      <t>Db</t>
    </r>
    <r>
      <rPr>
        <b/>
        <vertAlign val="subscript"/>
        <sz val="11"/>
        <color theme="0"/>
        <rFont val="Calibri"/>
        <family val="2"/>
      </rPr>
      <t>Real</t>
    </r>
    <r>
      <rPr>
        <b/>
        <sz val="11"/>
        <color theme="0"/>
        <rFont val="Calibri"/>
        <family val="2"/>
      </rPr>
      <t xml:space="preserve">
[m]</t>
    </r>
  </si>
  <si>
    <t>ABSCISAS DE ENTRADA</t>
  </si>
  <si>
    <t>ABSCISAS
DE CURVA</t>
  </si>
  <si>
    <t>ABSCISAS DE SALIDA</t>
  </si>
  <si>
    <t xml:space="preserve"> Fin Db</t>
  </si>
  <si>
    <t>Aplanam.</t>
  </si>
  <si>
    <t>e = b</t>
  </si>
  <si>
    <t>x = 4%</t>
  </si>
  <si>
    <t>emáx</t>
  </si>
  <si>
    <t>Inicio Db</t>
  </si>
  <si>
    <t>Ancho</t>
  </si>
  <si>
    <t>Bombeo</t>
  </si>
  <si>
    <t>Peralte</t>
  </si>
  <si>
    <t>TANGENTE</t>
  </si>
  <si>
    <t>LONGITUD
[m]</t>
  </si>
  <si>
    <r>
      <rPr>
        <b/>
        <sz val="11"/>
        <color theme="0"/>
        <rFont val="Calibri"/>
        <family val="2"/>
      </rPr>
      <t>V</t>
    </r>
    <r>
      <rPr>
        <b/>
        <vertAlign val="subscript"/>
        <sz val="11"/>
        <color theme="0"/>
        <rFont val="Calibri"/>
        <family val="2"/>
      </rPr>
      <t>TV</t>
    </r>
    <r>
      <rPr>
        <b/>
        <sz val="11"/>
        <color theme="0"/>
        <rFont val="Calibri"/>
        <family val="2"/>
      </rPr>
      <t xml:space="preserve">
[km/h]</t>
    </r>
  </si>
  <si>
    <r>
      <rPr>
        <b/>
        <sz val="11"/>
        <color theme="0"/>
        <rFont val="Calibri"/>
        <family val="2"/>
      </rPr>
      <t>L</t>
    </r>
    <r>
      <rPr>
        <b/>
        <vertAlign val="subscript"/>
        <sz val="11"/>
        <color theme="0"/>
        <rFont val="Calibri"/>
        <family val="2"/>
      </rPr>
      <t>min</t>
    </r>
    <r>
      <rPr>
        <b/>
        <sz val="11"/>
        <color theme="0"/>
        <rFont val="Calibri"/>
        <family val="2"/>
      </rPr>
      <t xml:space="preserve">
[m]</t>
    </r>
  </si>
  <si>
    <r>
      <rPr>
        <b/>
        <sz val="11"/>
        <color theme="0"/>
        <rFont val="Calibri"/>
        <family val="2"/>
      </rPr>
      <t>L</t>
    </r>
    <r>
      <rPr>
        <b/>
        <vertAlign val="subscript"/>
        <sz val="11"/>
        <color theme="0"/>
        <rFont val="Calibri"/>
        <family val="2"/>
      </rPr>
      <t>critico</t>
    </r>
    <r>
      <rPr>
        <b/>
        <sz val="11"/>
        <color theme="0"/>
        <rFont val="Calibri"/>
        <family val="2"/>
      </rPr>
      <t xml:space="preserve">
[m]</t>
    </r>
  </si>
  <si>
    <t>PIV</t>
  </si>
  <si>
    <r>
      <rPr>
        <b/>
        <sz val="11"/>
        <color theme="0"/>
        <rFont val="Calibri"/>
        <family val="2"/>
      </rPr>
      <t>V</t>
    </r>
    <r>
      <rPr>
        <b/>
        <vertAlign val="subscript"/>
        <sz val="11"/>
        <color theme="0"/>
        <rFont val="Calibri"/>
        <family val="2"/>
      </rPr>
      <t>CV</t>
    </r>
    <r>
      <rPr>
        <b/>
        <sz val="11"/>
        <color theme="0"/>
        <rFont val="Calibri"/>
        <family val="2"/>
      </rPr>
      <t xml:space="preserve">
[km/h]</t>
    </r>
  </si>
  <si>
    <t>A
[%]</t>
  </si>
  <si>
    <r>
      <rPr>
        <b/>
        <sz val="11"/>
        <color theme="0"/>
        <rFont val="Calibri"/>
        <family val="2"/>
      </rPr>
      <t>L</t>
    </r>
    <r>
      <rPr>
        <b/>
        <vertAlign val="subscript"/>
        <sz val="11"/>
        <color theme="0"/>
        <rFont val="Calibri"/>
        <family val="2"/>
      </rPr>
      <t>CV min</t>
    </r>
    <r>
      <rPr>
        <b/>
        <sz val="11"/>
        <color theme="0"/>
        <rFont val="Calibri"/>
        <family val="2"/>
      </rPr>
      <t xml:space="preserve">
[m]</t>
    </r>
  </si>
  <si>
    <r>
      <rPr>
        <b/>
        <sz val="11"/>
        <color theme="0"/>
        <rFont val="Calibri"/>
        <family val="2"/>
      </rPr>
      <t>L</t>
    </r>
    <r>
      <rPr>
        <b/>
        <vertAlign val="subscript"/>
        <sz val="11"/>
        <color theme="0"/>
        <rFont val="Calibri"/>
        <family val="2"/>
      </rPr>
      <t>CV max</t>
    </r>
    <r>
      <rPr>
        <b/>
        <sz val="11"/>
        <color theme="0"/>
        <rFont val="Calibri"/>
        <family val="2"/>
      </rPr>
      <t xml:space="preserve">
[m]</t>
    </r>
  </si>
  <si>
    <t>Lcv
[m]</t>
  </si>
  <si>
    <r>
      <rPr>
        <b/>
        <sz val="11"/>
        <color theme="0"/>
        <rFont val="Calibri"/>
        <family val="2"/>
      </rPr>
      <t>L</t>
    </r>
    <r>
      <rPr>
        <b/>
        <vertAlign val="subscript"/>
        <sz val="11"/>
        <color theme="0"/>
        <rFont val="Calibri"/>
        <family val="2"/>
      </rPr>
      <t>V1</t>
    </r>
    <r>
      <rPr>
        <b/>
        <sz val="11"/>
        <color theme="0"/>
        <rFont val="Calibri"/>
        <family val="2"/>
      </rPr>
      <t xml:space="preserve">
[m]</t>
    </r>
  </si>
  <si>
    <r>
      <rPr>
        <b/>
        <sz val="11"/>
        <color theme="0"/>
        <rFont val="Calibri"/>
        <family val="2"/>
      </rPr>
      <t>L</t>
    </r>
    <r>
      <rPr>
        <b/>
        <vertAlign val="subscript"/>
        <sz val="11"/>
        <color theme="0"/>
        <rFont val="Calibri"/>
        <family val="2"/>
      </rPr>
      <t>V2</t>
    </r>
    <r>
      <rPr>
        <b/>
        <sz val="11"/>
        <color theme="0"/>
        <rFont val="Calibri"/>
        <family val="2"/>
      </rPr>
      <t xml:space="preserve">
[m]</t>
    </r>
  </si>
  <si>
    <t>EXTERNA
(m)</t>
  </si>
  <si>
    <t>TIPO DE CURVA</t>
  </si>
  <si>
    <t>COTAS</t>
  </si>
  <si>
    <t>CONCAVIDAD</t>
  </si>
  <si>
    <t>SIMETRÍA</t>
  </si>
  <si>
    <t>PCV</t>
  </si>
  <si>
    <t>PTV</t>
  </si>
  <si>
    <t>PIV1</t>
  </si>
  <si>
    <t>PIV2</t>
  </si>
  <si>
    <t>PIV3</t>
  </si>
  <si>
    <t>PIV4</t>
  </si>
  <si>
    <t>PIV5</t>
  </si>
  <si>
    <t>PIV6</t>
  </si>
  <si>
    <t>PTOS.CONTROL</t>
  </si>
  <si>
    <t>ABSCISA</t>
  </si>
  <si>
    <t>COTA</t>
  </si>
  <si>
    <t>CONCATENADO</t>
  </si>
  <si>
    <t>CONCATENADOx10</t>
  </si>
  <si>
    <t>SEMEJANZA DE TRIANGULOS PARA INTERPOLACION</t>
  </si>
  <si>
    <t>PTO.1</t>
  </si>
  <si>
    <t>14-PT1</t>
  </si>
  <si>
    <t>Elementos AH</t>
  </si>
  <si>
    <t>Elementos AV</t>
  </si>
  <si>
    <t>PENDIENTE TRAMO (%)</t>
  </si>
  <si>
    <t>PERALTE (e)(%)</t>
  </si>
  <si>
    <t>Cota tangente eje (msnm)</t>
  </si>
  <si>
    <t>CCV</t>
  </si>
  <si>
    <t>Cota Rasante (msnm)</t>
  </si>
  <si>
    <t>Izquierdo</t>
  </si>
  <si>
    <t>Derecho</t>
  </si>
  <si>
    <t>Borde Izquierdo</t>
  </si>
  <si>
    <t>Eje</t>
  </si>
  <si>
    <t>Borde Derecho</t>
  </si>
  <si>
    <t>PTO1</t>
  </si>
  <si>
    <t>NOMENCLATURA DE COLORES</t>
  </si>
  <si>
    <t>Curvas horizontales</t>
  </si>
  <si>
    <t>Curvas verticales</t>
  </si>
  <si>
    <t>Puntos obligatorios</t>
  </si>
  <si>
    <t>NOMENCLATURAS PUNTOS DE PERALTE</t>
  </si>
  <si>
    <t>ENTRADA</t>
  </si>
  <si>
    <t>NOMENCLATURA</t>
  </si>
  <si>
    <t>SALIDA</t>
  </si>
  <si>
    <t>FIN_BOMBEO</t>
  </si>
  <si>
    <t>A</t>
  </si>
  <si>
    <t>INICIO_BOMBEO</t>
  </si>
  <si>
    <t>A'</t>
  </si>
  <si>
    <t>APLANAMIENTO</t>
  </si>
  <si>
    <t>B</t>
  </si>
  <si>
    <t>B'</t>
  </si>
  <si>
    <t>PERALTE=BOMBEO</t>
  </si>
  <si>
    <t>C</t>
  </si>
  <si>
    <t>C'</t>
  </si>
  <si>
    <t>PERALTE_MAXIMO</t>
  </si>
  <si>
    <t>D</t>
  </si>
  <si>
    <t>D'</t>
  </si>
  <si>
    <t>PERALTE_ALEATORIO</t>
  </si>
  <si>
    <t>X</t>
  </si>
  <si>
    <t>X'</t>
  </si>
  <si>
    <t>CURVAS HORIZONTALES</t>
  </si>
  <si>
    <t>CURVAS VERTICALES</t>
  </si>
  <si>
    <t>PRINCIPIO CURVA</t>
  </si>
  <si>
    <t>INTERSECCION TANGENTES</t>
  </si>
  <si>
    <t>PI</t>
  </si>
  <si>
    <t>TERMINA CURVA</t>
  </si>
  <si>
    <t>ANGULO DEFLEXION</t>
  </si>
  <si>
    <t>Δ</t>
  </si>
  <si>
    <t>LONGITUD DE CURVA</t>
  </si>
  <si>
    <t>Lcv</t>
  </si>
  <si>
    <t>GRADO DE CURVATURA</t>
  </si>
  <si>
    <t>Gc</t>
  </si>
  <si>
    <t>LONGITUD DE RAMA 1</t>
  </si>
  <si>
    <t>Lv1</t>
  </si>
  <si>
    <t>RADIO</t>
  </si>
  <si>
    <t>R</t>
  </si>
  <si>
    <t>LONGITUD DE RAMA 2</t>
  </si>
  <si>
    <t>Lv2</t>
  </si>
  <si>
    <t>PC1</t>
  </si>
  <si>
    <t>Curva horizontal 1</t>
  </si>
  <si>
    <t>T</t>
  </si>
  <si>
    <t>EXTERNA</t>
  </si>
  <si>
    <t>E</t>
  </si>
  <si>
    <t>Lc</t>
  </si>
  <si>
    <t>PENDIENTE DE ENTRADA</t>
  </si>
  <si>
    <t>p</t>
  </si>
  <si>
    <t>CUERDA</t>
  </si>
  <si>
    <t>PENDIENTE DE SALIDA</t>
  </si>
  <si>
    <t>q</t>
  </si>
  <si>
    <t>PERALTE MAXIMO</t>
  </si>
  <si>
    <t>LONGITUD DE RAMPA</t>
  </si>
  <si>
    <t>LR</t>
  </si>
  <si>
    <t>PT1</t>
  </si>
  <si>
    <t>PCV1</t>
  </si>
  <si>
    <t>Curva vertical 1</t>
  </si>
  <si>
    <t>PTV1</t>
  </si>
  <si>
    <t>PC2</t>
  </si>
  <si>
    <t>PT2</t>
  </si>
  <si>
    <t>PCV2</t>
  </si>
  <si>
    <t>Curva vertical 2</t>
  </si>
  <si>
    <t>PTV2</t>
  </si>
  <si>
    <t>PC3</t>
  </si>
  <si>
    <t>Curva horizontal 3</t>
  </si>
  <si>
    <t>PT3</t>
  </si>
  <si>
    <t>PCV3</t>
  </si>
  <si>
    <t>Curva vertical 3</t>
  </si>
  <si>
    <t>PTV3</t>
  </si>
  <si>
    <t>PC4</t>
  </si>
  <si>
    <t>Curva horizontal 4</t>
  </si>
  <si>
    <t>PT4</t>
  </si>
  <si>
    <t>PCV4</t>
  </si>
  <si>
    <t>Curva vertical 4</t>
  </si>
  <si>
    <t>PTV4</t>
  </si>
  <si>
    <t>PC5</t>
  </si>
  <si>
    <t>Curva horizontal 5</t>
  </si>
  <si>
    <t>PT5</t>
  </si>
  <si>
    <t>PCV5</t>
  </si>
  <si>
    <t>Curva vertical 5</t>
  </si>
  <si>
    <t>PTV5</t>
  </si>
  <si>
    <t>PCV6</t>
  </si>
  <si>
    <t>Curva vertical 6</t>
  </si>
  <si>
    <t>PTO 2</t>
  </si>
  <si>
    <t>PTV6</t>
  </si>
  <si>
    <t>PC6</t>
  </si>
  <si>
    <t>Curva horizontal 6</t>
  </si>
  <si>
    <t>PT6</t>
  </si>
  <si>
    <t>PC7</t>
  </si>
  <si>
    <t>Curva horizontal 7</t>
  </si>
  <si>
    <t>PT7</t>
  </si>
  <si>
    <t>Curva horizontal 8</t>
  </si>
  <si>
    <t>PT8</t>
  </si>
  <si>
    <t>Izquierda</t>
  </si>
  <si>
    <t>Derecha</t>
  </si>
  <si>
    <t>3° 55' 30''</t>
  </si>
  <si>
    <t>PI8</t>
  </si>
  <si>
    <t>219° 13' 52''</t>
  </si>
  <si>
    <t>144° 47' 49''</t>
  </si>
  <si>
    <t>235° 56' 30''</t>
  </si>
  <si>
    <t>231° 31' 10''</t>
  </si>
  <si>
    <t>187° 43' 38''</t>
  </si>
  <si>
    <t>125° 28' 44''</t>
  </si>
  <si>
    <t>168° 16' 30''</t>
  </si>
  <si>
    <t>175° 50' 19''</t>
  </si>
  <si>
    <t>190° 27' 49''</t>
  </si>
  <si>
    <t>PUTNO</t>
  </si>
  <si>
    <t>ei</t>
  </si>
  <si>
    <t>ed</t>
  </si>
  <si>
    <t xml:space="preserve">C' </t>
  </si>
  <si>
    <t>BOMBEO NORMAL</t>
  </si>
  <si>
    <t>E=BOMBEO</t>
  </si>
  <si>
    <t>P3</t>
  </si>
  <si>
    <t>P1</t>
  </si>
  <si>
    <t>IZ</t>
  </si>
  <si>
    <t>DER</t>
  </si>
  <si>
    <t>4-ESCOR</t>
  </si>
  <si>
    <t>Dist_Inf</t>
  </si>
  <si>
    <t>Cota</t>
  </si>
  <si>
    <t>Dist_Sup</t>
  </si>
  <si>
    <t>Cota_Sum</t>
  </si>
  <si>
    <t>5-ESCOR</t>
  </si>
  <si>
    <t>7-PC1</t>
  </si>
  <si>
    <t>25-PC2</t>
  </si>
  <si>
    <t>30-ESCOR</t>
  </si>
  <si>
    <t>31-ESCOR</t>
  </si>
  <si>
    <t>32-PT2</t>
  </si>
  <si>
    <t>38-PC3</t>
  </si>
  <si>
    <t>39-PT3</t>
  </si>
  <si>
    <t>46-PC4</t>
  </si>
  <si>
    <t>51-PT4</t>
  </si>
  <si>
    <t>53-P2</t>
  </si>
  <si>
    <t>56-AFLUEN</t>
  </si>
  <si>
    <t>62-ESCOR</t>
  </si>
  <si>
    <t>66-PC5</t>
  </si>
  <si>
    <t>69-PT5</t>
  </si>
  <si>
    <t>73-PC6</t>
  </si>
  <si>
    <t>79 - PT6</t>
  </si>
  <si>
    <t>80-ESCOR</t>
  </si>
  <si>
    <t>83-PC7</t>
  </si>
  <si>
    <t>84-PT7</t>
  </si>
  <si>
    <t>85-ESCOR</t>
  </si>
  <si>
    <t>91-PC8</t>
  </si>
  <si>
    <t>92-PT8</t>
  </si>
  <si>
    <t>LVMIN</t>
  </si>
  <si>
    <t>Curva1</t>
  </si>
  <si>
    <t>Concava</t>
  </si>
  <si>
    <t>Lim_Segur</t>
  </si>
  <si>
    <t>Lim_Como</t>
  </si>
  <si>
    <t>Lim_Opera</t>
  </si>
  <si>
    <t>Curva2</t>
  </si>
  <si>
    <t>Convexa</t>
  </si>
  <si>
    <t>Curva3</t>
  </si>
  <si>
    <t>Curva4</t>
  </si>
  <si>
    <t>Curva5</t>
  </si>
  <si>
    <t>Curva6</t>
  </si>
  <si>
    <t>ccv</t>
  </si>
  <si>
    <t>100-P3</t>
  </si>
  <si>
    <t xml:space="preserve"> </t>
  </si>
  <si>
    <t>Puentes</t>
  </si>
  <si>
    <t>Abscisa inicio</t>
  </si>
  <si>
    <t>Abscisa final</t>
  </si>
  <si>
    <t>Cota final</t>
  </si>
  <si>
    <t>Cota inicial</t>
  </si>
  <si>
    <t xml:space="preserve">Pendiente </t>
  </si>
  <si>
    <t>Galibo(m)</t>
  </si>
  <si>
    <t>Longitud(m)</t>
  </si>
  <si>
    <t>Cortes</t>
  </si>
  <si>
    <t>Altura(m)</t>
  </si>
  <si>
    <t>Fin DB 1 (Entrada)</t>
  </si>
  <si>
    <t>Aplanam 1 (Entrada)</t>
  </si>
  <si>
    <t>X1 (Entrada)</t>
  </si>
  <si>
    <t>e=max (Entrada)</t>
  </si>
  <si>
    <t>e=max (Salida)</t>
  </si>
  <si>
    <t>X1 (Salida)</t>
  </si>
  <si>
    <t>e=b 1 (Salida)</t>
  </si>
  <si>
    <t>e=b 1 (entrada)</t>
  </si>
  <si>
    <t>Aplanam 1 (Salida)</t>
  </si>
  <si>
    <t>Inicio db 2</t>
  </si>
  <si>
    <t>Fin db 2</t>
  </si>
  <si>
    <t>Aplanam 2 (entrada)</t>
  </si>
  <si>
    <t>e=b 2 (entrada)</t>
  </si>
  <si>
    <t>X2 (entrada)</t>
  </si>
  <si>
    <t>e=max 2 (entrada)</t>
  </si>
  <si>
    <t>e=max 2 (salida)</t>
  </si>
  <si>
    <t>x2 (salida)</t>
  </si>
  <si>
    <t>e=b 2 (salida)</t>
  </si>
  <si>
    <t>Aplana 2 (salida)</t>
  </si>
  <si>
    <t xml:space="preserve">inicio db 3 </t>
  </si>
  <si>
    <t xml:space="preserve">Fin db 3 </t>
  </si>
  <si>
    <t>Aplanm 3 (entrada)</t>
  </si>
  <si>
    <t>e=b 3 (entrada)</t>
  </si>
  <si>
    <t>X3 (entrada)</t>
  </si>
  <si>
    <t xml:space="preserve">e=max 3 </t>
  </si>
  <si>
    <t>e=max 3 (salida)</t>
  </si>
  <si>
    <t>x3 (salida)</t>
  </si>
  <si>
    <t>e=b 3 (salida)</t>
  </si>
  <si>
    <t>Aplanam 3 (salida)</t>
  </si>
  <si>
    <t xml:space="preserve">inicio db 4 </t>
  </si>
  <si>
    <t>Fin db 4</t>
  </si>
  <si>
    <t>Aplanam 4 (entrada)</t>
  </si>
  <si>
    <t>e=b 4 (entrada)</t>
  </si>
  <si>
    <t>X4 (entrada)</t>
  </si>
  <si>
    <t>e=max 4 (entrada)</t>
  </si>
  <si>
    <t>e=max 4 (salida)</t>
  </si>
  <si>
    <t>x4 (salida)</t>
  </si>
  <si>
    <t>Aplanam 4 (salida)</t>
  </si>
  <si>
    <t xml:space="preserve">Inicio db 5 </t>
  </si>
  <si>
    <t>Fin db 5</t>
  </si>
  <si>
    <t>Aplanam 5 (entrada)</t>
  </si>
  <si>
    <t>e=b 5 (entrada)</t>
  </si>
  <si>
    <t>x5 (entrada)</t>
  </si>
  <si>
    <t>e=max 5 (entrada)</t>
  </si>
  <si>
    <t>e=max 5 (salida)</t>
  </si>
  <si>
    <t>X5 ( salida)</t>
  </si>
  <si>
    <t>e=b 5 (salida)</t>
  </si>
  <si>
    <t>Aplanam 5 (salida)</t>
  </si>
  <si>
    <t>Inicio db 6</t>
  </si>
  <si>
    <t xml:space="preserve">Fin db 6 </t>
  </si>
  <si>
    <t>Aplanam 6 (entrada)</t>
  </si>
  <si>
    <t>e=b 6 (entrada)</t>
  </si>
  <si>
    <t>X6 (entrada)</t>
  </si>
  <si>
    <t>e=max 6 (entrada)</t>
  </si>
  <si>
    <t>e=max 6 (salida)</t>
  </si>
  <si>
    <t>X6 (salida)</t>
  </si>
  <si>
    <t>e=b 6 ( salida)</t>
  </si>
  <si>
    <t>Aplanm 6 (salida)</t>
  </si>
  <si>
    <t>Inicio db 7</t>
  </si>
  <si>
    <t>Final db 7</t>
  </si>
  <si>
    <t>Aplanam 7 (entrada)</t>
  </si>
  <si>
    <t>e=b 7 (entrada)</t>
  </si>
  <si>
    <t>X7 (entrada)</t>
  </si>
  <si>
    <t>e=max 7 (entrada)</t>
  </si>
  <si>
    <t>e=max 7 (salida)</t>
  </si>
  <si>
    <t>X7 (salida)</t>
  </si>
  <si>
    <t>e=b 7 (salida)</t>
  </si>
  <si>
    <t>Aplanam 7 (salida)</t>
  </si>
  <si>
    <t xml:space="preserve">Inicio db 8 </t>
  </si>
  <si>
    <t>Fin db 8</t>
  </si>
  <si>
    <t>Aplanam 8 (entrada)</t>
  </si>
  <si>
    <t xml:space="preserve">PC 8 </t>
  </si>
  <si>
    <t>X8 (salida)</t>
  </si>
  <si>
    <t>e=b 8 (salida)</t>
  </si>
  <si>
    <t>Aplanam 8 (salida)</t>
  </si>
  <si>
    <t xml:space="preserve">Incio db 9 </t>
  </si>
  <si>
    <t>e=b 8 (entrada)</t>
  </si>
  <si>
    <t>e=max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</si>
</sst>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&quot;K&quot;0&quot; + &quot;000"/>
    <numFmt numFmtId="165" formatCode="&quot;K&quot;0&quot;+&quot;000"/>
    <numFmt numFmtId="166" formatCode="0.000"/>
    <numFmt numFmtId="167" formatCode="0.00000"/>
    <numFmt numFmtId="168" formatCode="[h]\°mm\'ss\'\'"/>
    <numFmt numFmtId="169" formatCode="&quot;K&quot;0&quot;+&quot;000.000"/>
    <numFmt numFmtId="170" formatCode="0.0000"/>
    <numFmt numFmtId="171" formatCode="0.000000"/>
    <numFmt numFmtId="172" formatCode="&quot;Δ=&quot;[h]\°mm\'ss\'\'"/>
    <numFmt numFmtId="173" formatCode="&quot;Gc=&quot;[h]\°mm\'ss\'\'"/>
    <numFmt numFmtId="174" formatCode="&quot;R=&quot;0.000\ &quot;m&quot;"/>
    <numFmt numFmtId="175" formatCode="&quot;T=&quot;0.000\ &quot;m&quot;"/>
    <numFmt numFmtId="176" formatCode="&quot;Lc=&quot;0.000\ &quot;m&quot;"/>
    <numFmt numFmtId="177" formatCode="&quot;c=&quot;0\ &quot;m&quot;"/>
    <numFmt numFmtId="178" formatCode="&quot;e máx=&quot;0\ &quot;%&quot;"/>
    <numFmt numFmtId="179" formatCode="&quot;LR=&quot;0.000\ &quot;m&quot;"/>
    <numFmt numFmtId="180" formatCode="&quot;Lv=&quot;0.000\ &quot;m&quot;"/>
    <numFmt numFmtId="181" formatCode="&quot;Lv1=&quot;0.000\ &quot;m&quot;"/>
    <numFmt numFmtId="182" formatCode="&quot;Lv2=&quot;0.000\ &quot;m&quot;"/>
    <numFmt numFmtId="183" formatCode="&quot;E=&quot;0.000\ &quot;m&quot;"/>
    <numFmt numFmtId="184" formatCode="&quot;p=&quot;0.000\ &quot;%&quot;"/>
    <numFmt numFmtId="185" formatCode="&quot;q=&quot;0.000\ &quot;%&quot;"/>
    <numFmt numFmtId="186" formatCode="0.000000000000"/>
    <numFmt numFmtId="187" formatCode="0.0%"/>
  </numFmts>
  <fonts count="21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  <scheme val="minor"/>
    </font>
    <font>
      <b/>
      <sz val="11"/>
      <color theme="0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vertAlign val="subscript"/>
      <sz val="11"/>
      <color theme="0"/>
      <name val="Calibri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</font>
    <font>
      <sz val="11"/>
      <name val="Arial"/>
      <family val="2"/>
    </font>
    <font>
      <sz val="1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548135"/>
        <bgColor rgb="FF548135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rgb="FFFFC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63A4F7"/>
        <bgColor theme="0"/>
      </patternFill>
    </fill>
    <fill>
      <patternFill patternType="solid">
        <fgColor rgb="FF63A4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theme="7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7">
    <xf numFmtId="0" fontId="0" fillId="0" borderId="0"/>
    <xf numFmtId="9" fontId="5" fillId="0" borderId="0" applyFont="0" applyFill="0" applyBorder="0" applyAlignment="0" applyProtection="0"/>
    <xf numFmtId="0" fontId="5" fillId="0" borderId="17"/>
    <xf numFmtId="0" fontId="5" fillId="0" borderId="17"/>
    <xf numFmtId="0" fontId="1" fillId="0" borderId="17"/>
    <xf numFmtId="0" fontId="1" fillId="0" borderId="17"/>
    <xf numFmtId="9" fontId="1" fillId="0" borderId="17" applyFont="0" applyFill="0" applyBorder="0" applyAlignment="0" applyProtection="0"/>
    <xf numFmtId="0" fontId="1" fillId="0" borderId="17"/>
    <xf numFmtId="0" fontId="1" fillId="0" borderId="17"/>
    <xf numFmtId="0" fontId="1" fillId="0" borderId="17"/>
    <xf numFmtId="0" fontId="1" fillId="0" borderId="17"/>
    <xf numFmtId="0" fontId="1" fillId="0" borderId="17"/>
    <xf numFmtId="0" fontId="1" fillId="0" borderId="17"/>
    <xf numFmtId="0" fontId="1" fillId="0" borderId="17"/>
    <xf numFmtId="9" fontId="1" fillId="0" borderId="17" applyFont="0" applyFill="0" applyBorder="0" applyAlignment="0" applyProtection="0"/>
    <xf numFmtId="0" fontId="1" fillId="0" borderId="17"/>
    <xf numFmtId="0" fontId="1" fillId="0" borderId="17"/>
  </cellStyleXfs>
  <cellXfs count="393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0" xfId="0" applyFont="1"/>
    <xf numFmtId="0" fontId="6" fillId="2" borderId="3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vertical="center" wrapText="1"/>
    </xf>
    <xf numFmtId="0" fontId="7" fillId="0" borderId="8" xfId="0" applyFont="1" applyBorder="1"/>
    <xf numFmtId="0" fontId="6" fillId="2" borderId="3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164" fontId="7" fillId="0" borderId="5" xfId="0" applyNumberFormat="1" applyFont="1" applyBorder="1" applyAlignment="1">
      <alignment horizontal="center"/>
    </xf>
    <xf numFmtId="165" fontId="4" fillId="0" borderId="0" xfId="0" applyNumberFormat="1" applyFont="1" applyAlignment="1">
      <alignment vertical="center"/>
    </xf>
    <xf numFmtId="0" fontId="9" fillId="0" borderId="2" xfId="0" applyFont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167" fontId="7" fillId="4" borderId="2" xfId="0" applyNumberFormat="1" applyFont="1" applyFill="1" applyBorder="1" applyAlignment="1">
      <alignment horizontal="center" vertical="center"/>
    </xf>
    <xf numFmtId="168" fontId="7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2" fontId="7" fillId="0" borderId="0" xfId="0" applyNumberFormat="1" applyFont="1"/>
    <xf numFmtId="166" fontId="4" fillId="0" borderId="4" xfId="0" applyNumberFormat="1" applyFont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69" fontId="4" fillId="5" borderId="2" xfId="0" applyNumberFormat="1" applyFont="1" applyFill="1" applyBorder="1" applyAlignment="1">
      <alignment horizontal="center" vertical="center"/>
    </xf>
    <xf numFmtId="169" fontId="4" fillId="4" borderId="1" xfId="0" applyNumberFormat="1" applyFont="1" applyFill="1" applyBorder="1" applyAlignment="1">
      <alignment vertical="center"/>
    </xf>
    <xf numFmtId="164" fontId="7" fillId="0" borderId="5" xfId="0" applyNumberFormat="1" applyFont="1" applyBorder="1"/>
    <xf numFmtId="2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170" fontId="4" fillId="0" borderId="4" xfId="0" applyNumberFormat="1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11" xfId="0" applyNumberFormat="1" applyFont="1" applyFill="1" applyBorder="1" applyAlignment="1">
      <alignment horizontal="center" vertical="center"/>
    </xf>
    <xf numFmtId="171" fontId="4" fillId="0" borderId="2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71" fontId="7" fillId="4" borderId="2" xfId="0" applyNumberFormat="1" applyFont="1" applyFill="1" applyBorder="1" applyAlignment="1">
      <alignment horizontal="center" vertical="center"/>
    </xf>
    <xf numFmtId="171" fontId="4" fillId="4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7" fillId="0" borderId="0" xfId="0" applyNumberFormat="1" applyFont="1"/>
    <xf numFmtId="169" fontId="4" fillId="6" borderId="2" xfId="0" applyNumberFormat="1" applyFont="1" applyFill="1" applyBorder="1" applyAlignment="1">
      <alignment horizontal="center" vertical="center"/>
    </xf>
    <xf numFmtId="169" fontId="4" fillId="0" borderId="2" xfId="0" applyNumberFormat="1" applyFont="1" applyBorder="1" applyAlignment="1">
      <alignment horizontal="center" vertical="center"/>
    </xf>
    <xf numFmtId="166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9" fontId="4" fillId="6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2" fontId="10" fillId="0" borderId="4" xfId="0" applyNumberFormat="1" applyFont="1" applyBorder="1" applyAlignment="1">
      <alignment vertical="center"/>
    </xf>
    <xf numFmtId="2" fontId="10" fillId="0" borderId="13" xfId="0" applyNumberFormat="1" applyFont="1" applyBorder="1" applyAlignment="1">
      <alignment vertical="center"/>
    </xf>
    <xf numFmtId="2" fontId="10" fillId="0" borderId="5" xfId="0" applyNumberFormat="1" applyFont="1" applyBorder="1" applyAlignment="1">
      <alignment vertical="center"/>
    </xf>
    <xf numFmtId="2" fontId="11" fillId="0" borderId="0" xfId="0" applyNumberFormat="1" applyFont="1" applyAlignment="1">
      <alignment horizontal="left"/>
    </xf>
    <xf numFmtId="0" fontId="1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9" fontId="4" fillId="0" borderId="0" xfId="0" applyNumberFormat="1" applyFont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0" borderId="2" xfId="0" applyFont="1" applyBorder="1"/>
    <xf numFmtId="169" fontId="4" fillId="4" borderId="2" xfId="0" applyNumberFormat="1" applyFont="1" applyFill="1" applyBorder="1" applyAlignment="1">
      <alignment vertical="center"/>
    </xf>
    <xf numFmtId="169" fontId="7" fillId="5" borderId="2" xfId="0" applyNumberFormat="1" applyFont="1" applyFill="1" applyBorder="1"/>
    <xf numFmtId="166" fontId="4" fillId="4" borderId="2" xfId="0" applyNumberFormat="1" applyFont="1" applyFill="1" applyBorder="1" applyAlignment="1">
      <alignment horizontal="center" vertical="center"/>
    </xf>
    <xf numFmtId="10" fontId="4" fillId="4" borderId="2" xfId="0" applyNumberFormat="1" applyFont="1" applyFill="1" applyBorder="1" applyAlignment="1">
      <alignment horizontal="center" vertical="center"/>
    </xf>
    <xf numFmtId="170" fontId="4" fillId="4" borderId="2" xfId="0" applyNumberFormat="1" applyFont="1" applyFill="1" applyBorder="1" applyAlignment="1">
      <alignment horizontal="center" vertical="center"/>
    </xf>
    <xf numFmtId="170" fontId="4" fillId="0" borderId="2" xfId="0" applyNumberFormat="1" applyFont="1" applyBorder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166" fontId="7" fillId="0" borderId="8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166" fontId="7" fillId="6" borderId="2" xfId="0" applyNumberFormat="1" applyFont="1" applyFill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6" fontId="7" fillId="5" borderId="2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/>
    <xf numFmtId="0" fontId="4" fillId="8" borderId="2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169" fontId="4" fillId="0" borderId="0" xfId="0" applyNumberFormat="1" applyFont="1"/>
    <xf numFmtId="0" fontId="4" fillId="5" borderId="2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166" fontId="4" fillId="5" borderId="17" xfId="0" applyNumberFormat="1" applyFont="1" applyFill="1" applyBorder="1" applyAlignment="1">
      <alignment horizontal="center" vertical="center"/>
    </xf>
    <xf numFmtId="172" fontId="4" fillId="5" borderId="17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wrapText="1"/>
    </xf>
    <xf numFmtId="0" fontId="4" fillId="9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173" fontId="4" fillId="5" borderId="17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/>
    </xf>
    <xf numFmtId="174" fontId="4" fillId="5" borderId="17" xfId="0" applyNumberFormat="1" applyFont="1" applyFill="1" applyBorder="1" applyAlignment="1">
      <alignment horizontal="center" vertical="center"/>
    </xf>
    <xf numFmtId="175" fontId="4" fillId="5" borderId="17" xfId="0" applyNumberFormat="1" applyFont="1" applyFill="1" applyBorder="1" applyAlignment="1">
      <alignment horizontal="center" vertical="center"/>
    </xf>
    <xf numFmtId="176" fontId="4" fillId="5" borderId="17" xfId="0" applyNumberFormat="1" applyFont="1" applyFill="1" applyBorder="1" applyAlignment="1">
      <alignment horizontal="center" vertical="center"/>
    </xf>
    <xf numFmtId="177" fontId="4" fillId="5" borderId="17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78" fontId="4" fillId="5" borderId="17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/>
    </xf>
    <xf numFmtId="179" fontId="4" fillId="5" borderId="17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180" fontId="14" fillId="5" borderId="3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172" fontId="4" fillId="9" borderId="7" xfId="0" applyNumberFormat="1" applyFont="1" applyFill="1" applyBorder="1" applyAlignment="1">
      <alignment horizontal="center"/>
    </xf>
    <xf numFmtId="177" fontId="4" fillId="9" borderId="32" xfId="0" applyNumberFormat="1" applyFont="1" applyFill="1" applyBorder="1" applyAlignment="1">
      <alignment horizontal="center"/>
    </xf>
    <xf numFmtId="2" fontId="4" fillId="9" borderId="33" xfId="0" applyNumberFormat="1" applyFont="1" applyFill="1" applyBorder="1" applyAlignment="1">
      <alignment vertical="center"/>
    </xf>
    <xf numFmtId="0" fontId="4" fillId="5" borderId="31" xfId="0" applyFont="1" applyFill="1" applyBorder="1" applyAlignment="1">
      <alignment horizontal="center" vertical="center"/>
    </xf>
    <xf numFmtId="173" fontId="4" fillId="9" borderId="34" xfId="0" applyNumberFormat="1" applyFont="1" applyFill="1" applyBorder="1" applyAlignment="1">
      <alignment horizontal="center"/>
    </xf>
    <xf numFmtId="178" fontId="4" fillId="9" borderId="17" xfId="0" applyNumberFormat="1" applyFont="1" applyFill="1" applyBorder="1" applyAlignment="1">
      <alignment horizontal="center"/>
    </xf>
    <xf numFmtId="2" fontId="4" fillId="9" borderId="31" xfId="0" applyNumberFormat="1" applyFont="1" applyFill="1" applyBorder="1" applyAlignment="1">
      <alignment vertical="center"/>
    </xf>
    <xf numFmtId="174" fontId="4" fillId="9" borderId="34" xfId="0" applyNumberFormat="1" applyFont="1" applyFill="1" applyBorder="1" applyAlignment="1">
      <alignment horizontal="center"/>
    </xf>
    <xf numFmtId="179" fontId="4" fillId="9" borderId="17" xfId="0" applyNumberFormat="1" applyFont="1" applyFill="1" applyBorder="1" applyAlignment="1">
      <alignment horizontal="center"/>
    </xf>
    <xf numFmtId="175" fontId="4" fillId="9" borderId="34" xfId="0" applyNumberFormat="1" applyFont="1" applyFill="1" applyBorder="1" applyAlignment="1">
      <alignment horizontal="center"/>
    </xf>
    <xf numFmtId="2" fontId="4" fillId="9" borderId="17" xfId="0" applyNumberFormat="1" applyFont="1" applyFill="1" applyBorder="1" applyAlignment="1">
      <alignment horizontal="center"/>
    </xf>
    <xf numFmtId="176" fontId="4" fillId="9" borderId="34" xfId="0" applyNumberFormat="1" applyFont="1" applyFill="1" applyBorder="1" applyAlignment="1">
      <alignment horizontal="center"/>
    </xf>
    <xf numFmtId="0" fontId="4" fillId="9" borderId="17" xfId="0" applyFont="1" applyFill="1" applyBorder="1" applyAlignment="1">
      <alignment horizontal="center"/>
    </xf>
    <xf numFmtId="0" fontId="4" fillId="9" borderId="34" xfId="0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2" fontId="4" fillId="9" borderId="10" xfId="0" applyNumberFormat="1" applyFont="1" applyFill="1" applyBorder="1" applyAlignment="1">
      <alignment horizontal="center"/>
    </xf>
    <xf numFmtId="2" fontId="4" fillId="9" borderId="35" xfId="0" applyNumberFormat="1" applyFont="1" applyFill="1" applyBorder="1" applyAlignment="1">
      <alignment vertical="center"/>
    </xf>
    <xf numFmtId="180" fontId="14" fillId="5" borderId="27" xfId="0" applyNumberFormat="1" applyFont="1" applyFill="1" applyBorder="1" applyAlignment="1">
      <alignment vertical="center"/>
    </xf>
    <xf numFmtId="0" fontId="4" fillId="10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180" fontId="4" fillId="10" borderId="34" xfId="0" applyNumberFormat="1" applyFont="1" applyFill="1" applyBorder="1" applyAlignment="1">
      <alignment horizontal="center" vertical="center"/>
    </xf>
    <xf numFmtId="181" fontId="4" fillId="10" borderId="34" xfId="0" applyNumberFormat="1" applyFont="1" applyFill="1" applyBorder="1" applyAlignment="1">
      <alignment horizontal="center" vertical="center"/>
    </xf>
    <xf numFmtId="182" fontId="4" fillId="10" borderId="34" xfId="0" applyNumberFormat="1" applyFont="1" applyFill="1" applyBorder="1" applyAlignment="1">
      <alignment horizontal="center" vertical="center"/>
    </xf>
    <xf numFmtId="183" fontId="4" fillId="10" borderId="34" xfId="0" applyNumberFormat="1" applyFont="1" applyFill="1" applyBorder="1" applyAlignment="1">
      <alignment horizontal="center" vertical="center"/>
    </xf>
    <xf numFmtId="184" fontId="4" fillId="10" borderId="34" xfId="0" applyNumberFormat="1" applyFont="1" applyFill="1" applyBorder="1" applyAlignment="1">
      <alignment horizontal="center" vertical="center"/>
    </xf>
    <xf numFmtId="185" fontId="4" fillId="10" borderId="34" xfId="0" applyNumberFormat="1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172" fontId="4" fillId="9" borderId="32" xfId="0" applyNumberFormat="1" applyFont="1" applyFill="1" applyBorder="1" applyAlignment="1">
      <alignment horizontal="center" vertical="center"/>
    </xf>
    <xf numFmtId="175" fontId="4" fillId="9" borderId="32" xfId="0" applyNumberFormat="1" applyFont="1" applyFill="1" applyBorder="1" applyAlignment="1">
      <alignment horizontal="center" vertical="center"/>
    </xf>
    <xf numFmtId="178" fontId="4" fillId="9" borderId="32" xfId="0" applyNumberFormat="1" applyFont="1" applyFill="1" applyBorder="1" applyAlignment="1">
      <alignment horizontal="center" vertical="center"/>
    </xf>
    <xf numFmtId="168" fontId="4" fillId="9" borderId="17" xfId="0" applyNumberFormat="1" applyFont="1" applyFill="1" applyBorder="1" applyAlignment="1">
      <alignment horizontal="center" vertical="center"/>
    </xf>
    <xf numFmtId="176" fontId="4" fillId="9" borderId="17" xfId="0" applyNumberFormat="1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174" fontId="4" fillId="9" borderId="10" xfId="0" applyNumberFormat="1" applyFont="1" applyFill="1" applyBorder="1" applyAlignment="1">
      <alignment horizontal="center" vertical="center"/>
    </xf>
    <xf numFmtId="177" fontId="4" fillId="9" borderId="10" xfId="0" applyNumberFormat="1" applyFont="1" applyFill="1" applyBorder="1" applyAlignment="1">
      <alignment horizontal="center" vertical="center"/>
    </xf>
    <xf numFmtId="173" fontId="4" fillId="9" borderId="10" xfId="0" applyNumberFormat="1" applyFont="1" applyFill="1" applyBorder="1" applyAlignment="1">
      <alignment horizontal="center" vertical="center"/>
    </xf>
    <xf numFmtId="180" fontId="4" fillId="10" borderId="3" xfId="0" applyNumberFormat="1" applyFont="1" applyFill="1" applyBorder="1" applyAlignment="1">
      <alignment horizontal="center" vertical="center"/>
    </xf>
    <xf numFmtId="181" fontId="4" fillId="10" borderId="27" xfId="0" applyNumberFormat="1" applyFont="1" applyFill="1" applyBorder="1" applyAlignment="1">
      <alignment horizontal="center" vertical="center"/>
    </xf>
    <xf numFmtId="182" fontId="4" fillId="10" borderId="27" xfId="0" applyNumberFormat="1" applyFont="1" applyFill="1" applyBorder="1" applyAlignment="1">
      <alignment horizontal="center" vertical="center"/>
    </xf>
    <xf numFmtId="183" fontId="4" fillId="10" borderId="27" xfId="0" applyNumberFormat="1" applyFont="1" applyFill="1" applyBorder="1" applyAlignment="1">
      <alignment horizontal="center" vertical="center"/>
    </xf>
    <xf numFmtId="184" fontId="4" fillId="10" borderId="27" xfId="0" applyNumberFormat="1" applyFont="1" applyFill="1" applyBorder="1" applyAlignment="1">
      <alignment horizontal="center" vertical="center"/>
    </xf>
    <xf numFmtId="185" fontId="4" fillId="10" borderId="27" xfId="0" applyNumberFormat="1" applyFont="1" applyFill="1" applyBorder="1" applyAlignment="1">
      <alignment horizontal="center" vertical="center"/>
    </xf>
    <xf numFmtId="180" fontId="14" fillId="5" borderId="27" xfId="0" applyNumberFormat="1" applyFont="1" applyFill="1" applyBorder="1" applyAlignment="1">
      <alignment horizontal="center" vertical="center"/>
    </xf>
    <xf numFmtId="184" fontId="14" fillId="5" borderId="27" xfId="0" applyNumberFormat="1" applyFont="1" applyFill="1" applyBorder="1" applyAlignment="1">
      <alignment horizontal="center" vertical="center"/>
    </xf>
    <xf numFmtId="185" fontId="14" fillId="5" borderId="27" xfId="0" applyNumberFormat="1" applyFont="1" applyFill="1" applyBorder="1" applyAlignment="1">
      <alignment horizontal="center" vertical="center"/>
    </xf>
    <xf numFmtId="183" fontId="14" fillId="5" borderId="27" xfId="0" applyNumberFormat="1" applyFont="1" applyFill="1" applyBorder="1" applyAlignment="1">
      <alignment horizontal="center" vertical="center"/>
    </xf>
    <xf numFmtId="181" fontId="14" fillId="5" borderId="27" xfId="0" applyNumberFormat="1" applyFont="1" applyFill="1" applyBorder="1" applyAlignment="1">
      <alignment horizontal="center" vertical="center"/>
    </xf>
    <xf numFmtId="182" fontId="14" fillId="5" borderId="27" xfId="0" applyNumberFormat="1" applyFont="1" applyFill="1" applyBorder="1" applyAlignment="1">
      <alignment horizontal="center" vertical="center"/>
    </xf>
    <xf numFmtId="172" fontId="4" fillId="9" borderId="7" xfId="0" applyNumberFormat="1" applyFont="1" applyFill="1" applyBorder="1" applyAlignment="1">
      <alignment horizontal="center" vertical="center"/>
    </xf>
    <xf numFmtId="176" fontId="4" fillId="9" borderId="32" xfId="0" applyNumberFormat="1" applyFont="1" applyFill="1" applyBorder="1" applyAlignment="1">
      <alignment horizontal="center" vertical="center"/>
    </xf>
    <xf numFmtId="173" fontId="4" fillId="9" borderId="33" xfId="0" applyNumberFormat="1" applyFont="1" applyFill="1" applyBorder="1" applyAlignment="1">
      <alignment horizontal="center" vertical="center"/>
    </xf>
    <xf numFmtId="173" fontId="4" fillId="9" borderId="34" xfId="0" applyNumberFormat="1" applyFont="1" applyFill="1" applyBorder="1" applyAlignment="1">
      <alignment horizontal="center" vertical="center"/>
    </xf>
    <xf numFmtId="177" fontId="4" fillId="9" borderId="17" xfId="0" applyNumberFormat="1" applyFont="1" applyFill="1" applyBorder="1" applyAlignment="1">
      <alignment horizontal="center" vertical="center"/>
    </xf>
    <xf numFmtId="174" fontId="4" fillId="9" borderId="31" xfId="0" applyNumberFormat="1" applyFont="1" applyFill="1" applyBorder="1" applyAlignment="1">
      <alignment horizontal="center" vertical="center"/>
    </xf>
    <xf numFmtId="174" fontId="4" fillId="9" borderId="34" xfId="0" applyNumberFormat="1" applyFont="1" applyFill="1" applyBorder="1" applyAlignment="1">
      <alignment horizontal="center" vertical="center"/>
    </xf>
    <xf numFmtId="178" fontId="4" fillId="9" borderId="17" xfId="0" applyNumberFormat="1" applyFont="1" applyFill="1" applyBorder="1" applyAlignment="1">
      <alignment horizontal="center" vertical="center"/>
    </xf>
    <xf numFmtId="175" fontId="4" fillId="9" borderId="31" xfId="0" applyNumberFormat="1" applyFont="1" applyFill="1" applyBorder="1" applyAlignment="1">
      <alignment horizontal="center" vertical="center"/>
    </xf>
    <xf numFmtId="175" fontId="4" fillId="9" borderId="34" xfId="0" applyNumberFormat="1" applyFont="1" applyFill="1" applyBorder="1" applyAlignment="1">
      <alignment horizontal="center" vertical="center"/>
    </xf>
    <xf numFmtId="179" fontId="4" fillId="9" borderId="17" xfId="0" applyNumberFormat="1" applyFont="1" applyFill="1" applyBorder="1" applyAlignment="1">
      <alignment horizontal="center" vertical="center"/>
    </xf>
    <xf numFmtId="176" fontId="4" fillId="9" borderId="31" xfId="0" applyNumberFormat="1" applyFont="1" applyFill="1" applyBorder="1" applyAlignment="1">
      <alignment horizontal="center" vertical="center"/>
    </xf>
    <xf numFmtId="0" fontId="4" fillId="9" borderId="34" xfId="0" applyFont="1" applyFill="1" applyBorder="1" applyAlignment="1">
      <alignment horizontal="center" vertical="center"/>
    </xf>
    <xf numFmtId="173" fontId="4" fillId="9" borderId="17" xfId="0" applyNumberFormat="1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35" xfId="0" applyFont="1" applyFill="1" applyBorder="1" applyAlignment="1">
      <alignment horizontal="center" vertical="center"/>
    </xf>
    <xf numFmtId="180" fontId="4" fillId="10" borderId="27" xfId="0" applyNumberFormat="1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172" fontId="4" fillId="11" borderId="7" xfId="0" applyNumberFormat="1" applyFont="1" applyFill="1" applyBorder="1" applyAlignment="1">
      <alignment horizontal="center" vertical="center"/>
    </xf>
    <xf numFmtId="176" fontId="4" fillId="11" borderId="32" xfId="0" applyNumberFormat="1" applyFont="1" applyFill="1" applyBorder="1" applyAlignment="1">
      <alignment horizontal="center" vertical="center"/>
    </xf>
    <xf numFmtId="0" fontId="4" fillId="11" borderId="33" xfId="0" applyFont="1" applyFill="1" applyBorder="1" applyAlignment="1">
      <alignment horizontal="center" vertical="center"/>
    </xf>
    <xf numFmtId="173" fontId="4" fillId="11" borderId="34" xfId="0" applyNumberFormat="1" applyFont="1" applyFill="1" applyBorder="1" applyAlignment="1">
      <alignment horizontal="center" vertical="center"/>
    </xf>
    <xf numFmtId="177" fontId="4" fillId="11" borderId="17" xfId="0" applyNumberFormat="1" applyFont="1" applyFill="1" applyBorder="1" applyAlignment="1">
      <alignment horizontal="center" vertical="center"/>
    </xf>
    <xf numFmtId="0" fontId="4" fillId="11" borderId="31" xfId="0" applyFont="1" applyFill="1" applyBorder="1" applyAlignment="1">
      <alignment horizontal="center" vertical="center"/>
    </xf>
    <xf numFmtId="174" fontId="4" fillId="11" borderId="34" xfId="0" applyNumberFormat="1" applyFont="1" applyFill="1" applyBorder="1" applyAlignment="1">
      <alignment horizontal="center" vertical="center"/>
    </xf>
    <xf numFmtId="178" fontId="4" fillId="11" borderId="17" xfId="0" applyNumberFormat="1" applyFont="1" applyFill="1" applyBorder="1" applyAlignment="1">
      <alignment horizontal="center" vertical="center"/>
    </xf>
    <xf numFmtId="175" fontId="4" fillId="11" borderId="34" xfId="0" applyNumberFormat="1" applyFont="1" applyFill="1" applyBorder="1" applyAlignment="1">
      <alignment horizontal="center" vertical="center"/>
    </xf>
    <xf numFmtId="179" fontId="4" fillId="11" borderId="17" xfId="0" applyNumberFormat="1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35" xfId="0" applyFont="1" applyFill="1" applyBorder="1" applyAlignment="1">
      <alignment horizontal="center" vertical="center"/>
    </xf>
    <xf numFmtId="172" fontId="4" fillId="0" borderId="0" xfId="0" applyNumberFormat="1" applyFont="1" applyAlignment="1">
      <alignment horizontal="center" vertical="center"/>
    </xf>
    <xf numFmtId="175" fontId="4" fillId="11" borderId="31" xfId="0" applyNumberFormat="1" applyFont="1" applyFill="1" applyBorder="1" applyAlignment="1">
      <alignment horizontal="center" vertical="center"/>
    </xf>
    <xf numFmtId="179" fontId="4" fillId="11" borderId="35" xfId="0" applyNumberFormat="1" applyFont="1" applyFill="1" applyBorder="1" applyAlignment="1">
      <alignment horizontal="center" vertical="center"/>
    </xf>
    <xf numFmtId="185" fontId="4" fillId="10" borderId="12" xfId="0" applyNumberFormat="1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178" fontId="4" fillId="9" borderId="33" xfId="0" applyNumberFormat="1" applyFont="1" applyFill="1" applyBorder="1" applyAlignment="1">
      <alignment horizontal="center" vertical="center"/>
    </xf>
    <xf numFmtId="179" fontId="4" fillId="9" borderId="31" xfId="0" applyNumberFormat="1" applyFont="1" applyFill="1" applyBorder="1" applyAlignment="1">
      <alignment horizontal="center" vertical="center"/>
    </xf>
    <xf numFmtId="174" fontId="4" fillId="9" borderId="9" xfId="0" applyNumberFormat="1" applyFont="1" applyFill="1" applyBorder="1" applyAlignment="1">
      <alignment horizontal="center" vertical="center"/>
    </xf>
    <xf numFmtId="174" fontId="4" fillId="11" borderId="31" xfId="0" applyNumberFormat="1" applyFont="1" applyFill="1" applyBorder="1" applyAlignment="1">
      <alignment horizontal="center" vertical="center"/>
    </xf>
    <xf numFmtId="178" fontId="4" fillId="11" borderId="35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4" fillId="5" borderId="12" xfId="0" applyFont="1" applyFill="1" applyBorder="1" applyAlignment="1">
      <alignment horizontal="center" vertical="center"/>
    </xf>
    <xf numFmtId="186" fontId="4" fillId="0" borderId="2" xfId="0" applyNumberFormat="1" applyFont="1" applyBorder="1" applyAlignment="1">
      <alignment horizontal="center" vertical="center"/>
    </xf>
    <xf numFmtId="168" fontId="4" fillId="4" borderId="2" xfId="0" applyNumberFormat="1" applyFont="1" applyFill="1" applyBorder="1" applyAlignment="1">
      <alignment horizontal="center" vertical="center"/>
    </xf>
    <xf numFmtId="168" fontId="4" fillId="0" borderId="2" xfId="0" applyNumberFormat="1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69" fontId="4" fillId="4" borderId="28" xfId="0" applyNumberFormat="1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6" fontId="4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2" fontId="10" fillId="0" borderId="17" xfId="0" applyNumberFormat="1" applyFont="1" applyBorder="1" applyAlignment="1">
      <alignment vertical="center"/>
    </xf>
    <xf numFmtId="169" fontId="4" fillId="0" borderId="17" xfId="0" applyNumberFormat="1" applyFont="1" applyBorder="1" applyAlignment="1">
      <alignment horizontal="center" vertical="center"/>
    </xf>
    <xf numFmtId="9" fontId="4" fillId="0" borderId="17" xfId="0" applyNumberFormat="1" applyFont="1" applyBorder="1" applyAlignment="1">
      <alignment horizontal="center" vertical="center"/>
    </xf>
    <xf numFmtId="169" fontId="4" fillId="0" borderId="17" xfId="0" applyNumberFormat="1" applyFont="1" applyBorder="1" applyAlignment="1">
      <alignment vertical="center"/>
    </xf>
    <xf numFmtId="187" fontId="4" fillId="4" borderId="2" xfId="0" applyNumberFormat="1" applyFont="1" applyFill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/>
    </xf>
    <xf numFmtId="166" fontId="4" fillId="6" borderId="4" xfId="0" applyNumberFormat="1" applyFont="1" applyFill="1" applyBorder="1" applyAlignment="1">
      <alignment horizontal="center" vertical="center"/>
    </xf>
    <xf numFmtId="169" fontId="4" fillId="6" borderId="6" xfId="0" applyNumberFormat="1" applyFont="1" applyFill="1" applyBorder="1" applyAlignment="1">
      <alignment horizontal="center" vertical="center"/>
    </xf>
    <xf numFmtId="169" fontId="4" fillId="0" borderId="12" xfId="0" applyNumberFormat="1" applyFont="1" applyBorder="1" applyAlignment="1">
      <alignment horizontal="center" vertical="center"/>
    </xf>
    <xf numFmtId="2" fontId="10" fillId="0" borderId="36" xfId="0" applyNumberFormat="1" applyFont="1" applyBorder="1" applyAlignment="1">
      <alignment vertical="center"/>
    </xf>
    <xf numFmtId="169" fontId="4" fillId="0" borderId="13" xfId="0" applyNumberFormat="1" applyFont="1" applyBorder="1" applyAlignment="1">
      <alignment horizontal="center" vertical="center"/>
    </xf>
    <xf numFmtId="169" fontId="4" fillId="0" borderId="3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3" fillId="0" borderId="0" xfId="0" applyFont="1"/>
    <xf numFmtId="169" fontId="0" fillId="0" borderId="0" xfId="0" applyNumberForma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66" fontId="16" fillId="0" borderId="8" xfId="0" applyNumberFormat="1" applyFont="1" applyBorder="1" applyAlignment="1">
      <alignment horizontal="center" vertical="center"/>
    </xf>
    <xf numFmtId="166" fontId="16" fillId="6" borderId="12" xfId="0" applyNumberFormat="1" applyFont="1" applyFill="1" applyBorder="1" applyAlignment="1">
      <alignment horizontal="center" vertical="center"/>
    </xf>
    <xf numFmtId="170" fontId="7" fillId="6" borderId="2" xfId="0" applyNumberFormat="1" applyFont="1" applyFill="1" applyBorder="1" applyAlignment="1">
      <alignment horizontal="center" vertical="center"/>
    </xf>
    <xf numFmtId="166" fontId="16" fillId="0" borderId="2" xfId="0" applyNumberFormat="1" applyFont="1" applyBorder="1" applyAlignment="1">
      <alignment horizontal="center" vertical="center"/>
    </xf>
    <xf numFmtId="166" fontId="0" fillId="0" borderId="0" xfId="0" applyNumberFormat="1"/>
    <xf numFmtId="0" fontId="6" fillId="2" borderId="4" xfId="0" applyFont="1" applyFill="1" applyBorder="1" applyAlignment="1">
      <alignment horizontal="center" vertical="center"/>
    </xf>
    <xf numFmtId="2" fontId="4" fillId="0" borderId="17" xfId="0" applyNumberFormat="1" applyFont="1" applyBorder="1" applyAlignment="1">
      <alignment horizontal="center" vertical="center"/>
    </xf>
    <xf numFmtId="164" fontId="4" fillId="0" borderId="17" xfId="0" applyNumberFormat="1" applyFont="1" applyBorder="1" applyAlignment="1">
      <alignment horizontal="center" vertical="center"/>
    </xf>
    <xf numFmtId="166" fontId="7" fillId="0" borderId="6" xfId="0" applyNumberFormat="1" applyFont="1" applyBorder="1" applyAlignment="1">
      <alignment horizontal="center" vertical="center"/>
    </xf>
    <xf numFmtId="166" fontId="7" fillId="0" borderId="27" xfId="0" applyNumberFormat="1" applyFont="1" applyBorder="1" applyAlignment="1">
      <alignment horizontal="center" vertical="center"/>
    </xf>
    <xf numFmtId="170" fontId="7" fillId="0" borderId="27" xfId="0" applyNumberFormat="1" applyFont="1" applyBorder="1" applyAlignment="1">
      <alignment horizontal="center" vertical="center"/>
    </xf>
    <xf numFmtId="166" fontId="7" fillId="0" borderId="17" xfId="0" applyNumberFormat="1" applyFont="1" applyBorder="1" applyAlignment="1">
      <alignment horizontal="center" vertical="center"/>
    </xf>
    <xf numFmtId="170" fontId="7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66" fontId="7" fillId="6" borderId="6" xfId="0" applyNumberFormat="1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166" fontId="7" fillId="0" borderId="36" xfId="0" applyNumberFormat="1" applyFont="1" applyBorder="1" applyAlignment="1">
      <alignment horizontal="center" vertical="center"/>
    </xf>
    <xf numFmtId="170" fontId="7" fillId="0" borderId="3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14" borderId="37" xfId="0" applyFont="1" applyFill="1" applyBorder="1" applyAlignment="1">
      <alignment horizontal="center" vertical="center"/>
    </xf>
    <xf numFmtId="0" fontId="18" fillId="14" borderId="38" xfId="0" applyFont="1" applyFill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17" xfId="0" applyBorder="1"/>
    <xf numFmtId="170" fontId="4" fillId="0" borderId="17" xfId="0" applyNumberFormat="1" applyFont="1" applyBorder="1" applyAlignment="1">
      <alignment horizontal="center" vertical="center"/>
    </xf>
    <xf numFmtId="166" fontId="9" fillId="0" borderId="17" xfId="0" applyNumberFormat="1" applyFont="1" applyBorder="1" applyAlignment="1">
      <alignment horizontal="center" vertical="center"/>
    </xf>
    <xf numFmtId="10" fontId="4" fillId="0" borderId="17" xfId="0" applyNumberFormat="1" applyFont="1" applyBorder="1" applyAlignment="1">
      <alignment horizontal="center" vertical="center"/>
    </xf>
    <xf numFmtId="166" fontId="7" fillId="0" borderId="17" xfId="0" applyNumberFormat="1" applyFont="1" applyBorder="1"/>
    <xf numFmtId="0" fontId="7" fillId="0" borderId="17" xfId="0" applyFont="1" applyBorder="1"/>
    <xf numFmtId="0" fontId="9" fillId="0" borderId="36" xfId="0" applyFont="1" applyBorder="1" applyAlignment="1">
      <alignment horizontal="center" vertical="center"/>
    </xf>
    <xf numFmtId="166" fontId="4" fillId="0" borderId="36" xfId="0" applyNumberFormat="1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169" fontId="4" fillId="5" borderId="36" xfId="0" applyNumberFormat="1" applyFont="1" applyFill="1" applyBorder="1" applyAlignment="1">
      <alignment horizontal="center" vertical="center"/>
    </xf>
    <xf numFmtId="169" fontId="4" fillId="4" borderId="36" xfId="0" applyNumberFormat="1" applyFont="1" applyFill="1" applyBorder="1" applyAlignment="1">
      <alignment vertical="center"/>
    </xf>
    <xf numFmtId="169" fontId="4" fillId="0" borderId="4" xfId="0" applyNumberFormat="1" applyFont="1" applyBorder="1" applyAlignment="1">
      <alignment horizontal="center" vertical="center"/>
    </xf>
    <xf numFmtId="169" fontId="4" fillId="4" borderId="4" xfId="0" applyNumberFormat="1" applyFont="1" applyFill="1" applyBorder="1" applyAlignment="1">
      <alignment vertical="center"/>
    </xf>
    <xf numFmtId="169" fontId="4" fillId="4" borderId="28" xfId="0" applyNumberFormat="1" applyFont="1" applyFill="1" applyBorder="1" applyAlignment="1">
      <alignment vertical="center"/>
    </xf>
    <xf numFmtId="169" fontId="4" fillId="4" borderId="43" xfId="0" applyNumberFormat="1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169" fontId="4" fillId="4" borderId="4" xfId="0" applyNumberFormat="1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169" fontId="7" fillId="0" borderId="36" xfId="0" applyNumberFormat="1" applyFont="1" applyBorder="1"/>
    <xf numFmtId="169" fontId="4" fillId="0" borderId="6" xfId="0" applyNumberFormat="1" applyFont="1" applyBorder="1" applyAlignment="1">
      <alignment vertical="center"/>
    </xf>
    <xf numFmtId="169" fontId="4" fillId="0" borderId="36" xfId="0" applyNumberFormat="1" applyFont="1" applyBorder="1" applyAlignment="1">
      <alignment vertical="center"/>
    </xf>
    <xf numFmtId="166" fontId="4" fillId="0" borderId="6" xfId="0" applyNumberFormat="1" applyFont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0" fontId="19" fillId="16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7" fillId="17" borderId="2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6" fillId="18" borderId="36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18" borderId="8" xfId="0" applyFont="1" applyFill="1" applyBorder="1" applyAlignment="1">
      <alignment horizontal="center" vertical="center"/>
    </xf>
    <xf numFmtId="0" fontId="2" fillId="0" borderId="0" xfId="0" applyFont="1"/>
    <xf numFmtId="0" fontId="2" fillId="0" borderId="36" xfId="0" applyFont="1" applyBorder="1"/>
    <xf numFmtId="0" fontId="0" fillId="0" borderId="36" xfId="0" applyBorder="1"/>
    <xf numFmtId="10" fontId="0" fillId="0" borderId="36" xfId="0" applyNumberFormat="1" applyBorder="1"/>
    <xf numFmtId="169" fontId="4" fillId="0" borderId="2" xfId="0" applyNumberFormat="1" applyFont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6" xfId="0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169" fontId="0" fillId="0" borderId="36" xfId="0" applyNumberFormat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167" fontId="0" fillId="0" borderId="36" xfId="0" applyNumberFormat="1" applyBorder="1" applyAlignment="1">
      <alignment horizontal="center" vertical="center"/>
    </xf>
    <xf numFmtId="0" fontId="4" fillId="4" borderId="2" xfId="2" applyFont="1" applyFill="1" applyBorder="1" applyAlignment="1">
      <alignment horizontal="center" vertical="center"/>
    </xf>
    <xf numFmtId="0" fontId="18" fillId="14" borderId="44" xfId="0" applyFont="1" applyFill="1" applyBorder="1" applyAlignment="1">
      <alignment horizontal="center" vertical="center"/>
    </xf>
    <xf numFmtId="0" fontId="18" fillId="14" borderId="45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0" fillId="20" borderId="0" xfId="0" applyFill="1"/>
    <xf numFmtId="0" fontId="0" fillId="20" borderId="0" xfId="0" applyFill="1" applyAlignment="1">
      <alignment horizontal="center"/>
    </xf>
    <xf numFmtId="169" fontId="4" fillId="5" borderId="6" xfId="0" applyNumberFormat="1" applyFont="1" applyFill="1" applyBorder="1" applyAlignment="1">
      <alignment horizontal="center" vertical="center"/>
    </xf>
    <xf numFmtId="169" fontId="4" fillId="5" borderId="12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0" fillId="21" borderId="0" xfId="0" applyFill="1"/>
    <xf numFmtId="0" fontId="4" fillId="5" borderId="36" xfId="0" applyFont="1" applyFill="1" applyBorder="1" applyAlignment="1">
      <alignment horizontal="center" vertical="center"/>
    </xf>
    <xf numFmtId="0" fontId="0" fillId="21" borderId="36" xfId="0" applyFill="1" applyBorder="1"/>
    <xf numFmtId="0" fontId="4" fillId="0" borderId="27" xfId="0" applyFont="1" applyBorder="1" applyAlignment="1">
      <alignment horizontal="center" vertical="center"/>
    </xf>
    <xf numFmtId="176" fontId="4" fillId="0" borderId="17" xfId="0" applyNumberFormat="1" applyFont="1" applyBorder="1" applyAlignment="1">
      <alignment horizontal="center" vertical="center"/>
    </xf>
    <xf numFmtId="177" fontId="4" fillId="0" borderId="17" xfId="0" applyNumberFormat="1" applyFont="1" applyBorder="1" applyAlignment="1">
      <alignment horizontal="center" vertical="center"/>
    </xf>
    <xf numFmtId="178" fontId="4" fillId="0" borderId="17" xfId="0" applyNumberFormat="1" applyFont="1" applyBorder="1" applyAlignment="1">
      <alignment horizontal="center" vertical="center"/>
    </xf>
    <xf numFmtId="179" fontId="4" fillId="0" borderId="17" xfId="0" applyNumberFormat="1" applyFont="1" applyBorder="1" applyAlignment="1">
      <alignment horizontal="center" vertical="center"/>
    </xf>
    <xf numFmtId="180" fontId="4" fillId="0" borderId="17" xfId="0" applyNumberFormat="1" applyFont="1" applyBorder="1" applyAlignment="1">
      <alignment horizontal="center" vertical="center"/>
    </xf>
    <xf numFmtId="181" fontId="4" fillId="0" borderId="17" xfId="0" applyNumberFormat="1" applyFont="1" applyBorder="1" applyAlignment="1">
      <alignment horizontal="center" vertical="center"/>
    </xf>
    <xf numFmtId="182" fontId="4" fillId="0" borderId="17" xfId="0" applyNumberFormat="1" applyFont="1" applyBorder="1" applyAlignment="1">
      <alignment horizontal="center" vertical="center"/>
    </xf>
    <xf numFmtId="183" fontId="4" fillId="0" borderId="17" xfId="0" applyNumberFormat="1" applyFont="1" applyBorder="1" applyAlignment="1">
      <alignment horizontal="center" vertical="center"/>
    </xf>
    <xf numFmtId="184" fontId="4" fillId="0" borderId="17" xfId="0" applyNumberFormat="1" applyFont="1" applyBorder="1" applyAlignment="1">
      <alignment horizontal="center" vertical="center"/>
    </xf>
    <xf numFmtId="185" fontId="4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72" fontId="4" fillId="0" borderId="17" xfId="0" applyNumberFormat="1" applyFont="1" applyBorder="1" applyAlignment="1">
      <alignment horizontal="center" vertical="center"/>
    </xf>
    <xf numFmtId="175" fontId="4" fillId="0" borderId="17" xfId="0" applyNumberFormat="1" applyFont="1" applyBorder="1" applyAlignment="1">
      <alignment horizontal="center" vertical="center"/>
    </xf>
    <xf numFmtId="173" fontId="4" fillId="0" borderId="17" xfId="0" applyNumberFormat="1" applyFont="1" applyBorder="1" applyAlignment="1">
      <alignment horizontal="center" vertical="center"/>
    </xf>
    <xf numFmtId="174" fontId="4" fillId="0" borderId="17" xfId="0" applyNumberFormat="1" applyFont="1" applyBorder="1" applyAlignment="1">
      <alignment horizontal="center" vertical="center"/>
    </xf>
    <xf numFmtId="180" fontId="14" fillId="0" borderId="17" xfId="0" applyNumberFormat="1" applyFont="1" applyBorder="1" applyAlignment="1">
      <alignment horizontal="center" vertical="center"/>
    </xf>
    <xf numFmtId="184" fontId="14" fillId="0" borderId="17" xfId="0" applyNumberFormat="1" applyFont="1" applyBorder="1" applyAlignment="1">
      <alignment horizontal="center" vertical="center"/>
    </xf>
    <xf numFmtId="185" fontId="14" fillId="0" borderId="17" xfId="0" applyNumberFormat="1" applyFont="1" applyBorder="1" applyAlignment="1">
      <alignment horizontal="center" vertical="center"/>
    </xf>
    <xf numFmtId="183" fontId="14" fillId="0" borderId="17" xfId="0" applyNumberFormat="1" applyFont="1" applyBorder="1" applyAlignment="1">
      <alignment horizontal="center" vertical="center"/>
    </xf>
    <xf numFmtId="181" fontId="14" fillId="0" borderId="17" xfId="0" applyNumberFormat="1" applyFont="1" applyBorder="1" applyAlignment="1">
      <alignment horizontal="center" vertical="center"/>
    </xf>
    <xf numFmtId="0" fontId="4" fillId="0" borderId="17" xfId="0" applyFont="1" applyBorder="1"/>
    <xf numFmtId="182" fontId="14" fillId="0" borderId="17" xfId="0" applyNumberFormat="1" applyFont="1" applyBorder="1" applyAlignment="1">
      <alignment horizontal="center" vertical="center"/>
    </xf>
    <xf numFmtId="0" fontId="4" fillId="10" borderId="36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vertical="center"/>
    </xf>
    <xf numFmtId="0" fontId="4" fillId="9" borderId="26" xfId="0" applyFont="1" applyFill="1" applyBorder="1" applyAlignment="1">
      <alignment horizontal="center" vertical="center"/>
    </xf>
    <xf numFmtId="0" fontId="4" fillId="22" borderId="36" xfId="0" applyFont="1" applyFill="1" applyBorder="1" applyAlignment="1">
      <alignment horizontal="center" vertical="center"/>
    </xf>
    <xf numFmtId="184" fontId="14" fillId="0" borderId="12" xfId="0" applyNumberFormat="1" applyFont="1" applyBorder="1" applyAlignment="1">
      <alignment horizontal="center" vertical="center"/>
    </xf>
    <xf numFmtId="166" fontId="20" fillId="0" borderId="5" xfId="0" applyNumberFormat="1" applyFont="1" applyBorder="1" applyAlignment="1">
      <alignment horizontal="center" vertical="center"/>
    </xf>
    <xf numFmtId="0" fontId="4" fillId="19" borderId="6" xfId="0" applyFont="1" applyFill="1" applyBorder="1" applyAlignment="1">
      <alignment horizontal="center" vertical="center"/>
    </xf>
    <xf numFmtId="175" fontId="4" fillId="11" borderId="17" xfId="0" applyNumberFormat="1" applyFont="1" applyFill="1" applyBorder="1" applyAlignment="1">
      <alignment horizontal="center" vertical="center"/>
    </xf>
    <xf numFmtId="0" fontId="4" fillId="11" borderId="25" xfId="0" applyFont="1" applyFill="1" applyBorder="1" applyAlignment="1">
      <alignment horizontal="center" vertical="center"/>
    </xf>
    <xf numFmtId="166" fontId="18" fillId="0" borderId="2" xfId="0" quotePrefix="1" applyNumberFormat="1" applyFont="1" applyBorder="1" applyAlignment="1">
      <alignment horizontal="center" vertical="center"/>
    </xf>
    <xf numFmtId="166" fontId="18" fillId="0" borderId="2" xfId="4" applyNumberFormat="1" applyFont="1" applyBorder="1" applyAlignment="1">
      <alignment horizontal="center" vertical="center"/>
    </xf>
    <xf numFmtId="0" fontId="1" fillId="0" borderId="36" xfId="0" applyFont="1" applyBorder="1"/>
    <xf numFmtId="0" fontId="6" fillId="2" borderId="4" xfId="0" applyFont="1" applyFill="1" applyBorder="1" applyAlignment="1">
      <alignment horizontal="center" vertical="center"/>
    </xf>
    <xf numFmtId="0" fontId="8" fillId="0" borderId="5" xfId="0" applyFont="1" applyBorder="1"/>
    <xf numFmtId="0" fontId="6" fillId="2" borderId="6" xfId="0" applyFont="1" applyFill="1" applyBorder="1" applyAlignment="1">
      <alignment horizontal="center" vertical="center" wrapText="1"/>
    </xf>
    <xf numFmtId="0" fontId="8" fillId="0" borderId="8" xfId="0" applyFont="1" applyBorder="1"/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8" fillId="0" borderId="13" xfId="0" applyFont="1" applyBorder="1"/>
    <xf numFmtId="0" fontId="0" fillId="0" borderId="0" xfId="0" applyAlignment="1">
      <alignment horizontal="center" vertical="center"/>
    </xf>
    <xf numFmtId="0" fontId="8" fillId="0" borderId="32" xfId="0" applyFont="1" applyBorder="1"/>
    <xf numFmtId="0" fontId="12" fillId="0" borderId="15" xfId="0" applyFont="1" applyBorder="1" applyAlignment="1">
      <alignment horizontal="center" vertical="center" wrapText="1"/>
    </xf>
    <xf numFmtId="0" fontId="8" fillId="0" borderId="15" xfId="0" applyFont="1" applyBorder="1"/>
    <xf numFmtId="0" fontId="8" fillId="0" borderId="16" xfId="0" applyFont="1" applyBorder="1"/>
    <xf numFmtId="166" fontId="6" fillId="2" borderId="6" xfId="0" applyNumberFormat="1" applyFont="1" applyFill="1" applyBorder="1" applyAlignment="1">
      <alignment horizontal="center" vertical="center" wrapText="1"/>
    </xf>
    <xf numFmtId="0" fontId="13" fillId="11" borderId="28" xfId="0" applyFont="1" applyFill="1" applyBorder="1" applyAlignment="1">
      <alignment horizontal="center" vertical="center"/>
    </xf>
    <xf numFmtId="0" fontId="8" fillId="0" borderId="29" xfId="0" applyFont="1" applyBorder="1"/>
    <xf numFmtId="0" fontId="8" fillId="0" borderId="30" xfId="0" applyFont="1" applyBorder="1"/>
    <xf numFmtId="0" fontId="9" fillId="11" borderId="28" xfId="0" applyFont="1" applyFill="1" applyBorder="1" applyAlignment="1">
      <alignment horizontal="center" vertical="center"/>
    </xf>
    <xf numFmtId="0" fontId="9" fillId="11" borderId="32" xfId="0" applyFont="1" applyFill="1" applyBorder="1" applyAlignment="1">
      <alignment horizontal="center" vertical="center"/>
    </xf>
    <xf numFmtId="0" fontId="9" fillId="11" borderId="33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8" fillId="0" borderId="17" xfId="0" applyFont="1" applyBorder="1"/>
    <xf numFmtId="0" fontId="8" fillId="0" borderId="22" xfId="0" applyFont="1" applyBorder="1"/>
    <xf numFmtId="0" fontId="6" fillId="2" borderId="18" xfId="0" applyFont="1" applyFill="1" applyBorder="1" applyAlignment="1">
      <alignment horizontal="center" vertical="center" wrapText="1"/>
    </xf>
    <xf numFmtId="0" fontId="8" fillId="0" borderId="19" xfId="0" applyFont="1" applyBorder="1"/>
    <xf numFmtId="0" fontId="8" fillId="0" borderId="20" xfId="0" applyFont="1" applyBorder="1"/>
    <xf numFmtId="0" fontId="8" fillId="0" borderId="23" xfId="0" applyFont="1" applyBorder="1"/>
    <xf numFmtId="0" fontId="8" fillId="0" borderId="24" xfId="0" applyFont="1" applyBorder="1"/>
    <xf numFmtId="0" fontId="8" fillId="0" borderId="25" xfId="0" applyFont="1" applyBorder="1"/>
    <xf numFmtId="0" fontId="13" fillId="9" borderId="28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8" fillId="0" borderId="26" xfId="0" applyFont="1" applyBorder="1"/>
    <xf numFmtId="0" fontId="4" fillId="5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7">
    <cellStyle name="Normal" xfId="0" builtinId="0"/>
    <cellStyle name="Normal 10" xfId="4" xr:uid="{551C7E44-A3F5-4008-846C-13F04B1E94A9}"/>
    <cellStyle name="Normal 2" xfId="2" xr:uid="{6F32C7C9-A2D4-4D1B-8D89-2A56BD203486}"/>
    <cellStyle name="Normal 2 2" xfId="15" xr:uid="{ABD47FAF-F67A-4C1B-95C4-017CBD1684BD}"/>
    <cellStyle name="Normal 2 3" xfId="7" xr:uid="{FD841B05-EA30-45FB-9D7A-8C7E90A4FAF0}"/>
    <cellStyle name="Normal 3" xfId="3" xr:uid="{F73F7947-CF94-4B53-9D8E-6B9FB6936149}"/>
    <cellStyle name="Normal 3 2" xfId="16" xr:uid="{B4B64664-E756-4DFF-A4CA-9A7C77C78F5D}"/>
    <cellStyle name="Normal 3 3" xfId="8" xr:uid="{345BE5E2-546F-438E-8A9F-34CCC775E632}"/>
    <cellStyle name="Normal 4" xfId="5" xr:uid="{DD2E5A3A-FB60-43E1-8BF0-25AE698F01C0}"/>
    <cellStyle name="Normal 5" xfId="9" xr:uid="{C494538C-F424-4157-943A-5524EF82C22B}"/>
    <cellStyle name="Normal 6" xfId="10" xr:uid="{8AF9D343-55F0-4113-AB69-D600E07845D6}"/>
    <cellStyle name="Normal 7" xfId="11" xr:uid="{3E775681-F40B-4E9E-BA1E-2C99A4E8C410}"/>
    <cellStyle name="Normal 8" xfId="12" xr:uid="{00A9F25F-7331-45CD-A630-D49AB13C82F7}"/>
    <cellStyle name="Normal 9" xfId="13" xr:uid="{687826D9-51BF-4725-A99A-718548506A04}"/>
    <cellStyle name="Percent" xfId="1" builtinId="5"/>
    <cellStyle name="Porcentaje 2" xfId="6" xr:uid="{9AFF4B4C-A78E-49DE-B273-8C23619C83DF}"/>
    <cellStyle name="Porcentaje 3" xfId="14" xr:uid="{53FECE32-A8C7-4A47-93F5-FB92D60969A7}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DDDDDD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Grafica_Peraltes!$C$2:$C$67</c:f>
              <c:numCache>
                <c:formatCode>"K"0"+"000.000</c:formatCode>
                <c:ptCount val="66"/>
                <c:pt idx="0">
                  <c:v>0</c:v>
                </c:pt>
                <c:pt idx="1">
                  <c:v>125.09677000625059</c:v>
                </c:pt>
                <c:pt idx="2">
                  <c:v>132.38843667291727</c:v>
                </c:pt>
                <c:pt idx="3">
                  <c:v>139.68010333958392</c:v>
                </c:pt>
                <c:pt idx="4">
                  <c:v>161.55510333958392</c:v>
                </c:pt>
                <c:pt idx="5">
                  <c:v>218.81227336275609</c:v>
                </c:pt>
                <c:pt idx="6">
                  <c:v>240.68727336275609</c:v>
                </c:pt>
                <c:pt idx="7">
                  <c:v>247.97894002942274</c:v>
                </c:pt>
                <c:pt idx="8">
                  <c:v>255.2706066960894</c:v>
                </c:pt>
                <c:pt idx="9">
                  <c:v>370.5367844962945</c:v>
                </c:pt>
                <c:pt idx="10">
                  <c:v>379.62769358720357</c:v>
                </c:pt>
                <c:pt idx="11">
                  <c:v>388.71860267811263</c:v>
                </c:pt>
                <c:pt idx="12">
                  <c:v>415.99132995083994</c:v>
                </c:pt>
                <c:pt idx="13">
                  <c:v>546.19826866091591</c:v>
                </c:pt>
                <c:pt idx="14">
                  <c:v>573.47099593364317</c:v>
                </c:pt>
                <c:pt idx="15">
                  <c:v>582.56190502455229</c:v>
                </c:pt>
                <c:pt idx="16">
                  <c:v>591.65281411546141</c:v>
                </c:pt>
                <c:pt idx="17">
                  <c:v>612.4302965265988</c:v>
                </c:pt>
                <c:pt idx="18">
                  <c:v>621.52120561750792</c:v>
                </c:pt>
                <c:pt idx="19">
                  <c:v>630.61211470841704</c:v>
                </c:pt>
                <c:pt idx="20">
                  <c:v>657.88484198114429</c:v>
                </c:pt>
                <c:pt idx="21">
                  <c:v>664.20243976770246</c:v>
                </c:pt>
                <c:pt idx="22">
                  <c:v>691.47516704042971</c:v>
                </c:pt>
                <c:pt idx="23">
                  <c:v>700.56607613133883</c:v>
                </c:pt>
                <c:pt idx="24">
                  <c:v>709.65698522224795</c:v>
                </c:pt>
                <c:pt idx="25">
                  <c:v>768.54862363828943</c:v>
                </c:pt>
                <c:pt idx="26">
                  <c:v>777.63953272919855</c:v>
                </c:pt>
                <c:pt idx="27">
                  <c:v>786.73044182010767</c:v>
                </c:pt>
                <c:pt idx="28">
                  <c:v>814.00316909283492</c:v>
                </c:pt>
                <c:pt idx="29">
                  <c:v>876.56357645170056</c:v>
                </c:pt>
                <c:pt idx="30">
                  <c:v>903.83630372442781</c:v>
                </c:pt>
                <c:pt idx="31">
                  <c:v>912.92721281533693</c:v>
                </c:pt>
                <c:pt idx="32">
                  <c:v>922.01812190624605</c:v>
                </c:pt>
                <c:pt idx="33">
                  <c:v>1103.7502137516444</c:v>
                </c:pt>
                <c:pt idx="34">
                  <c:v>1112.8411228425534</c:v>
                </c:pt>
                <c:pt idx="35">
                  <c:v>1121.9320319334624</c:v>
                </c:pt>
                <c:pt idx="36">
                  <c:v>1149.2047592061897</c:v>
                </c:pt>
                <c:pt idx="37">
                  <c:v>1238.1307991588685</c:v>
                </c:pt>
                <c:pt idx="38">
                  <c:v>1265.4035264315958</c:v>
                </c:pt>
                <c:pt idx="39">
                  <c:v>1274.4944355225048</c:v>
                </c:pt>
                <c:pt idx="40">
                  <c:v>1283.5853446134138</c:v>
                </c:pt>
                <c:pt idx="41">
                  <c:v>1298.0371534718347</c:v>
                </c:pt>
                <c:pt idx="42">
                  <c:v>1307.1280625627437</c:v>
                </c:pt>
                <c:pt idx="43">
                  <c:v>1316.2189716536527</c:v>
                </c:pt>
                <c:pt idx="44">
                  <c:v>1343.49169892638</c:v>
                </c:pt>
                <c:pt idx="45">
                  <c:v>1404.6290990394884</c:v>
                </c:pt>
                <c:pt idx="46">
                  <c:v>1431.9018263122157</c:v>
                </c:pt>
                <c:pt idx="47">
                  <c:v>1440.9927354031247</c:v>
                </c:pt>
                <c:pt idx="48">
                  <c:v>1450.0836444940337</c:v>
                </c:pt>
                <c:pt idx="49">
                  <c:v>1473.8739025027965</c:v>
                </c:pt>
                <c:pt idx="50">
                  <c:v>1482.9648115937055</c:v>
                </c:pt>
                <c:pt idx="51">
                  <c:v>1492.0557206846145</c:v>
                </c:pt>
                <c:pt idx="52">
                  <c:v>1519.3284479573417</c:v>
                </c:pt>
                <c:pt idx="53">
                  <c:v>1530.1335179056152</c:v>
                </c:pt>
                <c:pt idx="54">
                  <c:v>1557.4062451783425</c:v>
                </c:pt>
                <c:pt idx="55">
                  <c:v>1566.4971542692515</c:v>
                </c:pt>
                <c:pt idx="56">
                  <c:v>1575.5880633601605</c:v>
                </c:pt>
                <c:pt idx="57">
                  <c:v>1625.7223680838474</c:v>
                </c:pt>
                <c:pt idx="58">
                  <c:v>1634.8132771747564</c:v>
                </c:pt>
                <c:pt idx="59">
                  <c:v>1643.9041862656654</c:v>
                </c:pt>
                <c:pt idx="60">
                  <c:v>1671.1769135383927</c:v>
                </c:pt>
                <c:pt idx="61">
                  <c:v>1692.0698222928745</c:v>
                </c:pt>
                <c:pt idx="62">
                  <c:v>1719.3425495656018</c:v>
                </c:pt>
                <c:pt idx="63">
                  <c:v>1728.4334586565108</c:v>
                </c:pt>
                <c:pt idx="64">
                  <c:v>1737.5243677474198</c:v>
                </c:pt>
                <c:pt idx="65">
                  <c:v>1848.2281943733419</c:v>
                </c:pt>
              </c:numCache>
            </c:numRef>
          </c:xVal>
          <c:yVal>
            <c:numRef>
              <c:f>Grafica_Peraltes!$D$2:$D$67</c:f>
              <c:numCache>
                <c:formatCode>0%</c:formatCode>
                <c:ptCount val="66"/>
                <c:pt idx="0">
                  <c:v>-0.02</c:v>
                </c:pt>
                <c:pt idx="1">
                  <c:v>-0.02</c:v>
                </c:pt>
                <c:pt idx="2">
                  <c:v>-0.02</c:v>
                </c:pt>
                <c:pt idx="3">
                  <c:v>-0.02</c:v>
                </c:pt>
                <c:pt idx="4">
                  <c:v>-0.08</c:v>
                </c:pt>
                <c:pt idx="5">
                  <c:v>-0.08</c:v>
                </c:pt>
                <c:pt idx="6">
                  <c:v>-0.02</c:v>
                </c:pt>
                <c:pt idx="7">
                  <c:v>-0.02</c:v>
                </c:pt>
                <c:pt idx="8">
                  <c:v>-0.02</c:v>
                </c:pt>
                <c:pt idx="9">
                  <c:v>-0.02</c:v>
                </c:pt>
                <c:pt idx="10">
                  <c:v>0</c:v>
                </c:pt>
                <c:pt idx="11">
                  <c:v>0.02</c:v>
                </c:pt>
                <c:pt idx="12">
                  <c:v>0.08</c:v>
                </c:pt>
                <c:pt idx="13">
                  <c:v>0.08</c:v>
                </c:pt>
                <c:pt idx="14">
                  <c:v>0.02</c:v>
                </c:pt>
                <c:pt idx="15">
                  <c:v>0</c:v>
                </c:pt>
                <c:pt idx="16">
                  <c:v>-0.02</c:v>
                </c:pt>
                <c:pt idx="17">
                  <c:v>-0.02</c:v>
                </c:pt>
                <c:pt idx="18">
                  <c:v>-0.02</c:v>
                </c:pt>
                <c:pt idx="19">
                  <c:v>-0.02</c:v>
                </c:pt>
                <c:pt idx="20">
                  <c:v>-0.08</c:v>
                </c:pt>
                <c:pt idx="21">
                  <c:v>-0.08</c:v>
                </c:pt>
                <c:pt idx="22">
                  <c:v>-0.02</c:v>
                </c:pt>
                <c:pt idx="23">
                  <c:v>-0.02</c:v>
                </c:pt>
                <c:pt idx="24">
                  <c:v>-0.02</c:v>
                </c:pt>
                <c:pt idx="25">
                  <c:v>-0.02</c:v>
                </c:pt>
                <c:pt idx="26">
                  <c:v>-0.02</c:v>
                </c:pt>
                <c:pt idx="27">
                  <c:v>-0.02</c:v>
                </c:pt>
                <c:pt idx="28">
                  <c:v>-0.08</c:v>
                </c:pt>
                <c:pt idx="29">
                  <c:v>-0.08</c:v>
                </c:pt>
                <c:pt idx="30">
                  <c:v>-0.02</c:v>
                </c:pt>
                <c:pt idx="31">
                  <c:v>-0.02</c:v>
                </c:pt>
                <c:pt idx="32">
                  <c:v>-0.02</c:v>
                </c:pt>
                <c:pt idx="33">
                  <c:v>-0.02</c:v>
                </c:pt>
                <c:pt idx="34">
                  <c:v>-0.02</c:v>
                </c:pt>
                <c:pt idx="35">
                  <c:v>-0.02</c:v>
                </c:pt>
                <c:pt idx="36">
                  <c:v>-0.08</c:v>
                </c:pt>
                <c:pt idx="37">
                  <c:v>-0.08</c:v>
                </c:pt>
                <c:pt idx="38">
                  <c:v>-0.02</c:v>
                </c:pt>
                <c:pt idx="39">
                  <c:v>-0.02</c:v>
                </c:pt>
                <c:pt idx="40">
                  <c:v>-0.02</c:v>
                </c:pt>
                <c:pt idx="41">
                  <c:v>-0.02</c:v>
                </c:pt>
                <c:pt idx="42">
                  <c:v>0</c:v>
                </c:pt>
                <c:pt idx="43">
                  <c:v>0.02</c:v>
                </c:pt>
                <c:pt idx="44">
                  <c:v>0.08</c:v>
                </c:pt>
                <c:pt idx="45">
                  <c:v>0.08</c:v>
                </c:pt>
                <c:pt idx="46">
                  <c:v>0.02</c:v>
                </c:pt>
                <c:pt idx="47">
                  <c:v>0</c:v>
                </c:pt>
                <c:pt idx="48">
                  <c:v>-0.02</c:v>
                </c:pt>
                <c:pt idx="49">
                  <c:v>-0.02</c:v>
                </c:pt>
                <c:pt idx="50">
                  <c:v>0</c:v>
                </c:pt>
                <c:pt idx="51">
                  <c:v>0.02</c:v>
                </c:pt>
                <c:pt idx="52">
                  <c:v>0.08</c:v>
                </c:pt>
                <c:pt idx="53">
                  <c:v>0.08</c:v>
                </c:pt>
                <c:pt idx="54">
                  <c:v>0.02</c:v>
                </c:pt>
                <c:pt idx="55">
                  <c:v>0</c:v>
                </c:pt>
                <c:pt idx="56">
                  <c:v>-0.02</c:v>
                </c:pt>
                <c:pt idx="57">
                  <c:v>-0.02</c:v>
                </c:pt>
                <c:pt idx="58">
                  <c:v>0</c:v>
                </c:pt>
                <c:pt idx="59">
                  <c:v>0.02</c:v>
                </c:pt>
                <c:pt idx="60">
                  <c:v>0.08</c:v>
                </c:pt>
                <c:pt idx="61">
                  <c:v>0.08</c:v>
                </c:pt>
                <c:pt idx="62">
                  <c:v>0.02</c:v>
                </c:pt>
                <c:pt idx="63">
                  <c:v>0</c:v>
                </c:pt>
                <c:pt idx="64">
                  <c:v>-0.02</c:v>
                </c:pt>
                <c:pt idx="65">
                  <c:v>-0.02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44-4671-871A-873786239FAD}"/>
            </c:ext>
          </c:extLst>
        </c:ser>
        <c:ser>
          <c:idx val="1"/>
          <c:order val="1"/>
          <c:tx>
            <c:v>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Grafica_Peraltes!$C$2:$C$67</c:f>
              <c:numCache>
                <c:formatCode>"K"0"+"000.000</c:formatCode>
                <c:ptCount val="66"/>
                <c:pt idx="0">
                  <c:v>0</c:v>
                </c:pt>
                <c:pt idx="1">
                  <c:v>125.09677000625059</c:v>
                </c:pt>
                <c:pt idx="2">
                  <c:v>132.38843667291727</c:v>
                </c:pt>
                <c:pt idx="3">
                  <c:v>139.68010333958392</c:v>
                </c:pt>
                <c:pt idx="4">
                  <c:v>161.55510333958392</c:v>
                </c:pt>
                <c:pt idx="5">
                  <c:v>218.81227336275609</c:v>
                </c:pt>
                <c:pt idx="6">
                  <c:v>240.68727336275609</c:v>
                </c:pt>
                <c:pt idx="7">
                  <c:v>247.97894002942274</c:v>
                </c:pt>
                <c:pt idx="8">
                  <c:v>255.2706066960894</c:v>
                </c:pt>
                <c:pt idx="9">
                  <c:v>370.5367844962945</c:v>
                </c:pt>
                <c:pt idx="10">
                  <c:v>379.62769358720357</c:v>
                </c:pt>
                <c:pt idx="11">
                  <c:v>388.71860267811263</c:v>
                </c:pt>
                <c:pt idx="12">
                  <c:v>415.99132995083994</c:v>
                </c:pt>
                <c:pt idx="13">
                  <c:v>546.19826866091591</c:v>
                </c:pt>
                <c:pt idx="14">
                  <c:v>573.47099593364317</c:v>
                </c:pt>
                <c:pt idx="15">
                  <c:v>582.56190502455229</c:v>
                </c:pt>
                <c:pt idx="16">
                  <c:v>591.65281411546141</c:v>
                </c:pt>
                <c:pt idx="17">
                  <c:v>612.4302965265988</c:v>
                </c:pt>
                <c:pt idx="18">
                  <c:v>621.52120561750792</c:v>
                </c:pt>
                <c:pt idx="19">
                  <c:v>630.61211470841704</c:v>
                </c:pt>
                <c:pt idx="20">
                  <c:v>657.88484198114429</c:v>
                </c:pt>
                <c:pt idx="21">
                  <c:v>664.20243976770246</c:v>
                </c:pt>
                <c:pt idx="22">
                  <c:v>691.47516704042971</c:v>
                </c:pt>
                <c:pt idx="23">
                  <c:v>700.56607613133883</c:v>
                </c:pt>
                <c:pt idx="24">
                  <c:v>709.65698522224795</c:v>
                </c:pt>
                <c:pt idx="25">
                  <c:v>768.54862363828943</c:v>
                </c:pt>
                <c:pt idx="26">
                  <c:v>777.63953272919855</c:v>
                </c:pt>
                <c:pt idx="27">
                  <c:v>786.73044182010767</c:v>
                </c:pt>
                <c:pt idx="28">
                  <c:v>814.00316909283492</c:v>
                </c:pt>
                <c:pt idx="29">
                  <c:v>876.56357645170056</c:v>
                </c:pt>
                <c:pt idx="30">
                  <c:v>903.83630372442781</c:v>
                </c:pt>
                <c:pt idx="31">
                  <c:v>912.92721281533693</c:v>
                </c:pt>
                <c:pt idx="32">
                  <c:v>922.01812190624605</c:v>
                </c:pt>
                <c:pt idx="33">
                  <c:v>1103.7502137516444</c:v>
                </c:pt>
                <c:pt idx="34">
                  <c:v>1112.8411228425534</c:v>
                </c:pt>
                <c:pt idx="35">
                  <c:v>1121.9320319334624</c:v>
                </c:pt>
                <c:pt idx="36">
                  <c:v>1149.2047592061897</c:v>
                </c:pt>
                <c:pt idx="37">
                  <c:v>1238.1307991588685</c:v>
                </c:pt>
                <c:pt idx="38">
                  <c:v>1265.4035264315958</c:v>
                </c:pt>
                <c:pt idx="39">
                  <c:v>1274.4944355225048</c:v>
                </c:pt>
                <c:pt idx="40">
                  <c:v>1283.5853446134138</c:v>
                </c:pt>
                <c:pt idx="41">
                  <c:v>1298.0371534718347</c:v>
                </c:pt>
                <c:pt idx="42">
                  <c:v>1307.1280625627437</c:v>
                </c:pt>
                <c:pt idx="43">
                  <c:v>1316.2189716536527</c:v>
                </c:pt>
                <c:pt idx="44">
                  <c:v>1343.49169892638</c:v>
                </c:pt>
                <c:pt idx="45">
                  <c:v>1404.6290990394884</c:v>
                </c:pt>
                <c:pt idx="46">
                  <c:v>1431.9018263122157</c:v>
                </c:pt>
                <c:pt idx="47">
                  <c:v>1440.9927354031247</c:v>
                </c:pt>
                <c:pt idx="48">
                  <c:v>1450.0836444940337</c:v>
                </c:pt>
                <c:pt idx="49">
                  <c:v>1473.8739025027965</c:v>
                </c:pt>
                <c:pt idx="50">
                  <c:v>1482.9648115937055</c:v>
                </c:pt>
                <c:pt idx="51">
                  <c:v>1492.0557206846145</c:v>
                </c:pt>
                <c:pt idx="52">
                  <c:v>1519.3284479573417</c:v>
                </c:pt>
                <c:pt idx="53">
                  <c:v>1530.1335179056152</c:v>
                </c:pt>
                <c:pt idx="54">
                  <c:v>1557.4062451783425</c:v>
                </c:pt>
                <c:pt idx="55">
                  <c:v>1566.4971542692515</c:v>
                </c:pt>
                <c:pt idx="56">
                  <c:v>1575.5880633601605</c:v>
                </c:pt>
                <c:pt idx="57">
                  <c:v>1625.7223680838474</c:v>
                </c:pt>
                <c:pt idx="58">
                  <c:v>1634.8132771747564</c:v>
                </c:pt>
                <c:pt idx="59">
                  <c:v>1643.9041862656654</c:v>
                </c:pt>
                <c:pt idx="60">
                  <c:v>1671.1769135383927</c:v>
                </c:pt>
                <c:pt idx="61">
                  <c:v>1692.0698222928745</c:v>
                </c:pt>
                <c:pt idx="62">
                  <c:v>1719.3425495656018</c:v>
                </c:pt>
                <c:pt idx="63">
                  <c:v>1728.4334586565108</c:v>
                </c:pt>
                <c:pt idx="64">
                  <c:v>1737.5243677474198</c:v>
                </c:pt>
                <c:pt idx="65">
                  <c:v>1848.2281943733419</c:v>
                </c:pt>
              </c:numCache>
            </c:numRef>
          </c:xVal>
          <c:yVal>
            <c:numRef>
              <c:f>Grafica_Peraltes!$E$2:$E$67</c:f>
              <c:numCache>
                <c:formatCode>0%</c:formatCode>
                <c:ptCount val="66"/>
                <c:pt idx="0">
                  <c:v>-0.02</c:v>
                </c:pt>
                <c:pt idx="1">
                  <c:v>-0.02</c:v>
                </c:pt>
                <c:pt idx="2">
                  <c:v>0</c:v>
                </c:pt>
                <c:pt idx="3">
                  <c:v>0.02</c:v>
                </c:pt>
                <c:pt idx="4">
                  <c:v>0.08</c:v>
                </c:pt>
                <c:pt idx="5">
                  <c:v>0.08</c:v>
                </c:pt>
                <c:pt idx="6">
                  <c:v>0.02</c:v>
                </c:pt>
                <c:pt idx="7">
                  <c:v>0</c:v>
                </c:pt>
                <c:pt idx="8">
                  <c:v>-0.02</c:v>
                </c:pt>
                <c:pt idx="9">
                  <c:v>-0.02</c:v>
                </c:pt>
                <c:pt idx="10">
                  <c:v>-0.02</c:v>
                </c:pt>
                <c:pt idx="11">
                  <c:v>-0.02</c:v>
                </c:pt>
                <c:pt idx="12">
                  <c:v>-0.08</c:v>
                </c:pt>
                <c:pt idx="13">
                  <c:v>-0.08</c:v>
                </c:pt>
                <c:pt idx="14">
                  <c:v>-0.02</c:v>
                </c:pt>
                <c:pt idx="15">
                  <c:v>-0.02</c:v>
                </c:pt>
                <c:pt idx="16">
                  <c:v>-0.02</c:v>
                </c:pt>
                <c:pt idx="17">
                  <c:v>-0.02</c:v>
                </c:pt>
                <c:pt idx="18">
                  <c:v>0</c:v>
                </c:pt>
                <c:pt idx="19">
                  <c:v>0.02</c:v>
                </c:pt>
                <c:pt idx="20">
                  <c:v>0.08</c:v>
                </c:pt>
                <c:pt idx="21">
                  <c:v>0.08</c:v>
                </c:pt>
                <c:pt idx="22">
                  <c:v>0.02</c:v>
                </c:pt>
                <c:pt idx="23">
                  <c:v>0</c:v>
                </c:pt>
                <c:pt idx="24">
                  <c:v>-0.02</c:v>
                </c:pt>
                <c:pt idx="25">
                  <c:v>-0.02</c:v>
                </c:pt>
                <c:pt idx="26">
                  <c:v>0</c:v>
                </c:pt>
                <c:pt idx="27">
                  <c:v>0.02</c:v>
                </c:pt>
                <c:pt idx="28">
                  <c:v>0.08</c:v>
                </c:pt>
                <c:pt idx="29">
                  <c:v>0.08</c:v>
                </c:pt>
                <c:pt idx="30">
                  <c:v>0.02</c:v>
                </c:pt>
                <c:pt idx="31">
                  <c:v>0</c:v>
                </c:pt>
                <c:pt idx="32">
                  <c:v>-0.02</c:v>
                </c:pt>
                <c:pt idx="33">
                  <c:v>-0.02</c:v>
                </c:pt>
                <c:pt idx="34">
                  <c:v>0</c:v>
                </c:pt>
                <c:pt idx="35">
                  <c:v>0.02</c:v>
                </c:pt>
                <c:pt idx="36">
                  <c:v>0.08</c:v>
                </c:pt>
                <c:pt idx="37">
                  <c:v>0.08</c:v>
                </c:pt>
                <c:pt idx="38">
                  <c:v>0.02</c:v>
                </c:pt>
                <c:pt idx="39">
                  <c:v>0</c:v>
                </c:pt>
                <c:pt idx="40">
                  <c:v>-0.02</c:v>
                </c:pt>
                <c:pt idx="41">
                  <c:v>-0.02</c:v>
                </c:pt>
                <c:pt idx="42">
                  <c:v>-0.02</c:v>
                </c:pt>
                <c:pt idx="43">
                  <c:v>-0.02</c:v>
                </c:pt>
                <c:pt idx="44">
                  <c:v>-0.08</c:v>
                </c:pt>
                <c:pt idx="45">
                  <c:v>-0.08</c:v>
                </c:pt>
                <c:pt idx="46">
                  <c:v>-0.02</c:v>
                </c:pt>
                <c:pt idx="47">
                  <c:v>-0.02</c:v>
                </c:pt>
                <c:pt idx="48">
                  <c:v>-0.02</c:v>
                </c:pt>
                <c:pt idx="49">
                  <c:v>-0.02</c:v>
                </c:pt>
                <c:pt idx="50">
                  <c:v>-0.02</c:v>
                </c:pt>
                <c:pt idx="51">
                  <c:v>-0.02</c:v>
                </c:pt>
                <c:pt idx="52">
                  <c:v>-0.08</c:v>
                </c:pt>
                <c:pt idx="53">
                  <c:v>-0.08</c:v>
                </c:pt>
                <c:pt idx="54">
                  <c:v>-0.02</c:v>
                </c:pt>
                <c:pt idx="55">
                  <c:v>-0.02</c:v>
                </c:pt>
                <c:pt idx="56">
                  <c:v>-0.02</c:v>
                </c:pt>
                <c:pt idx="57">
                  <c:v>-0.02</c:v>
                </c:pt>
                <c:pt idx="58">
                  <c:v>-0.02</c:v>
                </c:pt>
                <c:pt idx="59">
                  <c:v>-0.02</c:v>
                </c:pt>
                <c:pt idx="60">
                  <c:v>-0.08</c:v>
                </c:pt>
                <c:pt idx="61">
                  <c:v>-0.08</c:v>
                </c:pt>
                <c:pt idx="62">
                  <c:v>-0.02</c:v>
                </c:pt>
                <c:pt idx="63">
                  <c:v>-0.02</c:v>
                </c:pt>
                <c:pt idx="64">
                  <c:v>-0.02</c:v>
                </c:pt>
                <c:pt idx="65">
                  <c:v>-0.02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44-4671-871A-873786239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822736"/>
        <c:axId val="1701807376"/>
      </c:scatterChart>
      <c:valAx>
        <c:axId val="1701822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&quot;0&quot;+&quot;000.000" sourceLinked="1"/>
        <c:majorTickMark val="none"/>
        <c:minorTickMark val="none"/>
        <c:tickLblPos val="nextTo"/>
        <c:crossAx val="1701807376"/>
        <c:crosses val="autoZero"/>
        <c:crossBetween val="midCat"/>
      </c:valAx>
      <c:valAx>
        <c:axId val="170180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1701822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1" i="0">
                <a:solidFill>
                  <a:srgbClr val="757575"/>
                </a:solidFill>
                <a:latin typeface="Calibri"/>
              </a:defRPr>
            </a:pPr>
            <a:r>
              <a:rPr lang="es-419" sz="2000" b="1" i="0">
                <a:solidFill>
                  <a:srgbClr val="757575"/>
                </a:solidFill>
                <a:latin typeface="Calibri"/>
              </a:rPr>
              <a:t>DIAGRAMA DE PERALTE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v>izquierdo</c:v>
          </c:tx>
          <c:marker>
            <c:symbol val="none"/>
          </c:marker>
          <c:xVal>
            <c:numRef>
              <c:f>RASANTE!$F$4:$F$301</c:f>
              <c:numCache>
                <c:formatCode>"K"0"+"000.000</c:formatCode>
                <c:ptCount val="29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125.09677000625057</c:v>
                </c:pt>
                <c:pt idx="14">
                  <c:v>130</c:v>
                </c:pt>
                <c:pt idx="15">
                  <c:v>132.38843667291724</c:v>
                </c:pt>
                <c:pt idx="16">
                  <c:v>139.68010333958389</c:v>
                </c:pt>
                <c:pt idx="17">
                  <c:v>140</c:v>
                </c:pt>
                <c:pt idx="18">
                  <c:v>146.97177000625058</c:v>
                </c:pt>
                <c:pt idx="19">
                  <c:v>150</c:v>
                </c:pt>
                <c:pt idx="20">
                  <c:v>160</c:v>
                </c:pt>
                <c:pt idx="21">
                  <c:v>161.55510333958389</c:v>
                </c:pt>
                <c:pt idx="22">
                  <c:v>161.55510333958389</c:v>
                </c:pt>
                <c:pt idx="23">
                  <c:v>170</c:v>
                </c:pt>
                <c:pt idx="24">
                  <c:v>180</c:v>
                </c:pt>
                <c:pt idx="25">
                  <c:v>190</c:v>
                </c:pt>
                <c:pt idx="26">
                  <c:v>200</c:v>
                </c:pt>
                <c:pt idx="27">
                  <c:v>210</c:v>
                </c:pt>
                <c:pt idx="28">
                  <c:v>218.81227336275606</c:v>
                </c:pt>
                <c:pt idx="29">
                  <c:v>218.81227336275606</c:v>
                </c:pt>
                <c:pt idx="30">
                  <c:v>220</c:v>
                </c:pt>
                <c:pt idx="31">
                  <c:v>230</c:v>
                </c:pt>
                <c:pt idx="32">
                  <c:v>233.3956066960894</c:v>
                </c:pt>
                <c:pt idx="33">
                  <c:v>240</c:v>
                </c:pt>
                <c:pt idx="34">
                  <c:v>240.47899999999998</c:v>
                </c:pt>
                <c:pt idx="35">
                  <c:v>240.68727336275606</c:v>
                </c:pt>
                <c:pt idx="36">
                  <c:v>247.97894002942272</c:v>
                </c:pt>
                <c:pt idx="37">
                  <c:v>250</c:v>
                </c:pt>
                <c:pt idx="38">
                  <c:v>255.27060669608937</c:v>
                </c:pt>
                <c:pt idx="39">
                  <c:v>260</c:v>
                </c:pt>
                <c:pt idx="40">
                  <c:v>270</c:v>
                </c:pt>
                <c:pt idx="41">
                  <c:v>280</c:v>
                </c:pt>
                <c:pt idx="42">
                  <c:v>287.97899999999998</c:v>
                </c:pt>
                <c:pt idx="43">
                  <c:v>290</c:v>
                </c:pt>
                <c:pt idx="44">
                  <c:v>300</c:v>
                </c:pt>
                <c:pt idx="45">
                  <c:v>310</c:v>
                </c:pt>
                <c:pt idx="46">
                  <c:v>320</c:v>
                </c:pt>
                <c:pt idx="47">
                  <c:v>330</c:v>
                </c:pt>
                <c:pt idx="48">
                  <c:v>335.47899999999998</c:v>
                </c:pt>
                <c:pt idx="49">
                  <c:v>340</c:v>
                </c:pt>
                <c:pt idx="50">
                  <c:v>350</c:v>
                </c:pt>
                <c:pt idx="51">
                  <c:v>360</c:v>
                </c:pt>
                <c:pt idx="52">
                  <c:v>370</c:v>
                </c:pt>
                <c:pt idx="53">
                  <c:v>370.53678449629444</c:v>
                </c:pt>
                <c:pt idx="54">
                  <c:v>379.62769358720351</c:v>
                </c:pt>
                <c:pt idx="55">
                  <c:v>380</c:v>
                </c:pt>
                <c:pt idx="56">
                  <c:v>388.71860267811257</c:v>
                </c:pt>
                <c:pt idx="57">
                  <c:v>390</c:v>
                </c:pt>
                <c:pt idx="58">
                  <c:v>397.8095117690217</c:v>
                </c:pt>
                <c:pt idx="59">
                  <c:v>400</c:v>
                </c:pt>
                <c:pt idx="60">
                  <c:v>406.99511782962787</c:v>
                </c:pt>
                <c:pt idx="61">
                  <c:v>410</c:v>
                </c:pt>
                <c:pt idx="62">
                  <c:v>415.99132995083988</c:v>
                </c:pt>
                <c:pt idx="63">
                  <c:v>420</c:v>
                </c:pt>
                <c:pt idx="64">
                  <c:v>430</c:v>
                </c:pt>
                <c:pt idx="65">
                  <c:v>440</c:v>
                </c:pt>
                <c:pt idx="66">
                  <c:v>450</c:v>
                </c:pt>
                <c:pt idx="67">
                  <c:v>460</c:v>
                </c:pt>
                <c:pt idx="68">
                  <c:v>468.88200000000001</c:v>
                </c:pt>
                <c:pt idx="69">
                  <c:v>470</c:v>
                </c:pt>
                <c:pt idx="70">
                  <c:v>480</c:v>
                </c:pt>
                <c:pt idx="71">
                  <c:v>490</c:v>
                </c:pt>
                <c:pt idx="72">
                  <c:v>493.88200000000001</c:v>
                </c:pt>
                <c:pt idx="73">
                  <c:v>500</c:v>
                </c:pt>
                <c:pt idx="74">
                  <c:v>510</c:v>
                </c:pt>
                <c:pt idx="75">
                  <c:v>518.88200000000006</c:v>
                </c:pt>
                <c:pt idx="76">
                  <c:v>520</c:v>
                </c:pt>
                <c:pt idx="77">
                  <c:v>530</c:v>
                </c:pt>
                <c:pt idx="78">
                  <c:v>537.2020565397039</c:v>
                </c:pt>
                <c:pt idx="79">
                  <c:v>540</c:v>
                </c:pt>
                <c:pt idx="80">
                  <c:v>546.19826866091591</c:v>
                </c:pt>
                <c:pt idx="81">
                  <c:v>550</c:v>
                </c:pt>
                <c:pt idx="82">
                  <c:v>560</c:v>
                </c:pt>
                <c:pt idx="83">
                  <c:v>564.38008684273404</c:v>
                </c:pt>
                <c:pt idx="84">
                  <c:v>570</c:v>
                </c:pt>
                <c:pt idx="85">
                  <c:v>573.47099593364317</c:v>
                </c:pt>
                <c:pt idx="86">
                  <c:v>580</c:v>
                </c:pt>
                <c:pt idx="87">
                  <c:v>582.56190502455229</c:v>
                </c:pt>
                <c:pt idx="88">
                  <c:v>590</c:v>
                </c:pt>
                <c:pt idx="89">
                  <c:v>591.65281411546141</c:v>
                </c:pt>
                <c:pt idx="90">
                  <c:v>600</c:v>
                </c:pt>
                <c:pt idx="91">
                  <c:v>610</c:v>
                </c:pt>
                <c:pt idx="92">
                  <c:v>612.43029652659891</c:v>
                </c:pt>
                <c:pt idx="93">
                  <c:v>620</c:v>
                </c:pt>
                <c:pt idx="94">
                  <c:v>621.52120561750803</c:v>
                </c:pt>
                <c:pt idx="95">
                  <c:v>630</c:v>
                </c:pt>
                <c:pt idx="96">
                  <c:v>630.61211470841715</c:v>
                </c:pt>
                <c:pt idx="97">
                  <c:v>639.70302379932616</c:v>
                </c:pt>
                <c:pt idx="98">
                  <c:v>640</c:v>
                </c:pt>
                <c:pt idx="99">
                  <c:v>650</c:v>
                </c:pt>
                <c:pt idx="100">
                  <c:v>657.8848419811444</c:v>
                </c:pt>
                <c:pt idx="101">
                  <c:v>657.8848419811444</c:v>
                </c:pt>
                <c:pt idx="102">
                  <c:v>660</c:v>
                </c:pt>
                <c:pt idx="103">
                  <c:v>664.20243976770257</c:v>
                </c:pt>
                <c:pt idx="104">
                  <c:v>664.20243976770257</c:v>
                </c:pt>
                <c:pt idx="105">
                  <c:v>670</c:v>
                </c:pt>
                <c:pt idx="106">
                  <c:v>680</c:v>
                </c:pt>
                <c:pt idx="107">
                  <c:v>682.3842579495207</c:v>
                </c:pt>
                <c:pt idx="108">
                  <c:v>690</c:v>
                </c:pt>
                <c:pt idx="109">
                  <c:v>691.47516704042982</c:v>
                </c:pt>
                <c:pt idx="110">
                  <c:v>700</c:v>
                </c:pt>
                <c:pt idx="111">
                  <c:v>700.56607613133895</c:v>
                </c:pt>
                <c:pt idx="112">
                  <c:v>709.65698522224807</c:v>
                </c:pt>
                <c:pt idx="113">
                  <c:v>710</c:v>
                </c:pt>
                <c:pt idx="114">
                  <c:v>720</c:v>
                </c:pt>
                <c:pt idx="115">
                  <c:v>730</c:v>
                </c:pt>
                <c:pt idx="116">
                  <c:v>740</c:v>
                </c:pt>
                <c:pt idx="117">
                  <c:v>750</c:v>
                </c:pt>
                <c:pt idx="118">
                  <c:v>760</c:v>
                </c:pt>
                <c:pt idx="119">
                  <c:v>768.54862363828965</c:v>
                </c:pt>
                <c:pt idx="120">
                  <c:v>768.88199999999995</c:v>
                </c:pt>
                <c:pt idx="121">
                  <c:v>770</c:v>
                </c:pt>
                <c:pt idx="122">
                  <c:v>777.63953272919878</c:v>
                </c:pt>
                <c:pt idx="123">
                  <c:v>780</c:v>
                </c:pt>
                <c:pt idx="124">
                  <c:v>783.88199999999995</c:v>
                </c:pt>
                <c:pt idx="125">
                  <c:v>786.7304418201079</c:v>
                </c:pt>
                <c:pt idx="126">
                  <c:v>790</c:v>
                </c:pt>
                <c:pt idx="127">
                  <c:v>795.82135091101691</c:v>
                </c:pt>
                <c:pt idx="128">
                  <c:v>798.88199999999995</c:v>
                </c:pt>
                <c:pt idx="129">
                  <c:v>800</c:v>
                </c:pt>
                <c:pt idx="130">
                  <c:v>810</c:v>
                </c:pt>
                <c:pt idx="131">
                  <c:v>814.00316909283515</c:v>
                </c:pt>
                <c:pt idx="132">
                  <c:v>814.00316909283515</c:v>
                </c:pt>
                <c:pt idx="133">
                  <c:v>820</c:v>
                </c:pt>
                <c:pt idx="134">
                  <c:v>830</c:v>
                </c:pt>
                <c:pt idx="135">
                  <c:v>840</c:v>
                </c:pt>
                <c:pt idx="136">
                  <c:v>850</c:v>
                </c:pt>
                <c:pt idx="137">
                  <c:v>860</c:v>
                </c:pt>
                <c:pt idx="138">
                  <c:v>870</c:v>
                </c:pt>
                <c:pt idx="139">
                  <c:v>876.56357645170078</c:v>
                </c:pt>
                <c:pt idx="140">
                  <c:v>876.56357645170078</c:v>
                </c:pt>
                <c:pt idx="141">
                  <c:v>880</c:v>
                </c:pt>
                <c:pt idx="142">
                  <c:v>890</c:v>
                </c:pt>
                <c:pt idx="143">
                  <c:v>894.74539463351891</c:v>
                </c:pt>
                <c:pt idx="144">
                  <c:v>908.69557645170073</c:v>
                </c:pt>
                <c:pt idx="145">
                  <c:v>900</c:v>
                </c:pt>
                <c:pt idx="146">
                  <c:v>903.83630372442803</c:v>
                </c:pt>
                <c:pt idx="147">
                  <c:v>910</c:v>
                </c:pt>
                <c:pt idx="148">
                  <c:v>912.92721281533716</c:v>
                </c:pt>
                <c:pt idx="149">
                  <c:v>920</c:v>
                </c:pt>
                <c:pt idx="150">
                  <c:v>922.01812190624628</c:v>
                </c:pt>
                <c:pt idx="151">
                  <c:v>930</c:v>
                </c:pt>
                <c:pt idx="152">
                  <c:v>940</c:v>
                </c:pt>
                <c:pt idx="153">
                  <c:v>950</c:v>
                </c:pt>
                <c:pt idx="154">
                  <c:v>960</c:v>
                </c:pt>
                <c:pt idx="155">
                  <c:v>963</c:v>
                </c:pt>
                <c:pt idx="156">
                  <c:v>970</c:v>
                </c:pt>
                <c:pt idx="157">
                  <c:v>980</c:v>
                </c:pt>
                <c:pt idx="158">
                  <c:v>990</c:v>
                </c:pt>
                <c:pt idx="159">
                  <c:v>1000</c:v>
                </c:pt>
                <c:pt idx="160">
                  <c:v>1010</c:v>
                </c:pt>
                <c:pt idx="161">
                  <c:v>1020</c:v>
                </c:pt>
                <c:pt idx="162">
                  <c:v>1030</c:v>
                </c:pt>
                <c:pt idx="163">
                  <c:v>1040</c:v>
                </c:pt>
                <c:pt idx="164">
                  <c:v>1043</c:v>
                </c:pt>
                <c:pt idx="165">
                  <c:v>1050</c:v>
                </c:pt>
                <c:pt idx="166">
                  <c:v>1060</c:v>
                </c:pt>
                <c:pt idx="167">
                  <c:v>1070</c:v>
                </c:pt>
                <c:pt idx="168">
                  <c:v>1080</c:v>
                </c:pt>
                <c:pt idx="169">
                  <c:v>1090</c:v>
                </c:pt>
                <c:pt idx="170">
                  <c:v>1100</c:v>
                </c:pt>
                <c:pt idx="171">
                  <c:v>1103.7502137516447</c:v>
                </c:pt>
                <c:pt idx="172">
                  <c:v>1110</c:v>
                </c:pt>
                <c:pt idx="173">
                  <c:v>1112.8411228425537</c:v>
                </c:pt>
                <c:pt idx="174">
                  <c:v>1120</c:v>
                </c:pt>
                <c:pt idx="175">
                  <c:v>1121.9320319334627</c:v>
                </c:pt>
                <c:pt idx="176">
                  <c:v>1123</c:v>
                </c:pt>
                <c:pt idx="177">
                  <c:v>1130</c:v>
                </c:pt>
                <c:pt idx="178">
                  <c:v>1131.0229410243719</c:v>
                </c:pt>
                <c:pt idx="179">
                  <c:v>1140</c:v>
                </c:pt>
                <c:pt idx="180">
                  <c:v>1149.2047592061899</c:v>
                </c:pt>
                <c:pt idx="181">
                  <c:v>1149.2047592061904</c:v>
                </c:pt>
                <c:pt idx="182">
                  <c:v>1150</c:v>
                </c:pt>
                <c:pt idx="183">
                  <c:v>1160</c:v>
                </c:pt>
                <c:pt idx="184">
                  <c:v>1170</c:v>
                </c:pt>
                <c:pt idx="185">
                  <c:v>1180</c:v>
                </c:pt>
                <c:pt idx="186">
                  <c:v>1190</c:v>
                </c:pt>
                <c:pt idx="187">
                  <c:v>1200</c:v>
                </c:pt>
                <c:pt idx="188">
                  <c:v>1210</c:v>
                </c:pt>
                <c:pt idx="189">
                  <c:v>1220</c:v>
                </c:pt>
                <c:pt idx="190">
                  <c:v>1230</c:v>
                </c:pt>
                <c:pt idx="191">
                  <c:v>1238.1307991588687</c:v>
                </c:pt>
                <c:pt idx="192">
                  <c:v>1238.1307991588692</c:v>
                </c:pt>
                <c:pt idx="193">
                  <c:v>1240</c:v>
                </c:pt>
                <c:pt idx="194">
                  <c:v>1244.817</c:v>
                </c:pt>
                <c:pt idx="195">
                  <c:v>1250</c:v>
                </c:pt>
                <c:pt idx="196">
                  <c:v>1256.312617340687</c:v>
                </c:pt>
                <c:pt idx="197">
                  <c:v>1259.817</c:v>
                </c:pt>
                <c:pt idx="198">
                  <c:v>1260</c:v>
                </c:pt>
                <c:pt idx="199">
                  <c:v>1265.403526431596</c:v>
                </c:pt>
                <c:pt idx="200">
                  <c:v>1270</c:v>
                </c:pt>
                <c:pt idx="201">
                  <c:v>1274.817</c:v>
                </c:pt>
                <c:pt idx="202">
                  <c:v>1274.494435522505</c:v>
                </c:pt>
                <c:pt idx="203">
                  <c:v>1280</c:v>
                </c:pt>
                <c:pt idx="204">
                  <c:v>1283.585344613414</c:v>
                </c:pt>
                <c:pt idx="205">
                  <c:v>1290</c:v>
                </c:pt>
                <c:pt idx="206">
                  <c:v>1298.0371534718349</c:v>
                </c:pt>
                <c:pt idx="207">
                  <c:v>1300</c:v>
                </c:pt>
                <c:pt idx="208">
                  <c:v>1307.1280625627439</c:v>
                </c:pt>
                <c:pt idx="209">
                  <c:v>1310</c:v>
                </c:pt>
                <c:pt idx="210">
                  <c:v>1316.2189716536529</c:v>
                </c:pt>
                <c:pt idx="211">
                  <c:v>1320</c:v>
                </c:pt>
                <c:pt idx="212">
                  <c:v>1325.3098807445622</c:v>
                </c:pt>
                <c:pt idx="213">
                  <c:v>1330</c:v>
                </c:pt>
                <c:pt idx="214">
                  <c:v>1340</c:v>
                </c:pt>
                <c:pt idx="215">
                  <c:v>1343.4916989263802</c:v>
                </c:pt>
                <c:pt idx="216">
                  <c:v>1343.4916989263804</c:v>
                </c:pt>
                <c:pt idx="217">
                  <c:v>1350</c:v>
                </c:pt>
                <c:pt idx="218">
                  <c:v>1360</c:v>
                </c:pt>
                <c:pt idx="219">
                  <c:v>1370</c:v>
                </c:pt>
                <c:pt idx="220">
                  <c:v>1380</c:v>
                </c:pt>
                <c:pt idx="221">
                  <c:v>1390</c:v>
                </c:pt>
                <c:pt idx="222">
                  <c:v>1400</c:v>
                </c:pt>
                <c:pt idx="223">
                  <c:v>1404.6290990394887</c:v>
                </c:pt>
                <c:pt idx="224">
                  <c:v>1404.6290990394889</c:v>
                </c:pt>
                <c:pt idx="225">
                  <c:v>1410</c:v>
                </c:pt>
                <c:pt idx="226">
                  <c:v>1420</c:v>
                </c:pt>
                <c:pt idx="227">
                  <c:v>1422.8109172213069</c:v>
                </c:pt>
                <c:pt idx="228">
                  <c:v>1430</c:v>
                </c:pt>
                <c:pt idx="229">
                  <c:v>1431.9018263122159</c:v>
                </c:pt>
                <c:pt idx="230">
                  <c:v>1440</c:v>
                </c:pt>
                <c:pt idx="231">
                  <c:v>1440.9927354031249</c:v>
                </c:pt>
                <c:pt idx="232">
                  <c:v>1450</c:v>
                </c:pt>
                <c:pt idx="233">
                  <c:v>1450.0836444940339</c:v>
                </c:pt>
                <c:pt idx="234">
                  <c:v>1460</c:v>
                </c:pt>
                <c:pt idx="235">
                  <c:v>1470</c:v>
                </c:pt>
                <c:pt idx="236">
                  <c:v>1473.8739025027965</c:v>
                </c:pt>
                <c:pt idx="237">
                  <c:v>1480</c:v>
                </c:pt>
                <c:pt idx="238">
                  <c:v>1482.9648115937055</c:v>
                </c:pt>
                <c:pt idx="239">
                  <c:v>1490</c:v>
                </c:pt>
                <c:pt idx="240">
                  <c:v>1492.0557206846145</c:v>
                </c:pt>
                <c:pt idx="241">
                  <c:v>1500</c:v>
                </c:pt>
                <c:pt idx="242">
                  <c:v>1501.1466297755237</c:v>
                </c:pt>
                <c:pt idx="243">
                  <c:v>1510</c:v>
                </c:pt>
                <c:pt idx="244">
                  <c:v>1519.3284479573417</c:v>
                </c:pt>
                <c:pt idx="245">
                  <c:v>1519.328447957342</c:v>
                </c:pt>
                <c:pt idx="246">
                  <c:v>1519.817</c:v>
                </c:pt>
                <c:pt idx="247">
                  <c:v>1520</c:v>
                </c:pt>
                <c:pt idx="248">
                  <c:v>1530</c:v>
                </c:pt>
                <c:pt idx="249">
                  <c:v>1530.1335179056152</c:v>
                </c:pt>
                <c:pt idx="250">
                  <c:v>1530.1335179056155</c:v>
                </c:pt>
                <c:pt idx="251">
                  <c:v>1539.817</c:v>
                </c:pt>
                <c:pt idx="252">
                  <c:v>1540</c:v>
                </c:pt>
                <c:pt idx="253">
                  <c:v>1548.3153360874335</c:v>
                </c:pt>
                <c:pt idx="254">
                  <c:v>1550</c:v>
                </c:pt>
                <c:pt idx="255">
                  <c:v>1557.4062451783425</c:v>
                </c:pt>
                <c:pt idx="256">
                  <c:v>1559.817</c:v>
                </c:pt>
                <c:pt idx="257">
                  <c:v>1560</c:v>
                </c:pt>
                <c:pt idx="258">
                  <c:v>1566.4971542692515</c:v>
                </c:pt>
                <c:pt idx="259">
                  <c:v>1570</c:v>
                </c:pt>
                <c:pt idx="260">
                  <c:v>1575.5880633601605</c:v>
                </c:pt>
                <c:pt idx="261">
                  <c:v>1580</c:v>
                </c:pt>
                <c:pt idx="262">
                  <c:v>1590</c:v>
                </c:pt>
                <c:pt idx="263">
                  <c:v>1600</c:v>
                </c:pt>
                <c:pt idx="264">
                  <c:v>1610</c:v>
                </c:pt>
                <c:pt idx="265">
                  <c:v>1620</c:v>
                </c:pt>
                <c:pt idx="266">
                  <c:v>1625.7223680838474</c:v>
                </c:pt>
                <c:pt idx="267">
                  <c:v>1630</c:v>
                </c:pt>
                <c:pt idx="268">
                  <c:v>1634.8132771747564</c:v>
                </c:pt>
                <c:pt idx="269">
                  <c:v>1640</c:v>
                </c:pt>
                <c:pt idx="270">
                  <c:v>1643.9041862656654</c:v>
                </c:pt>
                <c:pt idx="271">
                  <c:v>1650</c:v>
                </c:pt>
                <c:pt idx="272">
                  <c:v>1660</c:v>
                </c:pt>
                <c:pt idx="273">
                  <c:v>1670</c:v>
                </c:pt>
                <c:pt idx="274">
                  <c:v>1671.1769135383931</c:v>
                </c:pt>
                <c:pt idx="275">
                  <c:v>1680</c:v>
                </c:pt>
                <c:pt idx="276">
                  <c:v>1690</c:v>
                </c:pt>
                <c:pt idx="277">
                  <c:v>1692.069822292875</c:v>
                </c:pt>
                <c:pt idx="278">
                  <c:v>1700</c:v>
                </c:pt>
                <c:pt idx="279">
                  <c:v>1710</c:v>
                </c:pt>
                <c:pt idx="280">
                  <c:v>1710.2516404746927</c:v>
                </c:pt>
                <c:pt idx="281">
                  <c:v>1719.3425495656018</c:v>
                </c:pt>
                <c:pt idx="282">
                  <c:v>1720</c:v>
                </c:pt>
                <c:pt idx="283">
                  <c:v>1728.4334586565108</c:v>
                </c:pt>
                <c:pt idx="284">
                  <c:v>1730</c:v>
                </c:pt>
                <c:pt idx="285">
                  <c:v>1737.5243677474198</c:v>
                </c:pt>
                <c:pt idx="286">
                  <c:v>1740</c:v>
                </c:pt>
                <c:pt idx="287">
                  <c:v>1750</c:v>
                </c:pt>
                <c:pt idx="288">
                  <c:v>1760</c:v>
                </c:pt>
                <c:pt idx="289">
                  <c:v>1770</c:v>
                </c:pt>
                <c:pt idx="290">
                  <c:v>1780</c:v>
                </c:pt>
                <c:pt idx="291">
                  <c:v>1790</c:v>
                </c:pt>
                <c:pt idx="292">
                  <c:v>1800</c:v>
                </c:pt>
                <c:pt idx="293">
                  <c:v>1810</c:v>
                </c:pt>
                <c:pt idx="294">
                  <c:v>1820</c:v>
                </c:pt>
                <c:pt idx="295">
                  <c:v>1830</c:v>
                </c:pt>
                <c:pt idx="296">
                  <c:v>1840</c:v>
                </c:pt>
                <c:pt idx="297">
                  <c:v>1848.2281943733419</c:v>
                </c:pt>
              </c:numCache>
            </c:numRef>
          </c:xVal>
          <c:yVal>
            <c:numRef>
              <c:f>RASANTE!$H$4:$H$301</c:f>
              <c:numCache>
                <c:formatCode>0.000</c:formatCode>
                <c:ptCount val="298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-2</c:v>
                </c:pt>
                <c:pt idx="7">
                  <c:v>-2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-2.0877430839998463</c:v>
                </c:pt>
                <c:pt idx="18">
                  <c:v>-4.0000000000000053</c:v>
                </c:pt>
                <c:pt idx="19">
                  <c:v>-4.8306002268569888</c:v>
                </c:pt>
                <c:pt idx="20">
                  <c:v>-7.5734573697141325</c:v>
                </c:pt>
                <c:pt idx="21">
                  <c:v>-8</c:v>
                </c:pt>
                <c:pt idx="22">
                  <c:v>-8</c:v>
                </c:pt>
                <c:pt idx="23">
                  <c:v>-8</c:v>
                </c:pt>
                <c:pt idx="24">
                  <c:v>-8</c:v>
                </c:pt>
                <c:pt idx="25">
                  <c:v>-8</c:v>
                </c:pt>
                <c:pt idx="26">
                  <c:v>-8</c:v>
                </c:pt>
                <c:pt idx="27">
                  <c:v>-8</c:v>
                </c:pt>
                <c:pt idx="28">
                  <c:v>-8</c:v>
                </c:pt>
                <c:pt idx="29">
                  <c:v>-8</c:v>
                </c:pt>
                <c:pt idx="30">
                  <c:v>-7.6742235509273762</c:v>
                </c:pt>
                <c:pt idx="31">
                  <c:v>-4.9313664080702342</c:v>
                </c:pt>
                <c:pt idx="32">
                  <c:v>-3.9999999999999973</c:v>
                </c:pt>
                <c:pt idx="33">
                  <c:v>-2.1885092652130904</c:v>
                </c:pt>
                <c:pt idx="34">
                  <c:v>-2.0571264080702374</c:v>
                </c:pt>
                <c:pt idx="35">
                  <c:v>-2</c:v>
                </c:pt>
                <c:pt idx="36">
                  <c:v>-2</c:v>
                </c:pt>
                <c:pt idx="37">
                  <c:v>-2</c:v>
                </c:pt>
                <c:pt idx="38">
                  <c:v>-2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-2</c:v>
                </c:pt>
                <c:pt idx="44">
                  <c:v>-2</c:v>
                </c:pt>
                <c:pt idx="45">
                  <c:v>-2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-2</c:v>
                </c:pt>
                <c:pt idx="51">
                  <c:v>-2</c:v>
                </c:pt>
                <c:pt idx="52">
                  <c:v>-2</c:v>
                </c:pt>
                <c:pt idx="53">
                  <c:v>-2</c:v>
                </c:pt>
                <c:pt idx="54">
                  <c:v>-4.8849813083506888E-15</c:v>
                </c:pt>
                <c:pt idx="55">
                  <c:v>8.1907410815222903E-2</c:v>
                </c:pt>
                <c:pt idx="56">
                  <c:v>1.9999999999999902</c:v>
                </c:pt>
                <c:pt idx="57">
                  <c:v>2.281907410815224</c:v>
                </c:pt>
                <c:pt idx="58">
                  <c:v>3.9999999999999973</c:v>
                </c:pt>
                <c:pt idx="59">
                  <c:v>4.481907410815225</c:v>
                </c:pt>
                <c:pt idx="60">
                  <c:v>6.020833333333357</c:v>
                </c:pt>
                <c:pt idx="61">
                  <c:v>6.6819074108152261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7.1636191054015015</c:v>
                </c:pt>
                <c:pt idx="82">
                  <c:v>4.963619105401504</c:v>
                </c:pt>
                <c:pt idx="83">
                  <c:v>4.0000000000000151</c:v>
                </c:pt>
                <c:pt idx="84">
                  <c:v>2.7636191054015065</c:v>
                </c:pt>
                <c:pt idx="85">
                  <c:v>2.0000000000000098</c:v>
                </c:pt>
                <c:pt idx="86">
                  <c:v>0.56361910540150806</c:v>
                </c:pt>
                <c:pt idx="87">
                  <c:v>4.8849813083506888E-15</c:v>
                </c:pt>
                <c:pt idx="88">
                  <c:v>-1.6363808945984899</c:v>
                </c:pt>
                <c:pt idx="89">
                  <c:v>-2</c:v>
                </c:pt>
                <c:pt idx="90">
                  <c:v>-2</c:v>
                </c:pt>
                <c:pt idx="91">
                  <c:v>-2</c:v>
                </c:pt>
                <c:pt idx="92">
                  <c:v>-2</c:v>
                </c:pt>
                <c:pt idx="93">
                  <c:v>-2</c:v>
                </c:pt>
                <c:pt idx="94">
                  <c:v>-2</c:v>
                </c:pt>
                <c:pt idx="95">
                  <c:v>-2</c:v>
                </c:pt>
                <c:pt idx="96">
                  <c:v>-2</c:v>
                </c:pt>
                <c:pt idx="97">
                  <c:v>-3.9999999999999831</c:v>
                </c:pt>
                <c:pt idx="98">
                  <c:v>-4.0653347641482274</c:v>
                </c:pt>
                <c:pt idx="99">
                  <c:v>-6.2653347641482293</c:v>
                </c:pt>
                <c:pt idx="100">
                  <c:v>-8</c:v>
                </c:pt>
                <c:pt idx="101">
                  <c:v>-8</c:v>
                </c:pt>
                <c:pt idx="102">
                  <c:v>-8</c:v>
                </c:pt>
                <c:pt idx="103">
                  <c:v>-8</c:v>
                </c:pt>
                <c:pt idx="104">
                  <c:v>-8</c:v>
                </c:pt>
                <c:pt idx="105">
                  <c:v>-6.7245367488945647</c:v>
                </c:pt>
                <c:pt idx="106">
                  <c:v>-4.5245367488945636</c:v>
                </c:pt>
                <c:pt idx="107">
                  <c:v>-4.0000000000000089</c:v>
                </c:pt>
                <c:pt idx="108">
                  <c:v>-2.3245367488945616</c:v>
                </c:pt>
                <c:pt idx="109">
                  <c:v>-2</c:v>
                </c:pt>
                <c:pt idx="110">
                  <c:v>-2</c:v>
                </c:pt>
                <c:pt idx="111">
                  <c:v>-2</c:v>
                </c:pt>
                <c:pt idx="112">
                  <c:v>-2</c:v>
                </c:pt>
                <c:pt idx="113">
                  <c:v>-2</c:v>
                </c:pt>
                <c:pt idx="114">
                  <c:v>-2</c:v>
                </c:pt>
                <c:pt idx="115">
                  <c:v>-2</c:v>
                </c:pt>
                <c:pt idx="116">
                  <c:v>-2</c:v>
                </c:pt>
                <c:pt idx="117">
                  <c:v>-2</c:v>
                </c:pt>
                <c:pt idx="118">
                  <c:v>-2</c:v>
                </c:pt>
                <c:pt idx="119">
                  <c:v>-2</c:v>
                </c:pt>
                <c:pt idx="120">
                  <c:v>-2</c:v>
                </c:pt>
                <c:pt idx="121">
                  <c:v>-2</c:v>
                </c:pt>
                <c:pt idx="122">
                  <c:v>-2</c:v>
                </c:pt>
                <c:pt idx="123">
                  <c:v>-2</c:v>
                </c:pt>
                <c:pt idx="124">
                  <c:v>-2</c:v>
                </c:pt>
                <c:pt idx="125">
                  <c:v>-2</c:v>
                </c:pt>
                <c:pt idx="126">
                  <c:v>-2.7193027995762629</c:v>
                </c:pt>
                <c:pt idx="127">
                  <c:v>-3.9999999999999831</c:v>
                </c:pt>
                <c:pt idx="128">
                  <c:v>-4.6733427995762531</c:v>
                </c:pt>
                <c:pt idx="129">
                  <c:v>-4.9193027995762648</c:v>
                </c:pt>
                <c:pt idx="130">
                  <c:v>-7.1193027995762659</c:v>
                </c:pt>
                <c:pt idx="131">
                  <c:v>-8</c:v>
                </c:pt>
                <c:pt idx="132">
                  <c:v>-8</c:v>
                </c:pt>
                <c:pt idx="133">
                  <c:v>-8</c:v>
                </c:pt>
                <c:pt idx="134">
                  <c:v>-8</c:v>
                </c:pt>
                <c:pt idx="135">
                  <c:v>-8</c:v>
                </c:pt>
                <c:pt idx="136">
                  <c:v>-8</c:v>
                </c:pt>
                <c:pt idx="137">
                  <c:v>-8</c:v>
                </c:pt>
                <c:pt idx="138">
                  <c:v>-8</c:v>
                </c:pt>
                <c:pt idx="139">
                  <c:v>-8</c:v>
                </c:pt>
                <c:pt idx="140">
                  <c:v>-8</c:v>
                </c:pt>
                <c:pt idx="141">
                  <c:v>-7.2439868193741717</c:v>
                </c:pt>
                <c:pt idx="142">
                  <c:v>-5.0439868193741706</c:v>
                </c:pt>
                <c:pt idx="143">
                  <c:v>-4.0000000000000089</c:v>
                </c:pt>
                <c:pt idx="144">
                  <c:v>-2</c:v>
                </c:pt>
                <c:pt idx="145">
                  <c:v>-2.8439868193741682</c:v>
                </c:pt>
                <c:pt idx="146">
                  <c:v>-2</c:v>
                </c:pt>
                <c:pt idx="147">
                  <c:v>-2</c:v>
                </c:pt>
                <c:pt idx="148">
                  <c:v>-2</c:v>
                </c:pt>
                <c:pt idx="149">
                  <c:v>-2</c:v>
                </c:pt>
                <c:pt idx="150">
                  <c:v>-2</c:v>
                </c:pt>
                <c:pt idx="151">
                  <c:v>-2</c:v>
                </c:pt>
                <c:pt idx="152">
                  <c:v>-2</c:v>
                </c:pt>
                <c:pt idx="153">
                  <c:v>-2</c:v>
                </c:pt>
                <c:pt idx="154">
                  <c:v>-2</c:v>
                </c:pt>
                <c:pt idx="155">
                  <c:v>-2</c:v>
                </c:pt>
                <c:pt idx="156">
                  <c:v>-2</c:v>
                </c:pt>
                <c:pt idx="157">
                  <c:v>-2</c:v>
                </c:pt>
                <c:pt idx="158">
                  <c:v>-2</c:v>
                </c:pt>
                <c:pt idx="159">
                  <c:v>-2</c:v>
                </c:pt>
                <c:pt idx="160">
                  <c:v>-2</c:v>
                </c:pt>
                <c:pt idx="161">
                  <c:v>-2</c:v>
                </c:pt>
                <c:pt idx="162">
                  <c:v>-2</c:v>
                </c:pt>
                <c:pt idx="163">
                  <c:v>-2</c:v>
                </c:pt>
                <c:pt idx="164">
                  <c:v>-2</c:v>
                </c:pt>
                <c:pt idx="165">
                  <c:v>-2</c:v>
                </c:pt>
                <c:pt idx="166">
                  <c:v>-2</c:v>
                </c:pt>
                <c:pt idx="167">
                  <c:v>-2</c:v>
                </c:pt>
                <c:pt idx="168">
                  <c:v>-2</c:v>
                </c:pt>
                <c:pt idx="169">
                  <c:v>-2</c:v>
                </c:pt>
                <c:pt idx="170">
                  <c:v>-2</c:v>
                </c:pt>
                <c:pt idx="171">
                  <c:v>-2</c:v>
                </c:pt>
                <c:pt idx="172">
                  <c:v>-2</c:v>
                </c:pt>
                <c:pt idx="173">
                  <c:v>-2</c:v>
                </c:pt>
                <c:pt idx="174">
                  <c:v>-2</c:v>
                </c:pt>
                <c:pt idx="175">
                  <c:v>-2</c:v>
                </c:pt>
                <c:pt idx="176">
                  <c:v>-2.2349529746382135</c:v>
                </c:pt>
                <c:pt idx="177">
                  <c:v>-3.7749529746382144</c:v>
                </c:pt>
                <c:pt idx="178">
                  <c:v>-4.0000000000000338</c:v>
                </c:pt>
                <c:pt idx="179">
                  <c:v>-5.9749529746382164</c:v>
                </c:pt>
                <c:pt idx="180">
                  <c:v>-8</c:v>
                </c:pt>
                <c:pt idx="181">
                  <c:v>-8.0000000000000995</c:v>
                </c:pt>
                <c:pt idx="182">
                  <c:v>-8</c:v>
                </c:pt>
                <c:pt idx="183">
                  <c:v>-8</c:v>
                </c:pt>
                <c:pt idx="184">
                  <c:v>-8</c:v>
                </c:pt>
                <c:pt idx="185">
                  <c:v>-8</c:v>
                </c:pt>
                <c:pt idx="186">
                  <c:v>-8</c:v>
                </c:pt>
                <c:pt idx="187">
                  <c:v>-8</c:v>
                </c:pt>
                <c:pt idx="188">
                  <c:v>-8</c:v>
                </c:pt>
                <c:pt idx="189">
                  <c:v>-8</c:v>
                </c:pt>
                <c:pt idx="190">
                  <c:v>-8</c:v>
                </c:pt>
                <c:pt idx="191">
                  <c:v>-8</c:v>
                </c:pt>
                <c:pt idx="192">
                  <c:v>-8</c:v>
                </c:pt>
                <c:pt idx="193">
                  <c:v>-7.5887758149511226</c:v>
                </c:pt>
                <c:pt idx="194">
                  <c:v>-6.5290358149511203</c:v>
                </c:pt>
                <c:pt idx="195">
                  <c:v>-5.3887758149511207</c:v>
                </c:pt>
                <c:pt idx="196">
                  <c:v>-3.9999999999999831</c:v>
                </c:pt>
                <c:pt idx="197">
                  <c:v>-3.2290358149511178</c:v>
                </c:pt>
                <c:pt idx="198">
                  <c:v>-3.1887758149511192</c:v>
                </c:pt>
                <c:pt idx="199">
                  <c:v>-2</c:v>
                </c:pt>
                <c:pt idx="200">
                  <c:v>-2</c:v>
                </c:pt>
                <c:pt idx="201">
                  <c:v>-2</c:v>
                </c:pt>
                <c:pt idx="202">
                  <c:v>-2</c:v>
                </c:pt>
                <c:pt idx="203">
                  <c:v>-2</c:v>
                </c:pt>
                <c:pt idx="204">
                  <c:v>-2</c:v>
                </c:pt>
                <c:pt idx="205">
                  <c:v>-2</c:v>
                </c:pt>
                <c:pt idx="206">
                  <c:v>-2</c:v>
                </c:pt>
                <c:pt idx="207">
                  <c:v>-1.5681737638036821</c:v>
                </c:pt>
                <c:pt idx="208">
                  <c:v>-1.021405182655144E-14</c:v>
                </c:pt>
                <c:pt idx="209">
                  <c:v>0.63182623619632672</c:v>
                </c:pt>
                <c:pt idx="210">
                  <c:v>1.9999999999999796</c:v>
                </c:pt>
                <c:pt idx="211">
                  <c:v>2.8318262361963358</c:v>
                </c:pt>
                <c:pt idx="212">
                  <c:v>4.0000000000000195</c:v>
                </c:pt>
                <c:pt idx="213">
                  <c:v>5.0318262361963448</c:v>
                </c:pt>
                <c:pt idx="214">
                  <c:v>7.231826236196353</c:v>
                </c:pt>
                <c:pt idx="215">
                  <c:v>8</c:v>
                </c:pt>
                <c:pt idx="216">
                  <c:v>8.0000000000000497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6.8184017886875008</c:v>
                </c:pt>
                <c:pt idx="226">
                  <c:v>4.6184017886874917</c:v>
                </c:pt>
                <c:pt idx="227">
                  <c:v>3.9999999999999698</c:v>
                </c:pt>
                <c:pt idx="228">
                  <c:v>2.4184017886874836</c:v>
                </c:pt>
                <c:pt idx="229">
                  <c:v>1.9999999999999796</c:v>
                </c:pt>
                <c:pt idx="230">
                  <c:v>0.21840178868747451</c:v>
                </c:pt>
                <c:pt idx="231">
                  <c:v>-1.021405182655144E-14</c:v>
                </c:pt>
                <c:pt idx="232">
                  <c:v>-1.9815982113125346</c:v>
                </c:pt>
                <c:pt idx="233">
                  <c:v>-2</c:v>
                </c:pt>
                <c:pt idx="234">
                  <c:v>-2</c:v>
                </c:pt>
                <c:pt idx="235">
                  <c:v>-2</c:v>
                </c:pt>
                <c:pt idx="236">
                  <c:v>-2</c:v>
                </c:pt>
                <c:pt idx="237">
                  <c:v>-0.65225855061521454</c:v>
                </c:pt>
                <c:pt idx="238">
                  <c:v>-1.021405182655144E-14</c:v>
                </c:pt>
                <c:pt idx="239">
                  <c:v>1.5477414493847945</c:v>
                </c:pt>
                <c:pt idx="240">
                  <c:v>1.9999999999999796</c:v>
                </c:pt>
                <c:pt idx="241">
                  <c:v>3.7477414493848036</c:v>
                </c:pt>
                <c:pt idx="242">
                  <c:v>4.0000000000000195</c:v>
                </c:pt>
                <c:pt idx="243">
                  <c:v>5.9477414493848118</c:v>
                </c:pt>
                <c:pt idx="244">
                  <c:v>8</c:v>
                </c:pt>
                <c:pt idx="245">
                  <c:v>8.0000000000000497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5.8696339392353414</c:v>
                </c:pt>
                <c:pt idx="252">
                  <c:v>5.8293739392353423</c:v>
                </c:pt>
                <c:pt idx="253">
                  <c:v>3.9999999999999698</c:v>
                </c:pt>
                <c:pt idx="254">
                  <c:v>3.6293739392353332</c:v>
                </c:pt>
                <c:pt idx="255">
                  <c:v>1.9999999999999796</c:v>
                </c:pt>
                <c:pt idx="256">
                  <c:v>1.4696339392353233</c:v>
                </c:pt>
                <c:pt idx="257">
                  <c:v>1.4293739392353246</c:v>
                </c:pt>
                <c:pt idx="258">
                  <c:v>-1.021405182655144E-14</c:v>
                </c:pt>
                <c:pt idx="259">
                  <c:v>-0.77062606076468421</c:v>
                </c:pt>
                <c:pt idx="260">
                  <c:v>-2</c:v>
                </c:pt>
                <c:pt idx="261">
                  <c:v>-2</c:v>
                </c:pt>
                <c:pt idx="262">
                  <c:v>-2</c:v>
                </c:pt>
                <c:pt idx="263">
                  <c:v>-2</c:v>
                </c:pt>
                <c:pt idx="264">
                  <c:v>-2</c:v>
                </c:pt>
                <c:pt idx="265">
                  <c:v>-2</c:v>
                </c:pt>
                <c:pt idx="266">
                  <c:v>-2</c:v>
                </c:pt>
                <c:pt idx="267">
                  <c:v>-1.0589209784464271</c:v>
                </c:pt>
                <c:pt idx="268">
                  <c:v>0</c:v>
                </c:pt>
                <c:pt idx="269">
                  <c:v>1.1410790215535815</c:v>
                </c:pt>
                <c:pt idx="270">
                  <c:v>1.9999999999999796</c:v>
                </c:pt>
                <c:pt idx="271">
                  <c:v>3.3410790215535906</c:v>
                </c:pt>
                <c:pt idx="272">
                  <c:v>5.5410790215535997</c:v>
                </c:pt>
                <c:pt idx="273">
                  <c:v>7.7410790215536078</c:v>
                </c:pt>
                <c:pt idx="274">
                  <c:v>8.0000000000000995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6.2553609044323828</c:v>
                </c:pt>
                <c:pt idx="279">
                  <c:v>4.0553609044323746</c:v>
                </c:pt>
                <c:pt idx="280">
                  <c:v>3.9999999999999698</c:v>
                </c:pt>
                <c:pt idx="281">
                  <c:v>1.9999999999999796</c:v>
                </c:pt>
                <c:pt idx="282">
                  <c:v>1.855360904432366</c:v>
                </c:pt>
                <c:pt idx="283">
                  <c:v>-1.021405182655144E-14</c:v>
                </c:pt>
                <c:pt idx="284">
                  <c:v>-0.34463909556764305</c:v>
                </c:pt>
                <c:pt idx="285">
                  <c:v>-2</c:v>
                </c:pt>
                <c:pt idx="286">
                  <c:v>-2</c:v>
                </c:pt>
                <c:pt idx="287">
                  <c:v>-2</c:v>
                </c:pt>
                <c:pt idx="288">
                  <c:v>-2</c:v>
                </c:pt>
                <c:pt idx="289">
                  <c:v>-2</c:v>
                </c:pt>
                <c:pt idx="290">
                  <c:v>-2</c:v>
                </c:pt>
                <c:pt idx="291">
                  <c:v>-2</c:v>
                </c:pt>
                <c:pt idx="292">
                  <c:v>-2</c:v>
                </c:pt>
                <c:pt idx="293">
                  <c:v>-2</c:v>
                </c:pt>
                <c:pt idx="294">
                  <c:v>-2</c:v>
                </c:pt>
                <c:pt idx="295">
                  <c:v>-2</c:v>
                </c:pt>
                <c:pt idx="296">
                  <c:v>-2</c:v>
                </c:pt>
                <c:pt idx="297">
                  <c:v>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54-42D2-A7FB-66D87E7D7010}"/>
            </c:ext>
          </c:extLst>
        </c:ser>
        <c:ser>
          <c:idx val="1"/>
          <c:order val="1"/>
          <c:tx>
            <c:v>derecho</c:v>
          </c:tx>
          <c:marker>
            <c:symbol val="none"/>
          </c:marker>
          <c:xVal>
            <c:numRef>
              <c:f>RASANTE!$F$4:$F$301</c:f>
              <c:numCache>
                <c:formatCode>"K"0"+"000.000</c:formatCode>
                <c:ptCount val="29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125.09677000625057</c:v>
                </c:pt>
                <c:pt idx="14">
                  <c:v>130</c:v>
                </c:pt>
                <c:pt idx="15">
                  <c:v>132.38843667291724</c:v>
                </c:pt>
                <c:pt idx="16">
                  <c:v>139.68010333958389</c:v>
                </c:pt>
                <c:pt idx="17">
                  <c:v>140</c:v>
                </c:pt>
                <c:pt idx="18">
                  <c:v>146.97177000625058</c:v>
                </c:pt>
                <c:pt idx="19">
                  <c:v>150</c:v>
                </c:pt>
                <c:pt idx="20">
                  <c:v>160</c:v>
                </c:pt>
                <c:pt idx="21">
                  <c:v>161.55510333958389</c:v>
                </c:pt>
                <c:pt idx="22">
                  <c:v>161.55510333958389</c:v>
                </c:pt>
                <c:pt idx="23">
                  <c:v>170</c:v>
                </c:pt>
                <c:pt idx="24">
                  <c:v>180</c:v>
                </c:pt>
                <c:pt idx="25">
                  <c:v>190</c:v>
                </c:pt>
                <c:pt idx="26">
                  <c:v>200</c:v>
                </c:pt>
                <c:pt idx="27">
                  <c:v>210</c:v>
                </c:pt>
                <c:pt idx="28">
                  <c:v>218.81227336275606</c:v>
                </c:pt>
                <c:pt idx="29">
                  <c:v>218.81227336275606</c:v>
                </c:pt>
                <c:pt idx="30">
                  <c:v>220</c:v>
                </c:pt>
                <c:pt idx="31">
                  <c:v>230</c:v>
                </c:pt>
                <c:pt idx="32">
                  <c:v>233.3956066960894</c:v>
                </c:pt>
                <c:pt idx="33">
                  <c:v>240</c:v>
                </c:pt>
                <c:pt idx="34">
                  <c:v>240.47899999999998</c:v>
                </c:pt>
                <c:pt idx="35">
                  <c:v>240.68727336275606</c:v>
                </c:pt>
                <c:pt idx="36">
                  <c:v>247.97894002942272</c:v>
                </c:pt>
                <c:pt idx="37">
                  <c:v>250</c:v>
                </c:pt>
                <c:pt idx="38">
                  <c:v>255.27060669608937</c:v>
                </c:pt>
                <c:pt idx="39">
                  <c:v>260</c:v>
                </c:pt>
                <c:pt idx="40">
                  <c:v>270</c:v>
                </c:pt>
                <c:pt idx="41">
                  <c:v>280</c:v>
                </c:pt>
                <c:pt idx="42">
                  <c:v>287.97899999999998</c:v>
                </c:pt>
                <c:pt idx="43">
                  <c:v>290</c:v>
                </c:pt>
                <c:pt idx="44">
                  <c:v>300</c:v>
                </c:pt>
                <c:pt idx="45">
                  <c:v>310</c:v>
                </c:pt>
                <c:pt idx="46">
                  <c:v>320</c:v>
                </c:pt>
                <c:pt idx="47">
                  <c:v>330</c:v>
                </c:pt>
                <c:pt idx="48">
                  <c:v>335.47899999999998</c:v>
                </c:pt>
                <c:pt idx="49">
                  <c:v>340</c:v>
                </c:pt>
                <c:pt idx="50">
                  <c:v>350</c:v>
                </c:pt>
                <c:pt idx="51">
                  <c:v>360</c:v>
                </c:pt>
                <c:pt idx="52">
                  <c:v>370</c:v>
                </c:pt>
                <c:pt idx="53">
                  <c:v>370.53678449629444</c:v>
                </c:pt>
                <c:pt idx="54">
                  <c:v>379.62769358720351</c:v>
                </c:pt>
                <c:pt idx="55">
                  <c:v>380</c:v>
                </c:pt>
                <c:pt idx="56">
                  <c:v>388.71860267811257</c:v>
                </c:pt>
                <c:pt idx="57">
                  <c:v>390</c:v>
                </c:pt>
                <c:pt idx="58">
                  <c:v>397.8095117690217</c:v>
                </c:pt>
                <c:pt idx="59">
                  <c:v>400</c:v>
                </c:pt>
                <c:pt idx="60">
                  <c:v>406.99511782962787</c:v>
                </c:pt>
                <c:pt idx="61">
                  <c:v>410</c:v>
                </c:pt>
                <c:pt idx="62">
                  <c:v>415.99132995083988</c:v>
                </c:pt>
                <c:pt idx="63">
                  <c:v>420</c:v>
                </c:pt>
                <c:pt idx="64">
                  <c:v>430</c:v>
                </c:pt>
                <c:pt idx="65">
                  <c:v>440</c:v>
                </c:pt>
                <c:pt idx="66">
                  <c:v>450</c:v>
                </c:pt>
                <c:pt idx="67">
                  <c:v>460</c:v>
                </c:pt>
                <c:pt idx="68">
                  <c:v>468.88200000000001</c:v>
                </c:pt>
                <c:pt idx="69">
                  <c:v>470</c:v>
                </c:pt>
                <c:pt idx="70">
                  <c:v>480</c:v>
                </c:pt>
                <c:pt idx="71">
                  <c:v>490</c:v>
                </c:pt>
                <c:pt idx="72">
                  <c:v>493.88200000000001</c:v>
                </c:pt>
                <c:pt idx="73">
                  <c:v>500</c:v>
                </c:pt>
                <c:pt idx="74">
                  <c:v>510</c:v>
                </c:pt>
                <c:pt idx="75">
                  <c:v>518.88200000000006</c:v>
                </c:pt>
                <c:pt idx="76">
                  <c:v>520</c:v>
                </c:pt>
                <c:pt idx="77">
                  <c:v>530</c:v>
                </c:pt>
                <c:pt idx="78">
                  <c:v>537.2020565397039</c:v>
                </c:pt>
                <c:pt idx="79">
                  <c:v>540</c:v>
                </c:pt>
                <c:pt idx="80">
                  <c:v>546.19826866091591</c:v>
                </c:pt>
                <c:pt idx="81">
                  <c:v>550</c:v>
                </c:pt>
                <c:pt idx="82">
                  <c:v>560</c:v>
                </c:pt>
                <c:pt idx="83">
                  <c:v>564.38008684273404</c:v>
                </c:pt>
                <c:pt idx="84">
                  <c:v>570</c:v>
                </c:pt>
                <c:pt idx="85">
                  <c:v>573.47099593364317</c:v>
                </c:pt>
                <c:pt idx="86">
                  <c:v>580</c:v>
                </c:pt>
                <c:pt idx="87">
                  <c:v>582.56190502455229</c:v>
                </c:pt>
                <c:pt idx="88">
                  <c:v>590</c:v>
                </c:pt>
                <c:pt idx="89">
                  <c:v>591.65281411546141</c:v>
                </c:pt>
                <c:pt idx="90">
                  <c:v>600</c:v>
                </c:pt>
                <c:pt idx="91">
                  <c:v>610</c:v>
                </c:pt>
                <c:pt idx="92">
                  <c:v>612.43029652659891</c:v>
                </c:pt>
                <c:pt idx="93">
                  <c:v>620</c:v>
                </c:pt>
                <c:pt idx="94">
                  <c:v>621.52120561750803</c:v>
                </c:pt>
                <c:pt idx="95">
                  <c:v>630</c:v>
                </c:pt>
                <c:pt idx="96">
                  <c:v>630.61211470841715</c:v>
                </c:pt>
                <c:pt idx="97">
                  <c:v>639.70302379932616</c:v>
                </c:pt>
                <c:pt idx="98">
                  <c:v>640</c:v>
                </c:pt>
                <c:pt idx="99">
                  <c:v>650</c:v>
                </c:pt>
                <c:pt idx="100">
                  <c:v>657.8848419811444</c:v>
                </c:pt>
                <c:pt idx="101">
                  <c:v>657.8848419811444</c:v>
                </c:pt>
                <c:pt idx="102">
                  <c:v>660</c:v>
                </c:pt>
                <c:pt idx="103">
                  <c:v>664.20243976770257</c:v>
                </c:pt>
                <c:pt idx="104">
                  <c:v>664.20243976770257</c:v>
                </c:pt>
                <c:pt idx="105">
                  <c:v>670</c:v>
                </c:pt>
                <c:pt idx="106">
                  <c:v>680</c:v>
                </c:pt>
                <c:pt idx="107">
                  <c:v>682.3842579495207</c:v>
                </c:pt>
                <c:pt idx="108">
                  <c:v>690</c:v>
                </c:pt>
                <c:pt idx="109">
                  <c:v>691.47516704042982</c:v>
                </c:pt>
                <c:pt idx="110">
                  <c:v>700</c:v>
                </c:pt>
                <c:pt idx="111">
                  <c:v>700.56607613133895</c:v>
                </c:pt>
                <c:pt idx="112">
                  <c:v>709.65698522224807</c:v>
                </c:pt>
                <c:pt idx="113">
                  <c:v>710</c:v>
                </c:pt>
                <c:pt idx="114">
                  <c:v>720</c:v>
                </c:pt>
                <c:pt idx="115">
                  <c:v>730</c:v>
                </c:pt>
                <c:pt idx="116">
                  <c:v>740</c:v>
                </c:pt>
                <c:pt idx="117">
                  <c:v>750</c:v>
                </c:pt>
                <c:pt idx="118">
                  <c:v>760</c:v>
                </c:pt>
                <c:pt idx="119">
                  <c:v>768.54862363828965</c:v>
                </c:pt>
                <c:pt idx="120">
                  <c:v>768.88199999999995</c:v>
                </c:pt>
                <c:pt idx="121">
                  <c:v>770</c:v>
                </c:pt>
                <c:pt idx="122">
                  <c:v>777.63953272919878</c:v>
                </c:pt>
                <c:pt idx="123">
                  <c:v>780</c:v>
                </c:pt>
                <c:pt idx="124">
                  <c:v>783.88199999999995</c:v>
                </c:pt>
                <c:pt idx="125">
                  <c:v>786.7304418201079</c:v>
                </c:pt>
                <c:pt idx="126">
                  <c:v>790</c:v>
                </c:pt>
                <c:pt idx="127">
                  <c:v>795.82135091101691</c:v>
                </c:pt>
                <c:pt idx="128">
                  <c:v>798.88199999999995</c:v>
                </c:pt>
                <c:pt idx="129">
                  <c:v>800</c:v>
                </c:pt>
                <c:pt idx="130">
                  <c:v>810</c:v>
                </c:pt>
                <c:pt idx="131">
                  <c:v>814.00316909283515</c:v>
                </c:pt>
                <c:pt idx="132">
                  <c:v>814.00316909283515</c:v>
                </c:pt>
                <c:pt idx="133">
                  <c:v>820</c:v>
                </c:pt>
                <c:pt idx="134">
                  <c:v>830</c:v>
                </c:pt>
                <c:pt idx="135">
                  <c:v>840</c:v>
                </c:pt>
                <c:pt idx="136">
                  <c:v>850</c:v>
                </c:pt>
                <c:pt idx="137">
                  <c:v>860</c:v>
                </c:pt>
                <c:pt idx="138">
                  <c:v>870</c:v>
                </c:pt>
                <c:pt idx="139">
                  <c:v>876.56357645170078</c:v>
                </c:pt>
                <c:pt idx="140">
                  <c:v>876.56357645170078</c:v>
                </c:pt>
                <c:pt idx="141">
                  <c:v>880</c:v>
                </c:pt>
                <c:pt idx="142">
                  <c:v>890</c:v>
                </c:pt>
                <c:pt idx="143">
                  <c:v>894.74539463351891</c:v>
                </c:pt>
                <c:pt idx="144">
                  <c:v>908.69557645170073</c:v>
                </c:pt>
                <c:pt idx="145">
                  <c:v>900</c:v>
                </c:pt>
                <c:pt idx="146">
                  <c:v>903.83630372442803</c:v>
                </c:pt>
                <c:pt idx="147">
                  <c:v>910</c:v>
                </c:pt>
                <c:pt idx="148">
                  <c:v>912.92721281533716</c:v>
                </c:pt>
                <c:pt idx="149">
                  <c:v>920</c:v>
                </c:pt>
                <c:pt idx="150">
                  <c:v>922.01812190624628</c:v>
                </c:pt>
                <c:pt idx="151">
                  <c:v>930</c:v>
                </c:pt>
                <c:pt idx="152">
                  <c:v>940</c:v>
                </c:pt>
                <c:pt idx="153">
                  <c:v>950</c:v>
                </c:pt>
                <c:pt idx="154">
                  <c:v>960</c:v>
                </c:pt>
                <c:pt idx="155">
                  <c:v>963</c:v>
                </c:pt>
                <c:pt idx="156">
                  <c:v>970</c:v>
                </c:pt>
                <c:pt idx="157">
                  <c:v>980</c:v>
                </c:pt>
                <c:pt idx="158">
                  <c:v>990</c:v>
                </c:pt>
                <c:pt idx="159">
                  <c:v>1000</c:v>
                </c:pt>
                <c:pt idx="160">
                  <c:v>1010</c:v>
                </c:pt>
                <c:pt idx="161">
                  <c:v>1020</c:v>
                </c:pt>
                <c:pt idx="162">
                  <c:v>1030</c:v>
                </c:pt>
                <c:pt idx="163">
                  <c:v>1040</c:v>
                </c:pt>
                <c:pt idx="164">
                  <c:v>1043</c:v>
                </c:pt>
                <c:pt idx="165">
                  <c:v>1050</c:v>
                </c:pt>
                <c:pt idx="166">
                  <c:v>1060</c:v>
                </c:pt>
                <c:pt idx="167">
                  <c:v>1070</c:v>
                </c:pt>
                <c:pt idx="168">
                  <c:v>1080</c:v>
                </c:pt>
                <c:pt idx="169">
                  <c:v>1090</c:v>
                </c:pt>
                <c:pt idx="170">
                  <c:v>1100</c:v>
                </c:pt>
                <c:pt idx="171">
                  <c:v>1103.7502137516447</c:v>
                </c:pt>
                <c:pt idx="172">
                  <c:v>1110</c:v>
                </c:pt>
                <c:pt idx="173">
                  <c:v>1112.8411228425537</c:v>
                </c:pt>
                <c:pt idx="174">
                  <c:v>1120</c:v>
                </c:pt>
                <c:pt idx="175">
                  <c:v>1121.9320319334627</c:v>
                </c:pt>
                <c:pt idx="176">
                  <c:v>1123</c:v>
                </c:pt>
                <c:pt idx="177">
                  <c:v>1130</c:v>
                </c:pt>
                <c:pt idx="178">
                  <c:v>1131.0229410243719</c:v>
                </c:pt>
                <c:pt idx="179">
                  <c:v>1140</c:v>
                </c:pt>
                <c:pt idx="180">
                  <c:v>1149.2047592061899</c:v>
                </c:pt>
                <c:pt idx="181">
                  <c:v>1149.2047592061904</c:v>
                </c:pt>
                <c:pt idx="182">
                  <c:v>1150</c:v>
                </c:pt>
                <c:pt idx="183">
                  <c:v>1160</c:v>
                </c:pt>
                <c:pt idx="184">
                  <c:v>1170</c:v>
                </c:pt>
                <c:pt idx="185">
                  <c:v>1180</c:v>
                </c:pt>
                <c:pt idx="186">
                  <c:v>1190</c:v>
                </c:pt>
                <c:pt idx="187">
                  <c:v>1200</c:v>
                </c:pt>
                <c:pt idx="188">
                  <c:v>1210</c:v>
                </c:pt>
                <c:pt idx="189">
                  <c:v>1220</c:v>
                </c:pt>
                <c:pt idx="190">
                  <c:v>1230</c:v>
                </c:pt>
                <c:pt idx="191">
                  <c:v>1238.1307991588687</c:v>
                </c:pt>
                <c:pt idx="192">
                  <c:v>1238.1307991588692</c:v>
                </c:pt>
                <c:pt idx="193">
                  <c:v>1240</c:v>
                </c:pt>
                <c:pt idx="194">
                  <c:v>1244.817</c:v>
                </c:pt>
                <c:pt idx="195">
                  <c:v>1250</c:v>
                </c:pt>
                <c:pt idx="196">
                  <c:v>1256.312617340687</c:v>
                </c:pt>
                <c:pt idx="197">
                  <c:v>1259.817</c:v>
                </c:pt>
                <c:pt idx="198">
                  <c:v>1260</c:v>
                </c:pt>
                <c:pt idx="199">
                  <c:v>1265.403526431596</c:v>
                </c:pt>
                <c:pt idx="200">
                  <c:v>1270</c:v>
                </c:pt>
                <c:pt idx="201">
                  <c:v>1274.817</c:v>
                </c:pt>
                <c:pt idx="202">
                  <c:v>1274.494435522505</c:v>
                </c:pt>
                <c:pt idx="203">
                  <c:v>1280</c:v>
                </c:pt>
                <c:pt idx="204">
                  <c:v>1283.585344613414</c:v>
                </c:pt>
                <c:pt idx="205">
                  <c:v>1290</c:v>
                </c:pt>
                <c:pt idx="206">
                  <c:v>1298.0371534718349</c:v>
                </c:pt>
                <c:pt idx="207">
                  <c:v>1300</c:v>
                </c:pt>
                <c:pt idx="208">
                  <c:v>1307.1280625627439</c:v>
                </c:pt>
                <c:pt idx="209">
                  <c:v>1310</c:v>
                </c:pt>
                <c:pt idx="210">
                  <c:v>1316.2189716536529</c:v>
                </c:pt>
                <c:pt idx="211">
                  <c:v>1320</c:v>
                </c:pt>
                <c:pt idx="212">
                  <c:v>1325.3098807445622</c:v>
                </c:pt>
                <c:pt idx="213">
                  <c:v>1330</c:v>
                </c:pt>
                <c:pt idx="214">
                  <c:v>1340</c:v>
                </c:pt>
                <c:pt idx="215">
                  <c:v>1343.4916989263802</c:v>
                </c:pt>
                <c:pt idx="216">
                  <c:v>1343.4916989263804</c:v>
                </c:pt>
                <c:pt idx="217">
                  <c:v>1350</c:v>
                </c:pt>
                <c:pt idx="218">
                  <c:v>1360</c:v>
                </c:pt>
                <c:pt idx="219">
                  <c:v>1370</c:v>
                </c:pt>
                <c:pt idx="220">
                  <c:v>1380</c:v>
                </c:pt>
                <c:pt idx="221">
                  <c:v>1390</c:v>
                </c:pt>
                <c:pt idx="222">
                  <c:v>1400</c:v>
                </c:pt>
                <c:pt idx="223">
                  <c:v>1404.6290990394887</c:v>
                </c:pt>
                <c:pt idx="224">
                  <c:v>1404.6290990394889</c:v>
                </c:pt>
                <c:pt idx="225">
                  <c:v>1410</c:v>
                </c:pt>
                <c:pt idx="226">
                  <c:v>1420</c:v>
                </c:pt>
                <c:pt idx="227">
                  <c:v>1422.8109172213069</c:v>
                </c:pt>
                <c:pt idx="228">
                  <c:v>1430</c:v>
                </c:pt>
                <c:pt idx="229">
                  <c:v>1431.9018263122159</c:v>
                </c:pt>
                <c:pt idx="230">
                  <c:v>1440</c:v>
                </c:pt>
                <c:pt idx="231">
                  <c:v>1440.9927354031249</c:v>
                </c:pt>
                <c:pt idx="232">
                  <c:v>1450</c:v>
                </c:pt>
                <c:pt idx="233">
                  <c:v>1450.0836444940339</c:v>
                </c:pt>
                <c:pt idx="234">
                  <c:v>1460</c:v>
                </c:pt>
                <c:pt idx="235">
                  <c:v>1470</c:v>
                </c:pt>
                <c:pt idx="236">
                  <c:v>1473.8739025027965</c:v>
                </c:pt>
                <c:pt idx="237">
                  <c:v>1480</c:v>
                </c:pt>
                <c:pt idx="238">
                  <c:v>1482.9648115937055</c:v>
                </c:pt>
                <c:pt idx="239">
                  <c:v>1490</c:v>
                </c:pt>
                <c:pt idx="240">
                  <c:v>1492.0557206846145</c:v>
                </c:pt>
                <c:pt idx="241">
                  <c:v>1500</c:v>
                </c:pt>
                <c:pt idx="242">
                  <c:v>1501.1466297755237</c:v>
                </c:pt>
                <c:pt idx="243">
                  <c:v>1510</c:v>
                </c:pt>
                <c:pt idx="244">
                  <c:v>1519.3284479573417</c:v>
                </c:pt>
                <c:pt idx="245">
                  <c:v>1519.328447957342</c:v>
                </c:pt>
                <c:pt idx="246">
                  <c:v>1519.817</c:v>
                </c:pt>
                <c:pt idx="247">
                  <c:v>1520</c:v>
                </c:pt>
                <c:pt idx="248">
                  <c:v>1530</c:v>
                </c:pt>
                <c:pt idx="249">
                  <c:v>1530.1335179056152</c:v>
                </c:pt>
                <c:pt idx="250">
                  <c:v>1530.1335179056155</c:v>
                </c:pt>
                <c:pt idx="251">
                  <c:v>1539.817</c:v>
                </c:pt>
                <c:pt idx="252">
                  <c:v>1540</c:v>
                </c:pt>
                <c:pt idx="253">
                  <c:v>1548.3153360874335</c:v>
                </c:pt>
                <c:pt idx="254">
                  <c:v>1550</c:v>
                </c:pt>
                <c:pt idx="255">
                  <c:v>1557.4062451783425</c:v>
                </c:pt>
                <c:pt idx="256">
                  <c:v>1559.817</c:v>
                </c:pt>
                <c:pt idx="257">
                  <c:v>1560</c:v>
                </c:pt>
                <c:pt idx="258">
                  <c:v>1566.4971542692515</c:v>
                </c:pt>
                <c:pt idx="259">
                  <c:v>1570</c:v>
                </c:pt>
                <c:pt idx="260">
                  <c:v>1575.5880633601605</c:v>
                </c:pt>
                <c:pt idx="261">
                  <c:v>1580</c:v>
                </c:pt>
                <c:pt idx="262">
                  <c:v>1590</c:v>
                </c:pt>
                <c:pt idx="263">
                  <c:v>1600</c:v>
                </c:pt>
                <c:pt idx="264">
                  <c:v>1610</c:v>
                </c:pt>
                <c:pt idx="265">
                  <c:v>1620</c:v>
                </c:pt>
                <c:pt idx="266">
                  <c:v>1625.7223680838474</c:v>
                </c:pt>
                <c:pt idx="267">
                  <c:v>1630</c:v>
                </c:pt>
                <c:pt idx="268">
                  <c:v>1634.8132771747564</c:v>
                </c:pt>
                <c:pt idx="269">
                  <c:v>1640</c:v>
                </c:pt>
                <c:pt idx="270">
                  <c:v>1643.9041862656654</c:v>
                </c:pt>
                <c:pt idx="271">
                  <c:v>1650</c:v>
                </c:pt>
                <c:pt idx="272">
                  <c:v>1660</c:v>
                </c:pt>
                <c:pt idx="273">
                  <c:v>1670</c:v>
                </c:pt>
                <c:pt idx="274">
                  <c:v>1671.1769135383931</c:v>
                </c:pt>
                <c:pt idx="275">
                  <c:v>1680</c:v>
                </c:pt>
                <c:pt idx="276">
                  <c:v>1690</c:v>
                </c:pt>
                <c:pt idx="277">
                  <c:v>1692.069822292875</c:v>
                </c:pt>
                <c:pt idx="278">
                  <c:v>1700</c:v>
                </c:pt>
                <c:pt idx="279">
                  <c:v>1710</c:v>
                </c:pt>
                <c:pt idx="280">
                  <c:v>1710.2516404746927</c:v>
                </c:pt>
                <c:pt idx="281">
                  <c:v>1719.3425495656018</c:v>
                </c:pt>
                <c:pt idx="282">
                  <c:v>1720</c:v>
                </c:pt>
                <c:pt idx="283">
                  <c:v>1728.4334586565108</c:v>
                </c:pt>
                <c:pt idx="284">
                  <c:v>1730</c:v>
                </c:pt>
                <c:pt idx="285">
                  <c:v>1737.5243677474198</c:v>
                </c:pt>
                <c:pt idx="286">
                  <c:v>1740</c:v>
                </c:pt>
                <c:pt idx="287">
                  <c:v>1750</c:v>
                </c:pt>
                <c:pt idx="288">
                  <c:v>1760</c:v>
                </c:pt>
                <c:pt idx="289">
                  <c:v>1770</c:v>
                </c:pt>
                <c:pt idx="290">
                  <c:v>1780</c:v>
                </c:pt>
                <c:pt idx="291">
                  <c:v>1790</c:v>
                </c:pt>
                <c:pt idx="292">
                  <c:v>1800</c:v>
                </c:pt>
                <c:pt idx="293">
                  <c:v>1810</c:v>
                </c:pt>
                <c:pt idx="294">
                  <c:v>1820</c:v>
                </c:pt>
                <c:pt idx="295">
                  <c:v>1830</c:v>
                </c:pt>
                <c:pt idx="296">
                  <c:v>1840</c:v>
                </c:pt>
                <c:pt idx="297">
                  <c:v>1848.2281943733419</c:v>
                </c:pt>
              </c:numCache>
            </c:numRef>
          </c:xVal>
          <c:yVal>
            <c:numRef>
              <c:f>RASANTE!$I$4:$I$301</c:f>
              <c:numCache>
                <c:formatCode>0.000</c:formatCode>
                <c:ptCount val="298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-2</c:v>
                </c:pt>
                <c:pt idx="7">
                  <c:v>-2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-0.6551140588572979</c:v>
                </c:pt>
                <c:pt idx="15">
                  <c:v>1.3322676295501878E-15</c:v>
                </c:pt>
                <c:pt idx="16">
                  <c:v>1.9999999999999991</c:v>
                </c:pt>
                <c:pt idx="17">
                  <c:v>2.087743083999845</c:v>
                </c:pt>
                <c:pt idx="18">
                  <c:v>4.0000000000000044</c:v>
                </c:pt>
                <c:pt idx="19">
                  <c:v>4.8306002268569879</c:v>
                </c:pt>
                <c:pt idx="20">
                  <c:v>7.5734573697141307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7.6742235509273762</c:v>
                </c:pt>
                <c:pt idx="31">
                  <c:v>4.9313664080702315</c:v>
                </c:pt>
                <c:pt idx="32">
                  <c:v>3.9999999999999947</c:v>
                </c:pt>
                <c:pt idx="33">
                  <c:v>2.1885092652130869</c:v>
                </c:pt>
                <c:pt idx="34">
                  <c:v>2.0571264080702338</c:v>
                </c:pt>
                <c:pt idx="35">
                  <c:v>1.9999999999999964</c:v>
                </c:pt>
                <c:pt idx="36">
                  <c:v>-1.7763568394002505E-15</c:v>
                </c:pt>
                <c:pt idx="37">
                  <c:v>-0.55434787764405691</c:v>
                </c:pt>
                <c:pt idx="38">
                  <c:v>-2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-2</c:v>
                </c:pt>
                <c:pt idx="44">
                  <c:v>-2</c:v>
                </c:pt>
                <c:pt idx="45">
                  <c:v>-2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-2</c:v>
                </c:pt>
                <c:pt idx="51">
                  <c:v>-2</c:v>
                </c:pt>
                <c:pt idx="52">
                  <c:v>-2</c:v>
                </c:pt>
                <c:pt idx="53">
                  <c:v>-2</c:v>
                </c:pt>
                <c:pt idx="54">
                  <c:v>-2</c:v>
                </c:pt>
                <c:pt idx="55">
                  <c:v>-2</c:v>
                </c:pt>
                <c:pt idx="56">
                  <c:v>-2</c:v>
                </c:pt>
                <c:pt idx="57">
                  <c:v>-2.2819074108152333</c:v>
                </c:pt>
                <c:pt idx="58">
                  <c:v>-4.0000000000000036</c:v>
                </c:pt>
                <c:pt idx="59">
                  <c:v>-4.4819074108152304</c:v>
                </c:pt>
                <c:pt idx="60">
                  <c:v>-6.0208333333333597</c:v>
                </c:pt>
                <c:pt idx="61">
                  <c:v>-6.681907410815227</c:v>
                </c:pt>
                <c:pt idx="62">
                  <c:v>-8</c:v>
                </c:pt>
                <c:pt idx="63">
                  <c:v>-8</c:v>
                </c:pt>
                <c:pt idx="64">
                  <c:v>-8</c:v>
                </c:pt>
                <c:pt idx="65">
                  <c:v>-8</c:v>
                </c:pt>
                <c:pt idx="66">
                  <c:v>-8</c:v>
                </c:pt>
                <c:pt idx="67">
                  <c:v>-8</c:v>
                </c:pt>
                <c:pt idx="68">
                  <c:v>-8</c:v>
                </c:pt>
                <c:pt idx="69">
                  <c:v>-8</c:v>
                </c:pt>
                <c:pt idx="70">
                  <c:v>-8</c:v>
                </c:pt>
                <c:pt idx="71">
                  <c:v>-8</c:v>
                </c:pt>
                <c:pt idx="72">
                  <c:v>-8</c:v>
                </c:pt>
                <c:pt idx="73">
                  <c:v>-8</c:v>
                </c:pt>
                <c:pt idx="74">
                  <c:v>-8</c:v>
                </c:pt>
                <c:pt idx="75">
                  <c:v>-8</c:v>
                </c:pt>
                <c:pt idx="76">
                  <c:v>-8</c:v>
                </c:pt>
                <c:pt idx="77">
                  <c:v>-8</c:v>
                </c:pt>
                <c:pt idx="78">
                  <c:v>-8</c:v>
                </c:pt>
                <c:pt idx="79">
                  <c:v>-8</c:v>
                </c:pt>
                <c:pt idx="80">
                  <c:v>-8</c:v>
                </c:pt>
                <c:pt idx="81">
                  <c:v>-7.1636191054015006</c:v>
                </c:pt>
                <c:pt idx="82">
                  <c:v>-4.9636191054014986</c:v>
                </c:pt>
                <c:pt idx="83">
                  <c:v>-4.0000000000000089</c:v>
                </c:pt>
                <c:pt idx="84">
                  <c:v>-2.7636191054014971</c:v>
                </c:pt>
                <c:pt idx="85">
                  <c:v>-2</c:v>
                </c:pt>
                <c:pt idx="86">
                  <c:v>-2</c:v>
                </c:pt>
                <c:pt idx="87">
                  <c:v>-2</c:v>
                </c:pt>
                <c:pt idx="88">
                  <c:v>-2</c:v>
                </c:pt>
                <c:pt idx="89">
                  <c:v>-2</c:v>
                </c:pt>
                <c:pt idx="90">
                  <c:v>-2</c:v>
                </c:pt>
                <c:pt idx="91">
                  <c:v>-2</c:v>
                </c:pt>
                <c:pt idx="92">
                  <c:v>-2</c:v>
                </c:pt>
                <c:pt idx="93">
                  <c:v>-0.33466523585176144</c:v>
                </c:pt>
                <c:pt idx="94">
                  <c:v>4.8849813083506888E-15</c:v>
                </c:pt>
                <c:pt idx="95">
                  <c:v>1.8653347641482365</c:v>
                </c:pt>
                <c:pt idx="96">
                  <c:v>2.0000000000000098</c:v>
                </c:pt>
                <c:pt idx="97">
                  <c:v>3.9999999999999902</c:v>
                </c:pt>
                <c:pt idx="98">
                  <c:v>4.0653347641482345</c:v>
                </c:pt>
                <c:pt idx="99">
                  <c:v>6.265334764148232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6.7245367488945664</c:v>
                </c:pt>
                <c:pt idx="106">
                  <c:v>4.5245367488945689</c:v>
                </c:pt>
                <c:pt idx="107">
                  <c:v>4.0000000000000151</c:v>
                </c:pt>
                <c:pt idx="108">
                  <c:v>2.3245367488945714</c:v>
                </c:pt>
                <c:pt idx="109">
                  <c:v>2.0000000000000098</c:v>
                </c:pt>
                <c:pt idx="110">
                  <c:v>0.124536748894573</c:v>
                </c:pt>
                <c:pt idx="111">
                  <c:v>4.8849813083506888E-15</c:v>
                </c:pt>
                <c:pt idx="112">
                  <c:v>-2</c:v>
                </c:pt>
                <c:pt idx="113">
                  <c:v>-2</c:v>
                </c:pt>
                <c:pt idx="114">
                  <c:v>-2</c:v>
                </c:pt>
                <c:pt idx="115">
                  <c:v>-2</c:v>
                </c:pt>
                <c:pt idx="116">
                  <c:v>-2</c:v>
                </c:pt>
                <c:pt idx="117">
                  <c:v>-2</c:v>
                </c:pt>
                <c:pt idx="118">
                  <c:v>-2</c:v>
                </c:pt>
                <c:pt idx="119">
                  <c:v>-2</c:v>
                </c:pt>
                <c:pt idx="120">
                  <c:v>-1.9266572004237354</c:v>
                </c:pt>
                <c:pt idx="121">
                  <c:v>-1.6806972004237244</c:v>
                </c:pt>
                <c:pt idx="122">
                  <c:v>4.8849813083506888E-15</c:v>
                </c:pt>
                <c:pt idx="123">
                  <c:v>0.51930279957627379</c:v>
                </c:pt>
                <c:pt idx="124">
                  <c:v>1.3733427995762617</c:v>
                </c:pt>
                <c:pt idx="125">
                  <c:v>2.0000000000000098</c:v>
                </c:pt>
                <c:pt idx="126">
                  <c:v>2.7193027995762717</c:v>
                </c:pt>
                <c:pt idx="127">
                  <c:v>3.9999999999999902</c:v>
                </c:pt>
                <c:pt idx="128">
                  <c:v>4.6733427995762584</c:v>
                </c:pt>
                <c:pt idx="129">
                  <c:v>4.9193027995762701</c:v>
                </c:pt>
                <c:pt idx="130">
                  <c:v>7.1193027995762677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7.2439868193741734</c:v>
                </c:pt>
                <c:pt idx="142">
                  <c:v>5.043986819374175</c:v>
                </c:pt>
                <c:pt idx="143">
                  <c:v>4.0000000000000151</c:v>
                </c:pt>
                <c:pt idx="144">
                  <c:v>0.930960000000018</c:v>
                </c:pt>
                <c:pt idx="145">
                  <c:v>2.8439868193741766</c:v>
                </c:pt>
                <c:pt idx="146">
                  <c:v>2.0000000000000098</c:v>
                </c:pt>
                <c:pt idx="147">
                  <c:v>0.64398681937417912</c:v>
                </c:pt>
                <c:pt idx="148">
                  <c:v>4.8849813083506888E-15</c:v>
                </c:pt>
                <c:pt idx="149">
                  <c:v>-1.5560131806258191</c:v>
                </c:pt>
                <c:pt idx="150">
                  <c:v>-2</c:v>
                </c:pt>
                <c:pt idx="151">
                  <c:v>-2</c:v>
                </c:pt>
                <c:pt idx="152">
                  <c:v>-2</c:v>
                </c:pt>
                <c:pt idx="153">
                  <c:v>-2</c:v>
                </c:pt>
                <c:pt idx="154">
                  <c:v>-2</c:v>
                </c:pt>
                <c:pt idx="155">
                  <c:v>-2</c:v>
                </c:pt>
                <c:pt idx="156">
                  <c:v>-2</c:v>
                </c:pt>
                <c:pt idx="157">
                  <c:v>-2</c:v>
                </c:pt>
                <c:pt idx="158">
                  <c:v>-2</c:v>
                </c:pt>
                <c:pt idx="159">
                  <c:v>-2</c:v>
                </c:pt>
                <c:pt idx="160">
                  <c:v>-2</c:v>
                </c:pt>
                <c:pt idx="161">
                  <c:v>-2</c:v>
                </c:pt>
                <c:pt idx="162">
                  <c:v>-2</c:v>
                </c:pt>
                <c:pt idx="163">
                  <c:v>-2</c:v>
                </c:pt>
                <c:pt idx="164">
                  <c:v>-2</c:v>
                </c:pt>
                <c:pt idx="165">
                  <c:v>-2</c:v>
                </c:pt>
                <c:pt idx="166">
                  <c:v>-2</c:v>
                </c:pt>
                <c:pt idx="167">
                  <c:v>-2</c:v>
                </c:pt>
                <c:pt idx="168">
                  <c:v>-2</c:v>
                </c:pt>
                <c:pt idx="169">
                  <c:v>-2</c:v>
                </c:pt>
                <c:pt idx="170">
                  <c:v>-2</c:v>
                </c:pt>
                <c:pt idx="171">
                  <c:v>-2</c:v>
                </c:pt>
                <c:pt idx="172">
                  <c:v>-0.62504702536181767</c:v>
                </c:pt>
                <c:pt idx="173">
                  <c:v>-1.021405182655144E-14</c:v>
                </c:pt>
                <c:pt idx="174">
                  <c:v>1.5749529746381912</c:v>
                </c:pt>
                <c:pt idx="175">
                  <c:v>1.9999999999999796</c:v>
                </c:pt>
                <c:pt idx="176">
                  <c:v>2.234952974638194</c:v>
                </c:pt>
                <c:pt idx="177">
                  <c:v>3.7749529746382002</c:v>
                </c:pt>
                <c:pt idx="178">
                  <c:v>4.0000000000000195</c:v>
                </c:pt>
                <c:pt idx="179">
                  <c:v>5.9749529746382093</c:v>
                </c:pt>
                <c:pt idx="180">
                  <c:v>8</c:v>
                </c:pt>
                <c:pt idx="181">
                  <c:v>8.0000000000000995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7.58877581495112</c:v>
                </c:pt>
                <c:pt idx="194">
                  <c:v>6.529035814951115</c:v>
                </c:pt>
                <c:pt idx="195">
                  <c:v>5.3887758149511118</c:v>
                </c:pt>
                <c:pt idx="196">
                  <c:v>3.9999999999999698</c:v>
                </c:pt>
                <c:pt idx="197">
                  <c:v>3.2290358149511018</c:v>
                </c:pt>
                <c:pt idx="198">
                  <c:v>3.1887758149511027</c:v>
                </c:pt>
                <c:pt idx="199">
                  <c:v>1.9999999999999796</c:v>
                </c:pt>
                <c:pt idx="200">
                  <c:v>0.98877581495109412</c:v>
                </c:pt>
                <c:pt idx="201">
                  <c:v>-7.0964185048911999E-2</c:v>
                </c:pt>
                <c:pt idx="202">
                  <c:v>-1.021405182655144E-14</c:v>
                </c:pt>
                <c:pt idx="203">
                  <c:v>-1.2112241850489149</c:v>
                </c:pt>
                <c:pt idx="204">
                  <c:v>-2</c:v>
                </c:pt>
                <c:pt idx="205">
                  <c:v>-2</c:v>
                </c:pt>
                <c:pt idx="206">
                  <c:v>-2</c:v>
                </c:pt>
                <c:pt idx="207">
                  <c:v>-2</c:v>
                </c:pt>
                <c:pt idx="208">
                  <c:v>-2</c:v>
                </c:pt>
                <c:pt idx="209">
                  <c:v>-2</c:v>
                </c:pt>
                <c:pt idx="210">
                  <c:v>-2</c:v>
                </c:pt>
                <c:pt idx="211">
                  <c:v>-2.8318262361963531</c:v>
                </c:pt>
                <c:pt idx="212">
                  <c:v>-4.0000000000000338</c:v>
                </c:pt>
                <c:pt idx="213">
                  <c:v>-5.0318262361963546</c:v>
                </c:pt>
                <c:pt idx="214">
                  <c:v>-7.2318262361963566</c:v>
                </c:pt>
                <c:pt idx="215">
                  <c:v>-8</c:v>
                </c:pt>
                <c:pt idx="216">
                  <c:v>-8.0000000000000497</c:v>
                </c:pt>
                <c:pt idx="217">
                  <c:v>-8</c:v>
                </c:pt>
                <c:pt idx="218">
                  <c:v>-8</c:v>
                </c:pt>
                <c:pt idx="219">
                  <c:v>-8</c:v>
                </c:pt>
                <c:pt idx="220">
                  <c:v>-8</c:v>
                </c:pt>
                <c:pt idx="221">
                  <c:v>-8</c:v>
                </c:pt>
                <c:pt idx="222">
                  <c:v>-8</c:v>
                </c:pt>
                <c:pt idx="223">
                  <c:v>-8</c:v>
                </c:pt>
                <c:pt idx="224">
                  <c:v>-8</c:v>
                </c:pt>
                <c:pt idx="225">
                  <c:v>-6.8184017886875052</c:v>
                </c:pt>
                <c:pt idx="226">
                  <c:v>-4.6184017886875033</c:v>
                </c:pt>
                <c:pt idx="227">
                  <c:v>-3.9999999999999831</c:v>
                </c:pt>
                <c:pt idx="228">
                  <c:v>-2.4184017886875022</c:v>
                </c:pt>
                <c:pt idx="229">
                  <c:v>-2</c:v>
                </c:pt>
                <c:pt idx="230">
                  <c:v>-2</c:v>
                </c:pt>
                <c:pt idx="231">
                  <c:v>-2</c:v>
                </c:pt>
                <c:pt idx="232">
                  <c:v>-2</c:v>
                </c:pt>
                <c:pt idx="233">
                  <c:v>-2</c:v>
                </c:pt>
                <c:pt idx="234">
                  <c:v>-2</c:v>
                </c:pt>
                <c:pt idx="235">
                  <c:v>-2</c:v>
                </c:pt>
                <c:pt idx="236">
                  <c:v>-2</c:v>
                </c:pt>
                <c:pt idx="237">
                  <c:v>-2</c:v>
                </c:pt>
                <c:pt idx="238">
                  <c:v>-2</c:v>
                </c:pt>
                <c:pt idx="239">
                  <c:v>-2</c:v>
                </c:pt>
                <c:pt idx="240">
                  <c:v>-2</c:v>
                </c:pt>
                <c:pt idx="241">
                  <c:v>-3.7477414493848178</c:v>
                </c:pt>
                <c:pt idx="242">
                  <c:v>-4.0000000000000338</c:v>
                </c:pt>
                <c:pt idx="243">
                  <c:v>-5.9477414493848197</c:v>
                </c:pt>
                <c:pt idx="244">
                  <c:v>-8</c:v>
                </c:pt>
                <c:pt idx="245">
                  <c:v>-8.0000000000000497</c:v>
                </c:pt>
                <c:pt idx="246">
                  <c:v>-8</c:v>
                </c:pt>
                <c:pt idx="247">
                  <c:v>-8</c:v>
                </c:pt>
                <c:pt idx="248">
                  <c:v>-8</c:v>
                </c:pt>
                <c:pt idx="249">
                  <c:v>-8</c:v>
                </c:pt>
                <c:pt idx="250">
                  <c:v>-8</c:v>
                </c:pt>
                <c:pt idx="251">
                  <c:v>-5.8696339392353485</c:v>
                </c:pt>
                <c:pt idx="252">
                  <c:v>-5.8293739392353503</c:v>
                </c:pt>
                <c:pt idx="253">
                  <c:v>-3.9999999999999831</c:v>
                </c:pt>
                <c:pt idx="254">
                  <c:v>-3.6293739392353483</c:v>
                </c:pt>
                <c:pt idx="255">
                  <c:v>-2</c:v>
                </c:pt>
                <c:pt idx="256">
                  <c:v>-2</c:v>
                </c:pt>
                <c:pt idx="257">
                  <c:v>-2</c:v>
                </c:pt>
                <c:pt idx="258">
                  <c:v>-2</c:v>
                </c:pt>
                <c:pt idx="259">
                  <c:v>-2</c:v>
                </c:pt>
                <c:pt idx="260">
                  <c:v>-2</c:v>
                </c:pt>
                <c:pt idx="261">
                  <c:v>-2</c:v>
                </c:pt>
                <c:pt idx="262">
                  <c:v>-2</c:v>
                </c:pt>
                <c:pt idx="263">
                  <c:v>-2</c:v>
                </c:pt>
                <c:pt idx="264">
                  <c:v>-2</c:v>
                </c:pt>
                <c:pt idx="265">
                  <c:v>-2</c:v>
                </c:pt>
                <c:pt idx="266">
                  <c:v>-2</c:v>
                </c:pt>
                <c:pt idx="267">
                  <c:v>-2</c:v>
                </c:pt>
                <c:pt idx="268">
                  <c:v>-2</c:v>
                </c:pt>
                <c:pt idx="269">
                  <c:v>-2</c:v>
                </c:pt>
                <c:pt idx="270">
                  <c:v>-2</c:v>
                </c:pt>
                <c:pt idx="271">
                  <c:v>-3.3410790215536066</c:v>
                </c:pt>
                <c:pt idx="272">
                  <c:v>-5.5410790215536085</c:v>
                </c:pt>
                <c:pt idx="273">
                  <c:v>-7.7410790215536096</c:v>
                </c:pt>
                <c:pt idx="274">
                  <c:v>-8.0000000000000995</c:v>
                </c:pt>
                <c:pt idx="275">
                  <c:v>-8</c:v>
                </c:pt>
                <c:pt idx="276">
                  <c:v>-8</c:v>
                </c:pt>
                <c:pt idx="277">
                  <c:v>-8</c:v>
                </c:pt>
                <c:pt idx="278">
                  <c:v>-6.2553609044323899</c:v>
                </c:pt>
                <c:pt idx="279">
                  <c:v>-4.0553609044323888</c:v>
                </c:pt>
                <c:pt idx="280">
                  <c:v>-3.9999999999999831</c:v>
                </c:pt>
                <c:pt idx="281">
                  <c:v>-2</c:v>
                </c:pt>
                <c:pt idx="282">
                  <c:v>-2</c:v>
                </c:pt>
                <c:pt idx="283">
                  <c:v>-2</c:v>
                </c:pt>
                <c:pt idx="284">
                  <c:v>-2</c:v>
                </c:pt>
                <c:pt idx="285">
                  <c:v>-2</c:v>
                </c:pt>
                <c:pt idx="286">
                  <c:v>-2</c:v>
                </c:pt>
                <c:pt idx="287">
                  <c:v>-2</c:v>
                </c:pt>
                <c:pt idx="288">
                  <c:v>-2</c:v>
                </c:pt>
                <c:pt idx="289">
                  <c:v>-2</c:v>
                </c:pt>
                <c:pt idx="290">
                  <c:v>-2</c:v>
                </c:pt>
                <c:pt idx="291">
                  <c:v>-2</c:v>
                </c:pt>
                <c:pt idx="292">
                  <c:v>-2</c:v>
                </c:pt>
                <c:pt idx="293">
                  <c:v>-2</c:v>
                </c:pt>
                <c:pt idx="294">
                  <c:v>-2</c:v>
                </c:pt>
                <c:pt idx="295">
                  <c:v>-2</c:v>
                </c:pt>
                <c:pt idx="296">
                  <c:v>-2</c:v>
                </c:pt>
                <c:pt idx="297">
                  <c:v>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54-42D2-A7FB-66D87E7D7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419119"/>
        <c:axId val="1323722301"/>
      </c:scatterChart>
      <c:valAx>
        <c:axId val="1796419119"/>
        <c:scaling>
          <c:orientation val="minMax"/>
          <c:max val="195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419" sz="1400" b="0" i="0">
                    <a:solidFill>
                      <a:srgbClr val="000000"/>
                    </a:solidFill>
                    <a:latin typeface="Calibri"/>
                  </a:rPr>
                  <a:t>Abscisas (m)</a:t>
                </a:r>
              </a:p>
            </c:rich>
          </c:tx>
          <c:overlay val="0"/>
        </c:title>
        <c:numFmt formatCode="&quot;K&quot;0&quot;+&quot;000.000" sourceLinked="1"/>
        <c:majorTickMark val="none"/>
        <c:minorTickMark val="none"/>
        <c:tickLblPos val="nextTo"/>
        <c:spPr>
          <a:ln/>
        </c:spPr>
        <c:txPr>
          <a:bodyPr rot="540000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CO"/>
          </a:p>
        </c:txPr>
        <c:crossAx val="1323722301"/>
        <c:crosses val="autoZero"/>
        <c:crossBetween val="midCat"/>
        <c:majorUnit val="200"/>
      </c:valAx>
      <c:valAx>
        <c:axId val="1323722301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419" sz="1400" b="0" i="0">
                    <a:solidFill>
                      <a:srgbClr val="000000"/>
                    </a:solidFill>
                    <a:latin typeface="Calibri"/>
                  </a:rPr>
                  <a:t>Pendiente (%)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CO"/>
          </a:p>
        </c:txPr>
        <c:crossAx val="1796419119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1" i="0">
                <a:solidFill>
                  <a:srgbClr val="757575"/>
                </a:solidFill>
                <a:latin typeface="Calibri"/>
              </a:defRPr>
            </a:pPr>
            <a:r>
              <a:rPr lang="es-419" sz="2000" b="1" i="0">
                <a:solidFill>
                  <a:srgbClr val="757575"/>
                </a:solidFill>
                <a:latin typeface="Calibri"/>
              </a:rPr>
              <a:t>RASANTE</a:t>
            </a:r>
          </a:p>
        </c:rich>
      </c:tx>
      <c:layout>
        <c:manualLayout>
          <c:xMode val="edge"/>
          <c:yMode val="edge"/>
          <c:x val="0.46971711952064971"/>
          <c:y val="1.6278209330680412E-2"/>
        </c:manualLayout>
      </c:layout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eje</c:v>
          </c:tx>
          <c:marker>
            <c:symbol val="none"/>
          </c:marker>
          <c:xVal>
            <c:numRef>
              <c:f>RASANTE!$F$4:$F$301</c:f>
              <c:numCache>
                <c:formatCode>"K"0"+"000.000</c:formatCode>
                <c:ptCount val="29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125.09677000625057</c:v>
                </c:pt>
                <c:pt idx="14">
                  <c:v>130</c:v>
                </c:pt>
                <c:pt idx="15">
                  <c:v>132.38843667291724</c:v>
                </c:pt>
                <c:pt idx="16">
                  <c:v>139.68010333958389</c:v>
                </c:pt>
                <c:pt idx="17">
                  <c:v>140</c:v>
                </c:pt>
                <c:pt idx="18">
                  <c:v>146.97177000625058</c:v>
                </c:pt>
                <c:pt idx="19">
                  <c:v>150</c:v>
                </c:pt>
                <c:pt idx="20">
                  <c:v>160</c:v>
                </c:pt>
                <c:pt idx="21">
                  <c:v>161.55510333958389</c:v>
                </c:pt>
                <c:pt idx="22">
                  <c:v>161.55510333958389</c:v>
                </c:pt>
                <c:pt idx="23">
                  <c:v>170</c:v>
                </c:pt>
                <c:pt idx="24">
                  <c:v>180</c:v>
                </c:pt>
                <c:pt idx="25">
                  <c:v>190</c:v>
                </c:pt>
                <c:pt idx="26">
                  <c:v>200</c:v>
                </c:pt>
                <c:pt idx="27">
                  <c:v>210</c:v>
                </c:pt>
                <c:pt idx="28">
                  <c:v>218.81227336275606</c:v>
                </c:pt>
                <c:pt idx="29">
                  <c:v>218.81227336275606</c:v>
                </c:pt>
                <c:pt idx="30">
                  <c:v>220</c:v>
                </c:pt>
                <c:pt idx="31">
                  <c:v>230</c:v>
                </c:pt>
                <c:pt idx="32">
                  <c:v>233.3956066960894</c:v>
                </c:pt>
                <c:pt idx="33">
                  <c:v>240</c:v>
                </c:pt>
                <c:pt idx="34">
                  <c:v>240.47899999999998</c:v>
                </c:pt>
                <c:pt idx="35">
                  <c:v>240.68727336275606</c:v>
                </c:pt>
                <c:pt idx="36">
                  <c:v>247.97894002942272</c:v>
                </c:pt>
                <c:pt idx="37">
                  <c:v>250</c:v>
                </c:pt>
                <c:pt idx="38">
                  <c:v>255.27060669608937</c:v>
                </c:pt>
                <c:pt idx="39">
                  <c:v>260</c:v>
                </c:pt>
                <c:pt idx="40">
                  <c:v>270</c:v>
                </c:pt>
                <c:pt idx="41">
                  <c:v>280</c:v>
                </c:pt>
                <c:pt idx="42">
                  <c:v>287.97899999999998</c:v>
                </c:pt>
                <c:pt idx="43">
                  <c:v>290</c:v>
                </c:pt>
                <c:pt idx="44">
                  <c:v>300</c:v>
                </c:pt>
                <c:pt idx="45">
                  <c:v>310</c:v>
                </c:pt>
                <c:pt idx="46">
                  <c:v>320</c:v>
                </c:pt>
                <c:pt idx="47">
                  <c:v>330</c:v>
                </c:pt>
                <c:pt idx="48">
                  <c:v>335.47899999999998</c:v>
                </c:pt>
                <c:pt idx="49">
                  <c:v>340</c:v>
                </c:pt>
                <c:pt idx="50">
                  <c:v>350</c:v>
                </c:pt>
                <c:pt idx="51">
                  <c:v>360</c:v>
                </c:pt>
                <c:pt idx="52">
                  <c:v>370</c:v>
                </c:pt>
                <c:pt idx="53">
                  <c:v>370.53678449629444</c:v>
                </c:pt>
                <c:pt idx="54">
                  <c:v>379.62769358720351</c:v>
                </c:pt>
                <c:pt idx="55">
                  <c:v>380</c:v>
                </c:pt>
                <c:pt idx="56">
                  <c:v>388.71860267811257</c:v>
                </c:pt>
                <c:pt idx="57">
                  <c:v>390</c:v>
                </c:pt>
                <c:pt idx="58">
                  <c:v>397.8095117690217</c:v>
                </c:pt>
                <c:pt idx="59">
                  <c:v>400</c:v>
                </c:pt>
                <c:pt idx="60">
                  <c:v>406.99511782962787</c:v>
                </c:pt>
                <c:pt idx="61">
                  <c:v>410</c:v>
                </c:pt>
                <c:pt idx="62">
                  <c:v>415.99132995083988</c:v>
                </c:pt>
                <c:pt idx="63">
                  <c:v>420</c:v>
                </c:pt>
                <c:pt idx="64">
                  <c:v>430</c:v>
                </c:pt>
                <c:pt idx="65">
                  <c:v>440</c:v>
                </c:pt>
                <c:pt idx="66">
                  <c:v>450</c:v>
                </c:pt>
                <c:pt idx="67">
                  <c:v>460</c:v>
                </c:pt>
                <c:pt idx="68">
                  <c:v>468.88200000000001</c:v>
                </c:pt>
                <c:pt idx="69">
                  <c:v>470</c:v>
                </c:pt>
                <c:pt idx="70">
                  <c:v>480</c:v>
                </c:pt>
                <c:pt idx="71">
                  <c:v>490</c:v>
                </c:pt>
                <c:pt idx="72">
                  <c:v>493.88200000000001</c:v>
                </c:pt>
                <c:pt idx="73">
                  <c:v>500</c:v>
                </c:pt>
                <c:pt idx="74">
                  <c:v>510</c:v>
                </c:pt>
                <c:pt idx="75">
                  <c:v>518.88200000000006</c:v>
                </c:pt>
                <c:pt idx="76">
                  <c:v>520</c:v>
                </c:pt>
                <c:pt idx="77">
                  <c:v>530</c:v>
                </c:pt>
                <c:pt idx="78">
                  <c:v>537.2020565397039</c:v>
                </c:pt>
                <c:pt idx="79">
                  <c:v>540</c:v>
                </c:pt>
                <c:pt idx="80">
                  <c:v>546.19826866091591</c:v>
                </c:pt>
                <c:pt idx="81">
                  <c:v>550</c:v>
                </c:pt>
                <c:pt idx="82">
                  <c:v>560</c:v>
                </c:pt>
                <c:pt idx="83">
                  <c:v>564.38008684273404</c:v>
                </c:pt>
                <c:pt idx="84">
                  <c:v>570</c:v>
                </c:pt>
                <c:pt idx="85">
                  <c:v>573.47099593364317</c:v>
                </c:pt>
                <c:pt idx="86">
                  <c:v>580</c:v>
                </c:pt>
                <c:pt idx="87">
                  <c:v>582.56190502455229</c:v>
                </c:pt>
                <c:pt idx="88">
                  <c:v>590</c:v>
                </c:pt>
                <c:pt idx="89">
                  <c:v>591.65281411546141</c:v>
                </c:pt>
                <c:pt idx="90">
                  <c:v>600</c:v>
                </c:pt>
                <c:pt idx="91">
                  <c:v>610</c:v>
                </c:pt>
                <c:pt idx="92">
                  <c:v>612.43029652659891</c:v>
                </c:pt>
                <c:pt idx="93">
                  <c:v>620</c:v>
                </c:pt>
                <c:pt idx="94">
                  <c:v>621.52120561750803</c:v>
                </c:pt>
                <c:pt idx="95">
                  <c:v>630</c:v>
                </c:pt>
                <c:pt idx="96">
                  <c:v>630.61211470841715</c:v>
                </c:pt>
                <c:pt idx="97">
                  <c:v>639.70302379932616</c:v>
                </c:pt>
                <c:pt idx="98">
                  <c:v>640</c:v>
                </c:pt>
                <c:pt idx="99">
                  <c:v>650</c:v>
                </c:pt>
                <c:pt idx="100">
                  <c:v>657.8848419811444</c:v>
                </c:pt>
                <c:pt idx="101">
                  <c:v>657.8848419811444</c:v>
                </c:pt>
                <c:pt idx="102">
                  <c:v>660</c:v>
                </c:pt>
                <c:pt idx="103">
                  <c:v>664.20243976770257</c:v>
                </c:pt>
                <c:pt idx="104">
                  <c:v>664.20243976770257</c:v>
                </c:pt>
                <c:pt idx="105">
                  <c:v>670</c:v>
                </c:pt>
                <c:pt idx="106">
                  <c:v>680</c:v>
                </c:pt>
                <c:pt idx="107">
                  <c:v>682.3842579495207</c:v>
                </c:pt>
                <c:pt idx="108">
                  <c:v>690</c:v>
                </c:pt>
                <c:pt idx="109">
                  <c:v>691.47516704042982</c:v>
                </c:pt>
                <c:pt idx="110">
                  <c:v>700</c:v>
                </c:pt>
                <c:pt idx="111">
                  <c:v>700.56607613133895</c:v>
                </c:pt>
                <c:pt idx="112">
                  <c:v>709.65698522224807</c:v>
                </c:pt>
                <c:pt idx="113">
                  <c:v>710</c:v>
                </c:pt>
                <c:pt idx="114">
                  <c:v>720</c:v>
                </c:pt>
                <c:pt idx="115">
                  <c:v>730</c:v>
                </c:pt>
                <c:pt idx="116">
                  <c:v>740</c:v>
                </c:pt>
                <c:pt idx="117">
                  <c:v>750</c:v>
                </c:pt>
                <c:pt idx="118">
                  <c:v>760</c:v>
                </c:pt>
                <c:pt idx="119">
                  <c:v>768.54862363828965</c:v>
                </c:pt>
                <c:pt idx="120">
                  <c:v>768.88199999999995</c:v>
                </c:pt>
                <c:pt idx="121">
                  <c:v>770</c:v>
                </c:pt>
                <c:pt idx="122">
                  <c:v>777.63953272919878</c:v>
                </c:pt>
                <c:pt idx="123">
                  <c:v>780</c:v>
                </c:pt>
                <c:pt idx="124">
                  <c:v>783.88199999999995</c:v>
                </c:pt>
                <c:pt idx="125">
                  <c:v>786.7304418201079</c:v>
                </c:pt>
                <c:pt idx="126">
                  <c:v>790</c:v>
                </c:pt>
                <c:pt idx="127">
                  <c:v>795.82135091101691</c:v>
                </c:pt>
                <c:pt idx="128">
                  <c:v>798.88199999999995</c:v>
                </c:pt>
                <c:pt idx="129">
                  <c:v>800</c:v>
                </c:pt>
                <c:pt idx="130">
                  <c:v>810</c:v>
                </c:pt>
                <c:pt idx="131">
                  <c:v>814.00316909283515</c:v>
                </c:pt>
                <c:pt idx="132">
                  <c:v>814.00316909283515</c:v>
                </c:pt>
                <c:pt idx="133">
                  <c:v>820</c:v>
                </c:pt>
                <c:pt idx="134">
                  <c:v>830</c:v>
                </c:pt>
                <c:pt idx="135">
                  <c:v>840</c:v>
                </c:pt>
                <c:pt idx="136">
                  <c:v>850</c:v>
                </c:pt>
                <c:pt idx="137">
                  <c:v>860</c:v>
                </c:pt>
                <c:pt idx="138">
                  <c:v>870</c:v>
                </c:pt>
                <c:pt idx="139">
                  <c:v>876.56357645170078</c:v>
                </c:pt>
                <c:pt idx="140">
                  <c:v>876.56357645170078</c:v>
                </c:pt>
                <c:pt idx="141">
                  <c:v>880</c:v>
                </c:pt>
                <c:pt idx="142">
                  <c:v>890</c:v>
                </c:pt>
                <c:pt idx="143">
                  <c:v>894.74539463351891</c:v>
                </c:pt>
                <c:pt idx="144">
                  <c:v>908.69557645170073</c:v>
                </c:pt>
                <c:pt idx="145">
                  <c:v>900</c:v>
                </c:pt>
                <c:pt idx="146">
                  <c:v>903.83630372442803</c:v>
                </c:pt>
                <c:pt idx="147">
                  <c:v>910</c:v>
                </c:pt>
                <c:pt idx="148">
                  <c:v>912.92721281533716</c:v>
                </c:pt>
                <c:pt idx="149">
                  <c:v>920</c:v>
                </c:pt>
                <c:pt idx="150">
                  <c:v>922.01812190624628</c:v>
                </c:pt>
                <c:pt idx="151">
                  <c:v>930</c:v>
                </c:pt>
                <c:pt idx="152">
                  <c:v>940</c:v>
                </c:pt>
                <c:pt idx="153">
                  <c:v>950</c:v>
                </c:pt>
                <c:pt idx="154">
                  <c:v>960</c:v>
                </c:pt>
                <c:pt idx="155">
                  <c:v>963</c:v>
                </c:pt>
                <c:pt idx="156">
                  <c:v>970</c:v>
                </c:pt>
                <c:pt idx="157">
                  <c:v>980</c:v>
                </c:pt>
                <c:pt idx="158">
                  <c:v>990</c:v>
                </c:pt>
                <c:pt idx="159">
                  <c:v>1000</c:v>
                </c:pt>
                <c:pt idx="160">
                  <c:v>1010</c:v>
                </c:pt>
                <c:pt idx="161">
                  <c:v>1020</c:v>
                </c:pt>
                <c:pt idx="162">
                  <c:v>1030</c:v>
                </c:pt>
                <c:pt idx="163">
                  <c:v>1040</c:v>
                </c:pt>
                <c:pt idx="164">
                  <c:v>1043</c:v>
                </c:pt>
                <c:pt idx="165">
                  <c:v>1050</c:v>
                </c:pt>
                <c:pt idx="166">
                  <c:v>1060</c:v>
                </c:pt>
                <c:pt idx="167">
                  <c:v>1070</c:v>
                </c:pt>
                <c:pt idx="168">
                  <c:v>1080</c:v>
                </c:pt>
                <c:pt idx="169">
                  <c:v>1090</c:v>
                </c:pt>
                <c:pt idx="170">
                  <c:v>1100</c:v>
                </c:pt>
                <c:pt idx="171">
                  <c:v>1103.7502137516447</c:v>
                </c:pt>
                <c:pt idx="172">
                  <c:v>1110</c:v>
                </c:pt>
                <c:pt idx="173">
                  <c:v>1112.8411228425537</c:v>
                </c:pt>
                <c:pt idx="174">
                  <c:v>1120</c:v>
                </c:pt>
                <c:pt idx="175">
                  <c:v>1121.9320319334627</c:v>
                </c:pt>
                <c:pt idx="176">
                  <c:v>1123</c:v>
                </c:pt>
                <c:pt idx="177">
                  <c:v>1130</c:v>
                </c:pt>
                <c:pt idx="178">
                  <c:v>1131.0229410243719</c:v>
                </c:pt>
                <c:pt idx="179">
                  <c:v>1140</c:v>
                </c:pt>
                <c:pt idx="180">
                  <c:v>1149.2047592061899</c:v>
                </c:pt>
                <c:pt idx="181">
                  <c:v>1149.2047592061904</c:v>
                </c:pt>
                <c:pt idx="182">
                  <c:v>1150</c:v>
                </c:pt>
                <c:pt idx="183">
                  <c:v>1160</c:v>
                </c:pt>
                <c:pt idx="184">
                  <c:v>1170</c:v>
                </c:pt>
                <c:pt idx="185">
                  <c:v>1180</c:v>
                </c:pt>
                <c:pt idx="186">
                  <c:v>1190</c:v>
                </c:pt>
                <c:pt idx="187">
                  <c:v>1200</c:v>
                </c:pt>
                <c:pt idx="188">
                  <c:v>1210</c:v>
                </c:pt>
                <c:pt idx="189">
                  <c:v>1220</c:v>
                </c:pt>
                <c:pt idx="190">
                  <c:v>1230</c:v>
                </c:pt>
                <c:pt idx="191">
                  <c:v>1238.1307991588687</c:v>
                </c:pt>
                <c:pt idx="192">
                  <c:v>1238.1307991588692</c:v>
                </c:pt>
                <c:pt idx="193">
                  <c:v>1240</c:v>
                </c:pt>
                <c:pt idx="194">
                  <c:v>1244.817</c:v>
                </c:pt>
                <c:pt idx="195">
                  <c:v>1250</c:v>
                </c:pt>
                <c:pt idx="196">
                  <c:v>1256.312617340687</c:v>
                </c:pt>
                <c:pt idx="197">
                  <c:v>1259.817</c:v>
                </c:pt>
                <c:pt idx="198">
                  <c:v>1260</c:v>
                </c:pt>
                <c:pt idx="199">
                  <c:v>1265.403526431596</c:v>
                </c:pt>
                <c:pt idx="200">
                  <c:v>1270</c:v>
                </c:pt>
                <c:pt idx="201">
                  <c:v>1274.817</c:v>
                </c:pt>
                <c:pt idx="202">
                  <c:v>1274.494435522505</c:v>
                </c:pt>
                <c:pt idx="203">
                  <c:v>1280</c:v>
                </c:pt>
                <c:pt idx="204">
                  <c:v>1283.585344613414</c:v>
                </c:pt>
                <c:pt idx="205">
                  <c:v>1290</c:v>
                </c:pt>
                <c:pt idx="206">
                  <c:v>1298.0371534718349</c:v>
                </c:pt>
                <c:pt idx="207">
                  <c:v>1300</c:v>
                </c:pt>
                <c:pt idx="208">
                  <c:v>1307.1280625627439</c:v>
                </c:pt>
                <c:pt idx="209">
                  <c:v>1310</c:v>
                </c:pt>
                <c:pt idx="210">
                  <c:v>1316.2189716536529</c:v>
                </c:pt>
                <c:pt idx="211">
                  <c:v>1320</c:v>
                </c:pt>
                <c:pt idx="212">
                  <c:v>1325.3098807445622</c:v>
                </c:pt>
                <c:pt idx="213">
                  <c:v>1330</c:v>
                </c:pt>
                <c:pt idx="214">
                  <c:v>1340</c:v>
                </c:pt>
                <c:pt idx="215">
                  <c:v>1343.4916989263802</c:v>
                </c:pt>
                <c:pt idx="216">
                  <c:v>1343.4916989263804</c:v>
                </c:pt>
                <c:pt idx="217">
                  <c:v>1350</c:v>
                </c:pt>
                <c:pt idx="218">
                  <c:v>1360</c:v>
                </c:pt>
                <c:pt idx="219">
                  <c:v>1370</c:v>
                </c:pt>
                <c:pt idx="220">
                  <c:v>1380</c:v>
                </c:pt>
                <c:pt idx="221">
                  <c:v>1390</c:v>
                </c:pt>
                <c:pt idx="222">
                  <c:v>1400</c:v>
                </c:pt>
                <c:pt idx="223">
                  <c:v>1404.6290990394887</c:v>
                </c:pt>
                <c:pt idx="224">
                  <c:v>1404.6290990394889</c:v>
                </c:pt>
                <c:pt idx="225">
                  <c:v>1410</c:v>
                </c:pt>
                <c:pt idx="226">
                  <c:v>1420</c:v>
                </c:pt>
                <c:pt idx="227">
                  <c:v>1422.8109172213069</c:v>
                </c:pt>
                <c:pt idx="228">
                  <c:v>1430</c:v>
                </c:pt>
                <c:pt idx="229">
                  <c:v>1431.9018263122159</c:v>
                </c:pt>
                <c:pt idx="230">
                  <c:v>1440</c:v>
                </c:pt>
                <c:pt idx="231">
                  <c:v>1440.9927354031249</c:v>
                </c:pt>
                <c:pt idx="232">
                  <c:v>1450</c:v>
                </c:pt>
                <c:pt idx="233">
                  <c:v>1450.0836444940339</c:v>
                </c:pt>
                <c:pt idx="234">
                  <c:v>1460</c:v>
                </c:pt>
                <c:pt idx="235">
                  <c:v>1470</c:v>
                </c:pt>
                <c:pt idx="236">
                  <c:v>1473.8739025027965</c:v>
                </c:pt>
                <c:pt idx="237">
                  <c:v>1480</c:v>
                </c:pt>
                <c:pt idx="238">
                  <c:v>1482.9648115937055</c:v>
                </c:pt>
                <c:pt idx="239">
                  <c:v>1490</c:v>
                </c:pt>
                <c:pt idx="240">
                  <c:v>1492.0557206846145</c:v>
                </c:pt>
                <c:pt idx="241">
                  <c:v>1500</c:v>
                </c:pt>
                <c:pt idx="242">
                  <c:v>1501.1466297755237</c:v>
                </c:pt>
                <c:pt idx="243">
                  <c:v>1510</c:v>
                </c:pt>
                <c:pt idx="244">
                  <c:v>1519.3284479573417</c:v>
                </c:pt>
                <c:pt idx="245">
                  <c:v>1519.328447957342</c:v>
                </c:pt>
                <c:pt idx="246">
                  <c:v>1519.817</c:v>
                </c:pt>
                <c:pt idx="247">
                  <c:v>1520</c:v>
                </c:pt>
                <c:pt idx="248">
                  <c:v>1530</c:v>
                </c:pt>
                <c:pt idx="249">
                  <c:v>1530.1335179056152</c:v>
                </c:pt>
                <c:pt idx="250">
                  <c:v>1530.1335179056155</c:v>
                </c:pt>
                <c:pt idx="251">
                  <c:v>1539.817</c:v>
                </c:pt>
                <c:pt idx="252">
                  <c:v>1540</c:v>
                </c:pt>
                <c:pt idx="253">
                  <c:v>1548.3153360874335</c:v>
                </c:pt>
                <c:pt idx="254">
                  <c:v>1550</c:v>
                </c:pt>
                <c:pt idx="255">
                  <c:v>1557.4062451783425</c:v>
                </c:pt>
                <c:pt idx="256">
                  <c:v>1559.817</c:v>
                </c:pt>
                <c:pt idx="257">
                  <c:v>1560</c:v>
                </c:pt>
                <c:pt idx="258">
                  <c:v>1566.4971542692515</c:v>
                </c:pt>
                <c:pt idx="259">
                  <c:v>1570</c:v>
                </c:pt>
                <c:pt idx="260">
                  <c:v>1575.5880633601605</c:v>
                </c:pt>
                <c:pt idx="261">
                  <c:v>1580</c:v>
                </c:pt>
                <c:pt idx="262">
                  <c:v>1590</c:v>
                </c:pt>
                <c:pt idx="263">
                  <c:v>1600</c:v>
                </c:pt>
                <c:pt idx="264">
                  <c:v>1610</c:v>
                </c:pt>
                <c:pt idx="265">
                  <c:v>1620</c:v>
                </c:pt>
                <c:pt idx="266">
                  <c:v>1625.7223680838474</c:v>
                </c:pt>
                <c:pt idx="267">
                  <c:v>1630</c:v>
                </c:pt>
                <c:pt idx="268">
                  <c:v>1634.8132771747564</c:v>
                </c:pt>
                <c:pt idx="269">
                  <c:v>1640</c:v>
                </c:pt>
                <c:pt idx="270">
                  <c:v>1643.9041862656654</c:v>
                </c:pt>
                <c:pt idx="271">
                  <c:v>1650</c:v>
                </c:pt>
                <c:pt idx="272">
                  <c:v>1660</c:v>
                </c:pt>
                <c:pt idx="273">
                  <c:v>1670</c:v>
                </c:pt>
                <c:pt idx="274">
                  <c:v>1671.1769135383931</c:v>
                </c:pt>
                <c:pt idx="275">
                  <c:v>1680</c:v>
                </c:pt>
                <c:pt idx="276">
                  <c:v>1690</c:v>
                </c:pt>
                <c:pt idx="277">
                  <c:v>1692.069822292875</c:v>
                </c:pt>
                <c:pt idx="278">
                  <c:v>1700</c:v>
                </c:pt>
                <c:pt idx="279">
                  <c:v>1710</c:v>
                </c:pt>
                <c:pt idx="280">
                  <c:v>1710.2516404746927</c:v>
                </c:pt>
                <c:pt idx="281">
                  <c:v>1719.3425495656018</c:v>
                </c:pt>
                <c:pt idx="282">
                  <c:v>1720</c:v>
                </c:pt>
                <c:pt idx="283">
                  <c:v>1728.4334586565108</c:v>
                </c:pt>
                <c:pt idx="284">
                  <c:v>1730</c:v>
                </c:pt>
                <c:pt idx="285">
                  <c:v>1737.5243677474198</c:v>
                </c:pt>
                <c:pt idx="286">
                  <c:v>1740</c:v>
                </c:pt>
                <c:pt idx="287">
                  <c:v>1750</c:v>
                </c:pt>
                <c:pt idx="288">
                  <c:v>1760</c:v>
                </c:pt>
                <c:pt idx="289">
                  <c:v>1770</c:v>
                </c:pt>
                <c:pt idx="290">
                  <c:v>1780</c:v>
                </c:pt>
                <c:pt idx="291">
                  <c:v>1790</c:v>
                </c:pt>
                <c:pt idx="292">
                  <c:v>1800</c:v>
                </c:pt>
                <c:pt idx="293">
                  <c:v>1810</c:v>
                </c:pt>
                <c:pt idx="294">
                  <c:v>1820</c:v>
                </c:pt>
                <c:pt idx="295">
                  <c:v>1830</c:v>
                </c:pt>
                <c:pt idx="296">
                  <c:v>1840</c:v>
                </c:pt>
                <c:pt idx="297">
                  <c:v>1848.2281943733419</c:v>
                </c:pt>
              </c:numCache>
            </c:numRef>
          </c:xVal>
          <c:yVal>
            <c:numRef>
              <c:f>RASANTE!$M$4:$M$301</c:f>
              <c:numCache>
                <c:formatCode>0.000</c:formatCode>
                <c:ptCount val="298"/>
                <c:pt idx="0">
                  <c:v>1644</c:v>
                </c:pt>
                <c:pt idx="1">
                  <c:v>1644.3142</c:v>
                </c:pt>
                <c:pt idx="2">
                  <c:v>1644.6284000000001</c:v>
                </c:pt>
                <c:pt idx="3">
                  <c:v>1644.9426000000001</c:v>
                </c:pt>
                <c:pt idx="4">
                  <c:v>1645.2568000000001</c:v>
                </c:pt>
                <c:pt idx="5">
                  <c:v>1645.5710000000001</c:v>
                </c:pt>
                <c:pt idx="6">
                  <c:v>1645.8852000000002</c:v>
                </c:pt>
                <c:pt idx="7">
                  <c:v>1646.1994000000002</c:v>
                </c:pt>
                <c:pt idx="8">
                  <c:v>1646.5136000000002</c:v>
                </c:pt>
                <c:pt idx="9">
                  <c:v>1646.8278000000003</c:v>
                </c:pt>
                <c:pt idx="10">
                  <c:v>1647.1420000000003</c:v>
                </c:pt>
                <c:pt idx="11">
                  <c:v>1647.4562000000003</c:v>
                </c:pt>
                <c:pt idx="12">
                  <c:v>1647.7704000000003</c:v>
                </c:pt>
                <c:pt idx="13">
                  <c:v>1647.9305405135967</c:v>
                </c:pt>
                <c:pt idx="14">
                  <c:v>1648.0846000000004</c:v>
                </c:pt>
                <c:pt idx="15">
                  <c:v>1648.1596446802635</c:v>
                </c:pt>
                <c:pt idx="16">
                  <c:v>1648.3887488469302</c:v>
                </c:pt>
                <c:pt idx="17">
                  <c:v>1648.3988000000004</c:v>
                </c:pt>
                <c:pt idx="18">
                  <c:v>1648.6178530135967</c:v>
                </c:pt>
                <c:pt idx="19">
                  <c:v>1648.7130000000002</c:v>
                </c:pt>
                <c:pt idx="20">
                  <c:v>1649.0272000000002</c:v>
                </c:pt>
                <c:pt idx="21">
                  <c:v>1649.0760613469299</c:v>
                </c:pt>
                <c:pt idx="22">
                  <c:v>1649.0760613469299</c:v>
                </c:pt>
                <c:pt idx="23">
                  <c:v>1649.3414000000002</c:v>
                </c:pt>
                <c:pt idx="24">
                  <c:v>1649.6556000000003</c:v>
                </c:pt>
                <c:pt idx="25">
                  <c:v>1649.9698000000003</c:v>
                </c:pt>
                <c:pt idx="26">
                  <c:v>1650.2840000000003</c:v>
                </c:pt>
                <c:pt idx="27">
                  <c:v>1650.5982000000004</c:v>
                </c:pt>
                <c:pt idx="28">
                  <c:v>1650.8750816290581</c:v>
                </c:pt>
                <c:pt idx="29">
                  <c:v>1650.8750816290581</c:v>
                </c:pt>
                <c:pt idx="30">
                  <c:v>1650.9124000000002</c:v>
                </c:pt>
                <c:pt idx="31">
                  <c:v>1651.2266000000002</c:v>
                </c:pt>
                <c:pt idx="32">
                  <c:v>1651.3332899623913</c:v>
                </c:pt>
                <c:pt idx="33">
                  <c:v>1651.5408000000002</c:v>
                </c:pt>
                <c:pt idx="34">
                  <c:v>1651.5558501800001</c:v>
                </c:pt>
                <c:pt idx="35">
                  <c:v>1651.5623692073739</c:v>
                </c:pt>
                <c:pt idx="36">
                  <c:v>1651.7591817072794</c:v>
                </c:pt>
                <c:pt idx="37">
                  <c:v>1651.802919510634</c:v>
                </c:pt>
                <c:pt idx="38">
                  <c:v>1651.8949009140563</c:v>
                </c:pt>
                <c:pt idx="39">
                  <c:v>1651.9502655780025</c:v>
                </c:pt>
                <c:pt idx="40">
                  <c:v>1651.9827063822129</c:v>
                </c:pt>
                <c:pt idx="41">
                  <c:v>1651.9002419232656</c:v>
                </c:pt>
                <c:pt idx="42">
                  <c:v>1651.7520251800001</c:v>
                </c:pt>
                <c:pt idx="43">
                  <c:v>1651.9234845611604</c:v>
                </c:pt>
                <c:pt idx="44">
                  <c:v>1651.6112095758972</c:v>
                </c:pt>
                <c:pt idx="45">
                  <c:v>1651.1840293274763</c:v>
                </c:pt>
                <c:pt idx="46">
                  <c:v>1650.6419438158973</c:v>
                </c:pt>
                <c:pt idx="47">
                  <c:v>1649.9849530411607</c:v>
                </c:pt>
                <c:pt idx="48">
                  <c:v>1649.5762625400005</c:v>
                </c:pt>
                <c:pt idx="49">
                  <c:v>1649.2248000000004</c:v>
                </c:pt>
                <c:pt idx="50">
                  <c:v>1648.4474000000005</c:v>
                </c:pt>
                <c:pt idx="51">
                  <c:v>1647.6700000000005</c:v>
                </c:pt>
                <c:pt idx="52">
                  <c:v>1646.8926000000006</c:v>
                </c:pt>
                <c:pt idx="53">
                  <c:v>1646.8508703732587</c:v>
                </c:pt>
                <c:pt idx="54">
                  <c:v>1646.1441431005314</c:v>
                </c:pt>
                <c:pt idx="55">
                  <c:v>1646.1152000000006</c:v>
                </c:pt>
                <c:pt idx="56">
                  <c:v>1645.4374158278042</c:v>
                </c:pt>
                <c:pt idx="57">
                  <c:v>1645.3378000000007</c:v>
                </c:pt>
                <c:pt idx="58">
                  <c:v>1644.730688555077</c:v>
                </c:pt>
                <c:pt idx="59">
                  <c:v>1644.5604000000008</c:v>
                </c:pt>
                <c:pt idx="60">
                  <c:v>1644.0165995399254</c:v>
                </c:pt>
                <c:pt idx="61">
                  <c:v>1643.7830000000008</c:v>
                </c:pt>
                <c:pt idx="62">
                  <c:v>1643.3172340096226</c:v>
                </c:pt>
                <c:pt idx="63">
                  <c:v>1643.0056000000009</c:v>
                </c:pt>
                <c:pt idx="64">
                  <c:v>1642.2282000000009</c:v>
                </c:pt>
                <c:pt idx="65">
                  <c:v>1641.450800000001</c:v>
                </c:pt>
                <c:pt idx="66">
                  <c:v>1640.673400000001</c:v>
                </c:pt>
                <c:pt idx="67">
                  <c:v>1639.8960000000011</c:v>
                </c:pt>
                <c:pt idx="68">
                  <c:v>1639.205513320001</c:v>
                </c:pt>
                <c:pt idx="69">
                  <c:v>1639.1191967137188</c:v>
                </c:pt>
                <c:pt idx="70">
                  <c:v>1638.4002113777187</c:v>
                </c:pt>
                <c:pt idx="71">
                  <c:v>1637.7767060417189</c:v>
                </c:pt>
                <c:pt idx="72">
                  <c:v>1637.5603883200013</c:v>
                </c:pt>
                <c:pt idx="73">
                  <c:v>1636.9566073857186</c:v>
                </c:pt>
                <c:pt idx="74">
                  <c:v>1636.5240620497189</c:v>
                </c:pt>
                <c:pt idx="75">
                  <c:v>1636.2199400000011</c:v>
                </c:pt>
                <c:pt idx="76">
                  <c:v>1636.1864000000012</c:v>
                </c:pt>
                <c:pt idx="77">
                  <c:v>1635.8864000000012</c:v>
                </c:pt>
                <c:pt idx="78">
                  <c:v>1635.67033830381</c:v>
                </c:pt>
                <c:pt idx="79">
                  <c:v>1635.586400000001</c:v>
                </c:pt>
                <c:pt idx="80">
                  <c:v>1635.4004519401735</c:v>
                </c:pt>
                <c:pt idx="81">
                  <c:v>1635.2864000000011</c:v>
                </c:pt>
                <c:pt idx="82">
                  <c:v>1634.9864000000011</c:v>
                </c:pt>
                <c:pt idx="83">
                  <c:v>1634.854997394719</c:v>
                </c:pt>
                <c:pt idx="84">
                  <c:v>1634.686400000001</c:v>
                </c:pt>
                <c:pt idx="85">
                  <c:v>1634.5822701219918</c:v>
                </c:pt>
                <c:pt idx="86">
                  <c:v>1634.386400000001</c:v>
                </c:pt>
                <c:pt idx="87">
                  <c:v>1634.3095428492645</c:v>
                </c:pt>
                <c:pt idx="88">
                  <c:v>1634.086400000001</c:v>
                </c:pt>
                <c:pt idx="89">
                  <c:v>1634.0368155765373</c:v>
                </c:pt>
                <c:pt idx="90">
                  <c:v>1633.7864000000011</c:v>
                </c:pt>
                <c:pt idx="91">
                  <c:v>1633.4864000000011</c:v>
                </c:pt>
                <c:pt idx="92">
                  <c:v>1633.4134911042031</c:v>
                </c:pt>
                <c:pt idx="93">
                  <c:v>1633.186400000001</c:v>
                </c:pt>
                <c:pt idx="94">
                  <c:v>1633.1407638314756</c:v>
                </c:pt>
                <c:pt idx="95">
                  <c:v>1632.8864000000008</c:v>
                </c:pt>
                <c:pt idx="96">
                  <c:v>1632.8680365587484</c:v>
                </c:pt>
                <c:pt idx="97">
                  <c:v>1632.5953092860211</c:v>
                </c:pt>
                <c:pt idx="98">
                  <c:v>1632.5622228599009</c:v>
                </c:pt>
                <c:pt idx="99">
                  <c:v>1632.1674657037618</c:v>
                </c:pt>
                <c:pt idx="100">
                  <c:v>1631.8473547405665</c:v>
                </c:pt>
                <c:pt idx="101">
                  <c:v>1631.8522656004666</c:v>
                </c:pt>
                <c:pt idx="102">
                  <c:v>1631.9066478638401</c:v>
                </c:pt>
                <c:pt idx="103">
                  <c:v>1631.8394436668698</c:v>
                </c:pt>
                <c:pt idx="104">
                  <c:v>1631.8603268069699</c:v>
                </c:pt>
                <c:pt idx="105">
                  <c:v>1631.6863063569431</c:v>
                </c:pt>
                <c:pt idx="106">
                  <c:v>1631.386400000001</c:v>
                </c:pt>
                <c:pt idx="107">
                  <c:v>1631.3148722615153</c:v>
                </c:pt>
                <c:pt idx="108">
                  <c:v>1631.086400000001</c:v>
                </c:pt>
                <c:pt idx="109">
                  <c:v>1631.0421449887881</c:v>
                </c:pt>
                <c:pt idx="110">
                  <c:v>1630.7864000000011</c:v>
                </c:pt>
                <c:pt idx="111">
                  <c:v>1630.7694177160608</c:v>
                </c:pt>
                <c:pt idx="112">
                  <c:v>1630.4966904433336</c:v>
                </c:pt>
                <c:pt idx="113">
                  <c:v>1630.4864000000011</c:v>
                </c:pt>
                <c:pt idx="114">
                  <c:v>1630.1864000000012</c:v>
                </c:pt>
                <c:pt idx="115">
                  <c:v>1629.8864000000012</c:v>
                </c:pt>
                <c:pt idx="116">
                  <c:v>1629.5864000000013</c:v>
                </c:pt>
                <c:pt idx="117">
                  <c:v>1629.2864000000013</c:v>
                </c:pt>
                <c:pt idx="118">
                  <c:v>1628.9864000000014</c:v>
                </c:pt>
                <c:pt idx="119">
                  <c:v>1628.7299412908526</c:v>
                </c:pt>
                <c:pt idx="120">
                  <c:v>1628.7199400000013</c:v>
                </c:pt>
                <c:pt idx="121">
                  <c:v>1628.6864000000014</c:v>
                </c:pt>
                <c:pt idx="122">
                  <c:v>1628.4572140181253</c:v>
                </c:pt>
                <c:pt idx="123">
                  <c:v>1628.3864000000012</c:v>
                </c:pt>
                <c:pt idx="124">
                  <c:v>1628.2699400000013</c:v>
                </c:pt>
                <c:pt idx="125">
                  <c:v>1628.1844867453981</c:v>
                </c:pt>
                <c:pt idx="126">
                  <c:v>1627.947738037592</c:v>
                </c:pt>
                <c:pt idx="127">
                  <c:v>1627.5262140181253</c:v>
                </c:pt>
                <c:pt idx="128">
                  <c:v>1627.3045924175919</c:v>
                </c:pt>
                <c:pt idx="129">
                  <c:v>1627.2236380375919</c:v>
                </c:pt>
                <c:pt idx="130">
                  <c:v>1626.4995380375919</c:v>
                </c:pt>
                <c:pt idx="131">
                  <c:v>1626.2096685635797</c:v>
                </c:pt>
                <c:pt idx="132">
                  <c:v>1626.2096685635797</c:v>
                </c:pt>
                <c:pt idx="133">
                  <c:v>1625.7754380375918</c:v>
                </c:pt>
                <c:pt idx="134">
                  <c:v>1625.0513380375919</c:v>
                </c:pt>
                <c:pt idx="135">
                  <c:v>1624.327238037592</c:v>
                </c:pt>
                <c:pt idx="136">
                  <c:v>1623.6031380375921</c:v>
                </c:pt>
                <c:pt idx="137">
                  <c:v>1622.8790380375922</c:v>
                </c:pt>
                <c:pt idx="138">
                  <c:v>1622.1549380375923</c:v>
                </c:pt>
                <c:pt idx="139">
                  <c:v>1621.6796694667246</c:v>
                </c:pt>
                <c:pt idx="140">
                  <c:v>1621.6796694667246</c:v>
                </c:pt>
                <c:pt idx="141">
                  <c:v>1621.4308380375921</c:v>
                </c:pt>
                <c:pt idx="142">
                  <c:v>1620.7067380375922</c:v>
                </c:pt>
                <c:pt idx="143">
                  <c:v>1620.363124012179</c:v>
                </c:pt>
                <c:pt idx="144">
                  <c:v>1619.3529913467244</c:v>
                </c:pt>
                <c:pt idx="145">
                  <c:v>0</c:v>
                </c:pt>
                <c:pt idx="146">
                  <c:v>0</c:v>
                </c:pt>
                <c:pt idx="147">
                  <c:v>1619.258538037592</c:v>
                </c:pt>
                <c:pt idx="148">
                  <c:v>1619.0465785576334</c:v>
                </c:pt>
                <c:pt idx="149">
                  <c:v>1618.5344380375921</c:v>
                </c:pt>
                <c:pt idx="150">
                  <c:v>1618.3883058303607</c:v>
                </c:pt>
                <c:pt idx="151">
                  <c:v>1617.8103380375919</c:v>
                </c:pt>
                <c:pt idx="152">
                  <c:v>1617.086238037592</c:v>
                </c:pt>
                <c:pt idx="153">
                  <c:v>1616.3621380375921</c:v>
                </c:pt>
                <c:pt idx="154">
                  <c:v>1615.6380380375922</c:v>
                </c:pt>
                <c:pt idx="155">
                  <c:v>1615.4208080375922</c:v>
                </c:pt>
                <c:pt idx="156">
                  <c:v>1614.9375820688422</c:v>
                </c:pt>
                <c:pt idx="157">
                  <c:v>1614.3292895688423</c:v>
                </c:pt>
                <c:pt idx="158">
                  <c:v>1613.8175033188425</c:v>
                </c:pt>
                <c:pt idx="159">
                  <c:v>1613.4022233188425</c:v>
                </c:pt>
                <c:pt idx="160">
                  <c:v>1613.0834495688428</c:v>
                </c:pt>
                <c:pt idx="161">
                  <c:v>1612.8611820688427</c:v>
                </c:pt>
                <c:pt idx="162">
                  <c:v>1612.7354208188428</c:v>
                </c:pt>
                <c:pt idx="163">
                  <c:v>1612.7061658188429</c:v>
                </c:pt>
                <c:pt idx="164">
                  <c:v>1612.7162080375929</c:v>
                </c:pt>
                <c:pt idx="165">
                  <c:v>1611.6925470688429</c:v>
                </c:pt>
                <c:pt idx="166">
                  <c:v>1611.8563045688429</c:v>
                </c:pt>
                <c:pt idx="167">
                  <c:v>1612.1165683188428</c:v>
                </c:pt>
                <c:pt idx="168">
                  <c:v>1612.4733383188429</c:v>
                </c:pt>
                <c:pt idx="169">
                  <c:v>1612.9266145688428</c:v>
                </c:pt>
                <c:pt idx="170">
                  <c:v>1613.4763970688427</c:v>
                </c:pt>
                <c:pt idx="171">
                  <c:v>1613.7074595806166</c:v>
                </c:pt>
                <c:pt idx="172">
                  <c:v>1614.1226858188427</c:v>
                </c:pt>
                <c:pt idx="173">
                  <c:v>1614.32390867958</c:v>
                </c:pt>
                <c:pt idx="174">
                  <c:v>1614.8654808188428</c:v>
                </c:pt>
                <c:pt idx="175">
                  <c:v>1615.0201150099483</c:v>
                </c:pt>
                <c:pt idx="176">
                  <c:v>1615.1071380375927</c:v>
                </c:pt>
                <c:pt idx="177">
                  <c:v>1615.6811380375927</c:v>
                </c:pt>
                <c:pt idx="178">
                  <c:v>1615.7650192015913</c:v>
                </c:pt>
                <c:pt idx="179">
                  <c:v>1616.5011380375927</c:v>
                </c:pt>
                <c:pt idx="180">
                  <c:v>1617.2559282925004</c:v>
                </c:pt>
                <c:pt idx="181">
                  <c:v>1617.2559282925004</c:v>
                </c:pt>
                <c:pt idx="182">
                  <c:v>1617.3211380375928</c:v>
                </c:pt>
                <c:pt idx="183">
                  <c:v>1618.1411380375928</c:v>
                </c:pt>
                <c:pt idx="184">
                  <c:v>1618.9611380375927</c:v>
                </c:pt>
                <c:pt idx="185">
                  <c:v>1619.7811380375927</c:v>
                </c:pt>
                <c:pt idx="186">
                  <c:v>1620.6011380375926</c:v>
                </c:pt>
                <c:pt idx="187">
                  <c:v>1621.4211380375925</c:v>
                </c:pt>
                <c:pt idx="188">
                  <c:v>1622.2411380375925</c:v>
                </c:pt>
                <c:pt idx="189">
                  <c:v>1623.0611380375924</c:v>
                </c:pt>
                <c:pt idx="190">
                  <c:v>1623.8811380375923</c:v>
                </c:pt>
                <c:pt idx="191">
                  <c:v>1624.5478635686195</c:v>
                </c:pt>
                <c:pt idx="192">
                  <c:v>1624.5478635686195</c:v>
                </c:pt>
                <c:pt idx="193">
                  <c:v>1624.7011380375923</c:v>
                </c:pt>
                <c:pt idx="194">
                  <c:v>1625.0961320375923</c:v>
                </c:pt>
                <c:pt idx="195">
                  <c:v>1625.4969608974923</c:v>
                </c:pt>
                <c:pt idx="196">
                  <c:v>1625.9198383632895</c:v>
                </c:pt>
                <c:pt idx="197">
                  <c:v>1626.1236320375922</c:v>
                </c:pt>
                <c:pt idx="198">
                  <c:v>1626.1435488974923</c:v>
                </c:pt>
                <c:pt idx="199">
                  <c:v>1626.7044750688224</c:v>
                </c:pt>
                <c:pt idx="200">
                  <c:v>1626.8920453247983</c:v>
                </c:pt>
                <c:pt idx="201">
                  <c:v>1627.0478044648985</c:v>
                </c:pt>
                <c:pt idx="202">
                  <c:v>1627.0386790164707</c:v>
                </c:pt>
                <c:pt idx="203">
                  <c:v>1627.1929284648984</c:v>
                </c:pt>
                <c:pt idx="204">
                  <c:v>1627.2933181140741</c:v>
                </c:pt>
                <c:pt idx="205">
                  <c:v>1627.4729284648984</c:v>
                </c:pt>
                <c:pt idx="206">
                  <c:v>1627.6979687621097</c:v>
                </c:pt>
                <c:pt idx="207">
                  <c:v>1627.7529284648983</c:v>
                </c:pt>
                <c:pt idx="208">
                  <c:v>1627.9525142166551</c:v>
                </c:pt>
                <c:pt idx="209">
                  <c:v>1628.0329284648983</c:v>
                </c:pt>
                <c:pt idx="210">
                  <c:v>1628.2070596712006</c:v>
                </c:pt>
                <c:pt idx="211">
                  <c:v>1628.3129284648983</c:v>
                </c:pt>
                <c:pt idx="212">
                  <c:v>1628.461605125746</c:v>
                </c:pt>
                <c:pt idx="213">
                  <c:v>1628.5929284648983</c:v>
                </c:pt>
                <c:pt idx="214">
                  <c:v>1628.8729284648982</c:v>
                </c:pt>
                <c:pt idx="215">
                  <c:v>1628.9706960348369</c:v>
                </c:pt>
                <c:pt idx="216">
                  <c:v>1628.9706960348369</c:v>
                </c:pt>
                <c:pt idx="217">
                  <c:v>1629.1529284648982</c:v>
                </c:pt>
                <c:pt idx="218">
                  <c:v>1629.4329284648982</c:v>
                </c:pt>
                <c:pt idx="219">
                  <c:v>1629.7129284648981</c:v>
                </c:pt>
                <c:pt idx="220">
                  <c:v>1629.9929284648981</c:v>
                </c:pt>
                <c:pt idx="221">
                  <c:v>1630.2729284648981</c:v>
                </c:pt>
                <c:pt idx="222">
                  <c:v>1630.5529284648981</c:v>
                </c:pt>
                <c:pt idx="223">
                  <c:v>1630.6825432380037</c:v>
                </c:pt>
                <c:pt idx="224">
                  <c:v>1630.6825432380037</c:v>
                </c:pt>
                <c:pt idx="225">
                  <c:v>1630.832928464898</c:v>
                </c:pt>
                <c:pt idx="226">
                  <c:v>1631.112928464898</c:v>
                </c:pt>
                <c:pt idx="227">
                  <c:v>1631.1916341470946</c:v>
                </c:pt>
                <c:pt idx="228">
                  <c:v>1631.392928464898</c:v>
                </c:pt>
                <c:pt idx="229">
                  <c:v>1631.4461796016401</c:v>
                </c:pt>
                <c:pt idx="230">
                  <c:v>1631.672928464898</c:v>
                </c:pt>
                <c:pt idx="231">
                  <c:v>1631.7007250561855</c:v>
                </c:pt>
                <c:pt idx="232">
                  <c:v>1631.9529284648982</c:v>
                </c:pt>
                <c:pt idx="233">
                  <c:v>1631.955270510731</c:v>
                </c:pt>
                <c:pt idx="234">
                  <c:v>1632.2329284648981</c:v>
                </c:pt>
                <c:pt idx="235">
                  <c:v>1632.5129284648981</c:v>
                </c:pt>
                <c:pt idx="236">
                  <c:v>1632.6213977349764</c:v>
                </c:pt>
                <c:pt idx="237">
                  <c:v>1632.7929284648981</c:v>
                </c:pt>
                <c:pt idx="238">
                  <c:v>1632.8759431895219</c:v>
                </c:pt>
                <c:pt idx="239">
                  <c:v>1633.072928464898</c:v>
                </c:pt>
                <c:pt idx="240">
                  <c:v>1633.1304886440673</c:v>
                </c:pt>
                <c:pt idx="241">
                  <c:v>1633.352928464898</c:v>
                </c:pt>
                <c:pt idx="242">
                  <c:v>1633.3850340986128</c:v>
                </c:pt>
                <c:pt idx="243">
                  <c:v>1633.6329284648982</c:v>
                </c:pt>
                <c:pt idx="244">
                  <c:v>1633.8941250077037</c:v>
                </c:pt>
                <c:pt idx="245">
                  <c:v>1633.8941250077037</c:v>
                </c:pt>
                <c:pt idx="246">
                  <c:v>1633.9078044648982</c:v>
                </c:pt>
                <c:pt idx="247">
                  <c:v>1633.9129395497571</c:v>
                </c:pt>
                <c:pt idx="248">
                  <c:v>1634.2272510097571</c:v>
                </c:pt>
                <c:pt idx="249">
                  <c:v>1634.2318954755572</c:v>
                </c:pt>
                <c:pt idx="250">
                  <c:v>1634.2318954755572</c:v>
                </c:pt>
                <c:pt idx="251">
                  <c:v>1634.6002044648981</c:v>
                </c:pt>
                <c:pt idx="252">
                  <c:v>1634.6029166297571</c:v>
                </c:pt>
                <c:pt idx="253">
                  <c:v>1634.9697353932243</c:v>
                </c:pt>
                <c:pt idx="254">
                  <c:v>1635.0496280897571</c:v>
                </c:pt>
                <c:pt idx="255">
                  <c:v>1635.4231443877604</c:v>
                </c:pt>
                <c:pt idx="256">
                  <c:v>1635.5525586248982</c:v>
                </c:pt>
                <c:pt idx="257">
                  <c:v>1635.5625284648982</c:v>
                </c:pt>
                <c:pt idx="258">
                  <c:v>1635.916493429487</c:v>
                </c:pt>
                <c:pt idx="259">
                  <c:v>1636.1073284648983</c:v>
                </c:pt>
                <c:pt idx="260">
                  <c:v>1636.4117661567598</c:v>
                </c:pt>
                <c:pt idx="261">
                  <c:v>1636.6521284648982</c:v>
                </c:pt>
                <c:pt idx="262">
                  <c:v>1637.1969284648981</c:v>
                </c:pt>
                <c:pt idx="263">
                  <c:v>1637.741728464898</c:v>
                </c:pt>
                <c:pt idx="264">
                  <c:v>1638.2865284648979</c:v>
                </c:pt>
                <c:pt idx="265">
                  <c:v>1638.8313284648978</c:v>
                </c:pt>
                <c:pt idx="266">
                  <c:v>1639.1430830781057</c:v>
                </c:pt>
                <c:pt idx="267">
                  <c:v>1639.3761284648976</c:v>
                </c:pt>
                <c:pt idx="268">
                  <c:v>1639.6383558053783</c:v>
                </c:pt>
                <c:pt idx="269">
                  <c:v>1639.9209284648975</c:v>
                </c:pt>
                <c:pt idx="270">
                  <c:v>1640.1336285326511</c:v>
                </c:pt>
                <c:pt idx="271">
                  <c:v>1640.4657284648977</c:v>
                </c:pt>
                <c:pt idx="272">
                  <c:v>1641.0105284648976</c:v>
                </c:pt>
                <c:pt idx="273">
                  <c:v>1641.5553284648975</c:v>
                </c:pt>
                <c:pt idx="274">
                  <c:v>1641.6194467144692</c:v>
                </c:pt>
                <c:pt idx="275">
                  <c:v>1642.1001284648976</c:v>
                </c:pt>
                <c:pt idx="276">
                  <c:v>1642.6449284648975</c:v>
                </c:pt>
                <c:pt idx="277">
                  <c:v>1642.7576923834133</c:v>
                </c:pt>
                <c:pt idx="278">
                  <c:v>1643.1897284648976</c:v>
                </c:pt>
                <c:pt idx="279">
                  <c:v>1643.7345284648975</c:v>
                </c:pt>
                <c:pt idx="280">
                  <c:v>1643.7482378379589</c:v>
                </c:pt>
                <c:pt idx="281">
                  <c:v>1644.2435105652316</c:v>
                </c:pt>
                <c:pt idx="282">
                  <c:v>1644.2793284648976</c:v>
                </c:pt>
                <c:pt idx="283">
                  <c:v>1644.7387832925044</c:v>
                </c:pt>
                <c:pt idx="284">
                  <c:v>1644.8241284648977</c:v>
                </c:pt>
                <c:pt idx="285">
                  <c:v>1645.2340560197772</c:v>
                </c:pt>
                <c:pt idx="286">
                  <c:v>1645.3689284648979</c:v>
                </c:pt>
                <c:pt idx="287">
                  <c:v>1645.9137284648978</c:v>
                </c:pt>
                <c:pt idx="288">
                  <c:v>1646.4585284648977</c:v>
                </c:pt>
                <c:pt idx="289">
                  <c:v>1647.0033284648975</c:v>
                </c:pt>
                <c:pt idx="290">
                  <c:v>1647.5481284648974</c:v>
                </c:pt>
                <c:pt idx="291">
                  <c:v>1648.0929284648973</c:v>
                </c:pt>
                <c:pt idx="292">
                  <c:v>1648.6377284648972</c:v>
                </c:pt>
                <c:pt idx="293">
                  <c:v>1649.1825284648971</c:v>
                </c:pt>
                <c:pt idx="294">
                  <c:v>1649.727328464897</c:v>
                </c:pt>
                <c:pt idx="295">
                  <c:v>1650.2721284648969</c:v>
                </c:pt>
                <c:pt idx="296">
                  <c:v>1650.8169284648968</c:v>
                </c:pt>
                <c:pt idx="297">
                  <c:v>1651.2652004943566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E5-4BE4-B1DC-44DDDFD7996B}"/>
            </c:ext>
          </c:extLst>
        </c:ser>
        <c:ser>
          <c:idx val="1"/>
          <c:order val="1"/>
          <c:tx>
            <c:v>borde izquierdo</c:v>
          </c:tx>
          <c:marker>
            <c:symbol val="none"/>
          </c:marker>
          <c:xVal>
            <c:numRef>
              <c:f>RASANTE!$F$4:$F$301</c:f>
              <c:numCache>
                <c:formatCode>"K"0"+"000.000</c:formatCode>
                <c:ptCount val="29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125.09677000625057</c:v>
                </c:pt>
                <c:pt idx="14">
                  <c:v>130</c:v>
                </c:pt>
                <c:pt idx="15">
                  <c:v>132.38843667291724</c:v>
                </c:pt>
                <c:pt idx="16">
                  <c:v>139.68010333958389</c:v>
                </c:pt>
                <c:pt idx="17">
                  <c:v>140</c:v>
                </c:pt>
                <c:pt idx="18">
                  <c:v>146.97177000625058</c:v>
                </c:pt>
                <c:pt idx="19">
                  <c:v>150</c:v>
                </c:pt>
                <c:pt idx="20">
                  <c:v>160</c:v>
                </c:pt>
                <c:pt idx="21">
                  <c:v>161.55510333958389</c:v>
                </c:pt>
                <c:pt idx="22">
                  <c:v>161.55510333958389</c:v>
                </c:pt>
                <c:pt idx="23">
                  <c:v>170</c:v>
                </c:pt>
                <c:pt idx="24">
                  <c:v>180</c:v>
                </c:pt>
                <c:pt idx="25">
                  <c:v>190</c:v>
                </c:pt>
                <c:pt idx="26">
                  <c:v>200</c:v>
                </c:pt>
                <c:pt idx="27">
                  <c:v>210</c:v>
                </c:pt>
                <c:pt idx="28">
                  <c:v>218.81227336275606</c:v>
                </c:pt>
                <c:pt idx="29">
                  <c:v>218.81227336275606</c:v>
                </c:pt>
                <c:pt idx="30">
                  <c:v>220</c:v>
                </c:pt>
                <c:pt idx="31">
                  <c:v>230</c:v>
                </c:pt>
                <c:pt idx="32">
                  <c:v>233.3956066960894</c:v>
                </c:pt>
                <c:pt idx="33">
                  <c:v>240</c:v>
                </c:pt>
                <c:pt idx="34">
                  <c:v>240.47899999999998</c:v>
                </c:pt>
                <c:pt idx="35">
                  <c:v>240.68727336275606</c:v>
                </c:pt>
                <c:pt idx="36">
                  <c:v>247.97894002942272</c:v>
                </c:pt>
                <c:pt idx="37">
                  <c:v>250</c:v>
                </c:pt>
                <c:pt idx="38">
                  <c:v>255.27060669608937</c:v>
                </c:pt>
                <c:pt idx="39">
                  <c:v>260</c:v>
                </c:pt>
                <c:pt idx="40">
                  <c:v>270</c:v>
                </c:pt>
                <c:pt idx="41">
                  <c:v>280</c:v>
                </c:pt>
                <c:pt idx="42">
                  <c:v>287.97899999999998</c:v>
                </c:pt>
                <c:pt idx="43">
                  <c:v>290</c:v>
                </c:pt>
                <c:pt idx="44">
                  <c:v>300</c:v>
                </c:pt>
                <c:pt idx="45">
                  <c:v>310</c:v>
                </c:pt>
                <c:pt idx="46">
                  <c:v>320</c:v>
                </c:pt>
                <c:pt idx="47">
                  <c:v>330</c:v>
                </c:pt>
                <c:pt idx="48">
                  <c:v>335.47899999999998</c:v>
                </c:pt>
                <c:pt idx="49">
                  <c:v>340</c:v>
                </c:pt>
                <c:pt idx="50">
                  <c:v>350</c:v>
                </c:pt>
                <c:pt idx="51">
                  <c:v>360</c:v>
                </c:pt>
                <c:pt idx="52">
                  <c:v>370</c:v>
                </c:pt>
                <c:pt idx="53">
                  <c:v>370.53678449629444</c:v>
                </c:pt>
                <c:pt idx="54">
                  <c:v>379.62769358720351</c:v>
                </c:pt>
                <c:pt idx="55">
                  <c:v>380</c:v>
                </c:pt>
                <c:pt idx="56">
                  <c:v>388.71860267811257</c:v>
                </c:pt>
                <c:pt idx="57">
                  <c:v>390</c:v>
                </c:pt>
                <c:pt idx="58">
                  <c:v>397.8095117690217</c:v>
                </c:pt>
                <c:pt idx="59">
                  <c:v>400</c:v>
                </c:pt>
                <c:pt idx="60">
                  <c:v>406.99511782962787</c:v>
                </c:pt>
                <c:pt idx="61">
                  <c:v>410</c:v>
                </c:pt>
                <c:pt idx="62">
                  <c:v>415.99132995083988</c:v>
                </c:pt>
                <c:pt idx="63">
                  <c:v>420</c:v>
                </c:pt>
                <c:pt idx="64">
                  <c:v>430</c:v>
                </c:pt>
                <c:pt idx="65">
                  <c:v>440</c:v>
                </c:pt>
                <c:pt idx="66">
                  <c:v>450</c:v>
                </c:pt>
                <c:pt idx="67">
                  <c:v>460</c:v>
                </c:pt>
                <c:pt idx="68">
                  <c:v>468.88200000000001</c:v>
                </c:pt>
                <c:pt idx="69">
                  <c:v>470</c:v>
                </c:pt>
                <c:pt idx="70">
                  <c:v>480</c:v>
                </c:pt>
                <c:pt idx="71">
                  <c:v>490</c:v>
                </c:pt>
                <c:pt idx="72">
                  <c:v>493.88200000000001</c:v>
                </c:pt>
                <c:pt idx="73">
                  <c:v>500</c:v>
                </c:pt>
                <c:pt idx="74">
                  <c:v>510</c:v>
                </c:pt>
                <c:pt idx="75">
                  <c:v>518.88200000000006</c:v>
                </c:pt>
                <c:pt idx="76">
                  <c:v>520</c:v>
                </c:pt>
                <c:pt idx="77">
                  <c:v>530</c:v>
                </c:pt>
                <c:pt idx="78">
                  <c:v>537.2020565397039</c:v>
                </c:pt>
                <c:pt idx="79">
                  <c:v>540</c:v>
                </c:pt>
                <c:pt idx="80">
                  <c:v>546.19826866091591</c:v>
                </c:pt>
                <c:pt idx="81">
                  <c:v>550</c:v>
                </c:pt>
                <c:pt idx="82">
                  <c:v>560</c:v>
                </c:pt>
                <c:pt idx="83">
                  <c:v>564.38008684273404</c:v>
                </c:pt>
                <c:pt idx="84">
                  <c:v>570</c:v>
                </c:pt>
                <c:pt idx="85">
                  <c:v>573.47099593364317</c:v>
                </c:pt>
                <c:pt idx="86">
                  <c:v>580</c:v>
                </c:pt>
                <c:pt idx="87">
                  <c:v>582.56190502455229</c:v>
                </c:pt>
                <c:pt idx="88">
                  <c:v>590</c:v>
                </c:pt>
                <c:pt idx="89">
                  <c:v>591.65281411546141</c:v>
                </c:pt>
                <c:pt idx="90">
                  <c:v>600</c:v>
                </c:pt>
                <c:pt idx="91">
                  <c:v>610</c:v>
                </c:pt>
                <c:pt idx="92">
                  <c:v>612.43029652659891</c:v>
                </c:pt>
                <c:pt idx="93">
                  <c:v>620</c:v>
                </c:pt>
                <c:pt idx="94">
                  <c:v>621.52120561750803</c:v>
                </c:pt>
                <c:pt idx="95">
                  <c:v>630</c:v>
                </c:pt>
                <c:pt idx="96">
                  <c:v>630.61211470841715</c:v>
                </c:pt>
                <c:pt idx="97">
                  <c:v>639.70302379932616</c:v>
                </c:pt>
                <c:pt idx="98">
                  <c:v>640</c:v>
                </c:pt>
                <c:pt idx="99">
                  <c:v>650</c:v>
                </c:pt>
                <c:pt idx="100">
                  <c:v>657.8848419811444</c:v>
                </c:pt>
                <c:pt idx="101">
                  <c:v>657.8848419811444</c:v>
                </c:pt>
                <c:pt idx="102">
                  <c:v>660</c:v>
                </c:pt>
                <c:pt idx="103">
                  <c:v>664.20243976770257</c:v>
                </c:pt>
                <c:pt idx="104">
                  <c:v>664.20243976770257</c:v>
                </c:pt>
                <c:pt idx="105">
                  <c:v>670</c:v>
                </c:pt>
                <c:pt idx="106">
                  <c:v>680</c:v>
                </c:pt>
                <c:pt idx="107">
                  <c:v>682.3842579495207</c:v>
                </c:pt>
                <c:pt idx="108">
                  <c:v>690</c:v>
                </c:pt>
                <c:pt idx="109">
                  <c:v>691.47516704042982</c:v>
                </c:pt>
                <c:pt idx="110">
                  <c:v>700</c:v>
                </c:pt>
                <c:pt idx="111">
                  <c:v>700.56607613133895</c:v>
                </c:pt>
                <c:pt idx="112">
                  <c:v>709.65698522224807</c:v>
                </c:pt>
                <c:pt idx="113">
                  <c:v>710</c:v>
                </c:pt>
                <c:pt idx="114">
                  <c:v>720</c:v>
                </c:pt>
                <c:pt idx="115">
                  <c:v>730</c:v>
                </c:pt>
                <c:pt idx="116">
                  <c:v>740</c:v>
                </c:pt>
                <c:pt idx="117">
                  <c:v>750</c:v>
                </c:pt>
                <c:pt idx="118">
                  <c:v>760</c:v>
                </c:pt>
                <c:pt idx="119">
                  <c:v>768.54862363828965</c:v>
                </c:pt>
                <c:pt idx="120">
                  <c:v>768.88199999999995</c:v>
                </c:pt>
                <c:pt idx="121">
                  <c:v>770</c:v>
                </c:pt>
                <c:pt idx="122">
                  <c:v>777.63953272919878</c:v>
                </c:pt>
                <c:pt idx="123">
                  <c:v>780</c:v>
                </c:pt>
                <c:pt idx="124">
                  <c:v>783.88199999999995</c:v>
                </c:pt>
                <c:pt idx="125">
                  <c:v>786.7304418201079</c:v>
                </c:pt>
                <c:pt idx="126">
                  <c:v>790</c:v>
                </c:pt>
                <c:pt idx="127">
                  <c:v>795.82135091101691</c:v>
                </c:pt>
                <c:pt idx="128">
                  <c:v>798.88199999999995</c:v>
                </c:pt>
                <c:pt idx="129">
                  <c:v>800</c:v>
                </c:pt>
                <c:pt idx="130">
                  <c:v>810</c:v>
                </c:pt>
                <c:pt idx="131">
                  <c:v>814.00316909283515</c:v>
                </c:pt>
                <c:pt idx="132">
                  <c:v>814.00316909283515</c:v>
                </c:pt>
                <c:pt idx="133">
                  <c:v>820</c:v>
                </c:pt>
                <c:pt idx="134">
                  <c:v>830</c:v>
                </c:pt>
                <c:pt idx="135">
                  <c:v>840</c:v>
                </c:pt>
                <c:pt idx="136">
                  <c:v>850</c:v>
                </c:pt>
                <c:pt idx="137">
                  <c:v>860</c:v>
                </c:pt>
                <c:pt idx="138">
                  <c:v>870</c:v>
                </c:pt>
                <c:pt idx="139">
                  <c:v>876.56357645170078</c:v>
                </c:pt>
                <c:pt idx="140">
                  <c:v>876.56357645170078</c:v>
                </c:pt>
                <c:pt idx="141">
                  <c:v>880</c:v>
                </c:pt>
                <c:pt idx="142">
                  <c:v>890</c:v>
                </c:pt>
                <c:pt idx="143">
                  <c:v>894.74539463351891</c:v>
                </c:pt>
                <c:pt idx="144">
                  <c:v>908.69557645170073</c:v>
                </c:pt>
                <c:pt idx="145">
                  <c:v>900</c:v>
                </c:pt>
                <c:pt idx="146">
                  <c:v>903.83630372442803</c:v>
                </c:pt>
                <c:pt idx="147">
                  <c:v>910</c:v>
                </c:pt>
                <c:pt idx="148">
                  <c:v>912.92721281533716</c:v>
                </c:pt>
                <c:pt idx="149">
                  <c:v>920</c:v>
                </c:pt>
                <c:pt idx="150">
                  <c:v>922.01812190624628</c:v>
                </c:pt>
                <c:pt idx="151">
                  <c:v>930</c:v>
                </c:pt>
                <c:pt idx="152">
                  <c:v>940</c:v>
                </c:pt>
                <c:pt idx="153">
                  <c:v>950</c:v>
                </c:pt>
                <c:pt idx="154">
                  <c:v>960</c:v>
                </c:pt>
                <c:pt idx="155">
                  <c:v>963</c:v>
                </c:pt>
                <c:pt idx="156">
                  <c:v>970</c:v>
                </c:pt>
                <c:pt idx="157">
                  <c:v>980</c:v>
                </c:pt>
                <c:pt idx="158">
                  <c:v>990</c:v>
                </c:pt>
                <c:pt idx="159">
                  <c:v>1000</c:v>
                </c:pt>
                <c:pt idx="160">
                  <c:v>1010</c:v>
                </c:pt>
                <c:pt idx="161">
                  <c:v>1020</c:v>
                </c:pt>
                <c:pt idx="162">
                  <c:v>1030</c:v>
                </c:pt>
                <c:pt idx="163">
                  <c:v>1040</c:v>
                </c:pt>
                <c:pt idx="164">
                  <c:v>1043</c:v>
                </c:pt>
                <c:pt idx="165">
                  <c:v>1050</c:v>
                </c:pt>
                <c:pt idx="166">
                  <c:v>1060</c:v>
                </c:pt>
                <c:pt idx="167">
                  <c:v>1070</c:v>
                </c:pt>
                <c:pt idx="168">
                  <c:v>1080</c:v>
                </c:pt>
                <c:pt idx="169">
                  <c:v>1090</c:v>
                </c:pt>
                <c:pt idx="170">
                  <c:v>1100</c:v>
                </c:pt>
                <c:pt idx="171">
                  <c:v>1103.7502137516447</c:v>
                </c:pt>
                <c:pt idx="172">
                  <c:v>1110</c:v>
                </c:pt>
                <c:pt idx="173">
                  <c:v>1112.8411228425537</c:v>
                </c:pt>
                <c:pt idx="174">
                  <c:v>1120</c:v>
                </c:pt>
                <c:pt idx="175">
                  <c:v>1121.9320319334627</c:v>
                </c:pt>
                <c:pt idx="176">
                  <c:v>1123</c:v>
                </c:pt>
                <c:pt idx="177">
                  <c:v>1130</c:v>
                </c:pt>
                <c:pt idx="178">
                  <c:v>1131.0229410243719</c:v>
                </c:pt>
                <c:pt idx="179">
                  <c:v>1140</c:v>
                </c:pt>
                <c:pt idx="180">
                  <c:v>1149.2047592061899</c:v>
                </c:pt>
                <c:pt idx="181">
                  <c:v>1149.2047592061904</c:v>
                </c:pt>
                <c:pt idx="182">
                  <c:v>1150</c:v>
                </c:pt>
                <c:pt idx="183">
                  <c:v>1160</c:v>
                </c:pt>
                <c:pt idx="184">
                  <c:v>1170</c:v>
                </c:pt>
                <c:pt idx="185">
                  <c:v>1180</c:v>
                </c:pt>
                <c:pt idx="186">
                  <c:v>1190</c:v>
                </c:pt>
                <c:pt idx="187">
                  <c:v>1200</c:v>
                </c:pt>
                <c:pt idx="188">
                  <c:v>1210</c:v>
                </c:pt>
                <c:pt idx="189">
                  <c:v>1220</c:v>
                </c:pt>
                <c:pt idx="190">
                  <c:v>1230</c:v>
                </c:pt>
                <c:pt idx="191">
                  <c:v>1238.1307991588687</c:v>
                </c:pt>
                <c:pt idx="192">
                  <c:v>1238.1307991588692</c:v>
                </c:pt>
                <c:pt idx="193">
                  <c:v>1240</c:v>
                </c:pt>
                <c:pt idx="194">
                  <c:v>1244.817</c:v>
                </c:pt>
                <c:pt idx="195">
                  <c:v>1250</c:v>
                </c:pt>
                <c:pt idx="196">
                  <c:v>1256.312617340687</c:v>
                </c:pt>
                <c:pt idx="197">
                  <c:v>1259.817</c:v>
                </c:pt>
                <c:pt idx="198">
                  <c:v>1260</c:v>
                </c:pt>
                <c:pt idx="199">
                  <c:v>1265.403526431596</c:v>
                </c:pt>
                <c:pt idx="200">
                  <c:v>1270</c:v>
                </c:pt>
                <c:pt idx="201">
                  <c:v>1274.817</c:v>
                </c:pt>
                <c:pt idx="202">
                  <c:v>1274.494435522505</c:v>
                </c:pt>
                <c:pt idx="203">
                  <c:v>1280</c:v>
                </c:pt>
                <c:pt idx="204">
                  <c:v>1283.585344613414</c:v>
                </c:pt>
                <c:pt idx="205">
                  <c:v>1290</c:v>
                </c:pt>
                <c:pt idx="206">
                  <c:v>1298.0371534718349</c:v>
                </c:pt>
                <c:pt idx="207">
                  <c:v>1300</c:v>
                </c:pt>
                <c:pt idx="208">
                  <c:v>1307.1280625627439</c:v>
                </c:pt>
                <c:pt idx="209">
                  <c:v>1310</c:v>
                </c:pt>
                <c:pt idx="210">
                  <c:v>1316.2189716536529</c:v>
                </c:pt>
                <c:pt idx="211">
                  <c:v>1320</c:v>
                </c:pt>
                <c:pt idx="212">
                  <c:v>1325.3098807445622</c:v>
                </c:pt>
                <c:pt idx="213">
                  <c:v>1330</c:v>
                </c:pt>
                <c:pt idx="214">
                  <c:v>1340</c:v>
                </c:pt>
                <c:pt idx="215">
                  <c:v>1343.4916989263802</c:v>
                </c:pt>
                <c:pt idx="216">
                  <c:v>1343.4916989263804</c:v>
                </c:pt>
                <c:pt idx="217">
                  <c:v>1350</c:v>
                </c:pt>
                <c:pt idx="218">
                  <c:v>1360</c:v>
                </c:pt>
                <c:pt idx="219">
                  <c:v>1370</c:v>
                </c:pt>
                <c:pt idx="220">
                  <c:v>1380</c:v>
                </c:pt>
                <c:pt idx="221">
                  <c:v>1390</c:v>
                </c:pt>
                <c:pt idx="222">
                  <c:v>1400</c:v>
                </c:pt>
                <c:pt idx="223">
                  <c:v>1404.6290990394887</c:v>
                </c:pt>
                <c:pt idx="224">
                  <c:v>1404.6290990394889</c:v>
                </c:pt>
                <c:pt idx="225">
                  <c:v>1410</c:v>
                </c:pt>
                <c:pt idx="226">
                  <c:v>1420</c:v>
                </c:pt>
                <c:pt idx="227">
                  <c:v>1422.8109172213069</c:v>
                </c:pt>
                <c:pt idx="228">
                  <c:v>1430</c:v>
                </c:pt>
                <c:pt idx="229">
                  <c:v>1431.9018263122159</c:v>
                </c:pt>
                <c:pt idx="230">
                  <c:v>1440</c:v>
                </c:pt>
                <c:pt idx="231">
                  <c:v>1440.9927354031249</c:v>
                </c:pt>
                <c:pt idx="232">
                  <c:v>1450</c:v>
                </c:pt>
                <c:pt idx="233">
                  <c:v>1450.0836444940339</c:v>
                </c:pt>
                <c:pt idx="234">
                  <c:v>1460</c:v>
                </c:pt>
                <c:pt idx="235">
                  <c:v>1470</c:v>
                </c:pt>
                <c:pt idx="236">
                  <c:v>1473.8739025027965</c:v>
                </c:pt>
                <c:pt idx="237">
                  <c:v>1480</c:v>
                </c:pt>
                <c:pt idx="238">
                  <c:v>1482.9648115937055</c:v>
                </c:pt>
                <c:pt idx="239">
                  <c:v>1490</c:v>
                </c:pt>
                <c:pt idx="240">
                  <c:v>1492.0557206846145</c:v>
                </c:pt>
                <c:pt idx="241">
                  <c:v>1500</c:v>
                </c:pt>
                <c:pt idx="242">
                  <c:v>1501.1466297755237</c:v>
                </c:pt>
                <c:pt idx="243">
                  <c:v>1510</c:v>
                </c:pt>
                <c:pt idx="244">
                  <c:v>1519.3284479573417</c:v>
                </c:pt>
                <c:pt idx="245">
                  <c:v>1519.328447957342</c:v>
                </c:pt>
                <c:pt idx="246">
                  <c:v>1519.817</c:v>
                </c:pt>
                <c:pt idx="247">
                  <c:v>1520</c:v>
                </c:pt>
                <c:pt idx="248">
                  <c:v>1530</c:v>
                </c:pt>
                <c:pt idx="249">
                  <c:v>1530.1335179056152</c:v>
                </c:pt>
                <c:pt idx="250">
                  <c:v>1530.1335179056155</c:v>
                </c:pt>
                <c:pt idx="251">
                  <c:v>1539.817</c:v>
                </c:pt>
                <c:pt idx="252">
                  <c:v>1540</c:v>
                </c:pt>
                <c:pt idx="253">
                  <c:v>1548.3153360874335</c:v>
                </c:pt>
                <c:pt idx="254">
                  <c:v>1550</c:v>
                </c:pt>
                <c:pt idx="255">
                  <c:v>1557.4062451783425</c:v>
                </c:pt>
                <c:pt idx="256">
                  <c:v>1559.817</c:v>
                </c:pt>
                <c:pt idx="257">
                  <c:v>1560</c:v>
                </c:pt>
                <c:pt idx="258">
                  <c:v>1566.4971542692515</c:v>
                </c:pt>
                <c:pt idx="259">
                  <c:v>1570</c:v>
                </c:pt>
                <c:pt idx="260">
                  <c:v>1575.5880633601605</c:v>
                </c:pt>
                <c:pt idx="261">
                  <c:v>1580</c:v>
                </c:pt>
                <c:pt idx="262">
                  <c:v>1590</c:v>
                </c:pt>
                <c:pt idx="263">
                  <c:v>1600</c:v>
                </c:pt>
                <c:pt idx="264">
                  <c:v>1610</c:v>
                </c:pt>
                <c:pt idx="265">
                  <c:v>1620</c:v>
                </c:pt>
                <c:pt idx="266">
                  <c:v>1625.7223680838474</c:v>
                </c:pt>
                <c:pt idx="267">
                  <c:v>1630</c:v>
                </c:pt>
                <c:pt idx="268">
                  <c:v>1634.8132771747564</c:v>
                </c:pt>
                <c:pt idx="269">
                  <c:v>1640</c:v>
                </c:pt>
                <c:pt idx="270">
                  <c:v>1643.9041862656654</c:v>
                </c:pt>
                <c:pt idx="271">
                  <c:v>1650</c:v>
                </c:pt>
                <c:pt idx="272">
                  <c:v>1660</c:v>
                </c:pt>
                <c:pt idx="273">
                  <c:v>1670</c:v>
                </c:pt>
                <c:pt idx="274">
                  <c:v>1671.1769135383931</c:v>
                </c:pt>
                <c:pt idx="275">
                  <c:v>1680</c:v>
                </c:pt>
                <c:pt idx="276">
                  <c:v>1690</c:v>
                </c:pt>
                <c:pt idx="277">
                  <c:v>1692.069822292875</c:v>
                </c:pt>
                <c:pt idx="278">
                  <c:v>1700</c:v>
                </c:pt>
                <c:pt idx="279">
                  <c:v>1710</c:v>
                </c:pt>
                <c:pt idx="280">
                  <c:v>1710.2516404746927</c:v>
                </c:pt>
                <c:pt idx="281">
                  <c:v>1719.3425495656018</c:v>
                </c:pt>
                <c:pt idx="282">
                  <c:v>1720</c:v>
                </c:pt>
                <c:pt idx="283">
                  <c:v>1728.4334586565108</c:v>
                </c:pt>
                <c:pt idx="284">
                  <c:v>1730</c:v>
                </c:pt>
                <c:pt idx="285">
                  <c:v>1737.5243677474198</c:v>
                </c:pt>
                <c:pt idx="286">
                  <c:v>1740</c:v>
                </c:pt>
                <c:pt idx="287">
                  <c:v>1750</c:v>
                </c:pt>
                <c:pt idx="288">
                  <c:v>1760</c:v>
                </c:pt>
                <c:pt idx="289">
                  <c:v>1770</c:v>
                </c:pt>
                <c:pt idx="290">
                  <c:v>1780</c:v>
                </c:pt>
                <c:pt idx="291">
                  <c:v>1790</c:v>
                </c:pt>
                <c:pt idx="292">
                  <c:v>1800</c:v>
                </c:pt>
                <c:pt idx="293">
                  <c:v>1810</c:v>
                </c:pt>
                <c:pt idx="294">
                  <c:v>1820</c:v>
                </c:pt>
                <c:pt idx="295">
                  <c:v>1830</c:v>
                </c:pt>
                <c:pt idx="296">
                  <c:v>1840</c:v>
                </c:pt>
                <c:pt idx="297">
                  <c:v>1848.2281943733419</c:v>
                </c:pt>
              </c:numCache>
            </c:numRef>
          </c:xVal>
          <c:yVal>
            <c:numRef>
              <c:f>RASANTE!$L$4:$L$301</c:f>
              <c:numCache>
                <c:formatCode>0.000</c:formatCode>
                <c:ptCount val="298"/>
                <c:pt idx="0">
                  <c:v>1643.93</c:v>
                </c:pt>
                <c:pt idx="1">
                  <c:v>1644.2442000000001</c:v>
                </c:pt>
                <c:pt idx="2">
                  <c:v>1644.5584000000001</c:v>
                </c:pt>
                <c:pt idx="3">
                  <c:v>1644.8726000000001</c:v>
                </c:pt>
                <c:pt idx="4">
                  <c:v>1645.1868000000002</c:v>
                </c:pt>
                <c:pt idx="5">
                  <c:v>1645.5010000000002</c:v>
                </c:pt>
                <c:pt idx="6">
                  <c:v>1645.8152000000002</c:v>
                </c:pt>
                <c:pt idx="7">
                  <c:v>1646.1294000000003</c:v>
                </c:pt>
                <c:pt idx="8">
                  <c:v>1646.4436000000003</c:v>
                </c:pt>
                <c:pt idx="9">
                  <c:v>1646.7578000000003</c:v>
                </c:pt>
                <c:pt idx="10">
                  <c:v>1647.0720000000003</c:v>
                </c:pt>
                <c:pt idx="11">
                  <c:v>1647.3862000000004</c:v>
                </c:pt>
                <c:pt idx="12">
                  <c:v>1647.7004000000004</c:v>
                </c:pt>
                <c:pt idx="13">
                  <c:v>1647.8605405135968</c:v>
                </c:pt>
                <c:pt idx="14">
                  <c:v>1648.0146000000004</c:v>
                </c:pt>
                <c:pt idx="15">
                  <c:v>1648.0896446802635</c:v>
                </c:pt>
                <c:pt idx="16">
                  <c:v>1648.3187488469302</c:v>
                </c:pt>
                <c:pt idx="17">
                  <c:v>1648.3257289920605</c:v>
                </c:pt>
                <c:pt idx="18">
                  <c:v>1648.4778530135966</c:v>
                </c:pt>
                <c:pt idx="19">
                  <c:v>1648.5439289920603</c:v>
                </c:pt>
                <c:pt idx="20">
                  <c:v>1648.7621289920603</c:v>
                </c:pt>
                <c:pt idx="21">
                  <c:v>1648.7960613469299</c:v>
                </c:pt>
                <c:pt idx="22">
                  <c:v>1648.7960613469299</c:v>
                </c:pt>
                <c:pt idx="23">
                  <c:v>1649.0614000000003</c:v>
                </c:pt>
                <c:pt idx="24">
                  <c:v>1649.3756000000003</c:v>
                </c:pt>
                <c:pt idx="25">
                  <c:v>1649.6898000000003</c:v>
                </c:pt>
                <c:pt idx="26">
                  <c:v>1650.0040000000004</c:v>
                </c:pt>
                <c:pt idx="27">
                  <c:v>1650.3182000000004</c:v>
                </c:pt>
                <c:pt idx="28">
                  <c:v>1650.5950816290581</c:v>
                </c:pt>
                <c:pt idx="29">
                  <c:v>1650.5950816290581</c:v>
                </c:pt>
                <c:pt idx="30">
                  <c:v>1650.6438021757176</c:v>
                </c:pt>
                <c:pt idx="31">
                  <c:v>1651.0540021757176</c:v>
                </c:pt>
                <c:pt idx="32">
                  <c:v>1651.1932899623912</c:v>
                </c:pt>
                <c:pt idx="33">
                  <c:v>1651.4642021757177</c:v>
                </c:pt>
                <c:pt idx="34">
                  <c:v>1651.4838507557176</c:v>
                </c:pt>
                <c:pt idx="35">
                  <c:v>1651.4923692073739</c:v>
                </c:pt>
                <c:pt idx="36">
                  <c:v>1651.6891817072794</c:v>
                </c:pt>
                <c:pt idx="37">
                  <c:v>1651.732919510634</c:v>
                </c:pt>
                <c:pt idx="38">
                  <c:v>1651.8249009140563</c:v>
                </c:pt>
                <c:pt idx="39">
                  <c:v>1651.8802655780025</c:v>
                </c:pt>
                <c:pt idx="40">
                  <c:v>1651.9127063822129</c:v>
                </c:pt>
                <c:pt idx="41">
                  <c:v>1651.8302419232657</c:v>
                </c:pt>
                <c:pt idx="42">
                  <c:v>1651.6820251800002</c:v>
                </c:pt>
                <c:pt idx="43">
                  <c:v>1651.8534845611605</c:v>
                </c:pt>
                <c:pt idx="44">
                  <c:v>1651.5412095758973</c:v>
                </c:pt>
                <c:pt idx="45">
                  <c:v>1651.1140293274764</c:v>
                </c:pt>
                <c:pt idx="46">
                  <c:v>1650.5719438158974</c:v>
                </c:pt>
                <c:pt idx="47">
                  <c:v>1649.9149530411607</c:v>
                </c:pt>
                <c:pt idx="48">
                  <c:v>1649.5062625400005</c:v>
                </c:pt>
                <c:pt idx="49">
                  <c:v>1649.1548000000005</c:v>
                </c:pt>
                <c:pt idx="50">
                  <c:v>1648.3774000000005</c:v>
                </c:pt>
                <c:pt idx="51">
                  <c:v>1647.6000000000006</c:v>
                </c:pt>
                <c:pt idx="52">
                  <c:v>1646.8226000000006</c:v>
                </c:pt>
                <c:pt idx="53">
                  <c:v>1646.7808703732587</c:v>
                </c:pt>
                <c:pt idx="54">
                  <c:v>1646.1441431005314</c:v>
                </c:pt>
                <c:pt idx="55">
                  <c:v>1646.1180667593792</c:v>
                </c:pt>
                <c:pt idx="56">
                  <c:v>1645.5074158278042</c:v>
                </c:pt>
                <c:pt idx="57">
                  <c:v>1645.4176667593792</c:v>
                </c:pt>
                <c:pt idx="58">
                  <c:v>1644.8706885550771</c:v>
                </c:pt>
                <c:pt idx="59">
                  <c:v>1644.7172667593793</c:v>
                </c:pt>
                <c:pt idx="60">
                  <c:v>1644.2273287065921</c:v>
                </c:pt>
                <c:pt idx="61">
                  <c:v>1644.0168667593794</c:v>
                </c:pt>
                <c:pt idx="62">
                  <c:v>1643.5972340096225</c:v>
                </c:pt>
                <c:pt idx="63">
                  <c:v>1643.2856000000008</c:v>
                </c:pt>
                <c:pt idx="64">
                  <c:v>1642.5082000000009</c:v>
                </c:pt>
                <c:pt idx="65">
                  <c:v>1641.730800000001</c:v>
                </c:pt>
                <c:pt idx="66">
                  <c:v>1640.953400000001</c:v>
                </c:pt>
                <c:pt idx="67">
                  <c:v>1640.1760000000011</c:v>
                </c:pt>
                <c:pt idx="68">
                  <c:v>1639.485513320001</c:v>
                </c:pt>
                <c:pt idx="69">
                  <c:v>1639.3991967137188</c:v>
                </c:pt>
                <c:pt idx="70">
                  <c:v>1638.6802113777187</c:v>
                </c:pt>
                <c:pt idx="71">
                  <c:v>1638.0567060417188</c:v>
                </c:pt>
                <c:pt idx="72">
                  <c:v>1637.8403883200012</c:v>
                </c:pt>
                <c:pt idx="73">
                  <c:v>1637.2366073857186</c:v>
                </c:pt>
                <c:pt idx="74">
                  <c:v>1636.8040620497188</c:v>
                </c:pt>
                <c:pt idx="75">
                  <c:v>1636.4999400000011</c:v>
                </c:pt>
                <c:pt idx="76">
                  <c:v>1636.4664000000012</c:v>
                </c:pt>
                <c:pt idx="77">
                  <c:v>1636.1664000000012</c:v>
                </c:pt>
                <c:pt idx="78">
                  <c:v>1635.95033830381</c:v>
                </c:pt>
                <c:pt idx="79">
                  <c:v>1635.866400000001</c:v>
                </c:pt>
                <c:pt idx="80">
                  <c:v>1635.6804519401735</c:v>
                </c:pt>
                <c:pt idx="81">
                  <c:v>1635.5371266686902</c:v>
                </c:pt>
                <c:pt idx="82">
                  <c:v>1635.1601266686903</c:v>
                </c:pt>
                <c:pt idx="83">
                  <c:v>1634.9949973947191</c:v>
                </c:pt>
                <c:pt idx="84">
                  <c:v>1634.7831266686901</c:v>
                </c:pt>
                <c:pt idx="85">
                  <c:v>1634.6522701219917</c:v>
                </c:pt>
                <c:pt idx="86">
                  <c:v>1634.4061266686901</c:v>
                </c:pt>
                <c:pt idx="87">
                  <c:v>1634.3095428492645</c:v>
                </c:pt>
                <c:pt idx="88">
                  <c:v>1634.0291266686902</c:v>
                </c:pt>
                <c:pt idx="89">
                  <c:v>1633.9668155765373</c:v>
                </c:pt>
                <c:pt idx="90">
                  <c:v>1633.7164000000012</c:v>
                </c:pt>
                <c:pt idx="91">
                  <c:v>1633.4164000000012</c:v>
                </c:pt>
                <c:pt idx="92">
                  <c:v>1633.3434911042032</c:v>
                </c:pt>
                <c:pt idx="93">
                  <c:v>1633.116400000001</c:v>
                </c:pt>
                <c:pt idx="94">
                  <c:v>1633.0707638314757</c:v>
                </c:pt>
                <c:pt idx="95">
                  <c:v>1632.8164000000008</c:v>
                </c:pt>
                <c:pt idx="96">
                  <c:v>1632.7980365587484</c:v>
                </c:pt>
                <c:pt idx="97">
                  <c:v>1632.455309286021</c:v>
                </c:pt>
                <c:pt idx="98">
                  <c:v>1632.4199361431556</c:v>
                </c:pt>
                <c:pt idx="99">
                  <c:v>1631.9481789870165</c:v>
                </c:pt>
                <c:pt idx="100">
                  <c:v>1631.5673547405665</c:v>
                </c:pt>
                <c:pt idx="101">
                  <c:v>1631.5722656004666</c:v>
                </c:pt>
                <c:pt idx="102">
                  <c:v>1631.6266478638402</c:v>
                </c:pt>
                <c:pt idx="103">
                  <c:v>1631.5594436668698</c:v>
                </c:pt>
                <c:pt idx="104">
                  <c:v>1631.5803268069699</c:v>
                </c:pt>
                <c:pt idx="105">
                  <c:v>1631.4509475707318</c:v>
                </c:pt>
                <c:pt idx="106">
                  <c:v>1631.2280412137898</c:v>
                </c:pt>
                <c:pt idx="107">
                  <c:v>1631.1748722615152</c:v>
                </c:pt>
                <c:pt idx="108">
                  <c:v>1631.0050412137898</c:v>
                </c:pt>
                <c:pt idx="109">
                  <c:v>1630.9721449887882</c:v>
                </c:pt>
                <c:pt idx="110">
                  <c:v>1630.7164000000012</c:v>
                </c:pt>
                <c:pt idx="111">
                  <c:v>1630.6994177160609</c:v>
                </c:pt>
                <c:pt idx="112">
                  <c:v>1630.4266904433337</c:v>
                </c:pt>
                <c:pt idx="113">
                  <c:v>1630.4164000000012</c:v>
                </c:pt>
                <c:pt idx="114">
                  <c:v>1630.1164000000012</c:v>
                </c:pt>
                <c:pt idx="115">
                  <c:v>1629.8164000000013</c:v>
                </c:pt>
                <c:pt idx="116">
                  <c:v>1629.5164000000013</c:v>
                </c:pt>
                <c:pt idx="117">
                  <c:v>1629.2164000000014</c:v>
                </c:pt>
                <c:pt idx="118">
                  <c:v>1628.9164000000014</c:v>
                </c:pt>
                <c:pt idx="119">
                  <c:v>1628.6599412908527</c:v>
                </c:pt>
                <c:pt idx="120">
                  <c:v>1628.6499400000014</c:v>
                </c:pt>
                <c:pt idx="121">
                  <c:v>1628.6164000000015</c:v>
                </c:pt>
                <c:pt idx="122">
                  <c:v>1628.3872140181254</c:v>
                </c:pt>
                <c:pt idx="123">
                  <c:v>1628.3164000000013</c:v>
                </c:pt>
                <c:pt idx="124">
                  <c:v>1628.1999400000013</c:v>
                </c:pt>
                <c:pt idx="125">
                  <c:v>1628.1144867453982</c:v>
                </c:pt>
                <c:pt idx="126">
                  <c:v>1627.8525624396068</c:v>
                </c:pt>
                <c:pt idx="127">
                  <c:v>1627.3862140181252</c:v>
                </c:pt>
                <c:pt idx="128">
                  <c:v>1627.1410254196069</c:v>
                </c:pt>
                <c:pt idx="129">
                  <c:v>1627.0514624396067</c:v>
                </c:pt>
                <c:pt idx="130">
                  <c:v>1626.2503624396068</c:v>
                </c:pt>
                <c:pt idx="131">
                  <c:v>1625.9296685635798</c:v>
                </c:pt>
                <c:pt idx="132">
                  <c:v>1625.9296685635798</c:v>
                </c:pt>
                <c:pt idx="133">
                  <c:v>1625.4954380375918</c:v>
                </c:pt>
                <c:pt idx="134">
                  <c:v>1624.7713380375919</c:v>
                </c:pt>
                <c:pt idx="135">
                  <c:v>1624.047238037592</c:v>
                </c:pt>
                <c:pt idx="136">
                  <c:v>1623.3231380375921</c:v>
                </c:pt>
                <c:pt idx="137">
                  <c:v>1622.5990380375922</c:v>
                </c:pt>
                <c:pt idx="138">
                  <c:v>1621.8749380375923</c:v>
                </c:pt>
                <c:pt idx="139">
                  <c:v>1621.3996694667246</c:v>
                </c:pt>
                <c:pt idx="140">
                  <c:v>1621.3996694667246</c:v>
                </c:pt>
                <c:pt idx="141">
                  <c:v>1621.1772984989141</c:v>
                </c:pt>
                <c:pt idx="142">
                  <c:v>1620.5301984989142</c:v>
                </c:pt>
                <c:pt idx="143">
                  <c:v>1620.2231240121789</c:v>
                </c:pt>
                <c:pt idx="144">
                  <c:v>1619.2829913467244</c:v>
                </c:pt>
                <c:pt idx="145">
                  <c:v>0</c:v>
                </c:pt>
                <c:pt idx="146">
                  <c:v>0</c:v>
                </c:pt>
                <c:pt idx="147">
                  <c:v>1619.188538037592</c:v>
                </c:pt>
                <c:pt idx="148">
                  <c:v>1618.9765785576335</c:v>
                </c:pt>
                <c:pt idx="149">
                  <c:v>1618.4644380375921</c:v>
                </c:pt>
                <c:pt idx="150">
                  <c:v>1618.3183058303607</c:v>
                </c:pt>
                <c:pt idx="151">
                  <c:v>1617.740338037592</c:v>
                </c:pt>
                <c:pt idx="152">
                  <c:v>1617.0162380375921</c:v>
                </c:pt>
                <c:pt idx="153">
                  <c:v>1616.2921380375922</c:v>
                </c:pt>
                <c:pt idx="154">
                  <c:v>1615.5680380375923</c:v>
                </c:pt>
                <c:pt idx="155">
                  <c:v>1615.3508080375923</c:v>
                </c:pt>
                <c:pt idx="156">
                  <c:v>1614.8675820688422</c:v>
                </c:pt>
                <c:pt idx="157">
                  <c:v>1614.2592895688424</c:v>
                </c:pt>
                <c:pt idx="158">
                  <c:v>1613.7475033188425</c:v>
                </c:pt>
                <c:pt idx="159">
                  <c:v>1613.3322233188426</c:v>
                </c:pt>
                <c:pt idx="160">
                  <c:v>1613.0134495688428</c:v>
                </c:pt>
                <c:pt idx="161">
                  <c:v>1612.7911820688428</c:v>
                </c:pt>
                <c:pt idx="162">
                  <c:v>1612.6654208188429</c:v>
                </c:pt>
                <c:pt idx="163">
                  <c:v>1612.636165818843</c:v>
                </c:pt>
                <c:pt idx="164">
                  <c:v>1612.6462080375929</c:v>
                </c:pt>
                <c:pt idx="165">
                  <c:v>1611.622547068843</c:v>
                </c:pt>
                <c:pt idx="166">
                  <c:v>1611.786304568843</c:v>
                </c:pt>
                <c:pt idx="167">
                  <c:v>1612.0465683188429</c:v>
                </c:pt>
                <c:pt idx="168">
                  <c:v>1612.403338318843</c:v>
                </c:pt>
                <c:pt idx="169">
                  <c:v>1612.8566145688428</c:v>
                </c:pt>
                <c:pt idx="170">
                  <c:v>1613.4063970688428</c:v>
                </c:pt>
                <c:pt idx="171">
                  <c:v>1613.6374595806167</c:v>
                </c:pt>
                <c:pt idx="172">
                  <c:v>1614.0526858188427</c:v>
                </c:pt>
                <c:pt idx="173">
                  <c:v>1614.25390867958</c:v>
                </c:pt>
                <c:pt idx="174">
                  <c:v>1614.7954808188429</c:v>
                </c:pt>
                <c:pt idx="175">
                  <c:v>1614.9501150099484</c:v>
                </c:pt>
                <c:pt idx="176">
                  <c:v>1615.0289146834803</c:v>
                </c:pt>
                <c:pt idx="177">
                  <c:v>1615.5490146834804</c:v>
                </c:pt>
                <c:pt idx="178">
                  <c:v>1615.6250192015912</c:v>
                </c:pt>
                <c:pt idx="179">
                  <c:v>1616.2920146834804</c:v>
                </c:pt>
                <c:pt idx="180">
                  <c:v>1616.9759282925004</c:v>
                </c:pt>
                <c:pt idx="181">
                  <c:v>1616.9759282925004</c:v>
                </c:pt>
                <c:pt idx="182">
                  <c:v>1617.0411380375929</c:v>
                </c:pt>
                <c:pt idx="183">
                  <c:v>1617.8611380375928</c:v>
                </c:pt>
                <c:pt idx="184">
                  <c:v>1618.6811380375927</c:v>
                </c:pt>
                <c:pt idx="185">
                  <c:v>1619.5011380375927</c:v>
                </c:pt>
                <c:pt idx="186">
                  <c:v>1620.3211380375926</c:v>
                </c:pt>
                <c:pt idx="187">
                  <c:v>1621.1411380375926</c:v>
                </c:pt>
                <c:pt idx="188">
                  <c:v>1621.9611380375925</c:v>
                </c:pt>
                <c:pt idx="189">
                  <c:v>1622.7811380375924</c:v>
                </c:pt>
                <c:pt idx="190">
                  <c:v>1623.6011380375924</c:v>
                </c:pt>
                <c:pt idx="191">
                  <c:v>1624.2678635686195</c:v>
                </c:pt>
                <c:pt idx="192">
                  <c:v>1624.2678635686195</c:v>
                </c:pt>
                <c:pt idx="193">
                  <c:v>1624.4355308840691</c:v>
                </c:pt>
                <c:pt idx="194">
                  <c:v>1624.8676157840689</c:v>
                </c:pt>
                <c:pt idx="195">
                  <c:v>1625.3083537439691</c:v>
                </c:pt>
                <c:pt idx="196">
                  <c:v>1625.7798383632894</c:v>
                </c:pt>
                <c:pt idx="197">
                  <c:v>1626.0106157840689</c:v>
                </c:pt>
                <c:pt idx="198">
                  <c:v>1626.0319417439691</c:v>
                </c:pt>
                <c:pt idx="199">
                  <c:v>1626.6344750688224</c:v>
                </c:pt>
                <c:pt idx="200">
                  <c:v>1626.8220453247984</c:v>
                </c:pt>
                <c:pt idx="201">
                  <c:v>1626.9778044648986</c:v>
                </c:pt>
                <c:pt idx="202">
                  <c:v>1626.9686790164708</c:v>
                </c:pt>
                <c:pt idx="203">
                  <c:v>1627.1229284648985</c:v>
                </c:pt>
                <c:pt idx="204">
                  <c:v>1627.2233181140741</c:v>
                </c:pt>
                <c:pt idx="205">
                  <c:v>1627.4029284648984</c:v>
                </c:pt>
                <c:pt idx="206">
                  <c:v>1627.6279687621097</c:v>
                </c:pt>
                <c:pt idx="207">
                  <c:v>1627.6980423831651</c:v>
                </c:pt>
                <c:pt idx="208">
                  <c:v>1627.9525142166551</c:v>
                </c:pt>
                <c:pt idx="209">
                  <c:v>1628.0550423831651</c:v>
                </c:pt>
                <c:pt idx="210">
                  <c:v>1628.2770596712005</c:v>
                </c:pt>
                <c:pt idx="211">
                  <c:v>1628.412042383165</c:v>
                </c:pt>
                <c:pt idx="212">
                  <c:v>1628.6016051257461</c:v>
                </c:pt>
                <c:pt idx="213">
                  <c:v>1628.769042383165</c:v>
                </c:pt>
                <c:pt idx="214">
                  <c:v>1629.126042383165</c:v>
                </c:pt>
                <c:pt idx="215">
                  <c:v>1629.2506960348369</c:v>
                </c:pt>
                <c:pt idx="216">
                  <c:v>1629.2506960348369</c:v>
                </c:pt>
                <c:pt idx="217">
                  <c:v>1629.4329284648982</c:v>
                </c:pt>
                <c:pt idx="218">
                  <c:v>1629.7129284648981</c:v>
                </c:pt>
                <c:pt idx="219">
                  <c:v>1629.9929284648981</c:v>
                </c:pt>
                <c:pt idx="220">
                  <c:v>1630.2729284648981</c:v>
                </c:pt>
                <c:pt idx="221">
                  <c:v>1630.5529284648981</c:v>
                </c:pt>
                <c:pt idx="222">
                  <c:v>1630.832928464898</c:v>
                </c:pt>
                <c:pt idx="223">
                  <c:v>1630.9625432380037</c:v>
                </c:pt>
                <c:pt idx="224">
                  <c:v>1630.9625432380037</c:v>
                </c:pt>
                <c:pt idx="225">
                  <c:v>1631.071572527502</c:v>
                </c:pt>
                <c:pt idx="226">
                  <c:v>1631.274572527502</c:v>
                </c:pt>
                <c:pt idx="227">
                  <c:v>1631.3316341470947</c:v>
                </c:pt>
                <c:pt idx="228">
                  <c:v>1631.4775725275019</c:v>
                </c:pt>
                <c:pt idx="229">
                  <c:v>1631.51617960164</c:v>
                </c:pt>
                <c:pt idx="230">
                  <c:v>1631.6805725275019</c:v>
                </c:pt>
                <c:pt idx="231">
                  <c:v>1631.7007250561855</c:v>
                </c:pt>
                <c:pt idx="232">
                  <c:v>1631.8835725275021</c:v>
                </c:pt>
                <c:pt idx="233">
                  <c:v>1631.8852705107311</c:v>
                </c:pt>
                <c:pt idx="234">
                  <c:v>1632.1629284648982</c:v>
                </c:pt>
                <c:pt idx="235">
                  <c:v>1632.4429284648982</c:v>
                </c:pt>
                <c:pt idx="236">
                  <c:v>1632.5513977349765</c:v>
                </c:pt>
                <c:pt idx="237">
                  <c:v>1632.7700994156266</c:v>
                </c:pt>
                <c:pt idx="238">
                  <c:v>1632.8759431895219</c:v>
                </c:pt>
                <c:pt idx="239">
                  <c:v>1633.1270994156266</c:v>
                </c:pt>
                <c:pt idx="240">
                  <c:v>1633.2004886440673</c:v>
                </c:pt>
                <c:pt idx="241">
                  <c:v>1633.4840994156266</c:v>
                </c:pt>
                <c:pt idx="242">
                  <c:v>1633.5250340986129</c:v>
                </c:pt>
                <c:pt idx="243">
                  <c:v>1633.8410994156268</c:v>
                </c:pt>
                <c:pt idx="244">
                  <c:v>1634.1741250077037</c:v>
                </c:pt>
                <c:pt idx="245">
                  <c:v>1634.1741250077037</c:v>
                </c:pt>
                <c:pt idx="246">
                  <c:v>1634.1878044648981</c:v>
                </c:pt>
                <c:pt idx="247">
                  <c:v>1634.1929395497571</c:v>
                </c:pt>
                <c:pt idx="248">
                  <c:v>1634.5072510097571</c:v>
                </c:pt>
                <c:pt idx="249">
                  <c:v>1634.5118954755571</c:v>
                </c:pt>
                <c:pt idx="250">
                  <c:v>1634.5118954755571</c:v>
                </c:pt>
                <c:pt idx="251">
                  <c:v>1634.8056416527713</c:v>
                </c:pt>
                <c:pt idx="252">
                  <c:v>1634.8069447176304</c:v>
                </c:pt>
                <c:pt idx="253">
                  <c:v>1635.1097353932244</c:v>
                </c:pt>
                <c:pt idx="254">
                  <c:v>1635.1766561776303</c:v>
                </c:pt>
                <c:pt idx="255">
                  <c:v>1635.4931443877604</c:v>
                </c:pt>
                <c:pt idx="256">
                  <c:v>1635.6039958127715</c:v>
                </c:pt>
                <c:pt idx="257">
                  <c:v>1635.6125565527714</c:v>
                </c:pt>
                <c:pt idx="258">
                  <c:v>1635.916493429487</c:v>
                </c:pt>
                <c:pt idx="259">
                  <c:v>1636.0803565527715</c:v>
                </c:pt>
                <c:pt idx="260">
                  <c:v>1636.3417661567598</c:v>
                </c:pt>
                <c:pt idx="261">
                  <c:v>1636.5821284648982</c:v>
                </c:pt>
                <c:pt idx="262">
                  <c:v>1637.1269284648981</c:v>
                </c:pt>
                <c:pt idx="263">
                  <c:v>1637.671728464898</c:v>
                </c:pt>
                <c:pt idx="264">
                  <c:v>1638.2165284648979</c:v>
                </c:pt>
                <c:pt idx="265">
                  <c:v>1638.7613284648978</c:v>
                </c:pt>
                <c:pt idx="266">
                  <c:v>1639.0730830781058</c:v>
                </c:pt>
                <c:pt idx="267">
                  <c:v>1639.339066230652</c:v>
                </c:pt>
                <c:pt idx="268">
                  <c:v>1639.6383558053783</c:v>
                </c:pt>
                <c:pt idx="269">
                  <c:v>1639.9608662306518</c:v>
                </c:pt>
                <c:pt idx="270">
                  <c:v>1640.203628532651</c:v>
                </c:pt>
                <c:pt idx="271">
                  <c:v>1640.582666230652</c:v>
                </c:pt>
                <c:pt idx="272">
                  <c:v>1641.2044662306519</c:v>
                </c:pt>
                <c:pt idx="273">
                  <c:v>1641.8262662306518</c:v>
                </c:pt>
                <c:pt idx="274">
                  <c:v>1641.8994467144691</c:v>
                </c:pt>
                <c:pt idx="275">
                  <c:v>1642.3801284648976</c:v>
                </c:pt>
                <c:pt idx="276">
                  <c:v>1642.9249284648974</c:v>
                </c:pt>
                <c:pt idx="277">
                  <c:v>1643.0376923834133</c:v>
                </c:pt>
                <c:pt idx="278">
                  <c:v>1643.4086660965527</c:v>
                </c:pt>
                <c:pt idx="279">
                  <c:v>1643.8764660965526</c:v>
                </c:pt>
                <c:pt idx="280">
                  <c:v>1643.888237837959</c:v>
                </c:pt>
                <c:pt idx="281">
                  <c:v>1644.3135105652316</c:v>
                </c:pt>
                <c:pt idx="282">
                  <c:v>1644.3442660965527</c:v>
                </c:pt>
                <c:pt idx="283">
                  <c:v>1644.7387832925044</c:v>
                </c:pt>
                <c:pt idx="284">
                  <c:v>1644.8120660965528</c:v>
                </c:pt>
                <c:pt idx="285">
                  <c:v>1645.1640560197773</c:v>
                </c:pt>
                <c:pt idx="286">
                  <c:v>1645.2989284648979</c:v>
                </c:pt>
                <c:pt idx="287">
                  <c:v>1645.8437284648978</c:v>
                </c:pt>
                <c:pt idx="288">
                  <c:v>1646.3885284648977</c:v>
                </c:pt>
                <c:pt idx="289">
                  <c:v>1646.9333284648976</c:v>
                </c:pt>
                <c:pt idx="290">
                  <c:v>1647.4781284648975</c:v>
                </c:pt>
                <c:pt idx="291">
                  <c:v>1648.0229284648974</c:v>
                </c:pt>
                <c:pt idx="292">
                  <c:v>1648.5677284648973</c:v>
                </c:pt>
                <c:pt idx="293">
                  <c:v>1649.1125284648972</c:v>
                </c:pt>
                <c:pt idx="294">
                  <c:v>1649.6573284648971</c:v>
                </c:pt>
                <c:pt idx="295">
                  <c:v>1650.202128464897</c:v>
                </c:pt>
                <c:pt idx="296">
                  <c:v>1650.7469284648969</c:v>
                </c:pt>
                <c:pt idx="297">
                  <c:v>1651.1952004943566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E5-4BE4-B1DC-44DDDFD7996B}"/>
            </c:ext>
          </c:extLst>
        </c:ser>
        <c:ser>
          <c:idx val="2"/>
          <c:order val="2"/>
          <c:tx>
            <c:v>borde derecho</c:v>
          </c:tx>
          <c:marker>
            <c:symbol val="none"/>
          </c:marker>
          <c:xVal>
            <c:numRef>
              <c:f>RASANTE!$F$4:$F$301</c:f>
              <c:numCache>
                <c:formatCode>"K"0"+"000.000</c:formatCode>
                <c:ptCount val="29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125.09677000625057</c:v>
                </c:pt>
                <c:pt idx="14">
                  <c:v>130</c:v>
                </c:pt>
                <c:pt idx="15">
                  <c:v>132.38843667291724</c:v>
                </c:pt>
                <c:pt idx="16">
                  <c:v>139.68010333958389</c:v>
                </c:pt>
                <c:pt idx="17">
                  <c:v>140</c:v>
                </c:pt>
                <c:pt idx="18">
                  <c:v>146.97177000625058</c:v>
                </c:pt>
                <c:pt idx="19">
                  <c:v>150</c:v>
                </c:pt>
                <c:pt idx="20">
                  <c:v>160</c:v>
                </c:pt>
                <c:pt idx="21">
                  <c:v>161.55510333958389</c:v>
                </c:pt>
                <c:pt idx="22">
                  <c:v>161.55510333958389</c:v>
                </c:pt>
                <c:pt idx="23">
                  <c:v>170</c:v>
                </c:pt>
                <c:pt idx="24">
                  <c:v>180</c:v>
                </c:pt>
                <c:pt idx="25">
                  <c:v>190</c:v>
                </c:pt>
                <c:pt idx="26">
                  <c:v>200</c:v>
                </c:pt>
                <c:pt idx="27">
                  <c:v>210</c:v>
                </c:pt>
                <c:pt idx="28">
                  <c:v>218.81227336275606</c:v>
                </c:pt>
                <c:pt idx="29">
                  <c:v>218.81227336275606</c:v>
                </c:pt>
                <c:pt idx="30">
                  <c:v>220</c:v>
                </c:pt>
                <c:pt idx="31">
                  <c:v>230</c:v>
                </c:pt>
                <c:pt idx="32">
                  <c:v>233.3956066960894</c:v>
                </c:pt>
                <c:pt idx="33">
                  <c:v>240</c:v>
                </c:pt>
                <c:pt idx="34">
                  <c:v>240.47899999999998</c:v>
                </c:pt>
                <c:pt idx="35">
                  <c:v>240.68727336275606</c:v>
                </c:pt>
                <c:pt idx="36">
                  <c:v>247.97894002942272</c:v>
                </c:pt>
                <c:pt idx="37">
                  <c:v>250</c:v>
                </c:pt>
                <c:pt idx="38">
                  <c:v>255.27060669608937</c:v>
                </c:pt>
                <c:pt idx="39">
                  <c:v>260</c:v>
                </c:pt>
                <c:pt idx="40">
                  <c:v>270</c:v>
                </c:pt>
                <c:pt idx="41">
                  <c:v>280</c:v>
                </c:pt>
                <c:pt idx="42">
                  <c:v>287.97899999999998</c:v>
                </c:pt>
                <c:pt idx="43">
                  <c:v>290</c:v>
                </c:pt>
                <c:pt idx="44">
                  <c:v>300</c:v>
                </c:pt>
                <c:pt idx="45">
                  <c:v>310</c:v>
                </c:pt>
                <c:pt idx="46">
                  <c:v>320</c:v>
                </c:pt>
                <c:pt idx="47">
                  <c:v>330</c:v>
                </c:pt>
                <c:pt idx="48">
                  <c:v>335.47899999999998</c:v>
                </c:pt>
                <c:pt idx="49">
                  <c:v>340</c:v>
                </c:pt>
                <c:pt idx="50">
                  <c:v>350</c:v>
                </c:pt>
                <c:pt idx="51">
                  <c:v>360</c:v>
                </c:pt>
                <c:pt idx="52">
                  <c:v>370</c:v>
                </c:pt>
                <c:pt idx="53">
                  <c:v>370.53678449629444</c:v>
                </c:pt>
                <c:pt idx="54">
                  <c:v>379.62769358720351</c:v>
                </c:pt>
                <c:pt idx="55">
                  <c:v>380</c:v>
                </c:pt>
                <c:pt idx="56">
                  <c:v>388.71860267811257</c:v>
                </c:pt>
                <c:pt idx="57">
                  <c:v>390</c:v>
                </c:pt>
                <c:pt idx="58">
                  <c:v>397.8095117690217</c:v>
                </c:pt>
                <c:pt idx="59">
                  <c:v>400</c:v>
                </c:pt>
                <c:pt idx="60">
                  <c:v>406.99511782962787</c:v>
                </c:pt>
                <c:pt idx="61">
                  <c:v>410</c:v>
                </c:pt>
                <c:pt idx="62">
                  <c:v>415.99132995083988</c:v>
                </c:pt>
                <c:pt idx="63">
                  <c:v>420</c:v>
                </c:pt>
                <c:pt idx="64">
                  <c:v>430</c:v>
                </c:pt>
                <c:pt idx="65">
                  <c:v>440</c:v>
                </c:pt>
                <c:pt idx="66">
                  <c:v>450</c:v>
                </c:pt>
                <c:pt idx="67">
                  <c:v>460</c:v>
                </c:pt>
                <c:pt idx="68">
                  <c:v>468.88200000000001</c:v>
                </c:pt>
                <c:pt idx="69">
                  <c:v>470</c:v>
                </c:pt>
                <c:pt idx="70">
                  <c:v>480</c:v>
                </c:pt>
                <c:pt idx="71">
                  <c:v>490</c:v>
                </c:pt>
                <c:pt idx="72">
                  <c:v>493.88200000000001</c:v>
                </c:pt>
                <c:pt idx="73">
                  <c:v>500</c:v>
                </c:pt>
                <c:pt idx="74">
                  <c:v>510</c:v>
                </c:pt>
                <c:pt idx="75">
                  <c:v>518.88200000000006</c:v>
                </c:pt>
                <c:pt idx="76">
                  <c:v>520</c:v>
                </c:pt>
                <c:pt idx="77">
                  <c:v>530</c:v>
                </c:pt>
                <c:pt idx="78">
                  <c:v>537.2020565397039</c:v>
                </c:pt>
                <c:pt idx="79">
                  <c:v>540</c:v>
                </c:pt>
                <c:pt idx="80">
                  <c:v>546.19826866091591</c:v>
                </c:pt>
                <c:pt idx="81">
                  <c:v>550</c:v>
                </c:pt>
                <c:pt idx="82">
                  <c:v>560</c:v>
                </c:pt>
                <c:pt idx="83">
                  <c:v>564.38008684273404</c:v>
                </c:pt>
                <c:pt idx="84">
                  <c:v>570</c:v>
                </c:pt>
                <c:pt idx="85">
                  <c:v>573.47099593364317</c:v>
                </c:pt>
                <c:pt idx="86">
                  <c:v>580</c:v>
                </c:pt>
                <c:pt idx="87">
                  <c:v>582.56190502455229</c:v>
                </c:pt>
                <c:pt idx="88">
                  <c:v>590</c:v>
                </c:pt>
                <c:pt idx="89">
                  <c:v>591.65281411546141</c:v>
                </c:pt>
                <c:pt idx="90">
                  <c:v>600</c:v>
                </c:pt>
                <c:pt idx="91">
                  <c:v>610</c:v>
                </c:pt>
                <c:pt idx="92">
                  <c:v>612.43029652659891</c:v>
                </c:pt>
                <c:pt idx="93">
                  <c:v>620</c:v>
                </c:pt>
                <c:pt idx="94">
                  <c:v>621.52120561750803</c:v>
                </c:pt>
                <c:pt idx="95">
                  <c:v>630</c:v>
                </c:pt>
                <c:pt idx="96">
                  <c:v>630.61211470841715</c:v>
                </c:pt>
                <c:pt idx="97">
                  <c:v>639.70302379932616</c:v>
                </c:pt>
                <c:pt idx="98">
                  <c:v>640</c:v>
                </c:pt>
                <c:pt idx="99">
                  <c:v>650</c:v>
                </c:pt>
                <c:pt idx="100">
                  <c:v>657.8848419811444</c:v>
                </c:pt>
                <c:pt idx="101">
                  <c:v>657.8848419811444</c:v>
                </c:pt>
                <c:pt idx="102">
                  <c:v>660</c:v>
                </c:pt>
                <c:pt idx="103">
                  <c:v>664.20243976770257</c:v>
                </c:pt>
                <c:pt idx="104">
                  <c:v>664.20243976770257</c:v>
                </c:pt>
                <c:pt idx="105">
                  <c:v>670</c:v>
                </c:pt>
                <c:pt idx="106">
                  <c:v>680</c:v>
                </c:pt>
                <c:pt idx="107">
                  <c:v>682.3842579495207</c:v>
                </c:pt>
                <c:pt idx="108">
                  <c:v>690</c:v>
                </c:pt>
                <c:pt idx="109">
                  <c:v>691.47516704042982</c:v>
                </c:pt>
                <c:pt idx="110">
                  <c:v>700</c:v>
                </c:pt>
                <c:pt idx="111">
                  <c:v>700.56607613133895</c:v>
                </c:pt>
                <c:pt idx="112">
                  <c:v>709.65698522224807</c:v>
                </c:pt>
                <c:pt idx="113">
                  <c:v>710</c:v>
                </c:pt>
                <c:pt idx="114">
                  <c:v>720</c:v>
                </c:pt>
                <c:pt idx="115">
                  <c:v>730</c:v>
                </c:pt>
                <c:pt idx="116">
                  <c:v>740</c:v>
                </c:pt>
                <c:pt idx="117">
                  <c:v>750</c:v>
                </c:pt>
                <c:pt idx="118">
                  <c:v>760</c:v>
                </c:pt>
                <c:pt idx="119">
                  <c:v>768.54862363828965</c:v>
                </c:pt>
                <c:pt idx="120">
                  <c:v>768.88199999999995</c:v>
                </c:pt>
                <c:pt idx="121">
                  <c:v>770</c:v>
                </c:pt>
                <c:pt idx="122">
                  <c:v>777.63953272919878</c:v>
                </c:pt>
                <c:pt idx="123">
                  <c:v>780</c:v>
                </c:pt>
                <c:pt idx="124">
                  <c:v>783.88199999999995</c:v>
                </c:pt>
                <c:pt idx="125">
                  <c:v>786.7304418201079</c:v>
                </c:pt>
                <c:pt idx="126">
                  <c:v>790</c:v>
                </c:pt>
                <c:pt idx="127">
                  <c:v>795.82135091101691</c:v>
                </c:pt>
                <c:pt idx="128">
                  <c:v>798.88199999999995</c:v>
                </c:pt>
                <c:pt idx="129">
                  <c:v>800</c:v>
                </c:pt>
                <c:pt idx="130">
                  <c:v>810</c:v>
                </c:pt>
                <c:pt idx="131">
                  <c:v>814.00316909283515</c:v>
                </c:pt>
                <c:pt idx="132">
                  <c:v>814.00316909283515</c:v>
                </c:pt>
                <c:pt idx="133">
                  <c:v>820</c:v>
                </c:pt>
                <c:pt idx="134">
                  <c:v>830</c:v>
                </c:pt>
                <c:pt idx="135">
                  <c:v>840</c:v>
                </c:pt>
                <c:pt idx="136">
                  <c:v>850</c:v>
                </c:pt>
                <c:pt idx="137">
                  <c:v>860</c:v>
                </c:pt>
                <c:pt idx="138">
                  <c:v>870</c:v>
                </c:pt>
                <c:pt idx="139">
                  <c:v>876.56357645170078</c:v>
                </c:pt>
                <c:pt idx="140">
                  <c:v>876.56357645170078</c:v>
                </c:pt>
                <c:pt idx="141">
                  <c:v>880</c:v>
                </c:pt>
                <c:pt idx="142">
                  <c:v>890</c:v>
                </c:pt>
                <c:pt idx="143">
                  <c:v>894.74539463351891</c:v>
                </c:pt>
                <c:pt idx="144">
                  <c:v>908.69557645170073</c:v>
                </c:pt>
                <c:pt idx="145">
                  <c:v>900</c:v>
                </c:pt>
                <c:pt idx="146">
                  <c:v>903.83630372442803</c:v>
                </c:pt>
                <c:pt idx="147">
                  <c:v>910</c:v>
                </c:pt>
                <c:pt idx="148">
                  <c:v>912.92721281533716</c:v>
                </c:pt>
                <c:pt idx="149">
                  <c:v>920</c:v>
                </c:pt>
                <c:pt idx="150">
                  <c:v>922.01812190624628</c:v>
                </c:pt>
                <c:pt idx="151">
                  <c:v>930</c:v>
                </c:pt>
                <c:pt idx="152">
                  <c:v>940</c:v>
                </c:pt>
                <c:pt idx="153">
                  <c:v>950</c:v>
                </c:pt>
                <c:pt idx="154">
                  <c:v>960</c:v>
                </c:pt>
                <c:pt idx="155">
                  <c:v>963</c:v>
                </c:pt>
                <c:pt idx="156">
                  <c:v>970</c:v>
                </c:pt>
                <c:pt idx="157">
                  <c:v>980</c:v>
                </c:pt>
                <c:pt idx="158">
                  <c:v>990</c:v>
                </c:pt>
                <c:pt idx="159">
                  <c:v>1000</c:v>
                </c:pt>
                <c:pt idx="160">
                  <c:v>1010</c:v>
                </c:pt>
                <c:pt idx="161">
                  <c:v>1020</c:v>
                </c:pt>
                <c:pt idx="162">
                  <c:v>1030</c:v>
                </c:pt>
                <c:pt idx="163">
                  <c:v>1040</c:v>
                </c:pt>
                <c:pt idx="164">
                  <c:v>1043</c:v>
                </c:pt>
                <c:pt idx="165">
                  <c:v>1050</c:v>
                </c:pt>
                <c:pt idx="166">
                  <c:v>1060</c:v>
                </c:pt>
                <c:pt idx="167">
                  <c:v>1070</c:v>
                </c:pt>
                <c:pt idx="168">
                  <c:v>1080</c:v>
                </c:pt>
                <c:pt idx="169">
                  <c:v>1090</c:v>
                </c:pt>
                <c:pt idx="170">
                  <c:v>1100</c:v>
                </c:pt>
                <c:pt idx="171">
                  <c:v>1103.7502137516447</c:v>
                </c:pt>
                <c:pt idx="172">
                  <c:v>1110</c:v>
                </c:pt>
                <c:pt idx="173">
                  <c:v>1112.8411228425537</c:v>
                </c:pt>
                <c:pt idx="174">
                  <c:v>1120</c:v>
                </c:pt>
                <c:pt idx="175">
                  <c:v>1121.9320319334627</c:v>
                </c:pt>
                <c:pt idx="176">
                  <c:v>1123</c:v>
                </c:pt>
                <c:pt idx="177">
                  <c:v>1130</c:v>
                </c:pt>
                <c:pt idx="178">
                  <c:v>1131.0229410243719</c:v>
                </c:pt>
                <c:pt idx="179">
                  <c:v>1140</c:v>
                </c:pt>
                <c:pt idx="180">
                  <c:v>1149.2047592061899</c:v>
                </c:pt>
                <c:pt idx="181">
                  <c:v>1149.2047592061904</c:v>
                </c:pt>
                <c:pt idx="182">
                  <c:v>1150</c:v>
                </c:pt>
                <c:pt idx="183">
                  <c:v>1160</c:v>
                </c:pt>
                <c:pt idx="184">
                  <c:v>1170</c:v>
                </c:pt>
                <c:pt idx="185">
                  <c:v>1180</c:v>
                </c:pt>
                <c:pt idx="186">
                  <c:v>1190</c:v>
                </c:pt>
                <c:pt idx="187">
                  <c:v>1200</c:v>
                </c:pt>
                <c:pt idx="188">
                  <c:v>1210</c:v>
                </c:pt>
                <c:pt idx="189">
                  <c:v>1220</c:v>
                </c:pt>
                <c:pt idx="190">
                  <c:v>1230</c:v>
                </c:pt>
                <c:pt idx="191">
                  <c:v>1238.1307991588687</c:v>
                </c:pt>
                <c:pt idx="192">
                  <c:v>1238.1307991588692</c:v>
                </c:pt>
                <c:pt idx="193">
                  <c:v>1240</c:v>
                </c:pt>
                <c:pt idx="194">
                  <c:v>1244.817</c:v>
                </c:pt>
                <c:pt idx="195">
                  <c:v>1250</c:v>
                </c:pt>
                <c:pt idx="196">
                  <c:v>1256.312617340687</c:v>
                </c:pt>
                <c:pt idx="197">
                  <c:v>1259.817</c:v>
                </c:pt>
                <c:pt idx="198">
                  <c:v>1260</c:v>
                </c:pt>
                <c:pt idx="199">
                  <c:v>1265.403526431596</c:v>
                </c:pt>
                <c:pt idx="200">
                  <c:v>1270</c:v>
                </c:pt>
                <c:pt idx="201">
                  <c:v>1274.817</c:v>
                </c:pt>
                <c:pt idx="202">
                  <c:v>1274.494435522505</c:v>
                </c:pt>
                <c:pt idx="203">
                  <c:v>1280</c:v>
                </c:pt>
                <c:pt idx="204">
                  <c:v>1283.585344613414</c:v>
                </c:pt>
                <c:pt idx="205">
                  <c:v>1290</c:v>
                </c:pt>
                <c:pt idx="206">
                  <c:v>1298.0371534718349</c:v>
                </c:pt>
                <c:pt idx="207">
                  <c:v>1300</c:v>
                </c:pt>
                <c:pt idx="208">
                  <c:v>1307.1280625627439</c:v>
                </c:pt>
                <c:pt idx="209">
                  <c:v>1310</c:v>
                </c:pt>
                <c:pt idx="210">
                  <c:v>1316.2189716536529</c:v>
                </c:pt>
                <c:pt idx="211">
                  <c:v>1320</c:v>
                </c:pt>
                <c:pt idx="212">
                  <c:v>1325.3098807445622</c:v>
                </c:pt>
                <c:pt idx="213">
                  <c:v>1330</c:v>
                </c:pt>
                <c:pt idx="214">
                  <c:v>1340</c:v>
                </c:pt>
                <c:pt idx="215">
                  <c:v>1343.4916989263802</c:v>
                </c:pt>
                <c:pt idx="216">
                  <c:v>1343.4916989263804</c:v>
                </c:pt>
                <c:pt idx="217">
                  <c:v>1350</c:v>
                </c:pt>
                <c:pt idx="218">
                  <c:v>1360</c:v>
                </c:pt>
                <c:pt idx="219">
                  <c:v>1370</c:v>
                </c:pt>
                <c:pt idx="220">
                  <c:v>1380</c:v>
                </c:pt>
                <c:pt idx="221">
                  <c:v>1390</c:v>
                </c:pt>
                <c:pt idx="222">
                  <c:v>1400</c:v>
                </c:pt>
                <c:pt idx="223">
                  <c:v>1404.6290990394887</c:v>
                </c:pt>
                <c:pt idx="224">
                  <c:v>1404.6290990394889</c:v>
                </c:pt>
                <c:pt idx="225">
                  <c:v>1410</c:v>
                </c:pt>
                <c:pt idx="226">
                  <c:v>1420</c:v>
                </c:pt>
                <c:pt idx="227">
                  <c:v>1422.8109172213069</c:v>
                </c:pt>
                <c:pt idx="228">
                  <c:v>1430</c:v>
                </c:pt>
                <c:pt idx="229">
                  <c:v>1431.9018263122159</c:v>
                </c:pt>
                <c:pt idx="230">
                  <c:v>1440</c:v>
                </c:pt>
                <c:pt idx="231">
                  <c:v>1440.9927354031249</c:v>
                </c:pt>
                <c:pt idx="232">
                  <c:v>1450</c:v>
                </c:pt>
                <c:pt idx="233">
                  <c:v>1450.0836444940339</c:v>
                </c:pt>
                <c:pt idx="234">
                  <c:v>1460</c:v>
                </c:pt>
                <c:pt idx="235">
                  <c:v>1470</c:v>
                </c:pt>
                <c:pt idx="236">
                  <c:v>1473.8739025027965</c:v>
                </c:pt>
                <c:pt idx="237">
                  <c:v>1480</c:v>
                </c:pt>
                <c:pt idx="238">
                  <c:v>1482.9648115937055</c:v>
                </c:pt>
                <c:pt idx="239">
                  <c:v>1490</c:v>
                </c:pt>
                <c:pt idx="240">
                  <c:v>1492.0557206846145</c:v>
                </c:pt>
                <c:pt idx="241">
                  <c:v>1500</c:v>
                </c:pt>
                <c:pt idx="242">
                  <c:v>1501.1466297755237</c:v>
                </c:pt>
                <c:pt idx="243">
                  <c:v>1510</c:v>
                </c:pt>
                <c:pt idx="244">
                  <c:v>1519.3284479573417</c:v>
                </c:pt>
                <c:pt idx="245">
                  <c:v>1519.328447957342</c:v>
                </c:pt>
                <c:pt idx="246">
                  <c:v>1519.817</c:v>
                </c:pt>
                <c:pt idx="247">
                  <c:v>1520</c:v>
                </c:pt>
                <c:pt idx="248">
                  <c:v>1530</c:v>
                </c:pt>
                <c:pt idx="249">
                  <c:v>1530.1335179056152</c:v>
                </c:pt>
                <c:pt idx="250">
                  <c:v>1530.1335179056155</c:v>
                </c:pt>
                <c:pt idx="251">
                  <c:v>1539.817</c:v>
                </c:pt>
                <c:pt idx="252">
                  <c:v>1540</c:v>
                </c:pt>
                <c:pt idx="253">
                  <c:v>1548.3153360874335</c:v>
                </c:pt>
                <c:pt idx="254">
                  <c:v>1550</c:v>
                </c:pt>
                <c:pt idx="255">
                  <c:v>1557.4062451783425</c:v>
                </c:pt>
                <c:pt idx="256">
                  <c:v>1559.817</c:v>
                </c:pt>
                <c:pt idx="257">
                  <c:v>1560</c:v>
                </c:pt>
                <c:pt idx="258">
                  <c:v>1566.4971542692515</c:v>
                </c:pt>
                <c:pt idx="259">
                  <c:v>1570</c:v>
                </c:pt>
                <c:pt idx="260">
                  <c:v>1575.5880633601605</c:v>
                </c:pt>
                <c:pt idx="261">
                  <c:v>1580</c:v>
                </c:pt>
                <c:pt idx="262">
                  <c:v>1590</c:v>
                </c:pt>
                <c:pt idx="263">
                  <c:v>1600</c:v>
                </c:pt>
                <c:pt idx="264">
                  <c:v>1610</c:v>
                </c:pt>
                <c:pt idx="265">
                  <c:v>1620</c:v>
                </c:pt>
                <c:pt idx="266">
                  <c:v>1625.7223680838474</c:v>
                </c:pt>
                <c:pt idx="267">
                  <c:v>1630</c:v>
                </c:pt>
                <c:pt idx="268">
                  <c:v>1634.8132771747564</c:v>
                </c:pt>
                <c:pt idx="269">
                  <c:v>1640</c:v>
                </c:pt>
                <c:pt idx="270">
                  <c:v>1643.9041862656654</c:v>
                </c:pt>
                <c:pt idx="271">
                  <c:v>1650</c:v>
                </c:pt>
                <c:pt idx="272">
                  <c:v>1660</c:v>
                </c:pt>
                <c:pt idx="273">
                  <c:v>1670</c:v>
                </c:pt>
                <c:pt idx="274">
                  <c:v>1671.1769135383931</c:v>
                </c:pt>
                <c:pt idx="275">
                  <c:v>1680</c:v>
                </c:pt>
                <c:pt idx="276">
                  <c:v>1690</c:v>
                </c:pt>
                <c:pt idx="277">
                  <c:v>1692.069822292875</c:v>
                </c:pt>
                <c:pt idx="278">
                  <c:v>1700</c:v>
                </c:pt>
                <c:pt idx="279">
                  <c:v>1710</c:v>
                </c:pt>
                <c:pt idx="280">
                  <c:v>1710.2516404746927</c:v>
                </c:pt>
                <c:pt idx="281">
                  <c:v>1719.3425495656018</c:v>
                </c:pt>
                <c:pt idx="282">
                  <c:v>1720</c:v>
                </c:pt>
                <c:pt idx="283">
                  <c:v>1728.4334586565108</c:v>
                </c:pt>
                <c:pt idx="284">
                  <c:v>1730</c:v>
                </c:pt>
                <c:pt idx="285">
                  <c:v>1737.5243677474198</c:v>
                </c:pt>
                <c:pt idx="286">
                  <c:v>1740</c:v>
                </c:pt>
                <c:pt idx="287">
                  <c:v>1750</c:v>
                </c:pt>
                <c:pt idx="288">
                  <c:v>1760</c:v>
                </c:pt>
                <c:pt idx="289">
                  <c:v>1770</c:v>
                </c:pt>
                <c:pt idx="290">
                  <c:v>1780</c:v>
                </c:pt>
                <c:pt idx="291">
                  <c:v>1790</c:v>
                </c:pt>
                <c:pt idx="292">
                  <c:v>1800</c:v>
                </c:pt>
                <c:pt idx="293">
                  <c:v>1810</c:v>
                </c:pt>
                <c:pt idx="294">
                  <c:v>1820</c:v>
                </c:pt>
                <c:pt idx="295">
                  <c:v>1830</c:v>
                </c:pt>
                <c:pt idx="296">
                  <c:v>1840</c:v>
                </c:pt>
                <c:pt idx="297">
                  <c:v>1848.2281943733419</c:v>
                </c:pt>
              </c:numCache>
            </c:numRef>
          </c:xVal>
          <c:yVal>
            <c:numRef>
              <c:f>RASANTE!$N$4:$N$301</c:f>
              <c:numCache>
                <c:formatCode>0.000</c:formatCode>
                <c:ptCount val="298"/>
                <c:pt idx="0">
                  <c:v>1643.93</c:v>
                </c:pt>
                <c:pt idx="1">
                  <c:v>1644.2442000000001</c:v>
                </c:pt>
                <c:pt idx="2">
                  <c:v>1644.5584000000001</c:v>
                </c:pt>
                <c:pt idx="3">
                  <c:v>1644.8726000000001</c:v>
                </c:pt>
                <c:pt idx="4">
                  <c:v>1645.1868000000002</c:v>
                </c:pt>
                <c:pt idx="5">
                  <c:v>1645.5010000000002</c:v>
                </c:pt>
                <c:pt idx="6">
                  <c:v>1645.8152000000002</c:v>
                </c:pt>
                <c:pt idx="7">
                  <c:v>1646.1294000000003</c:v>
                </c:pt>
                <c:pt idx="8">
                  <c:v>1646.4436000000003</c:v>
                </c:pt>
                <c:pt idx="9">
                  <c:v>1646.7578000000003</c:v>
                </c:pt>
                <c:pt idx="10">
                  <c:v>1647.0720000000003</c:v>
                </c:pt>
                <c:pt idx="11">
                  <c:v>1647.3862000000004</c:v>
                </c:pt>
                <c:pt idx="12">
                  <c:v>1647.7004000000004</c:v>
                </c:pt>
                <c:pt idx="13">
                  <c:v>1647.8605405135968</c:v>
                </c:pt>
                <c:pt idx="14">
                  <c:v>1648.0616710079403</c:v>
                </c:pt>
                <c:pt idx="15">
                  <c:v>1648.1596446802635</c:v>
                </c:pt>
                <c:pt idx="16">
                  <c:v>1648.4587488469301</c:v>
                </c:pt>
                <c:pt idx="17">
                  <c:v>1648.4718710079403</c:v>
                </c:pt>
                <c:pt idx="18">
                  <c:v>1648.7578530135968</c:v>
                </c:pt>
                <c:pt idx="19">
                  <c:v>1648.8820710079401</c:v>
                </c:pt>
                <c:pt idx="20">
                  <c:v>1649.2922710079401</c:v>
                </c:pt>
                <c:pt idx="21">
                  <c:v>1649.3560613469299</c:v>
                </c:pt>
                <c:pt idx="22">
                  <c:v>1649.3560613469299</c:v>
                </c:pt>
                <c:pt idx="23">
                  <c:v>1649.6214000000002</c:v>
                </c:pt>
                <c:pt idx="24">
                  <c:v>1649.9356000000002</c:v>
                </c:pt>
                <c:pt idx="25">
                  <c:v>1650.2498000000003</c:v>
                </c:pt>
                <c:pt idx="26">
                  <c:v>1650.5640000000003</c:v>
                </c:pt>
                <c:pt idx="27">
                  <c:v>1650.8782000000003</c:v>
                </c:pt>
                <c:pt idx="28">
                  <c:v>1651.155081629058</c:v>
                </c:pt>
                <c:pt idx="29">
                  <c:v>1651.155081629058</c:v>
                </c:pt>
                <c:pt idx="30">
                  <c:v>1651.1809978242827</c:v>
                </c:pt>
                <c:pt idx="31">
                  <c:v>1651.3991978242827</c:v>
                </c:pt>
                <c:pt idx="32">
                  <c:v>1651.4732899623914</c:v>
                </c:pt>
                <c:pt idx="33">
                  <c:v>1651.6173978242828</c:v>
                </c:pt>
                <c:pt idx="34">
                  <c:v>1651.6278496042826</c:v>
                </c:pt>
                <c:pt idx="35">
                  <c:v>1651.6323692073738</c:v>
                </c:pt>
                <c:pt idx="36">
                  <c:v>1651.7591817072794</c:v>
                </c:pt>
                <c:pt idx="37">
                  <c:v>1651.7835173349165</c:v>
                </c:pt>
                <c:pt idx="38">
                  <c:v>1651.8249009140563</c:v>
                </c:pt>
                <c:pt idx="39">
                  <c:v>1651.8802655780025</c:v>
                </c:pt>
                <c:pt idx="40">
                  <c:v>1651.9127063822129</c:v>
                </c:pt>
                <c:pt idx="41">
                  <c:v>1651.8302419232657</c:v>
                </c:pt>
                <c:pt idx="42">
                  <c:v>1651.6820251800002</c:v>
                </c:pt>
                <c:pt idx="43">
                  <c:v>1651.8534845611605</c:v>
                </c:pt>
                <c:pt idx="44">
                  <c:v>1651.5412095758973</c:v>
                </c:pt>
                <c:pt idx="45">
                  <c:v>1651.1140293274764</c:v>
                </c:pt>
                <c:pt idx="46">
                  <c:v>1650.5719438158974</c:v>
                </c:pt>
                <c:pt idx="47">
                  <c:v>1649.9149530411607</c:v>
                </c:pt>
                <c:pt idx="48">
                  <c:v>1649.5062625400005</c:v>
                </c:pt>
                <c:pt idx="49">
                  <c:v>1649.1548000000005</c:v>
                </c:pt>
                <c:pt idx="50">
                  <c:v>1648.3774000000005</c:v>
                </c:pt>
                <c:pt idx="51">
                  <c:v>1647.6000000000006</c:v>
                </c:pt>
                <c:pt idx="52">
                  <c:v>1646.8226000000006</c:v>
                </c:pt>
                <c:pt idx="53">
                  <c:v>1646.7808703732587</c:v>
                </c:pt>
                <c:pt idx="54">
                  <c:v>1646.0741431005315</c:v>
                </c:pt>
                <c:pt idx="55">
                  <c:v>1646.0452000000007</c:v>
                </c:pt>
                <c:pt idx="56">
                  <c:v>1645.3674158278043</c:v>
                </c:pt>
                <c:pt idx="57">
                  <c:v>1645.2579332406222</c:v>
                </c:pt>
                <c:pt idx="58">
                  <c:v>1644.5906885550769</c:v>
                </c:pt>
                <c:pt idx="59">
                  <c:v>1644.4035332406222</c:v>
                </c:pt>
                <c:pt idx="60">
                  <c:v>1643.8058703732588</c:v>
                </c:pt>
                <c:pt idx="61">
                  <c:v>1643.5491332406223</c:v>
                </c:pt>
                <c:pt idx="62">
                  <c:v>1643.0372340096226</c:v>
                </c:pt>
                <c:pt idx="63">
                  <c:v>1642.7256000000009</c:v>
                </c:pt>
                <c:pt idx="64">
                  <c:v>1641.948200000001</c:v>
                </c:pt>
                <c:pt idx="65">
                  <c:v>1641.170800000001</c:v>
                </c:pt>
                <c:pt idx="66">
                  <c:v>1640.3934000000011</c:v>
                </c:pt>
                <c:pt idx="67">
                  <c:v>1639.6160000000011</c:v>
                </c:pt>
                <c:pt idx="68">
                  <c:v>1638.9255133200011</c:v>
                </c:pt>
                <c:pt idx="69">
                  <c:v>1638.8391967137188</c:v>
                </c:pt>
                <c:pt idx="70">
                  <c:v>1638.1202113777188</c:v>
                </c:pt>
                <c:pt idx="71">
                  <c:v>1637.4967060417189</c:v>
                </c:pt>
                <c:pt idx="72">
                  <c:v>1637.2803883200013</c:v>
                </c:pt>
                <c:pt idx="73">
                  <c:v>1636.6766073857186</c:v>
                </c:pt>
                <c:pt idx="74">
                  <c:v>1636.2440620497189</c:v>
                </c:pt>
                <c:pt idx="75">
                  <c:v>1635.9399400000011</c:v>
                </c:pt>
                <c:pt idx="76">
                  <c:v>1635.9064000000012</c:v>
                </c:pt>
                <c:pt idx="77">
                  <c:v>1635.6064000000013</c:v>
                </c:pt>
                <c:pt idx="78">
                  <c:v>1635.39033830381</c:v>
                </c:pt>
                <c:pt idx="79">
                  <c:v>1635.3064000000011</c:v>
                </c:pt>
                <c:pt idx="80">
                  <c:v>1635.1204519401736</c:v>
                </c:pt>
                <c:pt idx="81">
                  <c:v>1635.035673331312</c:v>
                </c:pt>
                <c:pt idx="82">
                  <c:v>1634.812673331312</c:v>
                </c:pt>
                <c:pt idx="83">
                  <c:v>1634.7149973947189</c:v>
                </c:pt>
                <c:pt idx="84">
                  <c:v>1634.5896733313118</c:v>
                </c:pt>
                <c:pt idx="85">
                  <c:v>1634.5122701219918</c:v>
                </c:pt>
                <c:pt idx="86">
                  <c:v>1634.3164000000011</c:v>
                </c:pt>
                <c:pt idx="87">
                  <c:v>1634.2395428492646</c:v>
                </c:pt>
                <c:pt idx="88">
                  <c:v>1634.0164000000011</c:v>
                </c:pt>
                <c:pt idx="89">
                  <c:v>1633.9668155765373</c:v>
                </c:pt>
                <c:pt idx="90">
                  <c:v>1633.7164000000012</c:v>
                </c:pt>
                <c:pt idx="91">
                  <c:v>1633.4164000000012</c:v>
                </c:pt>
                <c:pt idx="92">
                  <c:v>1633.3434911042032</c:v>
                </c:pt>
                <c:pt idx="93">
                  <c:v>1633.1746867167462</c:v>
                </c:pt>
                <c:pt idx="94">
                  <c:v>1633.1407638314756</c:v>
                </c:pt>
                <c:pt idx="95">
                  <c:v>1632.9516867167461</c:v>
                </c:pt>
                <c:pt idx="96">
                  <c:v>1632.9380365587483</c:v>
                </c:pt>
                <c:pt idx="97">
                  <c:v>1632.7353092860212</c:v>
                </c:pt>
                <c:pt idx="98">
                  <c:v>1632.7045095766462</c:v>
                </c:pt>
                <c:pt idx="99">
                  <c:v>1632.386752420507</c:v>
                </c:pt>
                <c:pt idx="100">
                  <c:v>1632.1273547405665</c:v>
                </c:pt>
                <c:pt idx="101">
                  <c:v>1632.1322656004666</c:v>
                </c:pt>
                <c:pt idx="102">
                  <c:v>1632.1866478638401</c:v>
                </c:pt>
                <c:pt idx="103">
                  <c:v>1632.1194436668698</c:v>
                </c:pt>
                <c:pt idx="104">
                  <c:v>1632.1403268069698</c:v>
                </c:pt>
                <c:pt idx="105">
                  <c:v>1631.9216651431543</c:v>
                </c:pt>
                <c:pt idx="106">
                  <c:v>1631.5447587862122</c:v>
                </c:pt>
                <c:pt idx="107">
                  <c:v>1631.4548722615154</c:v>
                </c:pt>
                <c:pt idx="108">
                  <c:v>1631.1677587862123</c:v>
                </c:pt>
                <c:pt idx="109">
                  <c:v>1631.112144988788</c:v>
                </c:pt>
                <c:pt idx="110">
                  <c:v>1630.7907587862123</c:v>
                </c:pt>
                <c:pt idx="111">
                  <c:v>1630.7694177160608</c:v>
                </c:pt>
                <c:pt idx="112">
                  <c:v>1630.4266904433337</c:v>
                </c:pt>
                <c:pt idx="113">
                  <c:v>1630.4164000000012</c:v>
                </c:pt>
                <c:pt idx="114">
                  <c:v>1630.1164000000012</c:v>
                </c:pt>
                <c:pt idx="115">
                  <c:v>1629.8164000000013</c:v>
                </c:pt>
                <c:pt idx="116">
                  <c:v>1629.5164000000013</c:v>
                </c:pt>
                <c:pt idx="117">
                  <c:v>1629.2164000000014</c:v>
                </c:pt>
                <c:pt idx="118">
                  <c:v>1628.9164000000014</c:v>
                </c:pt>
                <c:pt idx="119">
                  <c:v>1628.6599412908527</c:v>
                </c:pt>
                <c:pt idx="120">
                  <c:v>1628.6525069979864</c:v>
                </c:pt>
                <c:pt idx="121">
                  <c:v>1628.6275755979866</c:v>
                </c:pt>
                <c:pt idx="122">
                  <c:v>1628.4572140181253</c:v>
                </c:pt>
                <c:pt idx="123">
                  <c:v>1628.4045755979864</c:v>
                </c:pt>
                <c:pt idx="124">
                  <c:v>1628.3180069979865</c:v>
                </c:pt>
                <c:pt idx="125">
                  <c:v>1628.254486745398</c:v>
                </c:pt>
                <c:pt idx="126">
                  <c:v>1628.0429136355772</c:v>
                </c:pt>
                <c:pt idx="127">
                  <c:v>1627.6662140181254</c:v>
                </c:pt>
                <c:pt idx="128">
                  <c:v>1627.468159415577</c:v>
                </c:pt>
                <c:pt idx="129">
                  <c:v>1627.395813635577</c:v>
                </c:pt>
                <c:pt idx="130">
                  <c:v>1626.7487136355771</c:v>
                </c:pt>
                <c:pt idx="131">
                  <c:v>1626.4896685635797</c:v>
                </c:pt>
                <c:pt idx="132">
                  <c:v>1626.4896685635797</c:v>
                </c:pt>
                <c:pt idx="133">
                  <c:v>1626.0554380375918</c:v>
                </c:pt>
                <c:pt idx="134">
                  <c:v>1625.3313380375919</c:v>
                </c:pt>
                <c:pt idx="135">
                  <c:v>1624.607238037592</c:v>
                </c:pt>
                <c:pt idx="136">
                  <c:v>1623.8831380375921</c:v>
                </c:pt>
                <c:pt idx="137">
                  <c:v>1623.1590380375922</c:v>
                </c:pt>
                <c:pt idx="138">
                  <c:v>1622.4349380375922</c:v>
                </c:pt>
                <c:pt idx="139">
                  <c:v>1621.9596694667246</c:v>
                </c:pt>
                <c:pt idx="140">
                  <c:v>1621.9596694667246</c:v>
                </c:pt>
                <c:pt idx="141">
                  <c:v>1621.6843775762702</c:v>
                </c:pt>
                <c:pt idx="142">
                  <c:v>1620.8832775762703</c:v>
                </c:pt>
                <c:pt idx="143">
                  <c:v>1620.5031240121791</c:v>
                </c:pt>
                <c:pt idx="144">
                  <c:v>1619.3855749467243</c:v>
                </c:pt>
                <c:pt idx="145">
                  <c:v>0</c:v>
                </c:pt>
                <c:pt idx="146">
                  <c:v>0</c:v>
                </c:pt>
                <c:pt idx="147">
                  <c:v>1619.28107757627</c:v>
                </c:pt>
                <c:pt idx="148">
                  <c:v>1619.0465785576334</c:v>
                </c:pt>
                <c:pt idx="149">
                  <c:v>1618.4799775762701</c:v>
                </c:pt>
                <c:pt idx="150">
                  <c:v>1618.3183058303607</c:v>
                </c:pt>
                <c:pt idx="151">
                  <c:v>1617.740338037592</c:v>
                </c:pt>
                <c:pt idx="152">
                  <c:v>1617.0162380375921</c:v>
                </c:pt>
                <c:pt idx="153">
                  <c:v>1616.2921380375922</c:v>
                </c:pt>
                <c:pt idx="154">
                  <c:v>1615.5680380375923</c:v>
                </c:pt>
                <c:pt idx="155">
                  <c:v>1615.3508080375923</c:v>
                </c:pt>
                <c:pt idx="156">
                  <c:v>1614.8675820688422</c:v>
                </c:pt>
                <c:pt idx="157">
                  <c:v>1614.2592895688424</c:v>
                </c:pt>
                <c:pt idx="158">
                  <c:v>1613.7475033188425</c:v>
                </c:pt>
                <c:pt idx="159">
                  <c:v>1613.3322233188426</c:v>
                </c:pt>
                <c:pt idx="160">
                  <c:v>1613.0134495688428</c:v>
                </c:pt>
                <c:pt idx="161">
                  <c:v>1612.7911820688428</c:v>
                </c:pt>
                <c:pt idx="162">
                  <c:v>1612.6654208188429</c:v>
                </c:pt>
                <c:pt idx="163">
                  <c:v>1612.636165818843</c:v>
                </c:pt>
                <c:pt idx="164">
                  <c:v>1612.6462080375929</c:v>
                </c:pt>
                <c:pt idx="165">
                  <c:v>1611.622547068843</c:v>
                </c:pt>
                <c:pt idx="166">
                  <c:v>1611.786304568843</c:v>
                </c:pt>
                <c:pt idx="167">
                  <c:v>1612.0465683188429</c:v>
                </c:pt>
                <c:pt idx="168">
                  <c:v>1612.403338318843</c:v>
                </c:pt>
                <c:pt idx="169">
                  <c:v>1612.8566145688428</c:v>
                </c:pt>
                <c:pt idx="170">
                  <c:v>1613.4063970688428</c:v>
                </c:pt>
                <c:pt idx="171">
                  <c:v>1613.6374595806167</c:v>
                </c:pt>
                <c:pt idx="172">
                  <c:v>1614.100809172955</c:v>
                </c:pt>
                <c:pt idx="173">
                  <c:v>1614.32390867958</c:v>
                </c:pt>
                <c:pt idx="174">
                  <c:v>1614.9206041729551</c:v>
                </c:pt>
                <c:pt idx="175">
                  <c:v>1615.0901150099482</c:v>
                </c:pt>
                <c:pt idx="176">
                  <c:v>1615.1853613917051</c:v>
                </c:pt>
                <c:pt idx="177">
                  <c:v>1615.8132613917051</c:v>
                </c:pt>
                <c:pt idx="178">
                  <c:v>1615.9050192015914</c:v>
                </c:pt>
                <c:pt idx="179">
                  <c:v>1616.710261391705</c:v>
                </c:pt>
                <c:pt idx="180">
                  <c:v>1617.5359282925003</c:v>
                </c:pt>
                <c:pt idx="181">
                  <c:v>1617.5359282925003</c:v>
                </c:pt>
                <c:pt idx="182">
                  <c:v>1617.6011380375928</c:v>
                </c:pt>
                <c:pt idx="183">
                  <c:v>1618.4211380375928</c:v>
                </c:pt>
                <c:pt idx="184">
                  <c:v>1619.2411380375927</c:v>
                </c:pt>
                <c:pt idx="185">
                  <c:v>1620.0611380375926</c:v>
                </c:pt>
                <c:pt idx="186">
                  <c:v>1620.8811380375926</c:v>
                </c:pt>
                <c:pt idx="187">
                  <c:v>1621.7011380375925</c:v>
                </c:pt>
                <c:pt idx="188">
                  <c:v>1622.5211380375924</c:v>
                </c:pt>
                <c:pt idx="189">
                  <c:v>1623.3411380375924</c:v>
                </c:pt>
                <c:pt idx="190">
                  <c:v>1624.1611380375923</c:v>
                </c:pt>
                <c:pt idx="191">
                  <c:v>1624.8278635686195</c:v>
                </c:pt>
                <c:pt idx="192">
                  <c:v>1624.8278635686195</c:v>
                </c:pt>
                <c:pt idx="193">
                  <c:v>1624.9667451911155</c:v>
                </c:pt>
                <c:pt idx="194">
                  <c:v>1625.3246482911156</c:v>
                </c:pt>
                <c:pt idx="195">
                  <c:v>1625.6855680510155</c:v>
                </c:pt>
                <c:pt idx="196">
                  <c:v>1626.0598383632896</c:v>
                </c:pt>
                <c:pt idx="197">
                  <c:v>1626.2366482911154</c:v>
                </c:pt>
                <c:pt idx="198">
                  <c:v>1626.2551560510155</c:v>
                </c:pt>
                <c:pt idx="199">
                  <c:v>1626.7744750688223</c:v>
                </c:pt>
                <c:pt idx="200">
                  <c:v>1626.9266524783216</c:v>
                </c:pt>
                <c:pt idx="201">
                  <c:v>1627.0453207184219</c:v>
                </c:pt>
                <c:pt idx="202">
                  <c:v>1627.0386790164707</c:v>
                </c:pt>
                <c:pt idx="203">
                  <c:v>1627.1505356184216</c:v>
                </c:pt>
                <c:pt idx="204">
                  <c:v>1627.2233181140741</c:v>
                </c:pt>
                <c:pt idx="205">
                  <c:v>1627.4029284648984</c:v>
                </c:pt>
                <c:pt idx="206">
                  <c:v>1627.6279687621097</c:v>
                </c:pt>
                <c:pt idx="207">
                  <c:v>1627.6829284648984</c:v>
                </c:pt>
                <c:pt idx="208">
                  <c:v>1627.8825142166552</c:v>
                </c:pt>
                <c:pt idx="209">
                  <c:v>1627.9629284648984</c:v>
                </c:pt>
                <c:pt idx="210">
                  <c:v>1628.1370596712006</c:v>
                </c:pt>
                <c:pt idx="211">
                  <c:v>1628.2138145466315</c:v>
                </c:pt>
                <c:pt idx="212">
                  <c:v>1628.3216051257459</c:v>
                </c:pt>
                <c:pt idx="213">
                  <c:v>1628.4168145466315</c:v>
                </c:pt>
                <c:pt idx="214">
                  <c:v>1628.6198145466315</c:v>
                </c:pt>
                <c:pt idx="215">
                  <c:v>1628.6906960348369</c:v>
                </c:pt>
                <c:pt idx="216">
                  <c:v>1628.6906960348369</c:v>
                </c:pt>
                <c:pt idx="217">
                  <c:v>1628.8729284648982</c:v>
                </c:pt>
                <c:pt idx="218">
                  <c:v>1629.1529284648982</c:v>
                </c:pt>
                <c:pt idx="219">
                  <c:v>1629.4329284648982</c:v>
                </c:pt>
                <c:pt idx="220">
                  <c:v>1629.7129284648981</c:v>
                </c:pt>
                <c:pt idx="221">
                  <c:v>1629.9929284648981</c:v>
                </c:pt>
                <c:pt idx="222">
                  <c:v>1630.2729284648981</c:v>
                </c:pt>
                <c:pt idx="223">
                  <c:v>1630.4025432380038</c:v>
                </c:pt>
                <c:pt idx="224">
                  <c:v>1630.4025432380038</c:v>
                </c:pt>
                <c:pt idx="225">
                  <c:v>1630.5942844022941</c:v>
                </c:pt>
                <c:pt idx="226">
                  <c:v>1630.951284402294</c:v>
                </c:pt>
                <c:pt idx="227">
                  <c:v>1631.0516341470945</c:v>
                </c:pt>
                <c:pt idx="228">
                  <c:v>1631.308284402294</c:v>
                </c:pt>
                <c:pt idx="229">
                  <c:v>1631.3761796016402</c:v>
                </c:pt>
                <c:pt idx="230">
                  <c:v>1631.602928464898</c:v>
                </c:pt>
                <c:pt idx="231">
                  <c:v>1631.6307250561856</c:v>
                </c:pt>
                <c:pt idx="232">
                  <c:v>1631.8829284648982</c:v>
                </c:pt>
                <c:pt idx="233">
                  <c:v>1631.8852705107311</c:v>
                </c:pt>
                <c:pt idx="234">
                  <c:v>1632.1629284648982</c:v>
                </c:pt>
                <c:pt idx="235">
                  <c:v>1632.4429284648982</c:v>
                </c:pt>
                <c:pt idx="236">
                  <c:v>1632.5513977349765</c:v>
                </c:pt>
                <c:pt idx="237">
                  <c:v>1632.7229284648981</c:v>
                </c:pt>
                <c:pt idx="238">
                  <c:v>1632.8059431895219</c:v>
                </c:pt>
                <c:pt idx="239">
                  <c:v>1633.0029284648981</c:v>
                </c:pt>
                <c:pt idx="240">
                  <c:v>1633.0604886440674</c:v>
                </c:pt>
                <c:pt idx="241">
                  <c:v>1633.2217575141694</c:v>
                </c:pt>
                <c:pt idx="242">
                  <c:v>1633.2450340986127</c:v>
                </c:pt>
                <c:pt idx="243">
                  <c:v>1633.4247575141696</c:v>
                </c:pt>
                <c:pt idx="244">
                  <c:v>1633.6141250077037</c:v>
                </c:pt>
                <c:pt idx="245">
                  <c:v>1633.6141250077037</c:v>
                </c:pt>
                <c:pt idx="246">
                  <c:v>1633.6278044648982</c:v>
                </c:pt>
                <c:pt idx="247">
                  <c:v>1633.6329395497571</c:v>
                </c:pt>
                <c:pt idx="248">
                  <c:v>1633.9472510097571</c:v>
                </c:pt>
                <c:pt idx="249">
                  <c:v>1633.9518954755572</c:v>
                </c:pt>
                <c:pt idx="250">
                  <c:v>1633.9518954755572</c:v>
                </c:pt>
                <c:pt idx="251">
                  <c:v>1634.3947672770248</c:v>
                </c:pt>
                <c:pt idx="252">
                  <c:v>1634.3988885418839</c:v>
                </c:pt>
                <c:pt idx="253">
                  <c:v>1634.8297353932242</c:v>
                </c:pt>
                <c:pt idx="254">
                  <c:v>1634.9226000018839</c:v>
                </c:pt>
                <c:pt idx="255">
                  <c:v>1635.3531443877605</c:v>
                </c:pt>
                <c:pt idx="256">
                  <c:v>1635.4825586248983</c:v>
                </c:pt>
                <c:pt idx="257">
                  <c:v>1635.4925284648982</c:v>
                </c:pt>
                <c:pt idx="258">
                  <c:v>1635.8464934294871</c:v>
                </c:pt>
                <c:pt idx="259">
                  <c:v>1636.0373284648983</c:v>
                </c:pt>
                <c:pt idx="260">
                  <c:v>1636.3417661567598</c:v>
                </c:pt>
                <c:pt idx="261">
                  <c:v>1636.5821284648982</c:v>
                </c:pt>
                <c:pt idx="262">
                  <c:v>1637.1269284648981</c:v>
                </c:pt>
                <c:pt idx="263">
                  <c:v>1637.671728464898</c:v>
                </c:pt>
                <c:pt idx="264">
                  <c:v>1638.2165284648979</c:v>
                </c:pt>
                <c:pt idx="265">
                  <c:v>1638.7613284648978</c:v>
                </c:pt>
                <c:pt idx="266">
                  <c:v>1639.0730830781058</c:v>
                </c:pt>
                <c:pt idx="267">
                  <c:v>1639.3061284648977</c:v>
                </c:pt>
                <c:pt idx="268">
                  <c:v>1639.5683558053784</c:v>
                </c:pt>
                <c:pt idx="269">
                  <c:v>1639.8509284648976</c:v>
                </c:pt>
                <c:pt idx="270">
                  <c:v>1640.0636285326511</c:v>
                </c:pt>
                <c:pt idx="271">
                  <c:v>1640.3487906991434</c:v>
                </c:pt>
                <c:pt idx="272">
                  <c:v>1640.8165906991433</c:v>
                </c:pt>
                <c:pt idx="273">
                  <c:v>1641.2843906991432</c:v>
                </c:pt>
                <c:pt idx="274">
                  <c:v>1641.3394467144692</c:v>
                </c:pt>
                <c:pt idx="275">
                  <c:v>1641.8201284648976</c:v>
                </c:pt>
                <c:pt idx="276">
                  <c:v>1642.3649284648975</c:v>
                </c:pt>
                <c:pt idx="277">
                  <c:v>1642.4776923834133</c:v>
                </c:pt>
                <c:pt idx="278">
                  <c:v>1642.9707908332425</c:v>
                </c:pt>
                <c:pt idx="279">
                  <c:v>1643.5925908332424</c:v>
                </c:pt>
                <c:pt idx="280">
                  <c:v>1643.6082378379588</c:v>
                </c:pt>
                <c:pt idx="281">
                  <c:v>1644.1735105652317</c:v>
                </c:pt>
                <c:pt idx="282">
                  <c:v>1644.2093284648977</c:v>
                </c:pt>
                <c:pt idx="283">
                  <c:v>1644.6687832925045</c:v>
                </c:pt>
                <c:pt idx="284">
                  <c:v>1644.7541284648978</c:v>
                </c:pt>
                <c:pt idx="285">
                  <c:v>1645.1640560197773</c:v>
                </c:pt>
                <c:pt idx="286">
                  <c:v>1645.2989284648979</c:v>
                </c:pt>
                <c:pt idx="287">
                  <c:v>1645.8437284648978</c:v>
                </c:pt>
                <c:pt idx="288">
                  <c:v>1646.3885284648977</c:v>
                </c:pt>
                <c:pt idx="289">
                  <c:v>1646.9333284648976</c:v>
                </c:pt>
                <c:pt idx="290">
                  <c:v>1647.4781284648975</c:v>
                </c:pt>
                <c:pt idx="291">
                  <c:v>1648.0229284648974</c:v>
                </c:pt>
                <c:pt idx="292">
                  <c:v>1648.5677284648973</c:v>
                </c:pt>
                <c:pt idx="293">
                  <c:v>1649.1125284648972</c:v>
                </c:pt>
                <c:pt idx="294">
                  <c:v>1649.6573284648971</c:v>
                </c:pt>
                <c:pt idx="295">
                  <c:v>1650.202128464897</c:v>
                </c:pt>
                <c:pt idx="296">
                  <c:v>1650.7469284648969</c:v>
                </c:pt>
                <c:pt idx="297">
                  <c:v>1651.1952004943566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E5-4BE4-B1DC-44DDDFD79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08498"/>
        <c:axId val="1798470466"/>
      </c:scatterChart>
      <c:valAx>
        <c:axId val="349908498"/>
        <c:scaling>
          <c:orientation val="minMax"/>
          <c:max val="195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419" sz="1600" b="0" i="0">
                    <a:solidFill>
                      <a:srgbClr val="000000"/>
                    </a:solidFill>
                    <a:latin typeface="Calibri"/>
                  </a:rPr>
                  <a:t>Abscisas (m)</a:t>
                </a:r>
              </a:p>
            </c:rich>
          </c:tx>
          <c:layout>
            <c:manualLayout>
              <c:xMode val="edge"/>
              <c:yMode val="edge"/>
              <c:x val="0.46254560081056795"/>
              <c:y val="0.89917939744711395"/>
            </c:manualLayout>
          </c:layout>
          <c:overlay val="0"/>
        </c:title>
        <c:numFmt formatCode="&quot;K&quot;0&quot;+&quot;000.000" sourceLinked="1"/>
        <c:majorTickMark val="none"/>
        <c:minorTickMark val="none"/>
        <c:tickLblPos val="nextTo"/>
        <c:spPr>
          <a:ln/>
        </c:spPr>
        <c:txPr>
          <a:bodyPr rot="540000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CO"/>
          </a:p>
        </c:txPr>
        <c:crossAx val="1798470466"/>
        <c:crosses val="autoZero"/>
        <c:crossBetween val="midCat"/>
        <c:majorUnit val="100"/>
        <c:minorUnit val="20"/>
      </c:valAx>
      <c:valAx>
        <c:axId val="1798470466"/>
        <c:scaling>
          <c:orientation val="minMax"/>
          <c:max val="166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419" sz="1400" b="0" i="0">
                    <a:solidFill>
                      <a:srgbClr val="000000"/>
                    </a:solidFill>
                    <a:latin typeface="Calibri"/>
                  </a:rPr>
                  <a:t>Altura (m.s.n.m)</a:t>
                </a:r>
              </a:p>
            </c:rich>
          </c:tx>
          <c:layout>
            <c:manualLayout>
              <c:xMode val="edge"/>
              <c:yMode val="edge"/>
              <c:x val="3.5411515070864708E-2"/>
              <c:y val="0.37843834515678304"/>
            </c:manualLayout>
          </c:layout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CO"/>
          </a:p>
        </c:txPr>
        <c:crossAx val="349908498"/>
        <c:crosses val="autoZero"/>
        <c:crossBetween val="midCat"/>
        <c:majorUnit val="50"/>
      </c:valAx>
    </c:plotArea>
    <c:legend>
      <c:legendPos val="b"/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Calibri"/>
            </a:defRPr>
          </a:pPr>
          <a:endParaRPr lang="en-CO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828675</xdr:colOff>
      <xdr:row>7</xdr:row>
      <xdr:rowOff>133349</xdr:rowOff>
    </xdr:from>
    <xdr:to>
      <xdr:col>16</xdr:col>
      <xdr:colOff>666750</xdr:colOff>
      <xdr:row>28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31626D-A176-49BE-7F2C-56D92F4D7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46263</xdr:colOff>
      <xdr:row>45</xdr:row>
      <xdr:rowOff>153761</xdr:rowOff>
    </xdr:from>
    <xdr:to>
      <xdr:col>22</xdr:col>
      <xdr:colOff>651516</xdr:colOff>
      <xdr:row>82</xdr:row>
      <xdr:rowOff>63040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3E2774-CA6E-6819-26EC-FB9E41AED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6013" y="9488261"/>
          <a:ext cx="13014967" cy="7461243"/>
        </a:xfrm>
        <a:prstGeom prst="rect">
          <a:avLst/>
        </a:prstGeom>
      </xdr:spPr>
    </xdr:pic>
    <xdr:clientData/>
  </xdr:twoCellAnchor>
  <xdr:twoCellAnchor editAs="oneCell">
    <xdr:from>
      <xdr:col>7</xdr:col>
      <xdr:colOff>559253</xdr:colOff>
      <xdr:row>83</xdr:row>
      <xdr:rowOff>176893</xdr:rowOff>
    </xdr:from>
    <xdr:to>
      <xdr:col>27</xdr:col>
      <xdr:colOff>459656</xdr:colOff>
      <xdr:row>120</xdr:row>
      <xdr:rowOff>90253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0F95EDA-C619-65D5-3E23-91392AE49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7146" y="17267464"/>
          <a:ext cx="13085724" cy="7465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219075</xdr:colOff>
      <xdr:row>36</xdr:row>
      <xdr:rowOff>180975</xdr:rowOff>
    </xdr:from>
    <xdr:ext cx="9191625" cy="5086350"/>
    <xdr:graphicFrame macro="">
      <xdr:nvGraphicFramePr>
        <xdr:cNvPr id="2062514276" name="Chart 1" title="Gráfico">
          <a:extLst>
            <a:ext uri="{FF2B5EF4-FFF2-40B4-BE49-F238E27FC236}">
              <a16:creationId xmlns:a16="http://schemas.microsoft.com/office/drawing/2014/main" id="{00000000-0008-0000-0500-00006478E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276225</xdr:colOff>
      <xdr:row>62</xdr:row>
      <xdr:rowOff>19050</xdr:rowOff>
    </xdr:from>
    <xdr:ext cx="9820275" cy="5572125"/>
    <xdr:graphicFrame macro="">
      <xdr:nvGraphicFramePr>
        <xdr:cNvPr id="68647346" name="Chart 2" title="Gráfico">
          <a:extLst>
            <a:ext uri="{FF2B5EF4-FFF2-40B4-BE49-F238E27FC236}">
              <a16:creationId xmlns:a16="http://schemas.microsoft.com/office/drawing/2014/main" id="{00000000-0008-0000-0500-0000B2791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0</xdr:col>
      <xdr:colOff>0</xdr:colOff>
      <xdr:row>0</xdr:row>
      <xdr:rowOff>0</xdr:rowOff>
    </xdr:from>
    <xdr:to>
      <xdr:col>9</xdr:col>
      <xdr:colOff>400050</xdr:colOff>
      <xdr:row>47</xdr:row>
      <xdr:rowOff>123825</xdr:rowOff>
    </xdr:to>
    <xdr:sp macro="" textlink="">
      <xdr:nvSpPr>
        <xdr:cNvPr id="6146" name="Text Box 2" hidden="1">
          <a:extLst>
            <a:ext uri="{FF2B5EF4-FFF2-40B4-BE49-F238E27FC236}">
              <a16:creationId xmlns:a16="http://schemas.microsoft.com/office/drawing/2014/main" id="{00000000-0008-0000-0500-000002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12"/>
  <sheetViews>
    <sheetView showGridLines="0" topLeftCell="I4" workbookViewId="0">
      <selection activeCell="V8" sqref="V8"/>
    </sheetView>
  </sheetViews>
  <sheetFormatPr baseColWidth="10" defaultColWidth="12.6640625" defaultRowHeight="15" customHeight="1" x14ac:dyDescent="0.15"/>
  <cols>
    <col min="1" max="1" width="5" customWidth="1"/>
    <col min="2" max="2" width="10" customWidth="1"/>
    <col min="3" max="3" width="11.83203125" bestFit="1" customWidth="1"/>
    <col min="4" max="4" width="10" customWidth="1"/>
    <col min="5" max="5" width="9.6640625" customWidth="1"/>
    <col min="6" max="8" width="10" customWidth="1"/>
    <col min="9" max="9" width="8.1640625" customWidth="1"/>
    <col min="10" max="10" width="9.5" customWidth="1"/>
    <col min="11" max="11" width="11.1640625" customWidth="1"/>
    <col min="12" max="12" width="13.1640625" customWidth="1"/>
    <col min="14" max="24" width="10" customWidth="1"/>
    <col min="26" max="26" width="10" customWidth="1"/>
    <col min="27" max="27" width="9.33203125" customWidth="1"/>
    <col min="28" max="42" width="3.5" hidden="1" customWidth="1"/>
    <col min="43" max="44" width="0.1640625" hidden="1" customWidth="1"/>
  </cols>
  <sheetData>
    <row r="1" spans="1:46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1"/>
      <c r="AA1" s="1"/>
      <c r="AB1" s="1"/>
      <c r="AC1" s="1"/>
      <c r="AD1" s="1"/>
      <c r="AE1" s="1"/>
      <c r="AF1" s="1"/>
      <c r="AG1" s="1"/>
      <c r="AH1" s="1"/>
      <c r="AI1" s="1"/>
      <c r="AQ1" s="2" t="s">
        <v>0</v>
      </c>
      <c r="AR1" s="2" t="s">
        <v>1</v>
      </c>
    </row>
    <row r="2" spans="1:46" ht="17" x14ac:dyDescent="0.15">
      <c r="A2" s="1"/>
      <c r="B2" s="3" t="s">
        <v>2</v>
      </c>
      <c r="C2" s="4">
        <v>40</v>
      </c>
      <c r="E2" s="5" t="s">
        <v>3</v>
      </c>
      <c r="F2" s="4">
        <v>5</v>
      </c>
      <c r="H2" s="1"/>
      <c r="I2" s="1"/>
      <c r="J2" s="1"/>
      <c r="K2" s="1"/>
      <c r="L2" s="1"/>
      <c r="P2" s="6"/>
      <c r="Q2" s="1"/>
      <c r="R2" s="6"/>
      <c r="S2" s="6"/>
      <c r="T2" s="1"/>
      <c r="U2" s="1"/>
      <c r="V2" s="1"/>
      <c r="W2" s="1"/>
      <c r="X2" s="1"/>
      <c r="Z2" s="1"/>
      <c r="AA2" s="1"/>
      <c r="AB2" s="1"/>
      <c r="AC2" s="1"/>
      <c r="AD2" s="1"/>
      <c r="AE2" s="1"/>
      <c r="AF2" s="1"/>
      <c r="AG2" s="1"/>
      <c r="AH2" s="1"/>
      <c r="AI2" s="1"/>
      <c r="AQ2" s="1">
        <f>C2+10</f>
        <v>50</v>
      </c>
      <c r="AR2" s="1">
        <f>C2+20</f>
        <v>60</v>
      </c>
    </row>
    <row r="3" spans="1:46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46" ht="15" customHeight="1" x14ac:dyDescent="0.15">
      <c r="A4" s="1"/>
      <c r="B4" s="7" t="s">
        <v>4</v>
      </c>
      <c r="C4" s="359" t="s">
        <v>5</v>
      </c>
      <c r="D4" s="360"/>
      <c r="E4" s="363" t="s">
        <v>6</v>
      </c>
      <c r="F4" s="361" t="s">
        <v>7</v>
      </c>
      <c r="G4" s="361" t="s">
        <v>8</v>
      </c>
      <c r="H4" s="361" t="s">
        <v>9</v>
      </c>
      <c r="I4" s="361" t="s">
        <v>10</v>
      </c>
      <c r="J4" s="361" t="s">
        <v>11</v>
      </c>
      <c r="K4" s="8" t="s">
        <v>12</v>
      </c>
      <c r="L4" s="9" t="s">
        <v>13</v>
      </c>
      <c r="M4" s="361" t="s">
        <v>14</v>
      </c>
      <c r="N4" s="361" t="s">
        <v>15</v>
      </c>
      <c r="O4" s="361" t="s">
        <v>16</v>
      </c>
      <c r="P4" s="361" t="s">
        <v>17</v>
      </c>
      <c r="Q4" s="361" t="s">
        <v>18</v>
      </c>
      <c r="R4" s="361" t="s">
        <v>19</v>
      </c>
      <c r="S4" s="361" t="s">
        <v>20</v>
      </c>
      <c r="T4" s="361" t="s">
        <v>21</v>
      </c>
      <c r="U4" s="361" t="s">
        <v>22</v>
      </c>
      <c r="V4" s="361" t="s">
        <v>23</v>
      </c>
      <c r="W4" s="359" t="s">
        <v>24</v>
      </c>
      <c r="X4" s="360"/>
      <c r="AA4" s="1"/>
      <c r="AB4" s="1"/>
      <c r="AC4" s="1"/>
      <c r="AD4" s="1"/>
      <c r="AE4" s="1"/>
      <c r="AF4" s="1"/>
      <c r="AG4" s="1"/>
      <c r="AH4" s="1"/>
      <c r="AI4" s="1"/>
    </row>
    <row r="5" spans="1:46" x14ac:dyDescent="0.15">
      <c r="A5" s="1"/>
      <c r="B5" s="10"/>
      <c r="C5" s="5" t="s">
        <v>25</v>
      </c>
      <c r="D5" s="5" t="s">
        <v>26</v>
      </c>
      <c r="E5" s="362"/>
      <c r="F5" s="362"/>
      <c r="G5" s="362"/>
      <c r="H5" s="362"/>
      <c r="I5" s="362"/>
      <c r="J5" s="362"/>
      <c r="K5" s="5" t="s">
        <v>27</v>
      </c>
      <c r="L5" s="5" t="s">
        <v>28</v>
      </c>
      <c r="M5" s="362"/>
      <c r="N5" s="362"/>
      <c r="O5" s="362"/>
      <c r="P5" s="362"/>
      <c r="Q5" s="362"/>
      <c r="R5" s="362"/>
      <c r="S5" s="362"/>
      <c r="T5" s="362"/>
      <c r="U5" s="362"/>
      <c r="V5" s="362"/>
      <c r="W5" s="11" t="s">
        <v>29</v>
      </c>
      <c r="X5" s="11" t="s">
        <v>30</v>
      </c>
      <c r="AA5" s="1"/>
      <c r="AB5" s="1"/>
      <c r="AC5" s="1"/>
      <c r="AD5" s="1"/>
      <c r="AE5" s="1"/>
      <c r="AF5" s="1"/>
      <c r="AG5" s="1"/>
      <c r="AH5" s="1"/>
      <c r="AI5" s="1"/>
    </row>
    <row r="6" spans="1:46" x14ac:dyDescent="0.15">
      <c r="A6" s="1"/>
      <c r="B6" s="12" t="s">
        <v>31</v>
      </c>
      <c r="C6" s="69">
        <v>1190813.004</v>
      </c>
      <c r="D6" s="13">
        <v>837789.62</v>
      </c>
      <c r="E6" s="13">
        <v>1644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14"/>
      <c r="W6" s="15">
        <v>0</v>
      </c>
      <c r="X6" s="16"/>
      <c r="AA6" s="17"/>
      <c r="AB6" s="6"/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T6" s="6"/>
    </row>
    <row r="7" spans="1:46" x14ac:dyDescent="0.15">
      <c r="A7" s="1"/>
      <c r="B7" s="18"/>
      <c r="C7" s="4"/>
      <c r="D7" s="4"/>
      <c r="E7" s="4"/>
      <c r="F7" s="69">
        <f>SQRT((C8-C6)^2+(D8-D6)^2)</f>
        <v>195.0476127001082</v>
      </c>
      <c r="G7" s="70">
        <f>(E8-E6)/(F7)</f>
        <v>-1.0253906583696886E-2</v>
      </c>
      <c r="H7" s="4"/>
      <c r="I7" s="69">
        <f>MOD(360+DEGREES(ATAN2((C8-C6),(D8-D6))),360)</f>
        <v>219.23116337494073</v>
      </c>
      <c r="J7" s="13" t="str">
        <f>TEXT(ABS(I7/24), "[h]° mm' ss''")</f>
        <v>219° 13' 52''</v>
      </c>
      <c r="K7" s="4"/>
      <c r="L7" s="4"/>
      <c r="M7" s="4"/>
      <c r="N7" s="4"/>
      <c r="O7" s="4"/>
      <c r="P7" s="4"/>
      <c r="Q7" s="4"/>
      <c r="R7" s="4"/>
      <c r="S7" s="23"/>
      <c r="T7" s="20">
        <f>F7-U8</f>
        <v>161.55510333958389</v>
      </c>
      <c r="U7" s="4"/>
      <c r="V7" s="21"/>
      <c r="W7" s="22"/>
      <c r="X7" s="22"/>
      <c r="AA7" s="1"/>
      <c r="AB7" s="1"/>
      <c r="AC7" s="1"/>
      <c r="AD7" s="1"/>
      <c r="AE7" s="1"/>
      <c r="AF7" s="1"/>
      <c r="AG7" s="1"/>
      <c r="AH7" s="1"/>
      <c r="AI7" s="1"/>
    </row>
    <row r="8" spans="1:46" x14ac:dyDescent="0.15">
      <c r="A8" s="1"/>
      <c r="B8" s="12" t="s">
        <v>46</v>
      </c>
      <c r="C8" s="13">
        <v>1190661.92</v>
      </c>
      <c r="D8" s="13">
        <v>837666.26199999999</v>
      </c>
      <c r="E8" s="13">
        <v>1642</v>
      </c>
      <c r="F8" s="23"/>
      <c r="G8" s="24"/>
      <c r="H8" s="13" t="str">
        <f>IF(K8&gt;0,"Derecha","Izquierda")</f>
        <v>Izquierda</v>
      </c>
      <c r="I8" s="23"/>
      <c r="J8" s="4"/>
      <c r="K8" s="25">
        <f>I9-I7</f>
        <v>-74.434321030123812</v>
      </c>
      <c r="L8" s="26">
        <f>(ABS(K8/24))</f>
        <v>3.1014300429218253</v>
      </c>
      <c r="M8" s="13">
        <f>C2</f>
        <v>40</v>
      </c>
      <c r="N8" s="27">
        <f>ROUNDUP(((M8)^2)/(127*(0.08+(IF($M8=40,0.23,0.19)))),0)</f>
        <v>41</v>
      </c>
      <c r="O8" s="27">
        <f>DEGREES(2*ASIN(($F$2)/(2*N8)))</f>
        <v>6.9916272647797255</v>
      </c>
      <c r="P8" s="27" t="str">
        <f>TEXT(ABS(O8/24), "[h]° mm' ss''")</f>
        <v>6° 59' 30''</v>
      </c>
      <c r="Q8" s="27">
        <f>MROUND(ROUNDDOWN(O8-0.25,2),0.5)</f>
        <v>6.5</v>
      </c>
      <c r="R8" s="26">
        <f>(ABS(Q8/24))</f>
        <v>0.27083333333333331</v>
      </c>
      <c r="S8" s="27">
        <f>($F$2)/((SIN(RADIANS(Q8)/2)*2))</f>
        <v>44.097320090412232</v>
      </c>
      <c r="T8" s="28"/>
      <c r="U8" s="27">
        <f>S8*TAN((ABS(RADIANS(K8)))/2)</f>
        <v>33.492509360524302</v>
      </c>
      <c r="V8" s="27">
        <f>($F$2*ABS(K8))/(Q8)</f>
        <v>57.257170023172158</v>
      </c>
      <c r="W8" s="15">
        <f>+W6+F7-U8</f>
        <v>161.55510333958389</v>
      </c>
      <c r="X8" s="15">
        <f>W8+V8</f>
        <v>218.81227336275606</v>
      </c>
      <c r="AA8" s="29"/>
      <c r="AB8" s="1"/>
      <c r="AC8" s="1"/>
      <c r="AD8" s="1"/>
      <c r="AE8" s="1"/>
      <c r="AF8" s="1"/>
      <c r="AG8" s="1"/>
      <c r="AH8" s="1"/>
      <c r="AI8" s="1"/>
      <c r="AS8" s="30"/>
    </row>
    <row r="9" spans="1:46" x14ac:dyDescent="0.15">
      <c r="A9" s="1"/>
      <c r="B9" s="18"/>
      <c r="C9" s="4"/>
      <c r="D9" s="4"/>
      <c r="E9" s="4"/>
      <c r="F9" s="69">
        <f>SQRT((C10-C8)^2+(D10-D8)^2)</f>
        <v>305.19152260828122</v>
      </c>
      <c r="G9" s="70">
        <f>(E10-E8)/(F9)</f>
        <v>5.2426095794725881E-2</v>
      </c>
      <c r="H9" s="4"/>
      <c r="I9" s="69">
        <f>MOD(360+DEGREES(ATAN2((C10-C8),(D10-D8))),360)</f>
        <v>144.79684234481692</v>
      </c>
      <c r="J9" s="13" t="str">
        <f>TEXT(ABS(I9/24), "[h]° mm' ss''")</f>
        <v>144° 47' 49''</v>
      </c>
      <c r="K9" s="4"/>
      <c r="L9" s="4"/>
      <c r="M9" s="4"/>
      <c r="N9" s="4"/>
      <c r="O9" s="4"/>
      <c r="P9" s="4"/>
      <c r="Q9" s="4"/>
      <c r="R9" s="4"/>
      <c r="S9" s="28"/>
      <c r="T9" s="20">
        <f>F9-U10-U8</f>
        <v>188.18284446687176</v>
      </c>
      <c r="U9" s="4"/>
      <c r="V9" s="31"/>
      <c r="W9" s="23"/>
      <c r="X9" s="23"/>
      <c r="AA9" s="1"/>
      <c r="AB9" s="1"/>
      <c r="AC9" s="1"/>
      <c r="AD9" s="1"/>
      <c r="AE9" s="1"/>
      <c r="AF9" s="1"/>
      <c r="AG9" s="1"/>
      <c r="AH9" s="1"/>
      <c r="AI9" s="1"/>
    </row>
    <row r="10" spans="1:46" x14ac:dyDescent="0.15">
      <c r="A10" s="1"/>
      <c r="B10" s="12" t="s">
        <v>47</v>
      </c>
      <c r="C10" s="13">
        <v>1190412.544</v>
      </c>
      <c r="D10" s="13">
        <v>837842.19799999997</v>
      </c>
      <c r="E10" s="13">
        <v>1658</v>
      </c>
      <c r="F10" s="23"/>
      <c r="G10" s="24"/>
      <c r="H10" s="13" t="str">
        <f>IF(K10&gt;0,"Derecha","Izquierda")</f>
        <v>Derecha</v>
      </c>
      <c r="I10" s="23"/>
      <c r="J10" s="4"/>
      <c r="K10" s="25">
        <f>I11-I9</f>
        <v>91.144857097053205</v>
      </c>
      <c r="L10" s="26">
        <f>(ABS(K10/24))</f>
        <v>3.7977023790438835</v>
      </c>
      <c r="M10" s="13">
        <f>SUM(AB10:AP10)</f>
        <v>50</v>
      </c>
      <c r="N10" s="27">
        <f>ROUNDUP(((M10)^2)/(127*(0.08+(IF($M10=40,0.23,0.19)))),0)</f>
        <v>73</v>
      </c>
      <c r="O10" s="27">
        <f>DEGREES(2*ASIN(($F$2)/(2*N10)))</f>
        <v>3.9251359664228977</v>
      </c>
      <c r="P10" s="27" t="str">
        <f>TEXT(ABS(O10/24), "[h]° mm' ss''")</f>
        <v>3° 55' 30''</v>
      </c>
      <c r="Q10" s="27">
        <f>MROUND(ROUNDDOWN(O10-0.25,2),0.5)</f>
        <v>3.5</v>
      </c>
      <c r="R10" s="26">
        <f>(ABS(Q10/24))</f>
        <v>0.14583333333333334</v>
      </c>
      <c r="S10" s="27">
        <f>($F$2)/((SIN(RADIANS(Q10)/2)*2))</f>
        <v>81.863841334485116</v>
      </c>
      <c r="T10" s="28"/>
      <c r="U10" s="27">
        <f>S10*TAN((ABS(RADIANS(K10)))/2)</f>
        <v>83.516168780885153</v>
      </c>
      <c r="V10" s="27">
        <f>($F$2*ABS(K10))/(Q10)</f>
        <v>130.206938710076</v>
      </c>
      <c r="W10" s="15">
        <f>+X8+F9-U8-U10</f>
        <v>406.99511782962787</v>
      </c>
      <c r="X10" s="15">
        <f>W10+V10</f>
        <v>537.2020565397039</v>
      </c>
      <c r="AA10" s="29"/>
      <c r="AB10" s="1">
        <f>IF(AND($M8=$C$2,$F9&lt;=70),$C$2,)</f>
        <v>0</v>
      </c>
      <c r="AC10" s="1">
        <f>IF(AND($M8=$C$2,$F9&gt;70,$F9&lt;=250,ABS(K10)&lt;45),$C$2,)</f>
        <v>0</v>
      </c>
      <c r="AD10" s="1">
        <f>IF(AND($M8=$C$2,$F9&gt;70,$F9&lt;=250,ABS(K10)&gt;45),$C$2,)</f>
        <v>0</v>
      </c>
      <c r="AE10" s="1">
        <f>IF(AND($M8=$C$2,$F9&gt;250,$F9&lt;=400),$AQ$2,)</f>
        <v>50</v>
      </c>
      <c r="AF10" s="1">
        <f>IF(AND($M8=$C$2,$F9&gt;400),$AR$2,)</f>
        <v>0</v>
      </c>
      <c r="AG10" s="1">
        <f>IF(AND($M8=$AQ$2,$F9&lt;=70),$AQ$2,)</f>
        <v>0</v>
      </c>
      <c r="AH10" s="1">
        <f>IF(AND($M8=$AQ$2,$F9&gt;70,$F9&lt;=250,ABS(K10)&lt;45),$AQ$2,)</f>
        <v>0</v>
      </c>
      <c r="AI10" s="1">
        <f>IF(AND($M8=$AQ$2,$F9&gt;70,$F9&lt;=250,ABS(K10)&gt;45),$C$2,)</f>
        <v>0</v>
      </c>
      <c r="AJ10" s="2">
        <f>IF(AND($M8=$AQ$2,$F9&gt;250,$F9&lt;=400),$AQ$2,)</f>
        <v>0</v>
      </c>
      <c r="AK10" s="2">
        <f>IF(AND($M8=$AQ$2,$F9&gt;400),$AR$2,)</f>
        <v>0</v>
      </c>
      <c r="AL10" s="2">
        <f>IF(AND($M8=$AR$2,$F9&lt;=70),$AR$2,)</f>
        <v>0</v>
      </c>
      <c r="AM10" s="2">
        <f>IF(AND($M8=$AR$2,$F9&gt;70,$F9&lt;=250,ABS(K10)&lt;45),$AR$2,)</f>
        <v>0</v>
      </c>
      <c r="AN10" s="2">
        <f>IF(AND($M8=$AR$2,$F9&gt;70,$F9&lt;=250,ABS(K10)&gt;45),$AQ$2,)</f>
        <v>0</v>
      </c>
      <c r="AO10" s="2">
        <f>IF(AND($M8=$AR$2,$F9&gt;250,$F9&lt;=400),$AQ$2,)</f>
        <v>0</v>
      </c>
      <c r="AP10" s="2">
        <f>IF(AND($M8=$AR$2,$F9&gt;400),$AR$2,)</f>
        <v>0</v>
      </c>
    </row>
    <row r="11" spans="1:46" x14ac:dyDescent="0.15">
      <c r="A11" s="1"/>
      <c r="B11" s="18"/>
      <c r="C11" s="4"/>
      <c r="D11" s="4"/>
      <c r="E11" s="4"/>
      <c r="F11" s="69">
        <f>SQRT((C12-C10)^2+(D12-D10)^2)</f>
        <v>207.359813662096</v>
      </c>
      <c r="G11" s="220">
        <f>(E12-E10)/(F11)</f>
        <v>-0.12538591514346364</v>
      </c>
      <c r="H11" s="4"/>
      <c r="I11" s="69">
        <f>MOD(360+DEGREES(ATAN2((C12-C10),(D12-D10))),360)</f>
        <v>235.94169944187013</v>
      </c>
      <c r="J11" s="13" t="str">
        <f>TEXT(ABS(I11/24), "[h]° mm' ss''")</f>
        <v>235° 56' 30''</v>
      </c>
      <c r="K11" s="4"/>
      <c r="L11" s="4"/>
      <c r="M11" s="4"/>
      <c r="N11" s="4"/>
      <c r="O11" s="4"/>
      <c r="P11" s="4"/>
      <c r="Q11" s="4"/>
      <c r="R11" s="4"/>
      <c r="S11" s="28"/>
      <c r="T11" s="20">
        <f>F11-U12-U10</f>
        <v>120.68278544144039</v>
      </c>
      <c r="U11" s="4"/>
      <c r="V11" s="31"/>
      <c r="W11" s="32"/>
      <c r="X11" s="32"/>
      <c r="AA11" s="1"/>
      <c r="AB11" s="1"/>
      <c r="AC11" s="1"/>
      <c r="AD11" s="1"/>
      <c r="AE11" s="1"/>
      <c r="AF11" s="1"/>
      <c r="AG11" s="1"/>
      <c r="AH11" s="1"/>
      <c r="AI11" s="1"/>
    </row>
    <row r="12" spans="1:46" x14ac:dyDescent="0.15">
      <c r="A12" s="1"/>
      <c r="B12" s="12" t="s">
        <v>48</v>
      </c>
      <c r="C12" s="13">
        <v>1190296.415</v>
      </c>
      <c r="D12" s="13">
        <v>837670.40700000001</v>
      </c>
      <c r="E12" s="13">
        <v>1632</v>
      </c>
      <c r="F12" s="23"/>
      <c r="G12" s="24"/>
      <c r="H12" s="13" t="str">
        <f>IF(K12&gt;0,"Derecha","Izquierda")</f>
        <v>Izquierda</v>
      </c>
      <c r="I12" s="23"/>
      <c r="J12" s="4"/>
      <c r="K12" s="25">
        <f>I13-I11</f>
        <v>-4.4223184505907227</v>
      </c>
      <c r="L12" s="26">
        <f>(ABS(K12/24))</f>
        <v>0.18426326877461344</v>
      </c>
      <c r="M12" s="13">
        <f>SUM(AB12:AP12)</f>
        <v>50</v>
      </c>
      <c r="N12" s="27">
        <f>ROUNDUP(((M12)^2)/(127*(0.08+(IF($M12=40,0.23,0.19)))),0)</f>
        <v>73</v>
      </c>
      <c r="O12" s="27">
        <f>DEGREES(2*ASIN(($F$2)/(2*N12)))</f>
        <v>3.9251359664228977</v>
      </c>
      <c r="P12" s="27" t="str">
        <f>TEXT(ABS(O12/24), "[h]° mm' ss''")</f>
        <v>3° 55' 30''</v>
      </c>
      <c r="Q12" s="27">
        <f>MROUND(ROUNDDOWN(O12-0.25,2),0.5)</f>
        <v>3.5</v>
      </c>
      <c r="R12" s="26">
        <f>(ABS(Q12/24))</f>
        <v>0.14583333333333334</v>
      </c>
      <c r="S12" s="27">
        <f>($F$2)/((SIN(RADIANS(Q12)/2)*2))</f>
        <v>81.863841334485116</v>
      </c>
      <c r="T12" s="28"/>
      <c r="U12" s="27">
        <f>S12*TAN((ABS(RADIANS(K12)))/2)</f>
        <v>3.1608594397704732</v>
      </c>
      <c r="V12" s="27">
        <f>($F$2*ABS(K12))/(Q12)</f>
        <v>6.3175977865581752</v>
      </c>
      <c r="W12" s="15">
        <f>+X10+F11-U10-U12</f>
        <v>657.8848419811444</v>
      </c>
      <c r="X12" s="15">
        <f>W12+V12</f>
        <v>664.20243976770257</v>
      </c>
      <c r="AA12" s="29"/>
      <c r="AB12" s="1">
        <f>IF(AND($M10=$C$2,$F11&lt;=70),$C$2,)</f>
        <v>0</v>
      </c>
      <c r="AC12" s="1">
        <f>IF(AND($M10=$C$2,$F11&gt;70,$F11&lt;=250,ABS(K12)&lt;45),$C$2,)</f>
        <v>0</v>
      </c>
      <c r="AD12" s="1">
        <f>IF(AND($M10=$C$2,$F11&gt;70,$F11&lt;=250,ABS(K12)&gt;45),$C$2,)</f>
        <v>0</v>
      </c>
      <c r="AE12" s="1">
        <f>IF(AND($M10=$C$2,$F11&gt;250,$F11&lt;=400),$AQ$2,)</f>
        <v>0</v>
      </c>
      <c r="AF12" s="1">
        <f>IF(AND($M10=$C$2,$F11&gt;400),$AR$2,)</f>
        <v>0</v>
      </c>
      <c r="AG12" s="1">
        <f>IF(AND($M10=$AQ$2,$F11&lt;=70),$AQ$2,)</f>
        <v>0</v>
      </c>
      <c r="AH12" s="1">
        <f>IF(AND($M10=$AQ$2,$F11&gt;70,$F11&lt;=250,ABS(K12)&lt;45),$AQ$2,)</f>
        <v>50</v>
      </c>
      <c r="AI12" s="1">
        <f>IF(AND($M10=$AQ$2,$F11&gt;70,$F11&lt;=250,ABS(K12)&gt;45),$C$2,)</f>
        <v>0</v>
      </c>
      <c r="AJ12" s="2">
        <f>IF(AND($M10=$AQ$2,$F11&gt;250,$F11&lt;=400),$AQ$2,)</f>
        <v>0</v>
      </c>
      <c r="AK12" s="2">
        <f>IF(AND($M10=$AQ$2,$F11&gt;400),$AR$2,)</f>
        <v>0</v>
      </c>
      <c r="AL12" s="2">
        <f>IF(AND($M10=$AR$2,$F11&lt;=70),$AR$2,)</f>
        <v>0</v>
      </c>
      <c r="AM12" s="2">
        <f>IF(AND($M10=$AR$2,$F11&gt;70,$F11&lt;=250,ABS(K12)&lt;45),$AR$2,)</f>
        <v>0</v>
      </c>
      <c r="AN12" s="2">
        <f>IF(AND($M10=$AR$2,$F11&gt;70,$F11&lt;=250,ABS(K12)&gt;45),$AQ$2,)</f>
        <v>0</v>
      </c>
      <c r="AO12" s="2">
        <f>IF(AND($M10=$AR$2,$F11&gt;250,$F11&lt;=400),$AQ$2,)</f>
        <v>0</v>
      </c>
      <c r="AP12" s="2">
        <f>IF(AND($M10=$AR$2,$F11&gt;400),$AR$2,)</f>
        <v>0</v>
      </c>
    </row>
    <row r="13" spans="1:46" x14ac:dyDescent="0.15">
      <c r="A13" s="1"/>
      <c r="B13" s="18"/>
      <c r="C13" s="4"/>
      <c r="D13" s="4"/>
      <c r="E13" s="4"/>
      <c r="F13" s="69">
        <f>SQRT((C14-C12)^2+(D14-D12)^2)</f>
        <v>185.86424002488656</v>
      </c>
      <c r="G13" s="70">
        <f>(E14-E12)/(F13)</f>
        <v>4.3042168837474214E-2</v>
      </c>
      <c r="H13" s="4"/>
      <c r="I13" s="69">
        <f>MOD(360+DEGREES(ATAN2((C14-C12),(D14-D12))),360)</f>
        <v>231.51938099127941</v>
      </c>
      <c r="J13" s="13" t="str">
        <f>TEXT(ABS(I13/24), "[h]° mm' ss''")</f>
        <v>231° 31' 10''</v>
      </c>
      <c r="K13" s="4"/>
      <c r="L13" s="4"/>
      <c r="M13" s="4"/>
      <c r="N13" s="4"/>
      <c r="O13" s="4"/>
      <c r="P13" s="4"/>
      <c r="Q13" s="4"/>
      <c r="R13" s="4"/>
      <c r="S13" s="28"/>
      <c r="T13" s="20">
        <f>F13-U14-U12</f>
        <v>149.80072932513247</v>
      </c>
      <c r="U13" s="4"/>
      <c r="V13" s="31"/>
      <c r="W13" s="32"/>
      <c r="X13" s="32"/>
      <c r="AA13" s="1"/>
      <c r="AB13" s="1"/>
      <c r="AC13" s="1"/>
      <c r="AD13" s="1"/>
      <c r="AE13" s="1"/>
      <c r="AF13" s="1"/>
      <c r="AG13" s="1"/>
      <c r="AH13" s="1"/>
      <c r="AI13" s="1"/>
    </row>
    <row r="14" spans="1:46" x14ac:dyDescent="0.15">
      <c r="A14" s="1"/>
      <c r="B14" s="12" t="s">
        <v>49</v>
      </c>
      <c r="C14" s="13">
        <v>1190180.7609999999</v>
      </c>
      <c r="D14" s="13">
        <v>837524.90899999999</v>
      </c>
      <c r="E14" s="13">
        <v>1640</v>
      </c>
      <c r="F14" s="23"/>
      <c r="G14" s="24"/>
      <c r="H14" s="13" t="str">
        <f>IF(K14&gt;0,"Derecha","Izquierda")</f>
        <v>Izquierda</v>
      </c>
      <c r="I14" s="23"/>
      <c r="J14" s="4"/>
      <c r="K14" s="25">
        <f>I15-I13</f>
        <v>-43.792285151205903</v>
      </c>
      <c r="L14" s="26">
        <f>(ABS(K14/24))</f>
        <v>1.8246785479669125</v>
      </c>
      <c r="M14" s="13">
        <f>SUM(AB14:AP14)</f>
        <v>50</v>
      </c>
      <c r="N14" s="27">
        <f>ROUNDUP(((M14)^2)/(127*(0.08+(IF($M14=40,0.23,0.19)))),0)</f>
        <v>73</v>
      </c>
      <c r="O14" s="27">
        <f>DEGREES(2*ASIN(($F$2)/(2*N14)))</f>
        <v>3.9251359664228977</v>
      </c>
      <c r="P14" s="27" t="str">
        <f>TEXT(ABS(O14/24), "[h]° mm' ss''")</f>
        <v>3° 55' 30''</v>
      </c>
      <c r="Q14" s="27">
        <f>MROUND(ROUNDDOWN(O14-0.25,2),0.5)</f>
        <v>3.5</v>
      </c>
      <c r="R14" s="26">
        <f>(ABS(Q14/24))</f>
        <v>0.14583333333333334</v>
      </c>
      <c r="S14" s="27">
        <f>($F$2)/((SIN(RADIANS(Q14)/2)*2))</f>
        <v>81.863841334485116</v>
      </c>
      <c r="T14" s="28"/>
      <c r="U14" s="27">
        <f>S14*TAN((ABS(RADIANS(K14)))/2)</f>
        <v>32.902651259983628</v>
      </c>
      <c r="V14" s="27">
        <f>($F$2*ABS(K14))/(Q14)</f>
        <v>62.560407358865575</v>
      </c>
      <c r="W14" s="15">
        <f>+X12+F13-U12-U14</f>
        <v>814.00316909283515</v>
      </c>
      <c r="X14" s="15">
        <f>W14+V14</f>
        <v>876.56357645170078</v>
      </c>
      <c r="AA14" s="29"/>
      <c r="AB14" s="1">
        <f>IF(AND($M12=$C$2,$F13&lt;=70),$C$2,)</f>
        <v>0</v>
      </c>
      <c r="AC14" s="1">
        <f>IF(AND($M12=$C$2,$F13&gt;70,$F13&lt;=250,ABS(K14)&lt;45),$C$2,)</f>
        <v>0</v>
      </c>
      <c r="AD14" s="1">
        <f>IF(AND($M12=$C$2,$F13&gt;70,$F13&lt;=250,ABS(K14)&gt;45),$C$2,)</f>
        <v>0</v>
      </c>
      <c r="AE14" s="1">
        <f>IF(AND($M12=$C$2,$F13&gt;250,$F13&lt;=400),$AQ$2,)</f>
        <v>0</v>
      </c>
      <c r="AF14" s="1">
        <f>IF(AND($M12=$C$2,$F13&gt;400),$AR$2,)</f>
        <v>0</v>
      </c>
      <c r="AG14" s="1">
        <f>IF(AND($M12=$AQ$2,$F13&lt;=70),$AQ$2,)</f>
        <v>0</v>
      </c>
      <c r="AH14" s="1">
        <f>IF(AND($M12=$AQ$2,$F13&gt;70,$F13&lt;=250,ABS(K14)&lt;45),$AQ$2,)</f>
        <v>50</v>
      </c>
      <c r="AI14" s="1">
        <f>IF(AND($M12=$AQ$2,$F13&gt;70,$F13&lt;=250,ABS(K14)&gt;45),$C$2,)</f>
        <v>0</v>
      </c>
      <c r="AJ14" s="2">
        <f>IF(AND($M12=$AQ$2,$F13&gt;250,$F13&lt;=400),$AQ$2,)</f>
        <v>0</v>
      </c>
      <c r="AK14" s="2">
        <f>IF(AND($M12=$AQ$2,$F13&gt;400),$AR$2,)</f>
        <v>0</v>
      </c>
      <c r="AL14" s="2">
        <f>IF(AND($M12=$AR$2,$F13&lt;=70),$AR$2,)</f>
        <v>0</v>
      </c>
      <c r="AM14" s="2">
        <f>IF(AND($M12=$AR$2,$F13&gt;70,$F13&lt;=250,ABS(K14)&lt;45),$AR$2,)</f>
        <v>0</v>
      </c>
      <c r="AN14" s="2">
        <f>IF(AND($M12=$AR$2,$F13&gt;70,$F13&lt;=250,ABS(K14)&gt;45),$AQ$2,)</f>
        <v>0</v>
      </c>
      <c r="AO14" s="2">
        <f>IF(AND($M12=$AR$2,$F13&gt;250,$F13&lt;=400),$AQ$2,)</f>
        <v>0</v>
      </c>
      <c r="AP14" s="2">
        <f>IF(AND($M12=$AR$2,$F13&gt;400),$AR$2,)</f>
        <v>0</v>
      </c>
    </row>
    <row r="15" spans="1:46" x14ac:dyDescent="0.15">
      <c r="A15" s="1"/>
      <c r="B15" s="18"/>
      <c r="C15" s="4"/>
      <c r="D15" s="4"/>
      <c r="E15" s="4"/>
      <c r="F15" s="69">
        <f>SQRT((C16-C14)^2+(D16-D14)^2)</f>
        <v>354.97426383465012</v>
      </c>
      <c r="G15" s="70">
        <f>(E16-E14)/(F15)</f>
        <v>-6.1976324036403317E-2</v>
      </c>
      <c r="H15" s="4"/>
      <c r="I15" s="69">
        <f>MOD(360+DEGREES(ATAN2((C16-C14),(D16-D14))),360)</f>
        <v>187.7270958400735</v>
      </c>
      <c r="J15" s="13" t="str">
        <f>TEXT(ABS(I15/24), "[h]° mm' ss''")</f>
        <v>187° 43' 38''</v>
      </c>
      <c r="K15" s="4"/>
      <c r="L15" s="4"/>
      <c r="M15" s="4"/>
      <c r="N15" s="4"/>
      <c r="O15" s="4"/>
      <c r="P15" s="4"/>
      <c r="Q15" s="4"/>
      <c r="R15" s="4"/>
      <c r="S15" s="28"/>
      <c r="T15" s="20">
        <f>F15-U16-U14</f>
        <v>272.64118275448959</v>
      </c>
      <c r="U15" s="4"/>
      <c r="V15" s="31"/>
      <c r="W15" s="32"/>
      <c r="X15" s="32"/>
      <c r="AA15" s="1"/>
      <c r="AB15" s="1"/>
      <c r="AC15" s="1"/>
      <c r="AD15" s="1"/>
      <c r="AE15" s="1"/>
      <c r="AF15" s="1"/>
      <c r="AG15" s="1"/>
      <c r="AH15" s="1"/>
      <c r="AI15" s="1"/>
    </row>
    <row r="16" spans="1:46" x14ac:dyDescent="0.15">
      <c r="A16" s="1"/>
      <c r="B16" s="12" t="s">
        <v>50</v>
      </c>
      <c r="C16" s="13">
        <v>1189829.01</v>
      </c>
      <c r="D16" s="13">
        <v>837477.18099999998</v>
      </c>
      <c r="E16" s="13">
        <v>1618</v>
      </c>
      <c r="F16" s="23"/>
      <c r="G16" s="24"/>
      <c r="H16" s="13" t="str">
        <f>IF(K16&gt;0,"Derecha","Izquierda")</f>
        <v>Izquierda</v>
      </c>
      <c r="I16" s="23"/>
      <c r="J16" s="4"/>
      <c r="K16" s="25">
        <f>I17-I15</f>
        <v>-62.248227966875163</v>
      </c>
      <c r="L16" s="26">
        <f>(ABS(K16/24))</f>
        <v>2.5936761652864653</v>
      </c>
      <c r="M16" s="13">
        <f>SUM(AB16:AP16)</f>
        <v>50</v>
      </c>
      <c r="N16" s="27">
        <f>ROUNDUP(((M16)^2)/(127*(0.08+(IF($M16=40,0.23,0.19)))),0)</f>
        <v>73</v>
      </c>
      <c r="O16" s="27">
        <f>DEGREES(2*ASIN(($F$2)/(2*N16)))</f>
        <v>3.9251359664228977</v>
      </c>
      <c r="P16" s="27" t="str">
        <f>TEXT(ABS(O16/24), "[h]° mm' ss''")</f>
        <v>3° 55' 30''</v>
      </c>
      <c r="Q16" s="27">
        <f>MROUND(ROUNDDOWN(O16-0.25,2),0.5)</f>
        <v>3.5</v>
      </c>
      <c r="R16" s="26">
        <f>(ABS(Q16/24))</f>
        <v>0.14583333333333334</v>
      </c>
      <c r="S16" s="27">
        <f>($F$2)/((SIN(RADIANS(Q16)/2)*2))</f>
        <v>81.863841334485116</v>
      </c>
      <c r="T16" s="28"/>
      <c r="U16" s="27">
        <f>S16*TAN((ABS(RADIANS(K16)))/2)</f>
        <v>49.430429820176869</v>
      </c>
      <c r="V16" s="27">
        <f>($F$2*ABS(K16))/(Q16)</f>
        <v>88.926039952678806</v>
      </c>
      <c r="W16" s="15">
        <f>+X14+F15-U14-U16</f>
        <v>1149.2047592061904</v>
      </c>
      <c r="X16" s="15">
        <f>W16+V16</f>
        <v>1238.1307991588692</v>
      </c>
      <c r="AA16" s="29"/>
      <c r="AB16" s="1">
        <f>IF(AND($M14=$C$2,$F15&lt;=70),$C$2,)</f>
        <v>0</v>
      </c>
      <c r="AC16" s="1">
        <f>IF(AND($M14=$C$2,$F15&gt;70,$F15&lt;=250,ABS(K16)&lt;45),$C$2,)</f>
        <v>0</v>
      </c>
      <c r="AD16" s="1">
        <f>IF(AND($M14=$C$2,$F15&gt;70,$F15&lt;=250,ABS(K16)&gt;45),$C$2,)</f>
        <v>0</v>
      </c>
      <c r="AE16" s="1">
        <f>IF(AND($M14=$C$2,$F15&gt;250,$F15&lt;=400),$AQ$2,)</f>
        <v>0</v>
      </c>
      <c r="AF16" s="1">
        <f>IF(AND($M14=$C$2,$F15&gt;400),$AR$2,)</f>
        <v>0</v>
      </c>
      <c r="AG16" s="1">
        <f>IF(AND($M14=$AQ$2,$F15&lt;=70),$AQ$2,)</f>
        <v>0</v>
      </c>
      <c r="AH16" s="1">
        <f>IF(AND($M14=$AQ$2,$F15&gt;70,$F15&lt;=250,ABS(K16)&lt;45),$AQ$2,)</f>
        <v>0</v>
      </c>
      <c r="AI16" s="1">
        <f>IF(AND($M14=$AQ$2,$F15&gt;70,$F15&lt;=250,ABS(K16)&gt;45),$C$2,)</f>
        <v>0</v>
      </c>
      <c r="AJ16" s="2">
        <f>IF(AND($M14=$AQ$2,$F15&gt;250,$F15&lt;=400),$AQ$2,)</f>
        <v>50</v>
      </c>
      <c r="AK16" s="2">
        <f>IF(AND($M14=$AQ$2,$F15&gt;400),$AR$2,)</f>
        <v>0</v>
      </c>
      <c r="AL16" s="2">
        <f>IF(AND($M14=$AR$2,$F15&lt;=70),$AR$2,)</f>
        <v>0</v>
      </c>
      <c r="AM16" s="2">
        <f>IF(AND($M14=$AR$2,$F15&gt;70,$F15&lt;=250,ABS(K16)&lt;45),$AR$2,)</f>
        <v>0</v>
      </c>
      <c r="AN16" s="2">
        <f>IF(AND($M14=$AR$2,$F15&gt;70,$F15&lt;=250,ABS(K16)&gt;45),$AQ$2,)</f>
        <v>0</v>
      </c>
      <c r="AO16" s="2">
        <f>IF(AND($M14=$AR$2,$F15&gt;250,$F15&lt;=400),$AQ$2,)</f>
        <v>0</v>
      </c>
      <c r="AP16" s="2">
        <f>IF(AND($M14=$AR$2,$F15&gt;400),$AR$2,)</f>
        <v>0</v>
      </c>
    </row>
    <row r="17" spans="1:42" x14ac:dyDescent="0.15">
      <c r="A17" s="1"/>
      <c r="B17" s="18"/>
      <c r="C17" s="4"/>
      <c r="D17" s="4"/>
      <c r="E17" s="4"/>
      <c r="F17" s="69">
        <f>SQRT((C18-C16)^2+(D18-D16)^2)</f>
        <v>186.87027017691082</v>
      </c>
      <c r="G17" s="70">
        <f>(E18-E16)/(F17)</f>
        <v>8.5620896169587263E-2</v>
      </c>
      <c r="H17" s="4"/>
      <c r="I17" s="69">
        <f>MOD(360+DEGREES(ATAN2((C18-C16),(D18-D16))),360)</f>
        <v>125.47886787319834</v>
      </c>
      <c r="J17" s="13" t="str">
        <f>TEXT(ABS(I17/24), "[h]° mm' ss''")</f>
        <v>125° 28' 44''</v>
      </c>
      <c r="K17" s="4"/>
      <c r="L17" s="4"/>
      <c r="M17" s="4"/>
      <c r="N17" s="4"/>
      <c r="O17" s="4"/>
      <c r="P17" s="4"/>
      <c r="Q17" s="4"/>
      <c r="R17" s="4"/>
      <c r="S17" s="28"/>
      <c r="T17" s="20">
        <f>F17-U18-U16</f>
        <v>105.36089976751137</v>
      </c>
      <c r="U17" s="4"/>
      <c r="V17" s="31"/>
      <c r="W17" s="33"/>
      <c r="X17" s="33"/>
      <c r="AA17" s="1"/>
      <c r="AB17" s="1"/>
      <c r="AC17" s="1"/>
      <c r="AD17" s="1"/>
      <c r="AE17" s="1"/>
      <c r="AF17" s="1"/>
      <c r="AG17" s="1"/>
      <c r="AH17" s="1"/>
      <c r="AI17" s="1"/>
    </row>
    <row r="18" spans="1:42" x14ac:dyDescent="0.15">
      <c r="A18" s="1"/>
      <c r="B18" s="12" t="s">
        <v>51</v>
      </c>
      <c r="C18" s="13">
        <v>1189720.55</v>
      </c>
      <c r="D18" s="13">
        <v>837629.35499999998</v>
      </c>
      <c r="E18" s="13">
        <v>1634</v>
      </c>
      <c r="F18" s="23"/>
      <c r="G18" s="24"/>
      <c r="H18" s="13" t="str">
        <f>IF(K18&gt;0,"Derecha","Izquierda")</f>
        <v>Derecha</v>
      </c>
      <c r="I18" s="23"/>
      <c r="J18" s="4"/>
      <c r="K18" s="25">
        <f>I19-I17</f>
        <v>42.79618007917594</v>
      </c>
      <c r="L18" s="26">
        <f>(ABS(K18/24))</f>
        <v>1.7831741699656642</v>
      </c>
      <c r="M18" s="13">
        <f>SUM(AB18:AP18)</f>
        <v>50</v>
      </c>
      <c r="N18" s="27">
        <f>ROUNDUP(((M18)^2)/(127*(0.08+(IF($M18=40,0.23,0.19)))),0)</f>
        <v>73</v>
      </c>
      <c r="O18" s="27">
        <f>DEGREES(2*ASIN(($F$2)/(2*N18)))</f>
        <v>3.9251359664228977</v>
      </c>
      <c r="P18" s="27" t="str">
        <f>TEXT(ABS(O18/24), "[h]° mm' ss''")</f>
        <v>3° 55' 30''</v>
      </c>
      <c r="Q18" s="27">
        <f>MROUND(ROUNDDOWN(O18-0.25,2),0.5)</f>
        <v>3.5</v>
      </c>
      <c r="R18" s="26">
        <f>(ABS(Q18/24))</f>
        <v>0.14583333333333334</v>
      </c>
      <c r="S18" s="27">
        <f>($F$2)/((SIN(RADIANS(Q18)/2)*2))</f>
        <v>81.863841334485116</v>
      </c>
      <c r="T18" s="28"/>
      <c r="U18" s="27">
        <f>S18*TAN((ABS(RADIANS(K18)))/2)</f>
        <v>32.078940589222576</v>
      </c>
      <c r="V18" s="27">
        <f>($F$2*ABS(K18))/(Q18)</f>
        <v>61.137400113108484</v>
      </c>
      <c r="W18" s="15">
        <f>+X16+F17-U16-U18</f>
        <v>1343.4916989263804</v>
      </c>
      <c r="X18" s="15">
        <f>W18+V18</f>
        <v>1404.6290990394889</v>
      </c>
      <c r="AA18" s="29"/>
      <c r="AB18" s="1">
        <f>IF(AND($M16=$C$2,$F17&lt;=70),$C$2,)</f>
        <v>0</v>
      </c>
      <c r="AC18" s="1">
        <f>IF(AND($M16=$C$2,$F17&gt;70,$F17&lt;=250,ABS(K18)&lt;45),$C$2,)</f>
        <v>0</v>
      </c>
      <c r="AD18" s="1">
        <f>IF(AND($M16=$C$2,$F17&gt;70,$F17&lt;=250,ABS(K18)&gt;45),$C$2,)</f>
        <v>0</v>
      </c>
      <c r="AE18" s="1">
        <f>IF(AND($M16=$C$2,$F17&gt;250,$F17&lt;=400),$AQ$2,)</f>
        <v>0</v>
      </c>
      <c r="AF18" s="1">
        <f>IF(AND($M16=$C$2,$F17&gt;400),$AR$2,)</f>
        <v>0</v>
      </c>
      <c r="AG18" s="1">
        <f>IF(AND($M16=$AQ$2,$F17&lt;=70),$AQ$2,)</f>
        <v>0</v>
      </c>
      <c r="AH18" s="1">
        <f>IF(AND($M16=$AQ$2,$F17&gt;70,$F17&lt;=250,ABS(K18)&lt;45),$AQ$2,)</f>
        <v>50</v>
      </c>
      <c r="AI18" s="1">
        <f>IF(AND($M16=$AQ$2,$F17&gt;70,$F17&lt;=250,ABS(K18)&gt;45),$C$2,)</f>
        <v>0</v>
      </c>
      <c r="AJ18" s="2">
        <f>IF(AND($M16=$AQ$2,$F17&gt;250,$F17&lt;=400),$AQ$2,)</f>
        <v>0</v>
      </c>
      <c r="AK18" s="2">
        <f>IF(AND($M16=$AQ$2,$F17&gt;400),$AR$2,)</f>
        <v>0</v>
      </c>
      <c r="AL18" s="2">
        <f>IF(AND($M16=$AR$2,$F17&lt;=70),$AR$2,)</f>
        <v>0</v>
      </c>
      <c r="AM18" s="2">
        <f>IF(AND($M16=$AR$2,$F17&gt;70,$F17&lt;=250,ABS(K18)&lt;45),$AR$2,)</f>
        <v>0</v>
      </c>
      <c r="AN18" s="2">
        <f>IF(AND($M16=$AR$2,$F17&gt;70,$F17&lt;=250,ABS(K18)&gt;45),$AQ$2,)</f>
        <v>0</v>
      </c>
      <c r="AO18" s="2">
        <f>IF(AND($M16=$AR$2,$F17&gt;250,$F17&lt;=400),$AQ$2,)</f>
        <v>0</v>
      </c>
      <c r="AP18" s="2">
        <f>IF(AND($M16=$AR$2,$F17&gt;400),$AR$2,)</f>
        <v>0</v>
      </c>
    </row>
    <row r="19" spans="1:42" x14ac:dyDescent="0.15">
      <c r="A19" s="1"/>
      <c r="B19" s="18"/>
      <c r="C19" s="4"/>
      <c r="D19" s="4"/>
      <c r="E19" s="4"/>
      <c r="F19" s="69">
        <f>SQRT((C20-C18)^2+(D20-D18)^2)</f>
        <v>152.18952501730061</v>
      </c>
      <c r="G19" s="70">
        <f>(E20-E18)/(F19)</f>
        <v>3.9424526749248553E-2</v>
      </c>
      <c r="H19" s="4"/>
      <c r="I19" s="69">
        <f>MOD(360+DEGREES(ATAN2((C20-C18),(D20-D18))),360)</f>
        <v>168.27504795237428</v>
      </c>
      <c r="J19" s="13" t="str">
        <f>TEXT(ABS(I19/24), "[h]° mm' ss''")</f>
        <v>168° 16' 30''</v>
      </c>
      <c r="K19" s="4"/>
      <c r="L19" s="4"/>
      <c r="M19" s="4"/>
      <c r="N19" s="4"/>
      <c r="O19" s="4"/>
      <c r="P19" s="4"/>
      <c r="Q19" s="4"/>
      <c r="R19" s="4"/>
      <c r="S19" s="28"/>
      <c r="T19" s="20">
        <f>F19-U20-U18</f>
        <v>114.69934891785311</v>
      </c>
      <c r="U19" s="4"/>
      <c r="V19" s="31"/>
      <c r="W19" s="33"/>
      <c r="X19" s="33"/>
      <c r="AA19" s="1"/>
      <c r="AB19" s="1"/>
      <c r="AC19" s="1"/>
      <c r="AD19" s="1"/>
      <c r="AE19" s="1"/>
      <c r="AF19" s="1"/>
      <c r="AG19" s="1"/>
      <c r="AH19" s="1"/>
      <c r="AI19" s="1"/>
    </row>
    <row r="20" spans="1:42" x14ac:dyDescent="0.15">
      <c r="A20" s="1"/>
      <c r="B20" s="12" t="s">
        <v>52</v>
      </c>
      <c r="C20" s="13">
        <v>1189571.5360000001</v>
      </c>
      <c r="D20" s="13">
        <v>837660.28200000001</v>
      </c>
      <c r="E20" s="13">
        <v>1640</v>
      </c>
      <c r="F20" s="23"/>
      <c r="G20" s="24"/>
      <c r="H20" s="13" t="str">
        <f>IF(K20&gt;0,"Derecha","Izquierda")</f>
        <v>Derecha</v>
      </c>
      <c r="I20" s="23"/>
      <c r="J20" s="4"/>
      <c r="K20" s="25">
        <f>I21-I19</f>
        <v>7.5635489637913906</v>
      </c>
      <c r="L20" s="26">
        <f>(ABS(K20/24))</f>
        <v>0.31514787349130796</v>
      </c>
      <c r="M20" s="13">
        <f>SUM(AB20:AP20)</f>
        <v>50</v>
      </c>
      <c r="N20" s="27">
        <f>ROUNDUP(((M20)^2)/(127*(0.08+(IF($M20=40,0.23,0.19)))),0)</f>
        <v>73</v>
      </c>
      <c r="O20" s="27">
        <f>DEGREES(2*ASIN(($F$2)/(2*N20)))</f>
        <v>3.9251359664228977</v>
      </c>
      <c r="P20" s="27" t="str">
        <f>TEXT(ABS(O20/24), "[h]° mm' ss''")</f>
        <v>3° 55' 30''</v>
      </c>
      <c r="Q20" s="27">
        <f>MROUND(ROUNDDOWN(O20-0.25,2),0.5)</f>
        <v>3.5</v>
      </c>
      <c r="R20" s="26">
        <f>(ABS(Q20/24))</f>
        <v>0.14583333333333334</v>
      </c>
      <c r="S20" s="27">
        <f>($F$2)/((SIN(RADIANS(Q20)/2)*2))</f>
        <v>81.863841334485116</v>
      </c>
      <c r="T20" s="28"/>
      <c r="U20" s="27">
        <f>S20*TAN((ABS(RADIANS(K20)))/2)</f>
        <v>5.4112355102249232</v>
      </c>
      <c r="V20" s="27">
        <f>($F$2*ABS(K20))/(Q20)</f>
        <v>10.805069948273415</v>
      </c>
      <c r="W20" s="15">
        <f>+X18+F19-U18-U20</f>
        <v>1519.328447957342</v>
      </c>
      <c r="X20" s="15">
        <f>W20+V20</f>
        <v>1530.1335179056155</v>
      </c>
      <c r="AA20" s="29"/>
      <c r="AB20" s="1">
        <f>IF(AND($M18=$C$2,$F19&lt;=70),$C$2,)</f>
        <v>0</v>
      </c>
      <c r="AC20" s="1">
        <f>IF(AND($M18=$C$2,$F19&gt;70,$F19&lt;=250,ABS(K20)&lt;45),$C$2,)</f>
        <v>0</v>
      </c>
      <c r="AD20" s="1">
        <f>IF(AND($M18=$C$2,$F19&gt;70,$F19&lt;=250,ABS(K20)&gt;45),$C$2,)</f>
        <v>0</v>
      </c>
      <c r="AE20" s="1">
        <f>IF(AND($M18=$C$2,$F19&gt;250,$F19&lt;=400),$AQ$2,)</f>
        <v>0</v>
      </c>
      <c r="AF20" s="1">
        <f>IF(AND($M18=$C$2,$F19&gt;400),$AR$2,)</f>
        <v>0</v>
      </c>
      <c r="AG20" s="1">
        <f>IF(AND($M18=$AQ$2,$F19&lt;=70),$AQ$2,)</f>
        <v>0</v>
      </c>
      <c r="AH20" s="1">
        <f>IF(AND($M18=$AQ$2,$F19&gt;70,$F19&lt;=250,ABS(K20)&lt;45),$AQ$2,)</f>
        <v>50</v>
      </c>
      <c r="AI20" s="1">
        <f>IF(AND($M18=$AQ$2,$F19&gt;70,$F19&lt;=250,ABS(K20)&gt;45),$C$2,)</f>
        <v>0</v>
      </c>
      <c r="AJ20" s="2">
        <f>IF(AND($M18=$AQ$2,$F19&gt;250,$F19&lt;=400),$AQ$2,)</f>
        <v>0</v>
      </c>
      <c r="AK20" s="2">
        <f>IF(AND($M18=$AQ$2,$F19&gt;400),$AR$2,)</f>
        <v>0</v>
      </c>
      <c r="AL20" s="2">
        <f>IF(AND($M18=$AR$2,$F19&lt;=70),$AR$2,)</f>
        <v>0</v>
      </c>
      <c r="AM20" s="2">
        <f>IF(AND($M18=$AR$2,$F19&gt;70,$F19&lt;=250,ABS(K20)&lt;45),$AR$2,)</f>
        <v>0</v>
      </c>
      <c r="AN20" s="2">
        <f>IF(AND($M18=$AR$2,$F19&gt;70,$F19&lt;=250,ABS(K20)&gt;45),$AQ$2,)</f>
        <v>0</v>
      </c>
      <c r="AO20" s="2">
        <f>IF(AND($M18=$AR$2,$F19&gt;250,$F19&lt;=400),$AQ$2,)</f>
        <v>0</v>
      </c>
      <c r="AP20" s="2">
        <f>IF(AND($M18=$AR$2,$F19&gt;400),$AR$2,)</f>
        <v>0</v>
      </c>
    </row>
    <row r="21" spans="1:42" x14ac:dyDescent="0.15">
      <c r="A21" s="1"/>
      <c r="B21" s="18"/>
      <c r="C21" s="4"/>
      <c r="D21" s="4"/>
      <c r="E21" s="4"/>
      <c r="F21" s="69">
        <f>SQRT((C22-C20)^2+(D22-D20)^2)</f>
        <v>156.95981083076109</v>
      </c>
      <c r="G21" s="70">
        <f>(E22-E20)/(F21)</f>
        <v>6.3710576274727482E-2</v>
      </c>
      <c r="H21" s="4"/>
      <c r="I21" s="69">
        <f>MOD(360+DEGREES(ATAN2((C22-C20),(D22-D20))),360)</f>
        <v>175.83859691616567</v>
      </c>
      <c r="J21" s="13" t="str">
        <f>TEXT(ABS(I21/24), "[h]° mm' ss''")</f>
        <v>175° 50' 19''</v>
      </c>
      <c r="K21" s="4"/>
      <c r="L21" s="4"/>
      <c r="M21" s="4"/>
      <c r="N21" s="4"/>
      <c r="O21" s="4"/>
      <c r="P21" s="4"/>
      <c r="Q21" s="4"/>
      <c r="R21" s="4"/>
      <c r="S21" s="28"/>
      <c r="T21" s="20">
        <f>F21-U22-U20</f>
        <v>141.04339563277767</v>
      </c>
      <c r="U21" s="4"/>
      <c r="V21" s="31"/>
      <c r="W21" s="33"/>
      <c r="X21" s="33"/>
      <c r="AA21" s="1"/>
      <c r="AB21" s="1"/>
      <c r="AC21" s="1"/>
      <c r="AD21" s="1"/>
      <c r="AE21" s="1"/>
      <c r="AF21" s="1"/>
      <c r="AG21" s="1"/>
      <c r="AH21" s="1"/>
      <c r="AI21" s="1"/>
    </row>
    <row r="22" spans="1:42" x14ac:dyDescent="0.15">
      <c r="A22" s="1"/>
      <c r="B22" s="12" t="s">
        <v>236</v>
      </c>
      <c r="C22" s="13">
        <v>1189414.99</v>
      </c>
      <c r="D22" s="13">
        <v>837671.67200000002</v>
      </c>
      <c r="E22" s="13">
        <v>1650</v>
      </c>
      <c r="F22" s="23"/>
      <c r="G22" s="24"/>
      <c r="H22" s="13" t="str">
        <f>IF(K22&gt;0,"Derecha","Izquierda")</f>
        <v>Derecha</v>
      </c>
      <c r="I22" s="23"/>
      <c r="J22" s="4"/>
      <c r="K22" s="25">
        <f>I23-I21</f>
        <v>14.625036128137225</v>
      </c>
      <c r="L22" s="26">
        <f>(ABS(K22/24))</f>
        <v>0.60937650533905108</v>
      </c>
      <c r="M22" s="13">
        <v>50</v>
      </c>
      <c r="N22" s="27">
        <f>ROUNDUP(((M22)^2)/(127*(0.08+(IF($M22=40,0.23,0.19)))),0)</f>
        <v>73</v>
      </c>
      <c r="O22" s="27">
        <f>DEGREES(2*ASIN(($F$2)/(2*N22)))</f>
        <v>3.9251359664228977</v>
      </c>
      <c r="P22" s="27" t="str">
        <f>TEXT(ABS(O22/24), "[h]° mm' ss''")</f>
        <v>3° 55' 30''</v>
      </c>
      <c r="Q22" s="27">
        <f>MROUND(ROUNDDOWN(O22-0.25,2),0.5)</f>
        <v>3.5</v>
      </c>
      <c r="R22" s="26">
        <f>(ABS(Q22/24))</f>
        <v>0.14583333333333334</v>
      </c>
      <c r="S22" s="27">
        <f>($F$2)/((SIN(RADIANS(Q22)/2)*2))</f>
        <v>81.863841334485116</v>
      </c>
      <c r="T22" s="28"/>
      <c r="U22" s="27">
        <f>S22*TAN((ABS(RADIANS(K22)))/2)</f>
        <v>10.505179687758497</v>
      </c>
      <c r="V22" s="27">
        <f>($F$2*ABS(K22))/(Q22)</f>
        <v>20.892908754481748</v>
      </c>
      <c r="W22" s="15">
        <f>+X20+F21-U20-U22</f>
        <v>1671.1769135383931</v>
      </c>
      <c r="X22" s="15">
        <f>W22+V22</f>
        <v>1692.069822292875</v>
      </c>
      <c r="AA22" s="1"/>
      <c r="AB22" s="1"/>
      <c r="AC22" s="1"/>
      <c r="AD22" s="1"/>
      <c r="AE22" s="1"/>
      <c r="AF22" s="1"/>
      <c r="AG22" s="1"/>
      <c r="AH22" s="1"/>
      <c r="AI22" s="1"/>
    </row>
    <row r="23" spans="1:42" x14ac:dyDescent="0.15">
      <c r="A23" s="1"/>
      <c r="B23" s="18"/>
      <c r="C23" s="4"/>
      <c r="D23" s="4"/>
      <c r="E23" s="4"/>
      <c r="F23" s="69">
        <f>SQRT((C24-C22)^2+(D24-D22)^2)</f>
        <v>166.66355176822549</v>
      </c>
      <c r="G23" s="70">
        <f>(E24-E22)/(F23)</f>
        <v>1.2000224276879363E-2</v>
      </c>
      <c r="H23" s="4"/>
      <c r="I23" s="69">
        <f>MOD(360+DEGREES(ATAN2((C24-C22),(D24-D22))),360)</f>
        <v>190.4636330443029</v>
      </c>
      <c r="J23" s="13" t="str">
        <f>TEXT(ABS(I23/24), "[h]° mm' ss''")</f>
        <v>190° 27' 49''</v>
      </c>
      <c r="K23" s="4"/>
      <c r="L23" s="4"/>
      <c r="M23" s="4"/>
      <c r="N23" s="4"/>
      <c r="O23" s="4"/>
      <c r="P23" s="4"/>
      <c r="Q23" s="4"/>
      <c r="R23" s="4"/>
      <c r="S23" s="28"/>
      <c r="T23" s="20">
        <f>F23-U24-U22</f>
        <v>156.15837208046699</v>
      </c>
      <c r="U23" s="4"/>
      <c r="V23" s="31"/>
      <c r="W23" s="33"/>
      <c r="X23" s="33"/>
      <c r="AA23" s="1"/>
      <c r="AB23" s="1"/>
      <c r="AC23" s="1"/>
      <c r="AD23" s="1"/>
      <c r="AE23" s="1"/>
      <c r="AF23" s="1"/>
      <c r="AG23" s="1"/>
      <c r="AH23" s="1"/>
      <c r="AI23" s="1"/>
    </row>
    <row r="24" spans="1:42" x14ac:dyDescent="0.15">
      <c r="A24" s="1"/>
      <c r="B24" s="12" t="s">
        <v>53</v>
      </c>
      <c r="C24" s="13">
        <v>1189251.098</v>
      </c>
      <c r="D24" s="13">
        <v>837641.40399999998</v>
      </c>
      <c r="E24" s="13">
        <v>1652</v>
      </c>
      <c r="F24" s="23"/>
      <c r="G24" s="24"/>
      <c r="H24" s="13"/>
      <c r="I24" s="23"/>
      <c r="J24" s="4"/>
      <c r="K24" s="25"/>
      <c r="L24" s="26"/>
      <c r="M24" s="13"/>
      <c r="N24" s="27"/>
      <c r="O24" s="27"/>
      <c r="P24" s="27"/>
      <c r="Q24" s="27"/>
      <c r="R24" s="26"/>
      <c r="S24" s="27"/>
      <c r="T24" s="28"/>
      <c r="U24" s="27"/>
      <c r="V24" s="27"/>
      <c r="W24" s="15">
        <f>X22+T23</f>
        <v>1848.2281943733419</v>
      </c>
      <c r="X24" s="15"/>
      <c r="AA24" s="29"/>
      <c r="AB24" s="1">
        <f>IF(AND($M20=$C$2,$F21&lt;=70),$C$2,)</f>
        <v>0</v>
      </c>
      <c r="AC24" s="1">
        <f>IF(AND($M20=$C$2,$F21&gt;70,$F21&lt;=250,ABS(K24)&lt;45),$C$2,)</f>
        <v>0</v>
      </c>
      <c r="AD24" s="1">
        <f>IF(AND($M20=$C$2,$F21&gt;70,$F21&lt;=250,ABS(K24)&gt;45),$C$2,)</f>
        <v>0</v>
      </c>
      <c r="AE24" s="1">
        <f>IF(AND($M20=$C$2,$F21&gt;250,$F21&lt;=400),$AQ$2,)</f>
        <v>0</v>
      </c>
      <c r="AF24" s="1">
        <f>IF(AND($M20=$C$2,$F21&gt;400),$AR$2,)</f>
        <v>0</v>
      </c>
      <c r="AG24" s="1">
        <f>IF(AND($M20=$AQ$2,$F21&lt;=70),$AQ$2,)</f>
        <v>0</v>
      </c>
      <c r="AH24" s="1">
        <f>IF(AND($M20=$AQ$2,$F21&gt;70,$F21&lt;=250,ABS(K24)&lt;45),$AQ$2,)</f>
        <v>50</v>
      </c>
      <c r="AI24" s="1">
        <f>IF(AND($M20=$AQ$2,$F21&gt;70,$F21&lt;=250,ABS(K24)&gt;45),$C$2,)</f>
        <v>0</v>
      </c>
      <c r="AJ24" s="2">
        <f>IF(AND($M20=$AQ$2,$F21&gt;250,$F21&lt;=400),$AQ$2,)</f>
        <v>0</v>
      </c>
      <c r="AK24" s="2">
        <f>IF(AND($M20=$AQ$2,$F21&gt;400),$AR$2,)</f>
        <v>0</v>
      </c>
      <c r="AL24" s="2">
        <f>IF(AND($M20=$AR$2,$F21&lt;=70),$AR$2,)</f>
        <v>0</v>
      </c>
      <c r="AM24" s="2">
        <f>IF(AND($M20=$AR$2,$F21&gt;70,$F21&lt;=250,ABS(K24)&lt;45),$AR$2,)</f>
        <v>0</v>
      </c>
      <c r="AN24" s="2">
        <f>IF(AND($M20=$AR$2,$F21&gt;70,$F21&lt;=250,ABS(K24)&gt;45),$AQ$2,)</f>
        <v>0</v>
      </c>
      <c r="AO24" s="2">
        <f>IF(AND($M20=$AR$2,$F21&gt;250,$F21&lt;=400),$AQ$2,)</f>
        <v>0</v>
      </c>
      <c r="AP24" s="2">
        <f>IF(AND($M20=$AR$2,$F21&gt;400),$AR$2,)</f>
        <v>0</v>
      </c>
    </row>
    <row r="25" spans="1:42" x14ac:dyDescent="0.15">
      <c r="A25" s="1"/>
      <c r="B25" s="12" t="s">
        <v>54</v>
      </c>
      <c r="C25" s="13">
        <v>1190116.32</v>
      </c>
      <c r="D25" s="13">
        <v>837516.16799999995</v>
      </c>
      <c r="E25" s="1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35">
        <f>X14+32.132</f>
        <v>908.69557645170073</v>
      </c>
      <c r="X25" s="36"/>
      <c r="AA25" s="1"/>
      <c r="AB25" s="1"/>
      <c r="AC25" s="1"/>
      <c r="AD25" s="1"/>
      <c r="AE25" s="1"/>
      <c r="AF25" s="1"/>
      <c r="AG25" s="1"/>
      <c r="AH25" s="1"/>
      <c r="AI25" s="1"/>
    </row>
    <row r="26" spans="1:42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42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N27" s="1"/>
      <c r="O27" s="1"/>
      <c r="P27" s="1"/>
      <c r="Q27" s="37"/>
      <c r="R27" s="1"/>
      <c r="S27" s="1"/>
      <c r="T27" s="1"/>
      <c r="U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42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42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42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42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42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5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5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5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5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5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5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5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5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5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5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5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5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5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5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5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5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5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5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5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5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5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5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5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5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5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5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5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5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5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5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5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5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5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5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5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5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5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5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5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5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5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5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5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5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5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5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5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5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5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5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5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5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5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5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5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5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5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5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5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5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5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5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5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5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5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5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5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5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5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5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5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5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5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5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5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5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5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5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5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5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5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5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5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5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5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5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5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5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5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5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5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5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5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5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5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5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5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5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5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5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5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5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5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5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5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5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5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5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5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5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5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5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5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5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5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5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5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5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5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5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5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5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5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5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5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5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5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5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5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5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5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5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5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5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5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5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5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5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5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5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5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5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5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5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5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5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5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5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5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5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5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5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5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5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5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5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5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5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5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5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5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5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5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5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5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5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5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5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5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5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5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5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5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5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5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5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5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5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5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5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5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5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5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5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5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5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5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5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5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5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5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5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5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5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5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5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5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5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5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5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5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5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5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5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5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5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5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5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5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5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5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5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5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5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5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5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5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5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5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5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5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5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5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5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5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5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5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5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5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5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5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5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5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5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5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5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5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5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5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5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5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5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5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5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5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5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5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5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5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5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5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5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5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5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5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5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5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5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5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5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5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5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5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5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5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5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5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5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5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5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5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5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5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5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5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5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5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5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5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5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5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5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5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5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5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5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5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5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5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5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5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5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5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5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5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5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5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5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5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5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5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5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5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5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5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5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5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5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5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5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5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5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5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5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5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5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5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5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5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5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5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5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5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5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5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5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5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5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5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5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5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5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5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5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5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5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5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5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5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5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5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5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5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5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5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5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5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5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5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5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5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5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5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5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5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5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5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5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5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5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5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5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5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5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5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5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5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5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5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5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5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5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5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5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5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5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5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5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5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5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5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5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5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5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5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5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5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5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5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5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5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5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5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5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5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5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5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5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5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5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5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5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5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5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5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5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5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5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5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5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5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5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5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5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5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5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5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5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5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5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5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5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5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5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5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5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5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5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5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5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5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5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5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5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5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5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5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5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5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5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5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5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5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5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5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5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5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5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5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5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5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5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5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5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5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5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5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5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5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5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5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5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5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5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5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5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5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5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5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5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5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5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5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5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5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5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5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5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5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5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5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5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5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5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5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5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5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5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5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5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5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5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5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5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5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5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5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5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5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5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5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5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5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5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5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5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5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5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5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5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5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5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5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5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5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5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5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5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5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5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5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5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5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5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5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5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5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5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5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5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5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5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5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5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5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5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5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5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5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5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5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5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5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5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5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5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5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5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5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5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5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5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5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5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5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5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5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5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5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5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5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5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5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5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5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5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5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5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5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5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5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5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5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5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5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5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5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5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5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5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5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5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5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5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5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5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5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5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5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5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5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5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5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5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5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5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5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5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5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5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5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5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5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5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5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5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5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5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5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5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5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5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5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5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5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5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5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5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5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5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5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5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5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5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5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5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5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5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5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5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5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5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5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5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5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5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5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5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5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5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5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5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5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5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5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5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5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5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5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5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5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5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5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5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5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5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5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5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5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5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5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5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5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5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5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5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5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5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5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5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5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5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5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5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5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5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5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5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5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5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5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5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5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5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5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5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5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5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5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5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5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5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5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5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5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5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5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5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5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5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5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5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5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5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5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5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5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5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5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5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5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5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5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5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5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5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5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5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5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5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5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5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5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5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5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5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5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5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5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5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5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5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5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5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5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5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5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5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5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5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5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5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5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5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5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5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 ht="15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 ht="15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 ht="15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 ht="15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 ht="15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 ht="15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 ht="15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 ht="15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 ht="15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 ht="15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 ht="15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 ht="15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 ht="15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 ht="15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 ht="15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 ht="15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 ht="15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 ht="15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 ht="15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 ht="15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 ht="15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 ht="15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 ht="15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 ht="15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 ht="15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 ht="15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ht="15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 ht="15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 ht="15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 ht="15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 ht="15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 ht="15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 ht="15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 ht="15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 spans="1:35" ht="15.75" customHeight="1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 spans="1:35" ht="15.75" customHeight="1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 spans="1:35" ht="15.75" customHeight="1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 spans="1:35" ht="15.75" customHeight="1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 spans="1:35" ht="15.75" customHeight="1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 spans="1:35" ht="15.75" customHeight="1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spans="1:35" ht="15.75" customHeight="1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 spans="1:35" ht="15.75" customHeight="1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spans="1:35" ht="15.75" customHeight="1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 spans="1:35" ht="15.75" customHeight="1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 spans="1:35" ht="15.75" customHeight="1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 spans="1:35" ht="15.75" customHeight="1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</sheetData>
  <mergeCells count="18">
    <mergeCell ref="C4:D4"/>
    <mergeCell ref="E4:E5"/>
    <mergeCell ref="F4:F5"/>
    <mergeCell ref="G4:G5"/>
    <mergeCell ref="H4:H5"/>
    <mergeCell ref="I4:I5"/>
    <mergeCell ref="J4:J5"/>
    <mergeCell ref="T4:T5"/>
    <mergeCell ref="U4:U5"/>
    <mergeCell ref="V4:V5"/>
    <mergeCell ref="W4:X4"/>
    <mergeCell ref="M4:M5"/>
    <mergeCell ref="N4:N5"/>
    <mergeCell ref="O4:O5"/>
    <mergeCell ref="P4:P5"/>
    <mergeCell ref="Q4:Q5"/>
    <mergeCell ref="R4:R5"/>
    <mergeCell ref="S4:S5"/>
  </mergeCells>
  <conditionalFormatting sqref="T8 T10 T12 T14 T16 T18 T20 T24">
    <cfRule type="notContainsBlanks" dxfId="1" priority="2">
      <formula>LEN(TRIM(T8))&gt;0</formula>
    </cfRule>
  </conditionalFormatting>
  <conditionalFormatting sqref="T22">
    <cfRule type="notContainsBlanks" dxfId="0" priority="1">
      <formula>LEN(TRIM(T22))&gt;0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994"/>
  <sheetViews>
    <sheetView topLeftCell="B2" zoomScale="90" zoomScaleNormal="90" workbookViewId="0">
      <selection activeCell="O26" sqref="O26"/>
    </sheetView>
  </sheetViews>
  <sheetFormatPr baseColWidth="10" defaultColWidth="12.6640625" defaultRowHeight="15" customHeight="1" x14ac:dyDescent="0.15"/>
  <cols>
    <col min="1" max="1" width="10.6640625" customWidth="1"/>
    <col min="2" max="2" width="9.6640625" customWidth="1"/>
    <col min="3" max="4" width="12.83203125" customWidth="1"/>
    <col min="5" max="5" width="9.5" customWidth="1"/>
    <col min="6" max="6" width="9.1640625" customWidth="1"/>
    <col min="7" max="7" width="9.5" customWidth="1"/>
    <col min="8" max="8" width="10.6640625" customWidth="1"/>
    <col min="9" max="9" width="10.33203125" customWidth="1"/>
    <col min="10" max="10" width="6.1640625" customWidth="1"/>
    <col min="11" max="11" width="4.83203125" customWidth="1"/>
    <col min="12" max="12" width="7.6640625" customWidth="1"/>
    <col min="13" max="14" width="8.6640625" customWidth="1"/>
    <col min="15" max="15" width="14.5" bestFit="1" customWidth="1"/>
    <col min="16" max="16" width="11.83203125" customWidth="1"/>
    <col min="17" max="17" width="10.5" customWidth="1"/>
    <col min="18" max="19" width="8.1640625" customWidth="1"/>
    <col min="20" max="26" width="10.6640625" customWidth="1"/>
  </cols>
  <sheetData>
    <row r="1" spans="2:21" ht="14.25" customHeight="1" x14ac:dyDescent="0.15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2:21" ht="14.25" customHeight="1" x14ac:dyDescent="0.15">
      <c r="B2" s="3" t="s">
        <v>55</v>
      </c>
      <c r="C2" s="4">
        <v>40</v>
      </c>
      <c r="D2" s="1"/>
      <c r="E2" s="5" t="s">
        <v>3</v>
      </c>
      <c r="F2" s="4">
        <v>5</v>
      </c>
      <c r="G2" s="1"/>
      <c r="H2" s="1"/>
      <c r="I2" s="1"/>
      <c r="J2" s="38"/>
      <c r="K2" s="38"/>
      <c r="L2" s="38"/>
      <c r="M2" s="1"/>
      <c r="N2" s="1"/>
      <c r="O2" s="1"/>
      <c r="P2" s="1"/>
      <c r="Q2" s="1"/>
      <c r="R2" s="1"/>
      <c r="S2" s="1"/>
    </row>
    <row r="3" spans="2:21" ht="14.25" customHeight="1" x14ac:dyDescent="0.1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21" ht="14.25" customHeight="1" x14ac:dyDescent="0.15">
      <c r="B4" s="11" t="s">
        <v>4</v>
      </c>
      <c r="C4" s="3" t="s">
        <v>5</v>
      </c>
      <c r="D4" s="3" t="s">
        <v>5</v>
      </c>
      <c r="E4" s="39" t="s">
        <v>8</v>
      </c>
      <c r="F4" s="39" t="s">
        <v>7</v>
      </c>
      <c r="G4" s="39" t="s">
        <v>11</v>
      </c>
      <c r="H4" s="8" t="s">
        <v>56</v>
      </c>
      <c r="I4" s="8" t="s">
        <v>56</v>
      </c>
      <c r="J4" s="39" t="s">
        <v>57</v>
      </c>
      <c r="K4" s="39" t="s">
        <v>58</v>
      </c>
      <c r="L4" s="39" t="s">
        <v>59</v>
      </c>
      <c r="M4" s="39" t="s">
        <v>60</v>
      </c>
      <c r="N4" s="39" t="s">
        <v>61</v>
      </c>
      <c r="O4" s="39" t="s">
        <v>62</v>
      </c>
      <c r="P4" s="39" t="s">
        <v>22</v>
      </c>
      <c r="Q4" s="39" t="s">
        <v>63</v>
      </c>
      <c r="R4" s="3" t="s">
        <v>24</v>
      </c>
      <c r="S4" s="40"/>
    </row>
    <row r="5" spans="2:21" ht="14.25" customHeight="1" x14ac:dyDescent="0.15">
      <c r="B5" s="41"/>
      <c r="C5" s="5" t="s">
        <v>25</v>
      </c>
      <c r="D5" s="5" t="s">
        <v>26</v>
      </c>
      <c r="E5" s="41"/>
      <c r="F5" s="41"/>
      <c r="G5" s="41"/>
      <c r="H5" s="5" t="s">
        <v>28</v>
      </c>
      <c r="I5" s="5" t="s">
        <v>9</v>
      </c>
      <c r="J5" s="41"/>
      <c r="K5" s="41"/>
      <c r="L5" s="42"/>
      <c r="M5" s="41"/>
      <c r="N5" s="41"/>
      <c r="O5" s="41"/>
      <c r="P5" s="41"/>
      <c r="Q5" s="41"/>
      <c r="R5" s="11" t="s">
        <v>29</v>
      </c>
      <c r="S5" s="11" t="s">
        <v>30</v>
      </c>
    </row>
    <row r="6" spans="2:21" ht="14.25" customHeight="1" x14ac:dyDescent="0.15">
      <c r="B6" s="12" t="s">
        <v>31</v>
      </c>
      <c r="C6" s="69">
        <v>1190813.004</v>
      </c>
      <c r="D6" s="13">
        <v>837789.62</v>
      </c>
      <c r="E6" s="4"/>
      <c r="F6" s="4"/>
      <c r="G6" s="4"/>
      <c r="H6" s="4"/>
      <c r="I6" s="4"/>
      <c r="J6" s="4"/>
      <c r="K6" s="4"/>
      <c r="L6" s="4"/>
      <c r="M6" s="4"/>
      <c r="N6" s="4"/>
      <c r="O6" s="206"/>
      <c r="P6" s="4"/>
      <c r="Q6" s="43"/>
      <c r="R6" s="44">
        <v>0</v>
      </c>
      <c r="S6" s="45"/>
    </row>
    <row r="7" spans="2:21" ht="14.25" customHeight="1" x14ac:dyDescent="0.15">
      <c r="B7" s="18"/>
      <c r="C7" s="4"/>
      <c r="D7" s="4"/>
      <c r="E7" s="70">
        <v>-1.0253906583696886E-2</v>
      </c>
      <c r="F7" s="19">
        <v>195.0476127001082</v>
      </c>
      <c r="G7" s="13" t="s">
        <v>237</v>
      </c>
      <c r="H7" s="4"/>
      <c r="I7" s="4"/>
      <c r="J7" s="4"/>
      <c r="K7" s="4"/>
      <c r="L7" s="4"/>
      <c r="M7" s="4"/>
      <c r="N7" s="4"/>
      <c r="O7" s="20">
        <v>161.55510333958392</v>
      </c>
      <c r="P7" s="46"/>
      <c r="Q7" s="46"/>
      <c r="R7" s="47"/>
      <c r="S7" s="47"/>
    </row>
    <row r="8" spans="2:21" ht="14.25" customHeight="1" x14ac:dyDescent="0.15">
      <c r="B8" s="12" t="s">
        <v>46</v>
      </c>
      <c r="C8" s="13">
        <v>1190661.92</v>
      </c>
      <c r="D8" s="13">
        <v>837666.26199999999</v>
      </c>
      <c r="E8" s="221"/>
      <c r="F8" s="23"/>
      <c r="G8" s="4"/>
      <c r="H8" s="207">
        <v>3.1014300429218253</v>
      </c>
      <c r="I8" s="13" t="s">
        <v>233</v>
      </c>
      <c r="J8" s="13">
        <v>40</v>
      </c>
      <c r="K8" s="27">
        <v>41</v>
      </c>
      <c r="L8" s="13" t="s">
        <v>64</v>
      </c>
      <c r="M8" s="207">
        <v>0.27083333333333331</v>
      </c>
      <c r="N8" s="20">
        <v>44.097320090412232</v>
      </c>
      <c r="O8" s="28"/>
      <c r="P8" s="48">
        <v>33.492509360524295</v>
      </c>
      <c r="Q8" s="49">
        <v>57.257170023172158</v>
      </c>
      <c r="R8" s="50">
        <v>161.55510333958392</v>
      </c>
      <c r="S8" s="50">
        <v>218.81227336275609</v>
      </c>
      <c r="U8" s="51"/>
    </row>
    <row r="9" spans="2:21" ht="14.25" customHeight="1" x14ac:dyDescent="0.15">
      <c r="B9" s="18"/>
      <c r="C9" s="4"/>
      <c r="D9" s="4"/>
      <c r="E9" s="70">
        <v>5.2426095794725881E-2</v>
      </c>
      <c r="F9" s="19">
        <v>305.19152260828122</v>
      </c>
      <c r="G9" s="13" t="s">
        <v>238</v>
      </c>
      <c r="H9" s="208"/>
      <c r="I9" s="4"/>
      <c r="J9" s="4"/>
      <c r="K9" s="4"/>
      <c r="L9" s="4"/>
      <c r="M9" s="208"/>
      <c r="N9" s="28"/>
      <c r="O9" s="20">
        <v>188.18284446687176</v>
      </c>
      <c r="P9" s="46"/>
      <c r="Q9" s="46"/>
      <c r="R9" s="22"/>
      <c r="S9" s="22"/>
    </row>
    <row r="10" spans="2:21" ht="14.25" customHeight="1" x14ac:dyDescent="0.15">
      <c r="B10" s="12" t="s">
        <v>47</v>
      </c>
      <c r="C10" s="13">
        <v>1190412.544</v>
      </c>
      <c r="D10" s="13">
        <v>837842.19799999997</v>
      </c>
      <c r="E10" s="221"/>
      <c r="F10" s="23"/>
      <c r="G10" s="4"/>
      <c r="H10" s="207">
        <v>3.7977023790438835</v>
      </c>
      <c r="I10" s="13" t="s">
        <v>234</v>
      </c>
      <c r="J10" s="13">
        <v>50</v>
      </c>
      <c r="K10" s="27">
        <v>73</v>
      </c>
      <c r="L10" s="13" t="s">
        <v>235</v>
      </c>
      <c r="M10" s="207">
        <v>0.14583333333333334</v>
      </c>
      <c r="N10" s="20">
        <v>81.863841334485116</v>
      </c>
      <c r="O10" s="28"/>
      <c r="P10" s="48">
        <v>83.516168780885181</v>
      </c>
      <c r="Q10" s="49">
        <v>130.206938710076</v>
      </c>
      <c r="R10" s="50">
        <v>406.99511782962799</v>
      </c>
      <c r="S10" s="50">
        <v>537.20205653970379</v>
      </c>
    </row>
    <row r="11" spans="2:21" ht="14.25" customHeight="1" x14ac:dyDescent="0.15">
      <c r="B11" s="18"/>
      <c r="C11" s="4"/>
      <c r="D11" s="4"/>
      <c r="E11" s="70">
        <v>-0.12538591514346364</v>
      </c>
      <c r="F11" s="19">
        <v>207.359813662096</v>
      </c>
      <c r="G11" s="13" t="s">
        <v>239</v>
      </c>
      <c r="H11" s="208"/>
      <c r="I11" s="4"/>
      <c r="J11" s="4"/>
      <c r="K11" s="4"/>
      <c r="L11" s="4"/>
      <c r="M11" s="208"/>
      <c r="N11" s="28"/>
      <c r="O11" s="20">
        <v>120.68278544144036</v>
      </c>
      <c r="P11" s="46"/>
      <c r="Q11" s="46"/>
      <c r="R11" s="22"/>
      <c r="S11" s="22"/>
    </row>
    <row r="12" spans="2:21" ht="14.25" customHeight="1" x14ac:dyDescent="0.15">
      <c r="B12" s="12" t="s">
        <v>48</v>
      </c>
      <c r="C12" s="13">
        <v>1190296.415</v>
      </c>
      <c r="D12" s="13">
        <v>837670.40700000001</v>
      </c>
      <c r="E12" s="221"/>
      <c r="F12" s="23"/>
      <c r="G12" s="4"/>
      <c r="H12" s="207">
        <v>0.18426326877461344</v>
      </c>
      <c r="I12" s="13" t="s">
        <v>233</v>
      </c>
      <c r="J12" s="13">
        <v>50</v>
      </c>
      <c r="K12" s="27">
        <v>73</v>
      </c>
      <c r="L12" s="13" t="s">
        <v>235</v>
      </c>
      <c r="M12" s="207">
        <v>0.14583333333333334</v>
      </c>
      <c r="N12" s="20">
        <v>81.863841334485116</v>
      </c>
      <c r="O12" s="28"/>
      <c r="P12" s="48">
        <v>3.1608594397704732</v>
      </c>
      <c r="Q12" s="49">
        <v>6.3175977865581752</v>
      </c>
      <c r="R12" s="50">
        <v>657.88484198114395</v>
      </c>
      <c r="S12" s="50">
        <v>664.202439767702</v>
      </c>
    </row>
    <row r="13" spans="2:21" ht="14.25" customHeight="1" x14ac:dyDescent="0.15">
      <c r="B13" s="18"/>
      <c r="C13" s="4"/>
      <c r="D13" s="4"/>
      <c r="E13" s="70">
        <v>4.3042168837474214E-2</v>
      </c>
      <c r="F13" s="19">
        <v>185.86424002488656</v>
      </c>
      <c r="G13" s="13" t="s">
        <v>240</v>
      </c>
      <c r="H13" s="208"/>
      <c r="I13" s="4"/>
      <c r="J13" s="4"/>
      <c r="K13" s="4"/>
      <c r="L13" s="4"/>
      <c r="M13" s="208"/>
      <c r="N13" s="28"/>
      <c r="O13" s="20">
        <v>149.80072932513247</v>
      </c>
      <c r="P13" s="46"/>
      <c r="Q13" s="46"/>
      <c r="R13" s="22"/>
      <c r="S13" s="22"/>
    </row>
    <row r="14" spans="2:21" ht="14.25" customHeight="1" x14ac:dyDescent="0.15">
      <c r="B14" s="12" t="s">
        <v>49</v>
      </c>
      <c r="C14" s="13">
        <v>1190180.7609999999</v>
      </c>
      <c r="D14" s="13">
        <v>837524.90899999999</v>
      </c>
      <c r="E14" s="221"/>
      <c r="F14" s="23"/>
      <c r="G14" s="4"/>
      <c r="H14" s="207">
        <v>1.8246785479669125</v>
      </c>
      <c r="I14" s="13" t="s">
        <v>233</v>
      </c>
      <c r="J14" s="13">
        <v>50</v>
      </c>
      <c r="K14" s="27">
        <v>73</v>
      </c>
      <c r="L14" s="13" t="s">
        <v>235</v>
      </c>
      <c r="M14" s="207">
        <v>0.14583333333333334</v>
      </c>
      <c r="N14" s="20">
        <v>81.863841334485116</v>
      </c>
      <c r="O14" s="28"/>
      <c r="P14" s="48">
        <v>32.902651259983628</v>
      </c>
      <c r="Q14" s="49">
        <v>62.560407358865575</v>
      </c>
      <c r="R14" s="50">
        <v>814.00316909283504</v>
      </c>
      <c r="S14" s="50">
        <v>876.56357645170101</v>
      </c>
    </row>
    <row r="15" spans="2:21" ht="14.25" customHeight="1" x14ac:dyDescent="0.15">
      <c r="B15" s="18"/>
      <c r="C15" s="4"/>
      <c r="D15" s="4"/>
      <c r="E15" s="70">
        <v>-6.1976324036403317E-2</v>
      </c>
      <c r="F15" s="19">
        <v>354.97426383465012</v>
      </c>
      <c r="G15" s="13" t="s">
        <v>241</v>
      </c>
      <c r="H15" s="208"/>
      <c r="I15" s="4"/>
      <c r="J15" s="4"/>
      <c r="K15" s="4"/>
      <c r="L15" s="4"/>
      <c r="M15" s="208"/>
      <c r="N15" s="28"/>
      <c r="O15" s="20">
        <v>272.64118275448959</v>
      </c>
      <c r="P15" s="46"/>
      <c r="Q15" s="46"/>
      <c r="R15" s="22"/>
      <c r="S15" s="22"/>
    </row>
    <row r="16" spans="2:21" ht="14.25" customHeight="1" x14ac:dyDescent="0.15">
      <c r="B16" s="12" t="s">
        <v>50</v>
      </c>
      <c r="C16" s="13">
        <v>1189829.01</v>
      </c>
      <c r="D16" s="13">
        <v>837477.18099999998</v>
      </c>
      <c r="E16" s="221"/>
      <c r="F16" s="23"/>
      <c r="G16" s="4"/>
      <c r="H16" s="207">
        <v>2.5936761652864653</v>
      </c>
      <c r="I16" s="13" t="s">
        <v>233</v>
      </c>
      <c r="J16" s="13">
        <v>50</v>
      </c>
      <c r="K16" s="27">
        <v>73</v>
      </c>
      <c r="L16" s="13" t="s">
        <v>235</v>
      </c>
      <c r="M16" s="207">
        <v>0.14583333333333334</v>
      </c>
      <c r="N16" s="20">
        <v>81.863841334485116</v>
      </c>
      <c r="O16" s="28"/>
      <c r="P16" s="48">
        <v>49.430429820176869</v>
      </c>
      <c r="Q16" s="49">
        <v>88.926039952678806</v>
      </c>
      <c r="R16" s="50">
        <v>1149.2047592061901</v>
      </c>
      <c r="S16" s="50">
        <v>1238.130799158869</v>
      </c>
    </row>
    <row r="17" spans="2:19" ht="14.25" customHeight="1" x14ac:dyDescent="0.15">
      <c r="B17" s="18"/>
      <c r="C17" s="4"/>
      <c r="D17" s="4"/>
      <c r="E17" s="70">
        <v>8.5620896169587263E-2</v>
      </c>
      <c r="F17" s="19">
        <v>186.87027017691082</v>
      </c>
      <c r="G17" s="13" t="s">
        <v>242</v>
      </c>
      <c r="H17" s="208"/>
      <c r="I17" s="4"/>
      <c r="J17" s="4"/>
      <c r="K17" s="4"/>
      <c r="L17" s="4"/>
      <c r="M17" s="208"/>
      <c r="N17" s="28"/>
      <c r="O17" s="20">
        <v>105.3608997675114</v>
      </c>
      <c r="P17" s="46"/>
      <c r="Q17" s="46"/>
      <c r="R17" s="22"/>
      <c r="S17" s="22"/>
    </row>
    <row r="18" spans="2:19" ht="14.25" customHeight="1" x14ac:dyDescent="0.15">
      <c r="B18" s="12" t="s">
        <v>51</v>
      </c>
      <c r="C18" s="13">
        <v>1189720.55</v>
      </c>
      <c r="D18" s="13">
        <v>837629.35499999998</v>
      </c>
      <c r="E18" s="221"/>
      <c r="F18" s="23"/>
      <c r="G18" s="4"/>
      <c r="H18" s="207">
        <v>1.7831741699656642</v>
      </c>
      <c r="I18" s="13" t="s">
        <v>234</v>
      </c>
      <c r="J18" s="13">
        <v>50</v>
      </c>
      <c r="K18" s="27">
        <v>73</v>
      </c>
      <c r="L18" s="13" t="s">
        <v>235</v>
      </c>
      <c r="M18" s="207">
        <v>0.14583333333333334</v>
      </c>
      <c r="N18" s="20">
        <v>81.863841334485116</v>
      </c>
      <c r="O18" s="28"/>
      <c r="P18" s="48">
        <v>32.078940589222569</v>
      </c>
      <c r="Q18" s="49">
        <v>61.137400113108484</v>
      </c>
      <c r="R18" s="50">
        <v>1343.4916989263804</v>
      </c>
      <c r="S18" s="50">
        <v>1404.6290990394889</v>
      </c>
    </row>
    <row r="19" spans="2:19" ht="14.25" customHeight="1" x14ac:dyDescent="0.15">
      <c r="B19" s="18"/>
      <c r="C19" s="4"/>
      <c r="D19" s="4"/>
      <c r="E19" s="70">
        <v>3.9424526749248553E-2</v>
      </c>
      <c r="F19" s="19">
        <v>152.18952501730061</v>
      </c>
      <c r="G19" s="13" t="s">
        <v>243</v>
      </c>
      <c r="H19" s="208"/>
      <c r="I19" s="4"/>
      <c r="J19" s="4"/>
      <c r="K19" s="4"/>
      <c r="L19" s="4"/>
      <c r="M19" s="208"/>
      <c r="N19" s="28"/>
      <c r="O19" s="20">
        <v>114.69934891785313</v>
      </c>
      <c r="P19" s="46"/>
      <c r="Q19" s="46"/>
      <c r="R19" s="22"/>
      <c r="S19" s="22"/>
    </row>
    <row r="20" spans="2:19" ht="14.25" customHeight="1" x14ac:dyDescent="0.15">
      <c r="B20" s="12" t="s">
        <v>52</v>
      </c>
      <c r="C20" s="13">
        <v>1189571.5360000001</v>
      </c>
      <c r="D20" s="13">
        <v>837660.28200000001</v>
      </c>
      <c r="E20" s="221"/>
      <c r="F20" s="23"/>
      <c r="G20" s="4"/>
      <c r="H20" s="207">
        <v>0.31514787349130796</v>
      </c>
      <c r="I20" s="13" t="s">
        <v>234</v>
      </c>
      <c r="J20" s="13">
        <v>50</v>
      </c>
      <c r="K20" s="27">
        <v>73</v>
      </c>
      <c r="L20" s="13" t="s">
        <v>235</v>
      </c>
      <c r="M20" s="207">
        <v>0.14583333333333334</v>
      </c>
      <c r="N20" s="20">
        <v>81.863841334485116</v>
      </c>
      <c r="O20" s="28"/>
      <c r="P20" s="48">
        <v>5.4112355102249232</v>
      </c>
      <c r="Q20" s="49">
        <v>10.805069948273415</v>
      </c>
      <c r="R20" s="50">
        <v>1519.328447957342</v>
      </c>
      <c r="S20" s="50">
        <v>1530.1335179056155</v>
      </c>
    </row>
    <row r="21" spans="2:19" ht="14.25" customHeight="1" x14ac:dyDescent="0.15">
      <c r="B21" s="18"/>
      <c r="C21" s="4"/>
      <c r="D21" s="4"/>
      <c r="E21" s="70">
        <v>6.3710576274727482E-2</v>
      </c>
      <c r="F21" s="19">
        <v>156.95981083076109</v>
      </c>
      <c r="G21" s="13" t="s">
        <v>244</v>
      </c>
      <c r="H21" s="4"/>
      <c r="I21" s="4"/>
      <c r="J21" s="4"/>
      <c r="K21" s="4"/>
      <c r="L21" s="4"/>
      <c r="M21" s="4"/>
      <c r="N21" s="28"/>
      <c r="O21" s="20">
        <v>141.04339563277767</v>
      </c>
      <c r="P21" s="46"/>
      <c r="Q21" s="46"/>
      <c r="R21" s="22"/>
      <c r="S21" s="22"/>
    </row>
    <row r="22" spans="2:19" ht="14.25" customHeight="1" x14ac:dyDescent="0.15">
      <c r="B22" s="12" t="s">
        <v>236</v>
      </c>
      <c r="C22" s="13">
        <v>1189414.99</v>
      </c>
      <c r="D22" s="13">
        <v>837671.67200000002</v>
      </c>
      <c r="E22" s="221"/>
      <c r="F22" s="23"/>
      <c r="G22" s="4"/>
      <c r="H22" s="207">
        <v>0.60937650533905108</v>
      </c>
      <c r="I22" s="13" t="s">
        <v>234</v>
      </c>
      <c r="J22" s="13">
        <v>50</v>
      </c>
      <c r="K22" s="27">
        <v>73</v>
      </c>
      <c r="L22" s="13" t="s">
        <v>235</v>
      </c>
      <c r="M22" s="207">
        <v>0.14583333333333334</v>
      </c>
      <c r="N22" s="20">
        <v>81.863841334485116</v>
      </c>
      <c r="O22" s="28"/>
      <c r="P22" s="48">
        <v>10.505179687758497</v>
      </c>
      <c r="Q22" s="49">
        <v>20.892908754481748</v>
      </c>
      <c r="R22" s="22">
        <v>1671.1769135383931</v>
      </c>
      <c r="S22" s="50">
        <v>1692.069822292875</v>
      </c>
    </row>
    <row r="23" spans="2:19" ht="14.25" customHeight="1" x14ac:dyDescent="0.15">
      <c r="B23" s="18"/>
      <c r="C23" s="4"/>
      <c r="D23" s="4"/>
      <c r="E23" s="70">
        <v>1.2000224276879363E-2</v>
      </c>
      <c r="F23" s="19">
        <v>166.66355176822549</v>
      </c>
      <c r="G23" s="13" t="s">
        <v>245</v>
      </c>
      <c r="H23" s="4"/>
      <c r="I23" s="4"/>
      <c r="J23" s="4"/>
      <c r="K23" s="4"/>
      <c r="L23" s="4"/>
      <c r="M23" s="4"/>
      <c r="N23" s="28"/>
      <c r="O23" s="20">
        <v>156.15837208046699</v>
      </c>
      <c r="P23" s="46"/>
      <c r="Q23" s="46"/>
      <c r="R23" s="22"/>
      <c r="S23" s="22"/>
    </row>
    <row r="24" spans="2:19" ht="14.25" customHeight="1" x14ac:dyDescent="0.15">
      <c r="B24" s="12" t="s">
        <v>53</v>
      </c>
      <c r="C24" s="13">
        <v>1189251.098</v>
      </c>
      <c r="D24" s="13">
        <v>837641.40399999998</v>
      </c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50">
        <v>1848.2281943733419</v>
      </c>
      <c r="S24" s="38"/>
    </row>
    <row r="25" spans="2:19" ht="14.25" customHeight="1" x14ac:dyDescent="0.15">
      <c r="B25" s="12" t="s">
        <v>54</v>
      </c>
      <c r="C25" s="13">
        <v>1190116.32</v>
      </c>
      <c r="D25" s="13">
        <v>837516.16799999995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22">
        <v>908.6955764517005</v>
      </c>
      <c r="S25" s="38"/>
    </row>
    <row r="26" spans="2:19" ht="14.25" customHeight="1" x14ac:dyDescent="0.15"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</row>
    <row r="27" spans="2:19" ht="14.25" customHeight="1" x14ac:dyDescent="0.15"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</row>
    <row r="28" spans="2:19" ht="14.25" customHeight="1" x14ac:dyDescent="0.15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</row>
    <row r="29" spans="2:19" ht="14.25" customHeight="1" x14ac:dyDescent="0.15"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</row>
    <row r="30" spans="2:19" ht="14.25" customHeight="1" x14ac:dyDescent="0.15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</row>
    <row r="31" spans="2:19" ht="14.25" customHeight="1" x14ac:dyDescent="0.15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</row>
    <row r="32" spans="2:19" ht="14.25" customHeight="1" x14ac:dyDescent="0.15"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</row>
    <row r="33" spans="2:19" ht="14.25" customHeight="1" x14ac:dyDescent="0.15"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</row>
    <row r="34" spans="2:19" ht="14.25" customHeight="1" x14ac:dyDescent="0.15"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</row>
    <row r="35" spans="2:19" ht="14.25" customHeight="1" x14ac:dyDescent="0.15"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</row>
    <row r="36" spans="2:19" ht="14.25" customHeight="1" x14ac:dyDescent="0.15"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</row>
    <row r="37" spans="2:19" ht="14.25" customHeight="1" x14ac:dyDescent="0.15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</row>
    <row r="38" spans="2:19" ht="14.25" customHeight="1" x14ac:dyDescent="0.15"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</row>
    <row r="39" spans="2:19" ht="14.25" customHeight="1" x14ac:dyDescent="0.15"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</row>
    <row r="40" spans="2:19" ht="14.25" customHeight="1" x14ac:dyDescent="0.15"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</row>
    <row r="41" spans="2:19" ht="14.25" customHeight="1" x14ac:dyDescent="0.15"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</row>
    <row r="42" spans="2:19" ht="14.25" customHeight="1" x14ac:dyDescent="0.15"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</row>
    <row r="43" spans="2:19" ht="14.25" customHeight="1" x14ac:dyDescent="0.15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</row>
    <row r="44" spans="2:19" ht="14.25" customHeight="1" x14ac:dyDescent="0.15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</row>
    <row r="45" spans="2:19" ht="14.25" customHeight="1" x14ac:dyDescent="0.15"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</row>
    <row r="46" spans="2:19" ht="14.25" customHeight="1" x14ac:dyDescent="0.15"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</row>
    <row r="47" spans="2:19" ht="14.25" customHeight="1" x14ac:dyDescent="0.15"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</row>
    <row r="48" spans="2:19" ht="14.25" customHeight="1" x14ac:dyDescent="0.15"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</row>
    <row r="49" spans="2:19" ht="14.25" customHeight="1" x14ac:dyDescent="0.15"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</row>
    <row r="50" spans="2:19" ht="14.25" customHeight="1" x14ac:dyDescent="0.15"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</row>
    <row r="51" spans="2:19" ht="14.25" customHeight="1" x14ac:dyDescent="0.15"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</row>
    <row r="52" spans="2:19" ht="14.25" customHeight="1" x14ac:dyDescent="0.15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</row>
    <row r="53" spans="2:19" ht="14.25" customHeight="1" x14ac:dyDescent="0.15"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</row>
    <row r="54" spans="2:19" ht="14.25" customHeight="1" x14ac:dyDescent="0.15"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</row>
    <row r="55" spans="2:19" ht="14.25" customHeight="1" x14ac:dyDescent="0.15"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</row>
    <row r="56" spans="2:19" ht="14.25" customHeight="1" x14ac:dyDescent="0.15"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</row>
    <row r="57" spans="2:19" ht="14.25" customHeight="1" x14ac:dyDescent="0.15"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</row>
    <row r="58" spans="2:19" ht="14.25" customHeight="1" x14ac:dyDescent="0.15"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</row>
    <row r="59" spans="2:19" ht="14.25" customHeight="1" x14ac:dyDescent="0.15"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</row>
    <row r="60" spans="2:19" ht="14.25" customHeight="1" x14ac:dyDescent="0.15"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</row>
    <row r="61" spans="2:19" ht="14.25" customHeight="1" x14ac:dyDescent="0.15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</row>
    <row r="62" spans="2:19" ht="14.25" customHeight="1" x14ac:dyDescent="0.15"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</row>
    <row r="63" spans="2:19" ht="14.25" customHeight="1" x14ac:dyDescent="0.15"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</row>
    <row r="64" spans="2:19" ht="14.25" customHeight="1" x14ac:dyDescent="0.15"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</row>
    <row r="65" spans="2:19" ht="14.25" customHeight="1" x14ac:dyDescent="0.15"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</row>
    <row r="66" spans="2:19" ht="14.25" customHeight="1" x14ac:dyDescent="0.15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</row>
    <row r="67" spans="2:19" ht="14.25" customHeight="1" x14ac:dyDescent="0.15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</row>
    <row r="68" spans="2:19" ht="14.25" customHeight="1" x14ac:dyDescent="0.15"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</row>
    <row r="69" spans="2:19" ht="14.25" customHeight="1" x14ac:dyDescent="0.15"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</row>
    <row r="70" spans="2:19" ht="14.25" customHeight="1" x14ac:dyDescent="0.15"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</row>
    <row r="71" spans="2:19" ht="14.25" customHeight="1" x14ac:dyDescent="0.15"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</row>
    <row r="72" spans="2:19" ht="14.25" customHeight="1" x14ac:dyDescent="0.15"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</row>
    <row r="73" spans="2:19" ht="14.25" customHeight="1" x14ac:dyDescent="0.15"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</row>
    <row r="74" spans="2:19" ht="14.25" customHeight="1" x14ac:dyDescent="0.15"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</row>
    <row r="75" spans="2:19" ht="14.25" customHeight="1" x14ac:dyDescent="0.15"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</row>
    <row r="76" spans="2:19" ht="14.25" customHeight="1" x14ac:dyDescent="0.15"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</row>
    <row r="77" spans="2:19" ht="14.25" customHeight="1" x14ac:dyDescent="0.15"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</row>
    <row r="78" spans="2:19" ht="14.25" customHeight="1" x14ac:dyDescent="0.15"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</row>
    <row r="79" spans="2:19" ht="14.25" customHeight="1" x14ac:dyDescent="0.15"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</row>
    <row r="80" spans="2:19" ht="14.25" customHeight="1" x14ac:dyDescent="0.15"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</row>
    <row r="81" spans="2:19" ht="14.25" customHeight="1" x14ac:dyDescent="0.15"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</row>
    <row r="82" spans="2:19" ht="14.25" customHeight="1" x14ac:dyDescent="0.15"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</row>
    <row r="83" spans="2:19" ht="14.25" customHeight="1" x14ac:dyDescent="0.15"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</row>
    <row r="84" spans="2:19" ht="14.25" customHeight="1" x14ac:dyDescent="0.15"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</row>
    <row r="85" spans="2:19" ht="14.25" customHeight="1" x14ac:dyDescent="0.15"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</row>
    <row r="86" spans="2:19" ht="14.25" customHeight="1" x14ac:dyDescent="0.15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</row>
    <row r="87" spans="2:19" ht="14.25" customHeight="1" x14ac:dyDescent="0.15"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</row>
    <row r="88" spans="2:19" ht="14.25" customHeight="1" x14ac:dyDescent="0.15"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</row>
    <row r="89" spans="2:19" ht="14.25" customHeight="1" x14ac:dyDescent="0.15"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</row>
    <row r="90" spans="2:19" ht="14.25" customHeight="1" x14ac:dyDescent="0.15"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</row>
    <row r="91" spans="2:19" ht="14.25" customHeight="1" x14ac:dyDescent="0.15"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</row>
    <row r="92" spans="2:19" ht="14.25" customHeight="1" x14ac:dyDescent="0.15"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</row>
    <row r="93" spans="2:19" ht="14.25" customHeight="1" x14ac:dyDescent="0.15"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</row>
    <row r="94" spans="2:19" ht="14.25" customHeight="1" x14ac:dyDescent="0.15"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</row>
    <row r="95" spans="2:19" ht="14.25" customHeight="1" x14ac:dyDescent="0.15"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</row>
    <row r="96" spans="2:19" ht="14.25" customHeight="1" x14ac:dyDescent="0.15"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</row>
    <row r="97" spans="2:19" ht="14.25" customHeight="1" x14ac:dyDescent="0.15"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</row>
    <row r="98" spans="2:19" ht="14.25" customHeight="1" x14ac:dyDescent="0.15"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</row>
    <row r="99" spans="2:19" ht="14.25" customHeight="1" x14ac:dyDescent="0.15"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</row>
    <row r="100" spans="2:19" ht="14.25" customHeight="1" x14ac:dyDescent="0.15"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</row>
    <row r="101" spans="2:19" ht="14.25" customHeight="1" x14ac:dyDescent="0.15"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</row>
    <row r="102" spans="2:19" ht="14.25" customHeight="1" x14ac:dyDescent="0.15"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</row>
    <row r="103" spans="2:19" ht="14.25" customHeight="1" x14ac:dyDescent="0.15"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</row>
    <row r="104" spans="2:19" ht="14.25" customHeight="1" x14ac:dyDescent="0.15"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</row>
    <row r="105" spans="2:19" ht="14.25" customHeight="1" x14ac:dyDescent="0.15"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</row>
    <row r="106" spans="2:19" ht="14.25" customHeight="1" x14ac:dyDescent="0.15"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</row>
    <row r="107" spans="2:19" ht="14.25" customHeight="1" x14ac:dyDescent="0.15"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</row>
    <row r="108" spans="2:19" ht="14.25" customHeight="1" x14ac:dyDescent="0.15"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</row>
    <row r="109" spans="2:19" ht="14.25" customHeight="1" x14ac:dyDescent="0.15"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</row>
    <row r="110" spans="2:19" ht="14.25" customHeight="1" x14ac:dyDescent="0.15"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</row>
    <row r="111" spans="2:19" ht="14.25" customHeight="1" x14ac:dyDescent="0.15"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</row>
    <row r="112" spans="2:19" ht="14.25" customHeight="1" x14ac:dyDescent="0.15"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</row>
    <row r="113" spans="2:19" ht="14.25" customHeight="1" x14ac:dyDescent="0.15"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</row>
    <row r="114" spans="2:19" ht="14.25" customHeight="1" x14ac:dyDescent="0.15"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</row>
    <row r="115" spans="2:19" ht="14.25" customHeight="1" x14ac:dyDescent="0.15"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</row>
    <row r="116" spans="2:19" ht="14.25" customHeight="1" x14ac:dyDescent="0.15"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</row>
    <row r="117" spans="2:19" ht="14.25" customHeight="1" x14ac:dyDescent="0.15"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</row>
    <row r="118" spans="2:19" ht="14.25" customHeight="1" x14ac:dyDescent="0.15"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</row>
    <row r="119" spans="2:19" ht="14.25" customHeight="1" x14ac:dyDescent="0.15"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</row>
    <row r="120" spans="2:19" ht="14.25" customHeight="1" x14ac:dyDescent="0.15"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</row>
    <row r="121" spans="2:19" ht="14.25" customHeight="1" x14ac:dyDescent="0.15"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</row>
    <row r="122" spans="2:19" ht="14.25" customHeight="1" x14ac:dyDescent="0.15"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</row>
    <row r="123" spans="2:19" ht="14.25" customHeight="1" x14ac:dyDescent="0.15"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</row>
    <row r="124" spans="2:19" ht="14.25" customHeight="1" x14ac:dyDescent="0.15"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</row>
    <row r="125" spans="2:19" ht="14.25" customHeight="1" x14ac:dyDescent="0.15"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</row>
    <row r="126" spans="2:19" ht="14.25" customHeight="1" x14ac:dyDescent="0.15"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</row>
    <row r="127" spans="2:19" ht="14.25" customHeight="1" x14ac:dyDescent="0.15"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</row>
    <row r="128" spans="2:19" ht="14.25" customHeight="1" x14ac:dyDescent="0.15"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</row>
    <row r="129" spans="2:19" ht="14.25" customHeight="1" x14ac:dyDescent="0.15"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</row>
    <row r="130" spans="2:19" ht="14.25" customHeight="1" x14ac:dyDescent="0.15"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</row>
    <row r="131" spans="2:19" ht="14.25" customHeight="1" x14ac:dyDescent="0.15"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</row>
    <row r="132" spans="2:19" ht="14.25" customHeight="1" x14ac:dyDescent="0.15"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</row>
    <row r="133" spans="2:19" ht="14.25" customHeight="1" x14ac:dyDescent="0.15"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</row>
    <row r="134" spans="2:19" ht="14.25" customHeight="1" x14ac:dyDescent="0.15"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</row>
    <row r="135" spans="2:19" ht="14.25" customHeight="1" x14ac:dyDescent="0.15"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</row>
    <row r="136" spans="2:19" ht="14.25" customHeight="1" x14ac:dyDescent="0.15"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</row>
    <row r="137" spans="2:19" ht="14.25" customHeight="1" x14ac:dyDescent="0.15"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</row>
    <row r="138" spans="2:19" ht="14.25" customHeight="1" x14ac:dyDescent="0.15"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</row>
    <row r="139" spans="2:19" ht="14.25" customHeight="1" x14ac:dyDescent="0.15"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</row>
    <row r="140" spans="2:19" ht="14.25" customHeight="1" x14ac:dyDescent="0.15"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</row>
    <row r="141" spans="2:19" ht="14.25" customHeight="1" x14ac:dyDescent="0.15"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</row>
    <row r="142" spans="2:19" ht="14.25" customHeight="1" x14ac:dyDescent="0.15"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</row>
    <row r="143" spans="2:19" ht="14.25" customHeight="1" x14ac:dyDescent="0.15"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</row>
    <row r="144" spans="2:19" ht="14.25" customHeight="1" x14ac:dyDescent="0.15"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</row>
    <row r="145" spans="2:19" ht="14.25" customHeight="1" x14ac:dyDescent="0.15"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</row>
    <row r="146" spans="2:19" ht="14.25" customHeight="1" x14ac:dyDescent="0.15"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</row>
    <row r="147" spans="2:19" ht="14.25" customHeight="1" x14ac:dyDescent="0.15"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</row>
    <row r="148" spans="2:19" ht="14.25" customHeight="1" x14ac:dyDescent="0.15"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</row>
    <row r="149" spans="2:19" ht="14.25" customHeight="1" x14ac:dyDescent="0.15"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</row>
    <row r="150" spans="2:19" ht="14.25" customHeight="1" x14ac:dyDescent="0.15"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</row>
    <row r="151" spans="2:19" ht="14.25" customHeight="1" x14ac:dyDescent="0.15"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</row>
    <row r="152" spans="2:19" ht="14.25" customHeight="1" x14ac:dyDescent="0.15"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</row>
    <row r="153" spans="2:19" ht="14.25" customHeight="1" x14ac:dyDescent="0.15"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</row>
    <row r="154" spans="2:19" ht="14.25" customHeight="1" x14ac:dyDescent="0.15"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</row>
    <row r="155" spans="2:19" ht="14.25" customHeight="1" x14ac:dyDescent="0.15"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</row>
    <row r="156" spans="2:19" ht="14.25" customHeight="1" x14ac:dyDescent="0.15"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</row>
    <row r="157" spans="2:19" ht="14.25" customHeight="1" x14ac:dyDescent="0.15"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</row>
    <row r="158" spans="2:19" ht="14.25" customHeight="1" x14ac:dyDescent="0.15"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</row>
    <row r="159" spans="2:19" ht="14.25" customHeight="1" x14ac:dyDescent="0.15"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</row>
    <row r="160" spans="2:19" ht="14.25" customHeight="1" x14ac:dyDescent="0.15"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</row>
    <row r="161" spans="2:19" ht="14.25" customHeight="1" x14ac:dyDescent="0.15"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</row>
    <row r="162" spans="2:19" ht="14.25" customHeight="1" x14ac:dyDescent="0.15"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</row>
    <row r="163" spans="2:19" ht="14.25" customHeight="1" x14ac:dyDescent="0.15"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</row>
    <row r="164" spans="2:19" ht="14.25" customHeight="1" x14ac:dyDescent="0.15"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</row>
    <row r="165" spans="2:19" ht="14.25" customHeight="1" x14ac:dyDescent="0.15"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</row>
    <row r="166" spans="2:19" ht="14.25" customHeight="1" x14ac:dyDescent="0.15"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</row>
    <row r="167" spans="2:19" ht="14.25" customHeight="1" x14ac:dyDescent="0.15"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</row>
    <row r="168" spans="2:19" ht="14.25" customHeight="1" x14ac:dyDescent="0.15"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</row>
    <row r="169" spans="2:19" ht="14.25" customHeight="1" x14ac:dyDescent="0.15"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</row>
    <row r="170" spans="2:19" ht="14.25" customHeight="1" x14ac:dyDescent="0.15"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</row>
    <row r="171" spans="2:19" ht="14.25" customHeight="1" x14ac:dyDescent="0.15"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</row>
    <row r="172" spans="2:19" ht="14.25" customHeight="1" x14ac:dyDescent="0.15"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</row>
    <row r="173" spans="2:19" ht="14.25" customHeight="1" x14ac:dyDescent="0.15"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</row>
    <row r="174" spans="2:19" ht="14.25" customHeight="1" x14ac:dyDescent="0.15"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</row>
    <row r="175" spans="2:19" ht="14.25" customHeight="1" x14ac:dyDescent="0.15"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</row>
    <row r="176" spans="2:19" ht="14.25" customHeight="1" x14ac:dyDescent="0.15"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</row>
    <row r="177" spans="2:19" ht="14.25" customHeight="1" x14ac:dyDescent="0.15"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</row>
    <row r="178" spans="2:19" ht="14.25" customHeight="1" x14ac:dyDescent="0.15"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</row>
    <row r="179" spans="2:19" ht="14.25" customHeight="1" x14ac:dyDescent="0.15"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</row>
    <row r="180" spans="2:19" ht="14.25" customHeight="1" x14ac:dyDescent="0.15"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</row>
    <row r="181" spans="2:19" ht="14.25" customHeight="1" x14ac:dyDescent="0.15"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</row>
    <row r="182" spans="2:19" ht="14.25" customHeight="1" x14ac:dyDescent="0.15"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</row>
    <row r="183" spans="2:19" ht="14.25" customHeight="1" x14ac:dyDescent="0.15"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</row>
    <row r="184" spans="2:19" ht="14.25" customHeight="1" x14ac:dyDescent="0.15"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</row>
    <row r="185" spans="2:19" ht="14.25" customHeight="1" x14ac:dyDescent="0.15"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</row>
    <row r="186" spans="2:19" ht="14.25" customHeight="1" x14ac:dyDescent="0.15"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</row>
    <row r="187" spans="2:19" ht="14.25" customHeight="1" x14ac:dyDescent="0.15"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</row>
    <row r="188" spans="2:19" ht="14.25" customHeight="1" x14ac:dyDescent="0.15"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</row>
    <row r="189" spans="2:19" ht="14.25" customHeight="1" x14ac:dyDescent="0.15"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</row>
    <row r="190" spans="2:19" ht="14.25" customHeight="1" x14ac:dyDescent="0.15"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</row>
    <row r="191" spans="2:19" ht="14.25" customHeight="1" x14ac:dyDescent="0.15"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</row>
    <row r="192" spans="2:19" ht="14.25" customHeight="1" x14ac:dyDescent="0.15"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</row>
    <row r="193" spans="2:19" ht="14.25" customHeight="1" x14ac:dyDescent="0.15"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</row>
    <row r="194" spans="2:19" ht="14.25" customHeight="1" x14ac:dyDescent="0.15"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</row>
    <row r="195" spans="2:19" ht="14.25" customHeight="1" x14ac:dyDescent="0.15"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</row>
    <row r="196" spans="2:19" ht="14.25" customHeight="1" x14ac:dyDescent="0.15"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</row>
    <row r="197" spans="2:19" ht="14.25" customHeight="1" x14ac:dyDescent="0.15"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</row>
    <row r="198" spans="2:19" ht="14.25" customHeight="1" x14ac:dyDescent="0.15"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</row>
    <row r="199" spans="2:19" ht="14.25" customHeight="1" x14ac:dyDescent="0.15"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</row>
    <row r="200" spans="2:19" ht="14.25" customHeight="1" x14ac:dyDescent="0.15"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</row>
    <row r="201" spans="2:19" ht="14.25" customHeight="1" x14ac:dyDescent="0.15"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</row>
    <row r="202" spans="2:19" ht="14.25" customHeight="1" x14ac:dyDescent="0.15"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</row>
    <row r="203" spans="2:19" ht="14.25" customHeight="1" x14ac:dyDescent="0.15"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</row>
    <row r="204" spans="2:19" ht="14.25" customHeight="1" x14ac:dyDescent="0.15"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</row>
    <row r="205" spans="2:19" ht="14.25" customHeight="1" x14ac:dyDescent="0.15"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</row>
    <row r="206" spans="2:19" ht="14.25" customHeight="1" x14ac:dyDescent="0.15"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</row>
    <row r="207" spans="2:19" ht="14.25" customHeight="1" x14ac:dyDescent="0.15"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</row>
    <row r="208" spans="2:19" ht="14.25" customHeight="1" x14ac:dyDescent="0.15"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</row>
    <row r="209" spans="2:19" ht="14.25" customHeight="1" x14ac:dyDescent="0.15"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</row>
    <row r="210" spans="2:19" ht="14.25" customHeight="1" x14ac:dyDescent="0.15"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</row>
    <row r="211" spans="2:19" ht="14.25" customHeight="1" x14ac:dyDescent="0.15"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</row>
    <row r="212" spans="2:19" ht="14.25" customHeight="1" x14ac:dyDescent="0.15"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</row>
    <row r="213" spans="2:19" ht="14.25" customHeight="1" x14ac:dyDescent="0.15"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</row>
    <row r="214" spans="2:19" ht="14.25" customHeight="1" x14ac:dyDescent="0.15"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</row>
    <row r="215" spans="2:19" ht="14.25" customHeight="1" x14ac:dyDescent="0.15"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</row>
    <row r="216" spans="2:19" ht="14.25" customHeight="1" x14ac:dyDescent="0.15"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</row>
    <row r="217" spans="2:19" ht="14.25" customHeight="1" x14ac:dyDescent="0.15"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</row>
    <row r="218" spans="2:19" ht="14.25" customHeight="1" x14ac:dyDescent="0.15"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</row>
    <row r="219" spans="2:19" ht="14.25" customHeight="1" x14ac:dyDescent="0.15"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</row>
    <row r="220" spans="2:19" ht="14.25" customHeight="1" x14ac:dyDescent="0.15"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</row>
    <row r="221" spans="2:19" ht="14.25" customHeight="1" x14ac:dyDescent="0.15"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</row>
    <row r="222" spans="2:19" ht="14.25" customHeight="1" x14ac:dyDescent="0.15"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</row>
    <row r="223" spans="2:19" ht="14.25" customHeight="1" x14ac:dyDescent="0.15"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</row>
    <row r="224" spans="2:19" ht="14.25" customHeight="1" x14ac:dyDescent="0.15"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</row>
    <row r="225" spans="2:19" ht="14.25" customHeight="1" x14ac:dyDescent="0.15"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</row>
    <row r="226" spans="2:19" ht="14.25" customHeight="1" x14ac:dyDescent="0.15"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</row>
    <row r="227" spans="2:19" ht="14.25" customHeight="1" x14ac:dyDescent="0.15"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</row>
    <row r="228" spans="2:19" ht="14.25" customHeight="1" x14ac:dyDescent="0.15"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</row>
    <row r="229" spans="2:19" ht="14.25" customHeight="1" x14ac:dyDescent="0.15"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</row>
    <row r="230" spans="2:19" ht="14.25" customHeight="1" x14ac:dyDescent="0.15"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</row>
    <row r="231" spans="2:19" ht="14.25" customHeight="1" x14ac:dyDescent="0.15"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</row>
    <row r="232" spans="2:19" ht="14.25" customHeight="1" x14ac:dyDescent="0.15"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</row>
    <row r="233" spans="2:19" ht="14.25" customHeight="1" x14ac:dyDescent="0.15"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</row>
    <row r="234" spans="2:19" ht="14.25" customHeight="1" x14ac:dyDescent="0.15"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</row>
    <row r="235" spans="2:19" ht="14.25" customHeight="1" x14ac:dyDescent="0.15"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</row>
    <row r="236" spans="2:19" ht="14.25" customHeight="1" x14ac:dyDescent="0.15"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</row>
    <row r="237" spans="2:19" ht="14.25" customHeight="1" x14ac:dyDescent="0.15"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</row>
    <row r="238" spans="2:19" ht="14.25" customHeight="1" x14ac:dyDescent="0.15"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</row>
    <row r="239" spans="2:19" ht="14.25" customHeight="1" x14ac:dyDescent="0.15"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</row>
    <row r="240" spans="2:19" ht="14.25" customHeight="1" x14ac:dyDescent="0.15"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</row>
    <row r="241" spans="2:19" ht="14.25" customHeight="1" x14ac:dyDescent="0.15"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</row>
    <row r="242" spans="2:19" ht="14.25" customHeight="1" x14ac:dyDescent="0.15"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</row>
    <row r="243" spans="2:19" ht="14.25" customHeight="1" x14ac:dyDescent="0.15"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</row>
    <row r="244" spans="2:19" ht="14.25" customHeight="1" x14ac:dyDescent="0.15"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</row>
    <row r="245" spans="2:19" ht="14.25" customHeight="1" x14ac:dyDescent="0.15"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</row>
    <row r="246" spans="2:19" ht="14.25" customHeight="1" x14ac:dyDescent="0.15"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</row>
    <row r="247" spans="2:19" ht="14.25" customHeight="1" x14ac:dyDescent="0.15"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</row>
    <row r="248" spans="2:19" ht="14.25" customHeight="1" x14ac:dyDescent="0.15"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</row>
    <row r="249" spans="2:19" ht="14.25" customHeight="1" x14ac:dyDescent="0.15"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</row>
    <row r="250" spans="2:19" ht="14.25" customHeight="1" x14ac:dyDescent="0.15"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</row>
    <row r="251" spans="2:19" ht="14.25" customHeight="1" x14ac:dyDescent="0.15"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</row>
    <row r="252" spans="2:19" ht="14.25" customHeight="1" x14ac:dyDescent="0.15"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</row>
    <row r="253" spans="2:19" ht="14.25" customHeight="1" x14ac:dyDescent="0.15"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</row>
    <row r="254" spans="2:19" ht="14.25" customHeight="1" x14ac:dyDescent="0.15"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</row>
    <row r="255" spans="2:19" ht="14.25" customHeight="1" x14ac:dyDescent="0.15"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</row>
    <row r="256" spans="2:19" ht="14.25" customHeight="1" x14ac:dyDescent="0.15"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</row>
    <row r="257" spans="2:19" ht="14.25" customHeight="1" x14ac:dyDescent="0.15"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</row>
    <row r="258" spans="2:19" ht="14.25" customHeight="1" x14ac:dyDescent="0.15"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</row>
    <row r="259" spans="2:19" ht="14.25" customHeight="1" x14ac:dyDescent="0.15"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</row>
    <row r="260" spans="2:19" ht="14.25" customHeight="1" x14ac:dyDescent="0.15"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</row>
    <row r="261" spans="2:19" ht="14.25" customHeight="1" x14ac:dyDescent="0.15"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</row>
    <row r="262" spans="2:19" ht="14.25" customHeight="1" x14ac:dyDescent="0.15"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</row>
    <row r="263" spans="2:19" ht="14.25" customHeight="1" x14ac:dyDescent="0.15"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</row>
    <row r="264" spans="2:19" ht="14.25" customHeight="1" x14ac:dyDescent="0.15"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</row>
    <row r="265" spans="2:19" ht="14.25" customHeight="1" x14ac:dyDescent="0.15"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</row>
    <row r="266" spans="2:19" ht="14.25" customHeight="1" x14ac:dyDescent="0.15"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</row>
    <row r="267" spans="2:19" ht="14.25" customHeight="1" x14ac:dyDescent="0.15"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</row>
    <row r="268" spans="2:19" ht="14.25" customHeight="1" x14ac:dyDescent="0.15"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</row>
    <row r="269" spans="2:19" ht="14.25" customHeight="1" x14ac:dyDescent="0.15"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</row>
    <row r="270" spans="2:19" ht="14.25" customHeight="1" x14ac:dyDescent="0.15"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</row>
    <row r="271" spans="2:19" ht="14.25" customHeight="1" x14ac:dyDescent="0.15"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</row>
    <row r="272" spans="2:19" ht="14.25" customHeight="1" x14ac:dyDescent="0.15"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</row>
    <row r="273" spans="2:19" ht="14.25" customHeight="1" x14ac:dyDescent="0.15"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</row>
    <row r="274" spans="2:19" ht="14.25" customHeight="1" x14ac:dyDescent="0.15"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</row>
    <row r="275" spans="2:19" ht="14.25" customHeight="1" x14ac:dyDescent="0.15"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</row>
    <row r="276" spans="2:19" ht="14.25" customHeight="1" x14ac:dyDescent="0.15"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</row>
    <row r="277" spans="2:19" ht="14.25" customHeight="1" x14ac:dyDescent="0.15"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</row>
    <row r="278" spans="2:19" ht="14.25" customHeight="1" x14ac:dyDescent="0.15"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</row>
    <row r="279" spans="2:19" ht="14.25" customHeight="1" x14ac:dyDescent="0.15"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</row>
    <row r="280" spans="2:19" ht="14.25" customHeight="1" x14ac:dyDescent="0.15"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</row>
    <row r="281" spans="2:19" ht="14.25" customHeight="1" x14ac:dyDescent="0.15"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</row>
    <row r="282" spans="2:19" ht="14.25" customHeight="1" x14ac:dyDescent="0.15"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</row>
    <row r="283" spans="2:19" ht="14.25" customHeight="1" x14ac:dyDescent="0.15"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</row>
    <row r="284" spans="2:19" ht="14.25" customHeight="1" x14ac:dyDescent="0.15"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</row>
    <row r="285" spans="2:19" ht="14.25" customHeight="1" x14ac:dyDescent="0.15"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</row>
    <row r="286" spans="2:19" ht="14.25" customHeight="1" x14ac:dyDescent="0.15"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</row>
    <row r="287" spans="2:19" ht="14.25" customHeight="1" x14ac:dyDescent="0.15"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</row>
    <row r="288" spans="2:19" ht="14.25" customHeight="1" x14ac:dyDescent="0.15"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</row>
    <row r="289" spans="2:19" ht="14.25" customHeight="1" x14ac:dyDescent="0.15"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</row>
    <row r="290" spans="2:19" ht="14.25" customHeight="1" x14ac:dyDescent="0.15"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</row>
    <row r="291" spans="2:19" ht="14.25" customHeight="1" x14ac:dyDescent="0.15"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</row>
    <row r="292" spans="2:19" ht="14.25" customHeight="1" x14ac:dyDescent="0.15"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</row>
    <row r="293" spans="2:19" ht="14.25" customHeight="1" x14ac:dyDescent="0.15"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</row>
    <row r="294" spans="2:19" ht="14.25" customHeight="1" x14ac:dyDescent="0.15"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</row>
    <row r="295" spans="2:19" ht="14.25" customHeight="1" x14ac:dyDescent="0.15"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</row>
    <row r="296" spans="2:19" ht="14.25" customHeight="1" x14ac:dyDescent="0.15"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</row>
    <row r="297" spans="2:19" ht="14.25" customHeight="1" x14ac:dyDescent="0.15"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</row>
    <row r="298" spans="2:19" ht="14.25" customHeight="1" x14ac:dyDescent="0.15"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</row>
    <row r="299" spans="2:19" ht="14.25" customHeight="1" x14ac:dyDescent="0.15"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</row>
    <row r="300" spans="2:19" ht="14.25" customHeight="1" x14ac:dyDescent="0.15"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</row>
    <row r="301" spans="2:19" ht="14.25" customHeight="1" x14ac:dyDescent="0.15"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</row>
    <row r="302" spans="2:19" ht="14.25" customHeight="1" x14ac:dyDescent="0.15"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</row>
    <row r="303" spans="2:19" ht="14.25" customHeight="1" x14ac:dyDescent="0.15"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</row>
    <row r="304" spans="2:19" ht="14.25" customHeight="1" x14ac:dyDescent="0.15"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</row>
    <row r="305" spans="2:19" ht="14.25" customHeight="1" x14ac:dyDescent="0.15"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</row>
    <row r="306" spans="2:19" ht="14.25" customHeight="1" x14ac:dyDescent="0.15"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</row>
    <row r="307" spans="2:19" ht="14.25" customHeight="1" x14ac:dyDescent="0.15"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</row>
    <row r="308" spans="2:19" ht="14.25" customHeight="1" x14ac:dyDescent="0.15"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</row>
    <row r="309" spans="2:19" ht="14.25" customHeight="1" x14ac:dyDescent="0.15"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</row>
    <row r="310" spans="2:19" ht="14.25" customHeight="1" x14ac:dyDescent="0.15"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</row>
    <row r="311" spans="2:19" ht="14.25" customHeight="1" x14ac:dyDescent="0.15"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</row>
    <row r="312" spans="2:19" ht="14.25" customHeight="1" x14ac:dyDescent="0.15"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</row>
    <row r="313" spans="2:19" ht="14.25" customHeight="1" x14ac:dyDescent="0.15"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</row>
    <row r="314" spans="2:19" ht="14.25" customHeight="1" x14ac:dyDescent="0.15"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</row>
    <row r="315" spans="2:19" ht="14.25" customHeight="1" x14ac:dyDescent="0.15"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</row>
    <row r="316" spans="2:19" ht="14.25" customHeight="1" x14ac:dyDescent="0.15"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</row>
    <row r="317" spans="2:19" ht="14.25" customHeight="1" x14ac:dyDescent="0.15"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</row>
    <row r="318" spans="2:19" ht="14.25" customHeight="1" x14ac:dyDescent="0.15"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</row>
    <row r="319" spans="2:19" ht="14.25" customHeight="1" x14ac:dyDescent="0.15"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</row>
    <row r="320" spans="2:19" ht="14.25" customHeight="1" x14ac:dyDescent="0.15"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</row>
    <row r="321" spans="2:19" ht="14.25" customHeight="1" x14ac:dyDescent="0.15"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</row>
    <row r="322" spans="2:19" ht="14.25" customHeight="1" x14ac:dyDescent="0.15"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</row>
    <row r="323" spans="2:19" ht="14.25" customHeight="1" x14ac:dyDescent="0.15"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</row>
    <row r="324" spans="2:19" ht="14.25" customHeight="1" x14ac:dyDescent="0.15"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</row>
    <row r="325" spans="2:19" ht="14.25" customHeight="1" x14ac:dyDescent="0.15"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</row>
    <row r="326" spans="2:19" ht="14.25" customHeight="1" x14ac:dyDescent="0.15"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</row>
    <row r="327" spans="2:19" ht="14.25" customHeight="1" x14ac:dyDescent="0.15"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</row>
    <row r="328" spans="2:19" ht="14.25" customHeight="1" x14ac:dyDescent="0.15"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</row>
    <row r="329" spans="2:19" ht="14.25" customHeight="1" x14ac:dyDescent="0.15"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</row>
    <row r="330" spans="2:19" ht="14.25" customHeight="1" x14ac:dyDescent="0.15"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</row>
    <row r="331" spans="2:19" ht="14.25" customHeight="1" x14ac:dyDescent="0.15"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</row>
    <row r="332" spans="2:19" ht="14.25" customHeight="1" x14ac:dyDescent="0.15"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</row>
    <row r="333" spans="2:19" ht="14.25" customHeight="1" x14ac:dyDescent="0.15"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</row>
    <row r="334" spans="2:19" ht="14.25" customHeight="1" x14ac:dyDescent="0.15"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</row>
    <row r="335" spans="2:19" ht="14.25" customHeight="1" x14ac:dyDescent="0.15"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</row>
    <row r="336" spans="2:19" ht="14.25" customHeight="1" x14ac:dyDescent="0.15"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</row>
    <row r="337" spans="2:19" ht="14.25" customHeight="1" x14ac:dyDescent="0.15"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</row>
    <row r="338" spans="2:19" ht="14.25" customHeight="1" x14ac:dyDescent="0.15"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</row>
    <row r="339" spans="2:19" ht="14.25" customHeight="1" x14ac:dyDescent="0.15"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</row>
    <row r="340" spans="2:19" ht="14.25" customHeight="1" x14ac:dyDescent="0.15"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</row>
    <row r="341" spans="2:19" ht="14.25" customHeight="1" x14ac:dyDescent="0.15"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</row>
    <row r="342" spans="2:19" ht="14.25" customHeight="1" x14ac:dyDescent="0.15"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</row>
    <row r="343" spans="2:19" ht="14.25" customHeight="1" x14ac:dyDescent="0.15"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</row>
    <row r="344" spans="2:19" ht="14.25" customHeight="1" x14ac:dyDescent="0.15"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</row>
    <row r="345" spans="2:19" ht="14.25" customHeight="1" x14ac:dyDescent="0.15"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</row>
    <row r="346" spans="2:19" ht="14.25" customHeight="1" x14ac:dyDescent="0.15"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</row>
    <row r="347" spans="2:19" ht="14.25" customHeight="1" x14ac:dyDescent="0.15"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</row>
    <row r="348" spans="2:19" ht="14.25" customHeight="1" x14ac:dyDescent="0.15"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</row>
    <row r="349" spans="2:19" ht="14.25" customHeight="1" x14ac:dyDescent="0.15"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</row>
    <row r="350" spans="2:19" ht="14.25" customHeight="1" x14ac:dyDescent="0.15"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</row>
    <row r="351" spans="2:19" ht="14.25" customHeight="1" x14ac:dyDescent="0.15"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</row>
    <row r="352" spans="2:19" ht="14.25" customHeight="1" x14ac:dyDescent="0.15"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</row>
    <row r="353" spans="2:19" ht="14.25" customHeight="1" x14ac:dyDescent="0.15"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</row>
    <row r="354" spans="2:19" ht="14.25" customHeight="1" x14ac:dyDescent="0.15"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</row>
    <row r="355" spans="2:19" ht="14.25" customHeight="1" x14ac:dyDescent="0.15"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</row>
    <row r="356" spans="2:19" ht="14.25" customHeight="1" x14ac:dyDescent="0.15"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</row>
    <row r="357" spans="2:19" ht="14.25" customHeight="1" x14ac:dyDescent="0.15"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</row>
    <row r="358" spans="2:19" ht="14.25" customHeight="1" x14ac:dyDescent="0.15"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</row>
    <row r="359" spans="2:19" ht="14.25" customHeight="1" x14ac:dyDescent="0.15"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</row>
    <row r="360" spans="2:19" ht="14.25" customHeight="1" x14ac:dyDescent="0.15"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</row>
    <row r="361" spans="2:19" ht="14.25" customHeight="1" x14ac:dyDescent="0.15"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</row>
    <row r="362" spans="2:19" ht="14.25" customHeight="1" x14ac:dyDescent="0.15"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</row>
    <row r="363" spans="2:19" ht="14.25" customHeight="1" x14ac:dyDescent="0.15"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</row>
    <row r="364" spans="2:19" ht="14.25" customHeight="1" x14ac:dyDescent="0.15"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</row>
    <row r="365" spans="2:19" ht="14.25" customHeight="1" x14ac:dyDescent="0.15"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</row>
    <row r="366" spans="2:19" ht="14.25" customHeight="1" x14ac:dyDescent="0.15"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</row>
    <row r="367" spans="2:19" ht="14.25" customHeight="1" x14ac:dyDescent="0.15"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</row>
    <row r="368" spans="2:19" ht="14.25" customHeight="1" x14ac:dyDescent="0.15"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</row>
    <row r="369" spans="2:19" ht="14.25" customHeight="1" x14ac:dyDescent="0.15"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</row>
    <row r="370" spans="2:19" ht="14.25" customHeight="1" x14ac:dyDescent="0.15"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</row>
    <row r="371" spans="2:19" ht="14.25" customHeight="1" x14ac:dyDescent="0.15"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</row>
    <row r="372" spans="2:19" ht="14.25" customHeight="1" x14ac:dyDescent="0.15"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</row>
    <row r="373" spans="2:19" ht="14.25" customHeight="1" x14ac:dyDescent="0.15"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</row>
    <row r="374" spans="2:19" ht="14.25" customHeight="1" x14ac:dyDescent="0.15"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</row>
    <row r="375" spans="2:19" ht="14.25" customHeight="1" x14ac:dyDescent="0.15"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</row>
    <row r="376" spans="2:19" ht="14.25" customHeight="1" x14ac:dyDescent="0.15"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</row>
    <row r="377" spans="2:19" ht="14.25" customHeight="1" x14ac:dyDescent="0.15"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</row>
    <row r="378" spans="2:19" ht="14.25" customHeight="1" x14ac:dyDescent="0.15"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</row>
    <row r="379" spans="2:19" ht="14.25" customHeight="1" x14ac:dyDescent="0.15"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</row>
    <row r="380" spans="2:19" ht="14.25" customHeight="1" x14ac:dyDescent="0.15"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</row>
    <row r="381" spans="2:19" ht="14.25" customHeight="1" x14ac:dyDescent="0.15"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</row>
    <row r="382" spans="2:19" ht="14.25" customHeight="1" x14ac:dyDescent="0.15"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</row>
    <row r="383" spans="2:19" ht="14.25" customHeight="1" x14ac:dyDescent="0.15"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</row>
    <row r="384" spans="2:19" ht="14.25" customHeight="1" x14ac:dyDescent="0.15"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</row>
    <row r="385" spans="2:19" ht="14.25" customHeight="1" x14ac:dyDescent="0.15"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</row>
    <row r="386" spans="2:19" ht="14.25" customHeight="1" x14ac:dyDescent="0.15"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</row>
    <row r="387" spans="2:19" ht="14.25" customHeight="1" x14ac:dyDescent="0.15"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</row>
    <row r="388" spans="2:19" ht="14.25" customHeight="1" x14ac:dyDescent="0.15"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</row>
    <row r="389" spans="2:19" ht="14.25" customHeight="1" x14ac:dyDescent="0.15"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</row>
    <row r="390" spans="2:19" ht="14.25" customHeight="1" x14ac:dyDescent="0.15"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</row>
    <row r="391" spans="2:19" ht="14.25" customHeight="1" x14ac:dyDescent="0.15"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</row>
    <row r="392" spans="2:19" ht="14.25" customHeight="1" x14ac:dyDescent="0.15"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</row>
    <row r="393" spans="2:19" ht="14.25" customHeight="1" x14ac:dyDescent="0.15"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</row>
    <row r="394" spans="2:19" ht="14.25" customHeight="1" x14ac:dyDescent="0.15"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</row>
    <row r="395" spans="2:19" ht="14.25" customHeight="1" x14ac:dyDescent="0.15"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</row>
    <row r="396" spans="2:19" ht="14.25" customHeight="1" x14ac:dyDescent="0.15"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</row>
    <row r="397" spans="2:19" ht="14.25" customHeight="1" x14ac:dyDescent="0.15"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</row>
    <row r="398" spans="2:19" ht="14.25" customHeight="1" x14ac:dyDescent="0.15"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</row>
    <row r="399" spans="2:19" ht="14.25" customHeight="1" x14ac:dyDescent="0.15"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</row>
    <row r="400" spans="2:19" ht="14.25" customHeight="1" x14ac:dyDescent="0.15"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</row>
    <row r="401" spans="2:19" ht="14.25" customHeight="1" x14ac:dyDescent="0.15"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</row>
    <row r="402" spans="2:19" ht="14.25" customHeight="1" x14ac:dyDescent="0.15"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</row>
    <row r="403" spans="2:19" ht="14.25" customHeight="1" x14ac:dyDescent="0.15"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</row>
    <row r="404" spans="2:19" ht="14.25" customHeight="1" x14ac:dyDescent="0.15"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</row>
    <row r="405" spans="2:19" ht="14.25" customHeight="1" x14ac:dyDescent="0.15"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</row>
    <row r="406" spans="2:19" ht="14.25" customHeight="1" x14ac:dyDescent="0.15"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</row>
    <row r="407" spans="2:19" ht="14.25" customHeight="1" x14ac:dyDescent="0.15"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</row>
    <row r="408" spans="2:19" ht="14.25" customHeight="1" x14ac:dyDescent="0.15"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</row>
    <row r="409" spans="2:19" ht="14.25" customHeight="1" x14ac:dyDescent="0.15"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</row>
    <row r="410" spans="2:19" ht="14.25" customHeight="1" x14ac:dyDescent="0.15"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</row>
    <row r="411" spans="2:19" ht="14.25" customHeight="1" x14ac:dyDescent="0.15"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</row>
    <row r="412" spans="2:19" ht="14.25" customHeight="1" x14ac:dyDescent="0.15"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</row>
    <row r="413" spans="2:19" ht="14.25" customHeight="1" x14ac:dyDescent="0.15"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</row>
    <row r="414" spans="2:19" ht="14.25" customHeight="1" x14ac:dyDescent="0.15"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</row>
    <row r="415" spans="2:19" ht="14.25" customHeight="1" x14ac:dyDescent="0.15"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</row>
    <row r="416" spans="2:19" ht="14.25" customHeight="1" x14ac:dyDescent="0.15"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</row>
    <row r="417" spans="2:19" ht="14.25" customHeight="1" x14ac:dyDescent="0.15"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</row>
    <row r="418" spans="2:19" ht="14.25" customHeight="1" x14ac:dyDescent="0.15"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</row>
    <row r="419" spans="2:19" ht="14.25" customHeight="1" x14ac:dyDescent="0.15"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</row>
    <row r="420" spans="2:19" ht="14.25" customHeight="1" x14ac:dyDescent="0.15"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</row>
    <row r="421" spans="2:19" ht="14.25" customHeight="1" x14ac:dyDescent="0.15"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</row>
    <row r="422" spans="2:19" ht="14.25" customHeight="1" x14ac:dyDescent="0.15"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</row>
    <row r="423" spans="2:19" ht="14.25" customHeight="1" x14ac:dyDescent="0.15"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</row>
    <row r="424" spans="2:19" ht="14.25" customHeight="1" x14ac:dyDescent="0.15"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</row>
    <row r="425" spans="2:19" ht="14.25" customHeight="1" x14ac:dyDescent="0.15"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</row>
    <row r="426" spans="2:19" ht="14.25" customHeight="1" x14ac:dyDescent="0.15"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</row>
    <row r="427" spans="2:19" ht="14.25" customHeight="1" x14ac:dyDescent="0.15"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</row>
    <row r="428" spans="2:19" ht="14.25" customHeight="1" x14ac:dyDescent="0.15"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</row>
    <row r="429" spans="2:19" ht="14.25" customHeight="1" x14ac:dyDescent="0.15"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</row>
    <row r="430" spans="2:19" ht="14.25" customHeight="1" x14ac:dyDescent="0.15"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</row>
    <row r="431" spans="2:19" ht="14.25" customHeight="1" x14ac:dyDescent="0.15"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</row>
    <row r="432" spans="2:19" ht="14.25" customHeight="1" x14ac:dyDescent="0.15"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</row>
    <row r="433" spans="2:19" ht="14.25" customHeight="1" x14ac:dyDescent="0.15"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</row>
    <row r="434" spans="2:19" ht="14.25" customHeight="1" x14ac:dyDescent="0.15"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</row>
    <row r="435" spans="2:19" ht="14.25" customHeight="1" x14ac:dyDescent="0.15"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</row>
    <row r="436" spans="2:19" ht="14.25" customHeight="1" x14ac:dyDescent="0.15"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</row>
    <row r="437" spans="2:19" ht="14.25" customHeight="1" x14ac:dyDescent="0.15"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</row>
    <row r="438" spans="2:19" ht="14.25" customHeight="1" x14ac:dyDescent="0.15"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</row>
    <row r="439" spans="2:19" ht="14.25" customHeight="1" x14ac:dyDescent="0.15"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</row>
    <row r="440" spans="2:19" ht="14.25" customHeight="1" x14ac:dyDescent="0.15"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</row>
    <row r="441" spans="2:19" ht="14.25" customHeight="1" x14ac:dyDescent="0.15"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</row>
    <row r="442" spans="2:19" ht="14.25" customHeight="1" x14ac:dyDescent="0.15"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</row>
    <row r="443" spans="2:19" ht="14.25" customHeight="1" x14ac:dyDescent="0.15"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</row>
    <row r="444" spans="2:19" ht="14.25" customHeight="1" x14ac:dyDescent="0.15"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</row>
    <row r="445" spans="2:19" ht="14.25" customHeight="1" x14ac:dyDescent="0.15"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</row>
    <row r="446" spans="2:19" ht="14.25" customHeight="1" x14ac:dyDescent="0.15"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</row>
    <row r="447" spans="2:19" ht="14.25" customHeight="1" x14ac:dyDescent="0.15"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</row>
    <row r="448" spans="2:19" ht="14.25" customHeight="1" x14ac:dyDescent="0.15"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</row>
    <row r="449" spans="2:19" ht="14.25" customHeight="1" x14ac:dyDescent="0.15"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</row>
    <row r="450" spans="2:19" ht="14.25" customHeight="1" x14ac:dyDescent="0.15"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</row>
    <row r="451" spans="2:19" ht="14.25" customHeight="1" x14ac:dyDescent="0.15"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</row>
    <row r="452" spans="2:19" ht="14.25" customHeight="1" x14ac:dyDescent="0.15"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</row>
    <row r="453" spans="2:19" ht="14.25" customHeight="1" x14ac:dyDescent="0.15"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</row>
    <row r="454" spans="2:19" ht="14.25" customHeight="1" x14ac:dyDescent="0.15"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</row>
    <row r="455" spans="2:19" ht="14.25" customHeight="1" x14ac:dyDescent="0.15"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</row>
    <row r="456" spans="2:19" ht="14.25" customHeight="1" x14ac:dyDescent="0.15"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</row>
    <row r="457" spans="2:19" ht="14.25" customHeight="1" x14ac:dyDescent="0.15"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</row>
    <row r="458" spans="2:19" ht="14.25" customHeight="1" x14ac:dyDescent="0.15"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</row>
    <row r="459" spans="2:19" ht="14.25" customHeight="1" x14ac:dyDescent="0.15"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</row>
    <row r="460" spans="2:19" ht="14.25" customHeight="1" x14ac:dyDescent="0.15"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</row>
    <row r="461" spans="2:19" ht="14.25" customHeight="1" x14ac:dyDescent="0.15"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</row>
    <row r="462" spans="2:19" ht="14.25" customHeight="1" x14ac:dyDescent="0.15"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</row>
    <row r="463" spans="2:19" ht="14.25" customHeight="1" x14ac:dyDescent="0.15"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</row>
    <row r="464" spans="2:19" ht="14.25" customHeight="1" x14ac:dyDescent="0.15"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</row>
    <row r="465" spans="2:19" ht="14.25" customHeight="1" x14ac:dyDescent="0.15"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</row>
    <row r="466" spans="2:19" ht="14.25" customHeight="1" x14ac:dyDescent="0.15"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</row>
    <row r="467" spans="2:19" ht="14.25" customHeight="1" x14ac:dyDescent="0.15"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</row>
    <row r="468" spans="2:19" ht="14.25" customHeight="1" x14ac:dyDescent="0.15"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</row>
    <row r="469" spans="2:19" ht="14.25" customHeight="1" x14ac:dyDescent="0.15"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</row>
    <row r="470" spans="2:19" ht="14.25" customHeight="1" x14ac:dyDescent="0.15"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</row>
    <row r="471" spans="2:19" ht="14.25" customHeight="1" x14ac:dyDescent="0.15"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</row>
    <row r="472" spans="2:19" ht="14.25" customHeight="1" x14ac:dyDescent="0.15"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</row>
    <row r="473" spans="2:19" ht="14.25" customHeight="1" x14ac:dyDescent="0.15"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</row>
    <row r="474" spans="2:19" ht="14.25" customHeight="1" x14ac:dyDescent="0.15"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</row>
    <row r="475" spans="2:19" ht="14.25" customHeight="1" x14ac:dyDescent="0.15"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</row>
    <row r="476" spans="2:19" ht="14.25" customHeight="1" x14ac:dyDescent="0.15"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</row>
    <row r="477" spans="2:19" ht="14.25" customHeight="1" x14ac:dyDescent="0.15"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</row>
    <row r="478" spans="2:19" ht="14.25" customHeight="1" x14ac:dyDescent="0.15"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</row>
    <row r="479" spans="2:19" ht="14.25" customHeight="1" x14ac:dyDescent="0.15"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</row>
    <row r="480" spans="2:19" ht="14.25" customHeight="1" x14ac:dyDescent="0.15"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</row>
    <row r="481" spans="2:19" ht="14.25" customHeight="1" x14ac:dyDescent="0.15"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</row>
    <row r="482" spans="2:19" ht="14.25" customHeight="1" x14ac:dyDescent="0.15"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</row>
    <row r="483" spans="2:19" ht="14.25" customHeight="1" x14ac:dyDescent="0.15"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</row>
    <row r="484" spans="2:19" ht="14.25" customHeight="1" x14ac:dyDescent="0.15"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</row>
    <row r="485" spans="2:19" ht="14.25" customHeight="1" x14ac:dyDescent="0.15"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</row>
    <row r="486" spans="2:19" ht="14.25" customHeight="1" x14ac:dyDescent="0.15"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</row>
    <row r="487" spans="2:19" ht="14.25" customHeight="1" x14ac:dyDescent="0.15"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</row>
    <row r="488" spans="2:19" ht="14.25" customHeight="1" x14ac:dyDescent="0.15"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</row>
    <row r="489" spans="2:19" ht="14.25" customHeight="1" x14ac:dyDescent="0.15"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</row>
    <row r="490" spans="2:19" ht="14.25" customHeight="1" x14ac:dyDescent="0.15"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</row>
    <row r="491" spans="2:19" ht="14.25" customHeight="1" x14ac:dyDescent="0.15"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</row>
    <row r="492" spans="2:19" ht="14.25" customHeight="1" x14ac:dyDescent="0.15"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</row>
    <row r="493" spans="2:19" ht="14.25" customHeight="1" x14ac:dyDescent="0.15"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</row>
    <row r="494" spans="2:19" ht="14.25" customHeight="1" x14ac:dyDescent="0.15"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</row>
    <row r="495" spans="2:19" ht="14.25" customHeight="1" x14ac:dyDescent="0.15"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</row>
    <row r="496" spans="2:19" ht="14.25" customHeight="1" x14ac:dyDescent="0.15"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</row>
    <row r="497" spans="2:19" ht="14.25" customHeight="1" x14ac:dyDescent="0.15"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</row>
    <row r="498" spans="2:19" ht="14.25" customHeight="1" x14ac:dyDescent="0.15"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</row>
    <row r="499" spans="2:19" ht="14.25" customHeight="1" x14ac:dyDescent="0.15"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</row>
    <row r="500" spans="2:19" ht="14.25" customHeight="1" x14ac:dyDescent="0.15"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</row>
    <row r="501" spans="2:19" ht="14.25" customHeight="1" x14ac:dyDescent="0.15"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</row>
    <row r="502" spans="2:19" ht="14.25" customHeight="1" x14ac:dyDescent="0.15"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</row>
    <row r="503" spans="2:19" ht="14.25" customHeight="1" x14ac:dyDescent="0.15"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</row>
    <row r="504" spans="2:19" ht="14.25" customHeight="1" x14ac:dyDescent="0.15"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</row>
    <row r="505" spans="2:19" ht="14.25" customHeight="1" x14ac:dyDescent="0.15"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</row>
    <row r="506" spans="2:19" ht="14.25" customHeight="1" x14ac:dyDescent="0.15"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</row>
    <row r="507" spans="2:19" ht="14.25" customHeight="1" x14ac:dyDescent="0.15"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</row>
    <row r="508" spans="2:19" ht="14.25" customHeight="1" x14ac:dyDescent="0.15"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</row>
    <row r="509" spans="2:19" ht="14.25" customHeight="1" x14ac:dyDescent="0.15"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</row>
    <row r="510" spans="2:19" ht="14.25" customHeight="1" x14ac:dyDescent="0.15"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</row>
    <row r="511" spans="2:19" ht="14.25" customHeight="1" x14ac:dyDescent="0.15"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</row>
    <row r="512" spans="2:19" ht="14.25" customHeight="1" x14ac:dyDescent="0.15"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</row>
    <row r="513" spans="2:19" ht="14.25" customHeight="1" x14ac:dyDescent="0.15"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</row>
    <row r="514" spans="2:19" ht="14.25" customHeight="1" x14ac:dyDescent="0.15"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</row>
    <row r="515" spans="2:19" ht="14.25" customHeight="1" x14ac:dyDescent="0.15"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</row>
    <row r="516" spans="2:19" ht="14.25" customHeight="1" x14ac:dyDescent="0.15"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</row>
    <row r="517" spans="2:19" ht="14.25" customHeight="1" x14ac:dyDescent="0.15"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</row>
    <row r="518" spans="2:19" ht="14.25" customHeight="1" x14ac:dyDescent="0.15"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</row>
    <row r="519" spans="2:19" ht="14.25" customHeight="1" x14ac:dyDescent="0.15"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</row>
    <row r="520" spans="2:19" ht="14.25" customHeight="1" x14ac:dyDescent="0.15"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</row>
    <row r="521" spans="2:19" ht="14.25" customHeight="1" x14ac:dyDescent="0.15"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</row>
    <row r="522" spans="2:19" ht="14.25" customHeight="1" x14ac:dyDescent="0.15"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</row>
    <row r="523" spans="2:19" ht="14.25" customHeight="1" x14ac:dyDescent="0.15"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</row>
    <row r="524" spans="2:19" ht="14.25" customHeight="1" x14ac:dyDescent="0.15"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</row>
    <row r="525" spans="2:19" ht="14.25" customHeight="1" x14ac:dyDescent="0.15"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</row>
    <row r="526" spans="2:19" ht="14.25" customHeight="1" x14ac:dyDescent="0.15"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</row>
    <row r="527" spans="2:19" ht="14.25" customHeight="1" x14ac:dyDescent="0.15"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</row>
    <row r="528" spans="2:19" ht="14.25" customHeight="1" x14ac:dyDescent="0.15"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</row>
    <row r="529" spans="2:19" ht="14.25" customHeight="1" x14ac:dyDescent="0.15"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</row>
    <row r="530" spans="2:19" ht="14.25" customHeight="1" x14ac:dyDescent="0.15"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</row>
    <row r="531" spans="2:19" ht="14.25" customHeight="1" x14ac:dyDescent="0.15"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</row>
    <row r="532" spans="2:19" ht="14.25" customHeight="1" x14ac:dyDescent="0.15"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</row>
    <row r="533" spans="2:19" ht="14.25" customHeight="1" x14ac:dyDescent="0.15"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</row>
    <row r="534" spans="2:19" ht="14.25" customHeight="1" x14ac:dyDescent="0.15"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</row>
    <row r="535" spans="2:19" ht="14.25" customHeight="1" x14ac:dyDescent="0.15"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</row>
    <row r="536" spans="2:19" ht="14.25" customHeight="1" x14ac:dyDescent="0.15"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</row>
    <row r="537" spans="2:19" ht="14.25" customHeight="1" x14ac:dyDescent="0.15"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</row>
    <row r="538" spans="2:19" ht="14.25" customHeight="1" x14ac:dyDescent="0.15"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</row>
    <row r="539" spans="2:19" ht="14.25" customHeight="1" x14ac:dyDescent="0.15"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</row>
    <row r="540" spans="2:19" ht="14.25" customHeight="1" x14ac:dyDescent="0.15"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</row>
    <row r="541" spans="2:19" ht="14.25" customHeight="1" x14ac:dyDescent="0.15"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</row>
    <row r="542" spans="2:19" ht="14.25" customHeight="1" x14ac:dyDescent="0.15"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</row>
    <row r="543" spans="2:19" ht="14.25" customHeight="1" x14ac:dyDescent="0.15"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</row>
    <row r="544" spans="2:19" ht="14.25" customHeight="1" x14ac:dyDescent="0.15"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</row>
    <row r="545" spans="2:19" ht="14.25" customHeight="1" x14ac:dyDescent="0.15"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</row>
    <row r="546" spans="2:19" ht="14.25" customHeight="1" x14ac:dyDescent="0.15"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</row>
    <row r="547" spans="2:19" ht="14.25" customHeight="1" x14ac:dyDescent="0.15"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</row>
    <row r="548" spans="2:19" ht="14.25" customHeight="1" x14ac:dyDescent="0.15"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</row>
    <row r="549" spans="2:19" ht="14.25" customHeight="1" x14ac:dyDescent="0.15"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</row>
    <row r="550" spans="2:19" ht="14.25" customHeight="1" x14ac:dyDescent="0.15"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</row>
    <row r="551" spans="2:19" ht="14.25" customHeight="1" x14ac:dyDescent="0.15"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</row>
    <row r="552" spans="2:19" ht="14.25" customHeight="1" x14ac:dyDescent="0.15"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</row>
    <row r="553" spans="2:19" ht="14.25" customHeight="1" x14ac:dyDescent="0.15"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</row>
    <row r="554" spans="2:19" ht="14.25" customHeight="1" x14ac:dyDescent="0.15"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</row>
    <row r="555" spans="2:19" ht="14.25" customHeight="1" x14ac:dyDescent="0.15"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</row>
    <row r="556" spans="2:19" ht="14.25" customHeight="1" x14ac:dyDescent="0.15"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</row>
    <row r="557" spans="2:19" ht="14.25" customHeight="1" x14ac:dyDescent="0.15"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</row>
    <row r="558" spans="2:19" ht="14.25" customHeight="1" x14ac:dyDescent="0.15"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</row>
    <row r="559" spans="2:19" ht="14.25" customHeight="1" x14ac:dyDescent="0.15"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</row>
    <row r="560" spans="2:19" ht="14.25" customHeight="1" x14ac:dyDescent="0.15"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</row>
    <row r="561" spans="2:19" ht="14.25" customHeight="1" x14ac:dyDescent="0.15"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</row>
    <row r="562" spans="2:19" ht="14.25" customHeight="1" x14ac:dyDescent="0.15"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</row>
    <row r="563" spans="2:19" ht="14.25" customHeight="1" x14ac:dyDescent="0.15"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</row>
    <row r="564" spans="2:19" ht="14.25" customHeight="1" x14ac:dyDescent="0.15"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</row>
    <row r="565" spans="2:19" ht="14.25" customHeight="1" x14ac:dyDescent="0.15"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</row>
    <row r="566" spans="2:19" ht="14.25" customHeight="1" x14ac:dyDescent="0.15"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</row>
    <row r="567" spans="2:19" ht="14.25" customHeight="1" x14ac:dyDescent="0.15"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</row>
    <row r="568" spans="2:19" ht="14.25" customHeight="1" x14ac:dyDescent="0.15"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</row>
    <row r="569" spans="2:19" ht="14.25" customHeight="1" x14ac:dyDescent="0.15"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</row>
    <row r="570" spans="2:19" ht="14.25" customHeight="1" x14ac:dyDescent="0.15"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</row>
    <row r="571" spans="2:19" ht="14.25" customHeight="1" x14ac:dyDescent="0.15"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</row>
    <row r="572" spans="2:19" ht="14.25" customHeight="1" x14ac:dyDescent="0.15"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</row>
    <row r="573" spans="2:19" ht="14.25" customHeight="1" x14ac:dyDescent="0.15"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</row>
    <row r="574" spans="2:19" ht="14.25" customHeight="1" x14ac:dyDescent="0.15"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</row>
    <row r="575" spans="2:19" ht="14.25" customHeight="1" x14ac:dyDescent="0.15"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</row>
    <row r="576" spans="2:19" ht="14.25" customHeight="1" x14ac:dyDescent="0.15"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</row>
    <row r="577" spans="2:19" ht="14.25" customHeight="1" x14ac:dyDescent="0.15"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</row>
    <row r="578" spans="2:19" ht="14.25" customHeight="1" x14ac:dyDescent="0.15"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</row>
    <row r="579" spans="2:19" ht="14.25" customHeight="1" x14ac:dyDescent="0.15"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</row>
    <row r="580" spans="2:19" ht="14.25" customHeight="1" x14ac:dyDescent="0.15"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</row>
    <row r="581" spans="2:19" ht="14.25" customHeight="1" x14ac:dyDescent="0.15"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</row>
    <row r="582" spans="2:19" ht="14.25" customHeight="1" x14ac:dyDescent="0.15"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</row>
    <row r="583" spans="2:19" ht="14.25" customHeight="1" x14ac:dyDescent="0.15"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</row>
    <row r="584" spans="2:19" ht="14.25" customHeight="1" x14ac:dyDescent="0.15"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</row>
    <row r="585" spans="2:19" ht="14.25" customHeight="1" x14ac:dyDescent="0.15"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</row>
    <row r="586" spans="2:19" ht="14.25" customHeight="1" x14ac:dyDescent="0.15"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</row>
    <row r="587" spans="2:19" ht="14.25" customHeight="1" x14ac:dyDescent="0.15"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</row>
    <row r="588" spans="2:19" ht="14.25" customHeight="1" x14ac:dyDescent="0.15"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</row>
    <row r="589" spans="2:19" ht="14.25" customHeight="1" x14ac:dyDescent="0.15"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</row>
    <row r="590" spans="2:19" ht="14.25" customHeight="1" x14ac:dyDescent="0.15"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</row>
    <row r="591" spans="2:19" ht="14.25" customHeight="1" x14ac:dyDescent="0.15"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</row>
    <row r="592" spans="2:19" ht="14.25" customHeight="1" x14ac:dyDescent="0.15"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</row>
    <row r="593" spans="2:19" ht="14.25" customHeight="1" x14ac:dyDescent="0.15"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</row>
    <row r="594" spans="2:19" ht="14.25" customHeight="1" x14ac:dyDescent="0.15"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</row>
    <row r="595" spans="2:19" ht="14.25" customHeight="1" x14ac:dyDescent="0.15"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</row>
    <row r="596" spans="2:19" ht="14.25" customHeight="1" x14ac:dyDescent="0.15"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</row>
    <row r="597" spans="2:19" ht="14.25" customHeight="1" x14ac:dyDescent="0.15"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</row>
    <row r="598" spans="2:19" ht="14.25" customHeight="1" x14ac:dyDescent="0.15"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</row>
    <row r="599" spans="2:19" ht="14.25" customHeight="1" x14ac:dyDescent="0.15"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</row>
    <row r="600" spans="2:19" ht="14.25" customHeight="1" x14ac:dyDescent="0.15"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</row>
    <row r="601" spans="2:19" ht="14.25" customHeight="1" x14ac:dyDescent="0.15"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</row>
    <row r="602" spans="2:19" ht="14.25" customHeight="1" x14ac:dyDescent="0.15"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</row>
    <row r="603" spans="2:19" ht="14.25" customHeight="1" x14ac:dyDescent="0.15"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</row>
    <row r="604" spans="2:19" ht="14.25" customHeight="1" x14ac:dyDescent="0.15"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</row>
    <row r="605" spans="2:19" ht="14.25" customHeight="1" x14ac:dyDescent="0.15"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</row>
    <row r="606" spans="2:19" ht="14.25" customHeight="1" x14ac:dyDescent="0.15"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</row>
    <row r="607" spans="2:19" ht="14.25" customHeight="1" x14ac:dyDescent="0.15"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</row>
    <row r="608" spans="2:19" ht="14.25" customHeight="1" x14ac:dyDescent="0.15"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</row>
    <row r="609" spans="2:19" ht="14.25" customHeight="1" x14ac:dyDescent="0.15"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</row>
    <row r="610" spans="2:19" ht="14.25" customHeight="1" x14ac:dyDescent="0.15"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</row>
    <row r="611" spans="2:19" ht="14.25" customHeight="1" x14ac:dyDescent="0.15"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</row>
    <row r="612" spans="2:19" ht="14.25" customHeight="1" x14ac:dyDescent="0.15"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</row>
    <row r="613" spans="2:19" ht="14.25" customHeight="1" x14ac:dyDescent="0.15"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</row>
    <row r="614" spans="2:19" ht="14.25" customHeight="1" x14ac:dyDescent="0.15"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</row>
    <row r="615" spans="2:19" ht="14.25" customHeight="1" x14ac:dyDescent="0.15"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</row>
    <row r="616" spans="2:19" ht="14.25" customHeight="1" x14ac:dyDescent="0.15"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</row>
    <row r="617" spans="2:19" ht="14.25" customHeight="1" x14ac:dyDescent="0.15"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</row>
    <row r="618" spans="2:19" ht="14.25" customHeight="1" x14ac:dyDescent="0.15"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</row>
    <row r="619" spans="2:19" ht="14.25" customHeight="1" x14ac:dyDescent="0.15"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</row>
    <row r="620" spans="2:19" ht="14.25" customHeight="1" x14ac:dyDescent="0.15"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</row>
    <row r="621" spans="2:19" ht="14.25" customHeight="1" x14ac:dyDescent="0.15"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</row>
    <row r="622" spans="2:19" ht="14.25" customHeight="1" x14ac:dyDescent="0.15"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</row>
    <row r="623" spans="2:19" ht="14.25" customHeight="1" x14ac:dyDescent="0.15"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</row>
    <row r="624" spans="2:19" ht="14.25" customHeight="1" x14ac:dyDescent="0.15"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</row>
    <row r="625" spans="2:19" ht="14.25" customHeight="1" x14ac:dyDescent="0.15"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</row>
    <row r="626" spans="2:19" ht="14.25" customHeight="1" x14ac:dyDescent="0.15"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</row>
    <row r="627" spans="2:19" ht="14.25" customHeight="1" x14ac:dyDescent="0.15"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</row>
    <row r="628" spans="2:19" ht="14.25" customHeight="1" x14ac:dyDescent="0.15"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</row>
    <row r="629" spans="2:19" ht="14.25" customHeight="1" x14ac:dyDescent="0.15"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</row>
    <row r="630" spans="2:19" ht="14.25" customHeight="1" x14ac:dyDescent="0.15"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</row>
    <row r="631" spans="2:19" ht="14.25" customHeight="1" x14ac:dyDescent="0.15"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</row>
    <row r="632" spans="2:19" ht="14.25" customHeight="1" x14ac:dyDescent="0.15"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</row>
    <row r="633" spans="2:19" ht="14.25" customHeight="1" x14ac:dyDescent="0.15"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</row>
    <row r="634" spans="2:19" ht="14.25" customHeight="1" x14ac:dyDescent="0.15"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</row>
    <row r="635" spans="2:19" ht="14.25" customHeight="1" x14ac:dyDescent="0.15"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</row>
    <row r="636" spans="2:19" ht="14.25" customHeight="1" x14ac:dyDescent="0.15"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</row>
    <row r="637" spans="2:19" ht="14.25" customHeight="1" x14ac:dyDescent="0.15"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</row>
    <row r="638" spans="2:19" ht="14.25" customHeight="1" x14ac:dyDescent="0.15"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</row>
    <row r="639" spans="2:19" ht="14.25" customHeight="1" x14ac:dyDescent="0.15"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</row>
    <row r="640" spans="2:19" ht="14.25" customHeight="1" x14ac:dyDescent="0.15"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</row>
    <row r="641" spans="2:19" ht="14.25" customHeight="1" x14ac:dyDescent="0.15"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</row>
    <row r="642" spans="2:19" ht="14.25" customHeight="1" x14ac:dyDescent="0.15"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</row>
    <row r="643" spans="2:19" ht="14.25" customHeight="1" x14ac:dyDescent="0.15"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</row>
    <row r="644" spans="2:19" ht="14.25" customHeight="1" x14ac:dyDescent="0.15"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</row>
    <row r="645" spans="2:19" ht="14.25" customHeight="1" x14ac:dyDescent="0.15"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</row>
    <row r="646" spans="2:19" ht="14.25" customHeight="1" x14ac:dyDescent="0.15"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</row>
    <row r="647" spans="2:19" ht="14.25" customHeight="1" x14ac:dyDescent="0.15"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</row>
    <row r="648" spans="2:19" ht="14.25" customHeight="1" x14ac:dyDescent="0.15"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</row>
    <row r="649" spans="2:19" ht="14.25" customHeight="1" x14ac:dyDescent="0.15"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</row>
    <row r="650" spans="2:19" ht="14.25" customHeight="1" x14ac:dyDescent="0.15"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</row>
    <row r="651" spans="2:19" ht="14.25" customHeight="1" x14ac:dyDescent="0.15"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</row>
    <row r="652" spans="2:19" ht="14.25" customHeight="1" x14ac:dyDescent="0.15"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</row>
    <row r="653" spans="2:19" ht="14.25" customHeight="1" x14ac:dyDescent="0.15"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</row>
    <row r="654" spans="2:19" ht="14.25" customHeight="1" x14ac:dyDescent="0.15"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</row>
    <row r="655" spans="2:19" ht="14.25" customHeight="1" x14ac:dyDescent="0.15"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</row>
    <row r="656" spans="2:19" ht="14.25" customHeight="1" x14ac:dyDescent="0.15"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</row>
    <row r="657" spans="2:19" ht="14.25" customHeight="1" x14ac:dyDescent="0.15"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</row>
    <row r="658" spans="2:19" ht="14.25" customHeight="1" x14ac:dyDescent="0.15"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</row>
    <row r="659" spans="2:19" ht="14.25" customHeight="1" x14ac:dyDescent="0.15"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</row>
    <row r="660" spans="2:19" ht="14.25" customHeight="1" x14ac:dyDescent="0.15"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</row>
    <row r="661" spans="2:19" ht="14.25" customHeight="1" x14ac:dyDescent="0.15"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</row>
    <row r="662" spans="2:19" ht="14.25" customHeight="1" x14ac:dyDescent="0.15"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</row>
    <row r="663" spans="2:19" ht="14.25" customHeight="1" x14ac:dyDescent="0.15"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</row>
    <row r="664" spans="2:19" ht="14.25" customHeight="1" x14ac:dyDescent="0.15"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</row>
    <row r="665" spans="2:19" ht="14.25" customHeight="1" x14ac:dyDescent="0.15"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</row>
    <row r="666" spans="2:19" ht="14.25" customHeight="1" x14ac:dyDescent="0.15"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</row>
    <row r="667" spans="2:19" ht="14.25" customHeight="1" x14ac:dyDescent="0.15"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</row>
    <row r="668" spans="2:19" ht="14.25" customHeight="1" x14ac:dyDescent="0.15"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</row>
    <row r="669" spans="2:19" ht="14.25" customHeight="1" x14ac:dyDescent="0.15"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</row>
    <row r="670" spans="2:19" ht="14.25" customHeight="1" x14ac:dyDescent="0.15"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</row>
    <row r="671" spans="2:19" ht="14.25" customHeight="1" x14ac:dyDescent="0.15"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</row>
    <row r="672" spans="2:19" ht="14.25" customHeight="1" x14ac:dyDescent="0.15"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</row>
    <row r="673" spans="2:19" ht="14.25" customHeight="1" x14ac:dyDescent="0.15"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</row>
    <row r="674" spans="2:19" ht="14.25" customHeight="1" x14ac:dyDescent="0.15"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</row>
    <row r="675" spans="2:19" ht="14.25" customHeight="1" x14ac:dyDescent="0.15"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</row>
    <row r="676" spans="2:19" ht="14.25" customHeight="1" x14ac:dyDescent="0.15"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</row>
    <row r="677" spans="2:19" ht="14.25" customHeight="1" x14ac:dyDescent="0.15"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</row>
    <row r="678" spans="2:19" ht="14.25" customHeight="1" x14ac:dyDescent="0.15"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</row>
    <row r="679" spans="2:19" ht="14.25" customHeight="1" x14ac:dyDescent="0.15"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</row>
    <row r="680" spans="2:19" ht="14.25" customHeight="1" x14ac:dyDescent="0.15"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</row>
    <row r="681" spans="2:19" ht="14.25" customHeight="1" x14ac:dyDescent="0.15"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</row>
    <row r="682" spans="2:19" ht="14.25" customHeight="1" x14ac:dyDescent="0.15"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</row>
    <row r="683" spans="2:19" ht="14.25" customHeight="1" x14ac:dyDescent="0.15"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</row>
    <row r="684" spans="2:19" ht="14.25" customHeight="1" x14ac:dyDescent="0.15"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</row>
    <row r="685" spans="2:19" ht="14.25" customHeight="1" x14ac:dyDescent="0.15"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</row>
    <row r="686" spans="2:19" ht="14.25" customHeight="1" x14ac:dyDescent="0.15"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</row>
    <row r="687" spans="2:19" ht="14.25" customHeight="1" x14ac:dyDescent="0.15"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</row>
    <row r="688" spans="2:19" ht="14.25" customHeight="1" x14ac:dyDescent="0.15"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</row>
    <row r="689" spans="2:19" ht="14.25" customHeight="1" x14ac:dyDescent="0.15"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</row>
    <row r="690" spans="2:19" ht="14.25" customHeight="1" x14ac:dyDescent="0.15"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</row>
    <row r="691" spans="2:19" ht="14.25" customHeight="1" x14ac:dyDescent="0.15"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</row>
    <row r="692" spans="2:19" ht="14.25" customHeight="1" x14ac:dyDescent="0.15"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</row>
    <row r="693" spans="2:19" ht="14.25" customHeight="1" x14ac:dyDescent="0.15"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</row>
    <row r="694" spans="2:19" ht="14.25" customHeight="1" x14ac:dyDescent="0.15"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</row>
    <row r="695" spans="2:19" ht="14.25" customHeight="1" x14ac:dyDescent="0.15"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</row>
    <row r="696" spans="2:19" ht="14.25" customHeight="1" x14ac:dyDescent="0.15"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</row>
    <row r="697" spans="2:19" ht="14.25" customHeight="1" x14ac:dyDescent="0.15"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</row>
    <row r="698" spans="2:19" ht="14.25" customHeight="1" x14ac:dyDescent="0.15"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</row>
    <row r="699" spans="2:19" ht="14.25" customHeight="1" x14ac:dyDescent="0.15"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</row>
    <row r="700" spans="2:19" ht="14.25" customHeight="1" x14ac:dyDescent="0.15"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</row>
    <row r="701" spans="2:19" ht="14.25" customHeight="1" x14ac:dyDescent="0.15"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</row>
    <row r="702" spans="2:19" ht="14.25" customHeight="1" x14ac:dyDescent="0.15"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</row>
    <row r="703" spans="2:19" ht="14.25" customHeight="1" x14ac:dyDescent="0.15"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</row>
    <row r="704" spans="2:19" ht="14.25" customHeight="1" x14ac:dyDescent="0.15"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</row>
    <row r="705" spans="2:19" ht="14.25" customHeight="1" x14ac:dyDescent="0.15"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</row>
    <row r="706" spans="2:19" ht="14.25" customHeight="1" x14ac:dyDescent="0.15"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</row>
    <row r="707" spans="2:19" ht="14.25" customHeight="1" x14ac:dyDescent="0.15"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</row>
    <row r="708" spans="2:19" ht="14.25" customHeight="1" x14ac:dyDescent="0.15"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</row>
    <row r="709" spans="2:19" ht="14.25" customHeight="1" x14ac:dyDescent="0.15"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</row>
    <row r="710" spans="2:19" ht="14.25" customHeight="1" x14ac:dyDescent="0.15"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</row>
    <row r="711" spans="2:19" ht="14.25" customHeight="1" x14ac:dyDescent="0.15"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</row>
    <row r="712" spans="2:19" ht="14.25" customHeight="1" x14ac:dyDescent="0.15"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</row>
    <row r="713" spans="2:19" ht="14.25" customHeight="1" x14ac:dyDescent="0.15"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</row>
    <row r="714" spans="2:19" ht="14.25" customHeight="1" x14ac:dyDescent="0.15"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</row>
    <row r="715" spans="2:19" ht="14.25" customHeight="1" x14ac:dyDescent="0.15"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</row>
    <row r="716" spans="2:19" ht="14.25" customHeight="1" x14ac:dyDescent="0.15"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</row>
    <row r="717" spans="2:19" ht="14.25" customHeight="1" x14ac:dyDescent="0.15"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</row>
    <row r="718" spans="2:19" ht="14.25" customHeight="1" x14ac:dyDescent="0.15"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</row>
    <row r="719" spans="2:19" ht="14.25" customHeight="1" x14ac:dyDescent="0.15"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</row>
    <row r="720" spans="2:19" ht="14.25" customHeight="1" x14ac:dyDescent="0.15"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</row>
    <row r="721" spans="2:19" ht="14.25" customHeight="1" x14ac:dyDescent="0.15"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</row>
    <row r="722" spans="2:19" ht="14.25" customHeight="1" x14ac:dyDescent="0.15"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</row>
    <row r="723" spans="2:19" ht="14.25" customHeight="1" x14ac:dyDescent="0.15"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</row>
    <row r="724" spans="2:19" ht="14.25" customHeight="1" x14ac:dyDescent="0.15"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</row>
    <row r="725" spans="2:19" ht="14.25" customHeight="1" x14ac:dyDescent="0.15"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</row>
    <row r="726" spans="2:19" ht="14.25" customHeight="1" x14ac:dyDescent="0.15"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</row>
    <row r="727" spans="2:19" ht="14.25" customHeight="1" x14ac:dyDescent="0.15"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</row>
    <row r="728" spans="2:19" ht="14.25" customHeight="1" x14ac:dyDescent="0.15"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</row>
    <row r="729" spans="2:19" ht="14.25" customHeight="1" x14ac:dyDescent="0.15"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</row>
    <row r="730" spans="2:19" ht="14.25" customHeight="1" x14ac:dyDescent="0.15"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</row>
    <row r="731" spans="2:19" ht="14.25" customHeight="1" x14ac:dyDescent="0.15"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</row>
    <row r="732" spans="2:19" ht="14.25" customHeight="1" x14ac:dyDescent="0.15"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</row>
    <row r="733" spans="2:19" ht="14.25" customHeight="1" x14ac:dyDescent="0.15"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</row>
    <row r="734" spans="2:19" ht="14.25" customHeight="1" x14ac:dyDescent="0.15"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</row>
    <row r="735" spans="2:19" ht="14.25" customHeight="1" x14ac:dyDescent="0.15"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</row>
    <row r="736" spans="2:19" ht="14.25" customHeight="1" x14ac:dyDescent="0.15"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</row>
    <row r="737" spans="2:19" ht="14.25" customHeight="1" x14ac:dyDescent="0.15"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</row>
    <row r="738" spans="2:19" ht="14.25" customHeight="1" x14ac:dyDescent="0.15"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</row>
    <row r="739" spans="2:19" ht="14.25" customHeight="1" x14ac:dyDescent="0.15"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</row>
    <row r="740" spans="2:19" ht="14.25" customHeight="1" x14ac:dyDescent="0.15"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</row>
    <row r="741" spans="2:19" ht="14.25" customHeight="1" x14ac:dyDescent="0.15"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</row>
    <row r="742" spans="2:19" ht="14.25" customHeight="1" x14ac:dyDescent="0.15"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</row>
    <row r="743" spans="2:19" ht="14.25" customHeight="1" x14ac:dyDescent="0.15"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</row>
    <row r="744" spans="2:19" ht="14.25" customHeight="1" x14ac:dyDescent="0.15"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</row>
    <row r="745" spans="2:19" ht="14.25" customHeight="1" x14ac:dyDescent="0.15"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</row>
    <row r="746" spans="2:19" ht="14.25" customHeight="1" x14ac:dyDescent="0.15"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</row>
    <row r="747" spans="2:19" ht="14.25" customHeight="1" x14ac:dyDescent="0.15"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</row>
    <row r="748" spans="2:19" ht="14.25" customHeight="1" x14ac:dyDescent="0.15"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</row>
    <row r="749" spans="2:19" ht="14.25" customHeight="1" x14ac:dyDescent="0.15"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</row>
    <row r="750" spans="2:19" ht="14.25" customHeight="1" x14ac:dyDescent="0.15"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</row>
    <row r="751" spans="2:19" ht="14.25" customHeight="1" x14ac:dyDescent="0.15"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</row>
    <row r="752" spans="2:19" ht="14.25" customHeight="1" x14ac:dyDescent="0.15"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</row>
    <row r="753" spans="2:19" ht="14.25" customHeight="1" x14ac:dyDescent="0.15"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</row>
    <row r="754" spans="2:19" ht="14.25" customHeight="1" x14ac:dyDescent="0.15"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</row>
    <row r="755" spans="2:19" ht="14.25" customHeight="1" x14ac:dyDescent="0.15"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</row>
    <row r="756" spans="2:19" ht="14.25" customHeight="1" x14ac:dyDescent="0.15"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</row>
    <row r="757" spans="2:19" ht="14.25" customHeight="1" x14ac:dyDescent="0.15"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</row>
    <row r="758" spans="2:19" ht="14.25" customHeight="1" x14ac:dyDescent="0.15"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</row>
    <row r="759" spans="2:19" ht="14.25" customHeight="1" x14ac:dyDescent="0.15"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</row>
    <row r="760" spans="2:19" ht="14.25" customHeight="1" x14ac:dyDescent="0.15"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</row>
    <row r="761" spans="2:19" ht="14.25" customHeight="1" x14ac:dyDescent="0.15"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</row>
    <row r="762" spans="2:19" ht="14.25" customHeight="1" x14ac:dyDescent="0.15"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</row>
    <row r="763" spans="2:19" ht="14.25" customHeight="1" x14ac:dyDescent="0.15"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</row>
    <row r="764" spans="2:19" ht="14.25" customHeight="1" x14ac:dyDescent="0.15"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</row>
    <row r="765" spans="2:19" ht="14.25" customHeight="1" x14ac:dyDescent="0.15"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</row>
    <row r="766" spans="2:19" ht="14.25" customHeight="1" x14ac:dyDescent="0.15"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</row>
    <row r="767" spans="2:19" ht="14.25" customHeight="1" x14ac:dyDescent="0.15"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</row>
    <row r="768" spans="2:19" ht="14.25" customHeight="1" x14ac:dyDescent="0.15"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</row>
    <row r="769" spans="2:19" ht="14.25" customHeight="1" x14ac:dyDescent="0.15"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</row>
    <row r="770" spans="2:19" ht="14.25" customHeight="1" x14ac:dyDescent="0.15"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</row>
    <row r="771" spans="2:19" ht="14.25" customHeight="1" x14ac:dyDescent="0.15"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</row>
    <row r="772" spans="2:19" ht="14.25" customHeight="1" x14ac:dyDescent="0.15"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</row>
    <row r="773" spans="2:19" ht="14.25" customHeight="1" x14ac:dyDescent="0.15"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</row>
    <row r="774" spans="2:19" ht="14.25" customHeight="1" x14ac:dyDescent="0.15"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</row>
    <row r="775" spans="2:19" ht="14.25" customHeight="1" x14ac:dyDescent="0.15"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</row>
    <row r="776" spans="2:19" ht="14.25" customHeight="1" x14ac:dyDescent="0.15"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</row>
    <row r="777" spans="2:19" ht="14.25" customHeight="1" x14ac:dyDescent="0.15"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</row>
    <row r="778" spans="2:19" ht="14.25" customHeight="1" x14ac:dyDescent="0.15"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</row>
    <row r="779" spans="2:19" ht="14.25" customHeight="1" x14ac:dyDescent="0.15"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</row>
    <row r="780" spans="2:19" ht="14.25" customHeight="1" x14ac:dyDescent="0.15"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</row>
    <row r="781" spans="2:19" ht="14.25" customHeight="1" x14ac:dyDescent="0.15"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</row>
    <row r="782" spans="2:19" ht="14.25" customHeight="1" x14ac:dyDescent="0.15"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</row>
    <row r="783" spans="2:19" ht="14.25" customHeight="1" x14ac:dyDescent="0.15"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</row>
    <row r="784" spans="2:19" ht="14.25" customHeight="1" x14ac:dyDescent="0.15"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</row>
    <row r="785" spans="2:19" ht="14.25" customHeight="1" x14ac:dyDescent="0.15"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</row>
    <row r="786" spans="2:19" ht="14.25" customHeight="1" x14ac:dyDescent="0.15"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</row>
    <row r="787" spans="2:19" ht="14.25" customHeight="1" x14ac:dyDescent="0.15"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</row>
    <row r="788" spans="2:19" ht="14.25" customHeight="1" x14ac:dyDescent="0.15"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</row>
    <row r="789" spans="2:19" ht="14.25" customHeight="1" x14ac:dyDescent="0.15"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</row>
    <row r="790" spans="2:19" ht="14.25" customHeight="1" x14ac:dyDescent="0.15"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</row>
    <row r="791" spans="2:19" ht="14.25" customHeight="1" x14ac:dyDescent="0.15"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</row>
    <row r="792" spans="2:19" ht="14.25" customHeight="1" x14ac:dyDescent="0.15"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</row>
    <row r="793" spans="2:19" ht="14.25" customHeight="1" x14ac:dyDescent="0.15"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</row>
    <row r="794" spans="2:19" ht="14.25" customHeight="1" x14ac:dyDescent="0.15"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</row>
    <row r="795" spans="2:19" ht="14.25" customHeight="1" x14ac:dyDescent="0.15"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</row>
    <row r="796" spans="2:19" ht="14.25" customHeight="1" x14ac:dyDescent="0.15"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</row>
    <row r="797" spans="2:19" ht="14.25" customHeight="1" x14ac:dyDescent="0.15"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</row>
    <row r="798" spans="2:19" ht="14.25" customHeight="1" x14ac:dyDescent="0.15"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</row>
    <row r="799" spans="2:19" ht="14.25" customHeight="1" x14ac:dyDescent="0.15"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</row>
    <row r="800" spans="2:19" ht="14.25" customHeight="1" x14ac:dyDescent="0.15"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</row>
    <row r="801" spans="2:19" ht="14.25" customHeight="1" x14ac:dyDescent="0.15"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</row>
    <row r="802" spans="2:19" ht="14.25" customHeight="1" x14ac:dyDescent="0.15"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</row>
    <row r="803" spans="2:19" ht="14.25" customHeight="1" x14ac:dyDescent="0.15"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</row>
    <row r="804" spans="2:19" ht="14.25" customHeight="1" x14ac:dyDescent="0.15"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</row>
    <row r="805" spans="2:19" ht="14.25" customHeight="1" x14ac:dyDescent="0.15"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</row>
    <row r="806" spans="2:19" ht="14.25" customHeight="1" x14ac:dyDescent="0.15"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</row>
    <row r="807" spans="2:19" ht="14.25" customHeight="1" x14ac:dyDescent="0.15"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</row>
    <row r="808" spans="2:19" ht="14.25" customHeight="1" x14ac:dyDescent="0.15"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</row>
    <row r="809" spans="2:19" ht="14.25" customHeight="1" x14ac:dyDescent="0.15"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</row>
    <row r="810" spans="2:19" ht="14.25" customHeight="1" x14ac:dyDescent="0.15"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</row>
    <row r="811" spans="2:19" ht="14.25" customHeight="1" x14ac:dyDescent="0.15"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</row>
    <row r="812" spans="2:19" ht="14.25" customHeight="1" x14ac:dyDescent="0.15"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</row>
    <row r="813" spans="2:19" ht="14.25" customHeight="1" x14ac:dyDescent="0.15"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</row>
    <row r="814" spans="2:19" ht="14.25" customHeight="1" x14ac:dyDescent="0.15"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</row>
    <row r="815" spans="2:19" ht="14.25" customHeight="1" x14ac:dyDescent="0.15"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</row>
    <row r="816" spans="2:19" ht="14.25" customHeight="1" x14ac:dyDescent="0.15"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</row>
    <row r="817" spans="2:19" ht="14.25" customHeight="1" x14ac:dyDescent="0.15"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</row>
    <row r="818" spans="2:19" ht="14.25" customHeight="1" x14ac:dyDescent="0.15"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</row>
    <row r="819" spans="2:19" ht="14.25" customHeight="1" x14ac:dyDescent="0.15"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</row>
    <row r="820" spans="2:19" ht="14.25" customHeight="1" x14ac:dyDescent="0.15"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</row>
    <row r="821" spans="2:19" ht="14.25" customHeight="1" x14ac:dyDescent="0.15"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</row>
    <row r="822" spans="2:19" ht="14.25" customHeight="1" x14ac:dyDescent="0.15"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</row>
    <row r="823" spans="2:19" ht="14.25" customHeight="1" x14ac:dyDescent="0.15"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</row>
    <row r="824" spans="2:19" ht="14.25" customHeight="1" x14ac:dyDescent="0.15"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</row>
    <row r="825" spans="2:19" ht="14.25" customHeight="1" x14ac:dyDescent="0.15"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</row>
    <row r="826" spans="2:19" ht="14.25" customHeight="1" x14ac:dyDescent="0.15"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</row>
    <row r="827" spans="2:19" ht="14.25" customHeight="1" x14ac:dyDescent="0.15"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</row>
    <row r="828" spans="2:19" ht="14.25" customHeight="1" x14ac:dyDescent="0.15"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</row>
    <row r="829" spans="2:19" ht="14.25" customHeight="1" x14ac:dyDescent="0.15"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</row>
    <row r="830" spans="2:19" ht="14.25" customHeight="1" x14ac:dyDescent="0.15"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</row>
    <row r="831" spans="2:19" ht="14.25" customHeight="1" x14ac:dyDescent="0.15"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</row>
    <row r="832" spans="2:19" ht="14.25" customHeight="1" x14ac:dyDescent="0.15"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</row>
    <row r="833" spans="2:19" ht="14.25" customHeight="1" x14ac:dyDescent="0.15"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</row>
    <row r="834" spans="2:19" ht="14.25" customHeight="1" x14ac:dyDescent="0.15"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</row>
    <row r="835" spans="2:19" ht="14.25" customHeight="1" x14ac:dyDescent="0.15"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</row>
    <row r="836" spans="2:19" ht="14.25" customHeight="1" x14ac:dyDescent="0.15"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</row>
    <row r="837" spans="2:19" ht="14.25" customHeight="1" x14ac:dyDescent="0.15"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</row>
    <row r="838" spans="2:19" ht="14.25" customHeight="1" x14ac:dyDescent="0.15"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</row>
    <row r="839" spans="2:19" ht="14.25" customHeight="1" x14ac:dyDescent="0.15"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</row>
    <row r="840" spans="2:19" ht="14.25" customHeight="1" x14ac:dyDescent="0.15"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</row>
    <row r="841" spans="2:19" ht="14.25" customHeight="1" x14ac:dyDescent="0.15"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</row>
    <row r="842" spans="2:19" ht="14.25" customHeight="1" x14ac:dyDescent="0.15"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</row>
    <row r="843" spans="2:19" ht="14.25" customHeight="1" x14ac:dyDescent="0.15"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</row>
    <row r="844" spans="2:19" ht="14.25" customHeight="1" x14ac:dyDescent="0.15"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</row>
    <row r="845" spans="2:19" ht="14.25" customHeight="1" x14ac:dyDescent="0.15"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</row>
    <row r="846" spans="2:19" ht="14.25" customHeight="1" x14ac:dyDescent="0.15"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</row>
    <row r="847" spans="2:19" ht="14.25" customHeight="1" x14ac:dyDescent="0.15"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</row>
    <row r="848" spans="2:19" ht="14.25" customHeight="1" x14ac:dyDescent="0.15"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</row>
    <row r="849" spans="2:19" ht="14.25" customHeight="1" x14ac:dyDescent="0.15"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</row>
    <row r="850" spans="2:19" ht="14.25" customHeight="1" x14ac:dyDescent="0.15"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</row>
    <row r="851" spans="2:19" ht="14.25" customHeight="1" x14ac:dyDescent="0.15"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</row>
    <row r="852" spans="2:19" ht="14.25" customHeight="1" x14ac:dyDescent="0.15"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</row>
    <row r="853" spans="2:19" ht="14.25" customHeight="1" x14ac:dyDescent="0.15"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</row>
    <row r="854" spans="2:19" ht="14.25" customHeight="1" x14ac:dyDescent="0.15"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</row>
    <row r="855" spans="2:19" ht="14.25" customHeight="1" x14ac:dyDescent="0.15"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</row>
    <row r="856" spans="2:19" ht="14.25" customHeight="1" x14ac:dyDescent="0.15"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</row>
    <row r="857" spans="2:19" ht="14.25" customHeight="1" x14ac:dyDescent="0.15"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</row>
    <row r="858" spans="2:19" ht="14.25" customHeight="1" x14ac:dyDescent="0.15"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</row>
    <row r="859" spans="2:19" ht="14.25" customHeight="1" x14ac:dyDescent="0.15"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</row>
    <row r="860" spans="2:19" ht="14.25" customHeight="1" x14ac:dyDescent="0.15"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</row>
    <row r="861" spans="2:19" ht="14.25" customHeight="1" x14ac:dyDescent="0.15"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</row>
    <row r="862" spans="2:19" ht="14.25" customHeight="1" x14ac:dyDescent="0.15"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</row>
    <row r="863" spans="2:19" ht="14.25" customHeight="1" x14ac:dyDescent="0.15"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</row>
    <row r="864" spans="2:19" ht="14.25" customHeight="1" x14ac:dyDescent="0.15"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</row>
    <row r="865" spans="2:19" ht="14.25" customHeight="1" x14ac:dyDescent="0.15"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</row>
    <row r="866" spans="2:19" ht="14.25" customHeight="1" x14ac:dyDescent="0.15"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</row>
    <row r="867" spans="2:19" ht="14.25" customHeight="1" x14ac:dyDescent="0.15"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</row>
    <row r="868" spans="2:19" ht="14.25" customHeight="1" x14ac:dyDescent="0.15"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</row>
    <row r="869" spans="2:19" ht="14.25" customHeight="1" x14ac:dyDescent="0.15"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</row>
    <row r="870" spans="2:19" ht="14.25" customHeight="1" x14ac:dyDescent="0.15"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</row>
    <row r="871" spans="2:19" ht="14.25" customHeight="1" x14ac:dyDescent="0.15"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</row>
    <row r="872" spans="2:19" ht="14.25" customHeight="1" x14ac:dyDescent="0.15"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</row>
    <row r="873" spans="2:19" ht="14.25" customHeight="1" x14ac:dyDescent="0.15"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</row>
    <row r="874" spans="2:19" ht="14.25" customHeight="1" x14ac:dyDescent="0.15"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</row>
    <row r="875" spans="2:19" ht="14.25" customHeight="1" x14ac:dyDescent="0.15"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</row>
    <row r="876" spans="2:19" ht="14.25" customHeight="1" x14ac:dyDescent="0.15"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</row>
    <row r="877" spans="2:19" ht="14.25" customHeight="1" x14ac:dyDescent="0.15"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</row>
    <row r="878" spans="2:19" ht="14.25" customHeight="1" x14ac:dyDescent="0.15"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</row>
    <row r="879" spans="2:19" ht="14.25" customHeight="1" x14ac:dyDescent="0.15"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</row>
    <row r="880" spans="2:19" ht="14.25" customHeight="1" x14ac:dyDescent="0.15"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</row>
    <row r="881" spans="2:19" ht="14.25" customHeight="1" x14ac:dyDescent="0.15"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</row>
    <row r="882" spans="2:19" ht="14.25" customHeight="1" x14ac:dyDescent="0.15"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</row>
    <row r="883" spans="2:19" ht="14.25" customHeight="1" x14ac:dyDescent="0.15"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</row>
    <row r="884" spans="2:19" ht="14.25" customHeight="1" x14ac:dyDescent="0.15"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</row>
    <row r="885" spans="2:19" ht="14.25" customHeight="1" x14ac:dyDescent="0.15"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</row>
    <row r="886" spans="2:19" ht="14.25" customHeight="1" x14ac:dyDescent="0.15"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</row>
    <row r="887" spans="2:19" ht="14.25" customHeight="1" x14ac:dyDescent="0.15"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</row>
    <row r="888" spans="2:19" ht="14.25" customHeight="1" x14ac:dyDescent="0.15"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</row>
    <row r="889" spans="2:19" ht="14.25" customHeight="1" x14ac:dyDescent="0.15"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</row>
    <row r="890" spans="2:19" ht="14.25" customHeight="1" x14ac:dyDescent="0.15"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</row>
    <row r="891" spans="2:19" ht="14.25" customHeight="1" x14ac:dyDescent="0.15"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</row>
    <row r="892" spans="2:19" ht="14.25" customHeight="1" x14ac:dyDescent="0.15"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</row>
    <row r="893" spans="2:19" ht="14.25" customHeight="1" x14ac:dyDescent="0.15"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</row>
    <row r="894" spans="2:19" ht="14.25" customHeight="1" x14ac:dyDescent="0.15"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</row>
    <row r="895" spans="2:19" ht="14.25" customHeight="1" x14ac:dyDescent="0.15"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</row>
    <row r="896" spans="2:19" ht="14.25" customHeight="1" x14ac:dyDescent="0.15"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</row>
    <row r="897" spans="2:19" ht="14.25" customHeight="1" x14ac:dyDescent="0.15"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</row>
    <row r="898" spans="2:19" ht="14.25" customHeight="1" x14ac:dyDescent="0.15"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</row>
    <row r="899" spans="2:19" ht="14.25" customHeight="1" x14ac:dyDescent="0.15"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</row>
    <row r="900" spans="2:19" ht="14.25" customHeight="1" x14ac:dyDescent="0.15"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</row>
    <row r="901" spans="2:19" ht="14.25" customHeight="1" x14ac:dyDescent="0.15"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</row>
    <row r="902" spans="2:19" ht="14.25" customHeight="1" x14ac:dyDescent="0.15"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</row>
    <row r="903" spans="2:19" ht="14.25" customHeight="1" x14ac:dyDescent="0.15"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</row>
    <row r="904" spans="2:19" ht="14.25" customHeight="1" x14ac:dyDescent="0.15"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</row>
    <row r="905" spans="2:19" ht="14.25" customHeight="1" x14ac:dyDescent="0.15"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</row>
    <row r="906" spans="2:19" ht="14.25" customHeight="1" x14ac:dyDescent="0.15"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</row>
    <row r="907" spans="2:19" ht="14.25" customHeight="1" x14ac:dyDescent="0.15"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</row>
    <row r="908" spans="2:19" ht="14.25" customHeight="1" x14ac:dyDescent="0.15"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</row>
    <row r="909" spans="2:19" ht="14.25" customHeight="1" x14ac:dyDescent="0.15"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</row>
    <row r="910" spans="2:19" ht="14.25" customHeight="1" x14ac:dyDescent="0.15"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</row>
    <row r="911" spans="2:19" ht="14.25" customHeight="1" x14ac:dyDescent="0.15"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</row>
    <row r="912" spans="2:19" ht="14.25" customHeight="1" x14ac:dyDescent="0.15"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</row>
    <row r="913" spans="2:19" ht="14.25" customHeight="1" x14ac:dyDescent="0.15"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</row>
    <row r="914" spans="2:19" ht="14.25" customHeight="1" x14ac:dyDescent="0.15"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</row>
    <row r="915" spans="2:19" ht="14.25" customHeight="1" x14ac:dyDescent="0.15"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</row>
    <row r="916" spans="2:19" ht="14.25" customHeight="1" x14ac:dyDescent="0.15"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</row>
    <row r="917" spans="2:19" ht="14.25" customHeight="1" x14ac:dyDescent="0.15"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</row>
    <row r="918" spans="2:19" ht="14.25" customHeight="1" x14ac:dyDescent="0.15"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</row>
    <row r="919" spans="2:19" ht="14.25" customHeight="1" x14ac:dyDescent="0.15"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</row>
    <row r="920" spans="2:19" ht="14.25" customHeight="1" x14ac:dyDescent="0.15"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</row>
    <row r="921" spans="2:19" ht="14.25" customHeight="1" x14ac:dyDescent="0.15"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</row>
    <row r="922" spans="2:19" ht="14.25" customHeight="1" x14ac:dyDescent="0.15"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</row>
    <row r="923" spans="2:19" ht="14.25" customHeight="1" x14ac:dyDescent="0.15"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</row>
    <row r="924" spans="2:19" ht="14.25" customHeight="1" x14ac:dyDescent="0.15"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</row>
    <row r="925" spans="2:19" ht="14.25" customHeight="1" x14ac:dyDescent="0.15"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</row>
    <row r="926" spans="2:19" ht="14.25" customHeight="1" x14ac:dyDescent="0.15"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</row>
    <row r="927" spans="2:19" ht="14.25" customHeight="1" x14ac:dyDescent="0.15"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</row>
    <row r="928" spans="2:19" ht="14.25" customHeight="1" x14ac:dyDescent="0.15"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</row>
    <row r="929" spans="2:19" ht="14.25" customHeight="1" x14ac:dyDescent="0.15"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</row>
    <row r="930" spans="2:19" ht="14.25" customHeight="1" x14ac:dyDescent="0.15"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</row>
    <row r="931" spans="2:19" ht="14.25" customHeight="1" x14ac:dyDescent="0.15"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</row>
    <row r="932" spans="2:19" ht="14.25" customHeight="1" x14ac:dyDescent="0.15"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</row>
    <row r="933" spans="2:19" ht="14.25" customHeight="1" x14ac:dyDescent="0.15"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</row>
    <row r="934" spans="2:19" ht="14.25" customHeight="1" x14ac:dyDescent="0.15"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</row>
    <row r="935" spans="2:19" ht="14.25" customHeight="1" x14ac:dyDescent="0.15"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</row>
    <row r="936" spans="2:19" ht="14.25" customHeight="1" x14ac:dyDescent="0.15"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</row>
    <row r="937" spans="2:19" ht="14.25" customHeight="1" x14ac:dyDescent="0.15"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</row>
    <row r="938" spans="2:19" ht="14.25" customHeight="1" x14ac:dyDescent="0.15"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</row>
    <row r="939" spans="2:19" ht="14.25" customHeight="1" x14ac:dyDescent="0.15"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</row>
    <row r="940" spans="2:19" ht="14.25" customHeight="1" x14ac:dyDescent="0.15"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</row>
    <row r="941" spans="2:19" ht="14.25" customHeight="1" x14ac:dyDescent="0.15"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</row>
    <row r="942" spans="2:19" ht="14.25" customHeight="1" x14ac:dyDescent="0.15"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</row>
    <row r="943" spans="2:19" ht="14.25" customHeight="1" x14ac:dyDescent="0.15"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</row>
    <row r="944" spans="2:19" ht="14.25" customHeight="1" x14ac:dyDescent="0.15"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</row>
    <row r="945" spans="2:19" ht="14.25" customHeight="1" x14ac:dyDescent="0.15"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</row>
    <row r="946" spans="2:19" ht="14.25" customHeight="1" x14ac:dyDescent="0.15"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</row>
    <row r="947" spans="2:19" ht="14.25" customHeight="1" x14ac:dyDescent="0.15"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</row>
    <row r="948" spans="2:19" ht="14.25" customHeight="1" x14ac:dyDescent="0.15"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</row>
    <row r="949" spans="2:19" ht="14.25" customHeight="1" x14ac:dyDescent="0.15"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</row>
    <row r="950" spans="2:19" ht="14.25" customHeight="1" x14ac:dyDescent="0.15"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</row>
    <row r="951" spans="2:19" ht="14.25" customHeight="1" x14ac:dyDescent="0.15"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</row>
    <row r="952" spans="2:19" ht="14.25" customHeight="1" x14ac:dyDescent="0.15"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</row>
    <row r="953" spans="2:19" ht="14.25" customHeight="1" x14ac:dyDescent="0.15"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</row>
    <row r="954" spans="2:19" ht="14.25" customHeight="1" x14ac:dyDescent="0.15"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</row>
    <row r="955" spans="2:19" ht="14.25" customHeight="1" x14ac:dyDescent="0.15"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</row>
    <row r="956" spans="2:19" ht="14.25" customHeight="1" x14ac:dyDescent="0.15"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</row>
    <row r="957" spans="2:19" ht="14.25" customHeight="1" x14ac:dyDescent="0.15"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</row>
    <row r="958" spans="2:19" ht="14.25" customHeight="1" x14ac:dyDescent="0.15"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</row>
    <row r="959" spans="2:19" ht="14.25" customHeight="1" x14ac:dyDescent="0.15"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</row>
    <row r="960" spans="2:19" ht="14.25" customHeight="1" x14ac:dyDescent="0.15"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</row>
    <row r="961" spans="2:19" ht="14.25" customHeight="1" x14ac:dyDescent="0.15"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</row>
    <row r="962" spans="2:19" ht="14.25" customHeight="1" x14ac:dyDescent="0.15"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</row>
    <row r="963" spans="2:19" ht="14.25" customHeight="1" x14ac:dyDescent="0.15"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</row>
    <row r="964" spans="2:19" ht="14.25" customHeight="1" x14ac:dyDescent="0.15"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</row>
    <row r="965" spans="2:19" ht="14.25" customHeight="1" x14ac:dyDescent="0.15"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</row>
    <row r="966" spans="2:19" ht="14.25" customHeight="1" x14ac:dyDescent="0.15"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</row>
    <row r="967" spans="2:19" ht="14.25" customHeight="1" x14ac:dyDescent="0.15"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</row>
    <row r="968" spans="2:19" ht="14.25" customHeight="1" x14ac:dyDescent="0.15"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</row>
    <row r="969" spans="2:19" ht="14.25" customHeight="1" x14ac:dyDescent="0.15"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</row>
    <row r="970" spans="2:19" ht="14.25" customHeight="1" x14ac:dyDescent="0.15"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</row>
    <row r="971" spans="2:19" ht="14.25" customHeight="1" x14ac:dyDescent="0.15"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</row>
    <row r="972" spans="2:19" ht="14.25" customHeight="1" x14ac:dyDescent="0.15"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</row>
    <row r="973" spans="2:19" ht="14.25" customHeight="1" x14ac:dyDescent="0.15"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</row>
    <row r="974" spans="2:19" ht="14.25" customHeight="1" x14ac:dyDescent="0.15"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</row>
    <row r="975" spans="2:19" ht="14.25" customHeight="1" x14ac:dyDescent="0.15"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</row>
    <row r="976" spans="2:19" ht="14.25" customHeight="1" x14ac:dyDescent="0.15"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</row>
    <row r="977" spans="2:19" ht="14.25" customHeight="1" x14ac:dyDescent="0.15"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</row>
    <row r="978" spans="2:19" ht="14.25" customHeight="1" x14ac:dyDescent="0.15"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</row>
    <row r="979" spans="2:19" ht="14.25" customHeight="1" x14ac:dyDescent="0.15"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</row>
    <row r="980" spans="2:19" ht="14.25" customHeight="1" x14ac:dyDescent="0.15"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</row>
    <row r="981" spans="2:19" ht="14.25" customHeight="1" x14ac:dyDescent="0.15"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</row>
    <row r="982" spans="2:19" ht="14.25" customHeight="1" x14ac:dyDescent="0.15"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</row>
    <row r="983" spans="2:19" ht="14.25" customHeight="1" x14ac:dyDescent="0.15"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</row>
    <row r="984" spans="2:19" ht="14.25" customHeight="1" x14ac:dyDescent="0.15"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</row>
    <row r="985" spans="2:19" ht="14.25" customHeight="1" x14ac:dyDescent="0.15"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</row>
    <row r="986" spans="2:19" ht="14.25" customHeight="1" x14ac:dyDescent="0.15"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</row>
    <row r="987" spans="2:19" ht="14.25" customHeight="1" x14ac:dyDescent="0.15"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</row>
    <row r="988" spans="2:19" ht="14.25" customHeight="1" x14ac:dyDescent="0.15"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</row>
    <row r="989" spans="2:19" ht="14.25" customHeight="1" x14ac:dyDescent="0.15"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</row>
    <row r="990" spans="2:19" ht="14.25" customHeight="1" x14ac:dyDescent="0.15"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</row>
    <row r="991" spans="2:19" ht="14.25" customHeight="1" x14ac:dyDescent="0.15"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</row>
    <row r="992" spans="2:19" ht="14.25" customHeight="1" x14ac:dyDescent="0.15"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</row>
    <row r="993" spans="2:19" ht="14.25" customHeight="1" x14ac:dyDescent="0.15"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</row>
    <row r="994" spans="2:19" ht="14.25" customHeight="1" x14ac:dyDescent="0.15"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E1002"/>
  <sheetViews>
    <sheetView tabSelected="1" topLeftCell="C1" zoomScale="70" zoomScaleNormal="70" zoomScaleSheetLayoutView="66" workbookViewId="0">
      <selection activeCell="X32" sqref="X32"/>
    </sheetView>
  </sheetViews>
  <sheetFormatPr baseColWidth="10" defaultColWidth="12.6640625" defaultRowHeight="15" customHeight="1" x14ac:dyDescent="0.15"/>
  <cols>
    <col min="1" max="1" width="5" customWidth="1"/>
    <col min="2" max="2" width="9" customWidth="1"/>
    <col min="3" max="3" width="7.6640625" bestFit="1" customWidth="1"/>
    <col min="4" max="4" width="10.5" bestFit="1" customWidth="1"/>
    <col min="5" max="5" width="10.5" customWidth="1"/>
    <col min="6" max="6" width="6.1640625" customWidth="1"/>
    <col min="7" max="7" width="6.6640625" customWidth="1"/>
    <col min="8" max="8" width="6.83203125" customWidth="1"/>
    <col min="9" max="9" width="10.6640625" bestFit="1" customWidth="1"/>
    <col min="10" max="10" width="6.6640625" customWidth="1"/>
    <col min="11" max="11" width="6" customWidth="1"/>
    <col min="12" max="12" width="6.1640625" customWidth="1"/>
    <col min="13" max="13" width="8.6640625" customWidth="1"/>
    <col min="14" max="14" width="9.1640625" customWidth="1"/>
    <col min="15" max="15" width="6.6640625" customWidth="1"/>
    <col min="16" max="16" width="7.6640625" bestFit="1" customWidth="1"/>
    <col min="17" max="28" width="11.5" bestFit="1" customWidth="1"/>
    <col min="29" max="31" width="9.33203125" customWidth="1"/>
  </cols>
  <sheetData>
    <row r="1" spans="2:29" ht="14" x14ac:dyDescent="0.15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2:29" ht="30" customHeight="1" x14ac:dyDescent="0.15">
      <c r="B2" s="11" t="s">
        <v>4</v>
      </c>
      <c r="C2" s="361" t="s">
        <v>65</v>
      </c>
      <c r="D2" s="361" t="s">
        <v>66</v>
      </c>
      <c r="E2" s="361" t="s">
        <v>67</v>
      </c>
      <c r="F2" s="361" t="s">
        <v>68</v>
      </c>
      <c r="G2" s="39" t="s">
        <v>69</v>
      </c>
      <c r="H2" s="39" t="s">
        <v>70</v>
      </c>
      <c r="I2" s="39" t="s">
        <v>71</v>
      </c>
      <c r="J2" s="39" t="s">
        <v>72</v>
      </c>
      <c r="K2" s="361" t="s">
        <v>73</v>
      </c>
      <c r="L2" s="361" t="s">
        <v>74</v>
      </c>
      <c r="M2" s="361" t="s">
        <v>75</v>
      </c>
      <c r="N2" s="361" t="s">
        <v>76</v>
      </c>
      <c r="O2" s="361" t="s">
        <v>77</v>
      </c>
      <c r="P2" s="361" t="s">
        <v>78</v>
      </c>
      <c r="Q2" s="364" t="s">
        <v>79</v>
      </c>
      <c r="R2" s="365"/>
      <c r="S2" s="365"/>
      <c r="T2" s="365"/>
      <c r="U2" s="360"/>
      <c r="V2" s="364" t="s">
        <v>80</v>
      </c>
      <c r="W2" s="360"/>
      <c r="X2" s="364" t="s">
        <v>81</v>
      </c>
      <c r="Y2" s="365"/>
      <c r="Z2" s="365"/>
      <c r="AA2" s="365"/>
      <c r="AB2" s="360"/>
    </row>
    <row r="3" spans="2:29" x14ac:dyDescent="0.15">
      <c r="B3" s="41"/>
      <c r="C3" s="362"/>
      <c r="D3" s="362"/>
      <c r="E3" s="362"/>
      <c r="F3" s="362"/>
      <c r="G3" s="41"/>
      <c r="H3" s="41"/>
      <c r="I3" s="41"/>
      <c r="J3" s="41"/>
      <c r="K3" s="362"/>
      <c r="L3" s="362"/>
      <c r="M3" s="362"/>
      <c r="N3" s="362"/>
      <c r="O3" s="362"/>
      <c r="P3" s="362"/>
      <c r="Q3" s="5" t="s">
        <v>82</v>
      </c>
      <c r="R3" s="5" t="s">
        <v>83</v>
      </c>
      <c r="S3" s="5" t="s">
        <v>84</v>
      </c>
      <c r="T3" s="5" t="s">
        <v>85</v>
      </c>
      <c r="U3" s="5" t="s">
        <v>86</v>
      </c>
      <c r="V3" s="5" t="s">
        <v>29</v>
      </c>
      <c r="W3" s="5" t="s">
        <v>30</v>
      </c>
      <c r="X3" s="5" t="s">
        <v>86</v>
      </c>
      <c r="Y3" s="5" t="s">
        <v>85</v>
      </c>
      <c r="Z3" s="5" t="s">
        <v>84</v>
      </c>
      <c r="AA3" s="5" t="s">
        <v>83</v>
      </c>
      <c r="AB3" s="5" t="s">
        <v>87</v>
      </c>
    </row>
    <row r="4" spans="2:29" x14ac:dyDescent="0.15">
      <c r="B4" s="12" t="s">
        <v>31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8"/>
      <c r="P4" s="28"/>
      <c r="Q4" s="22"/>
      <c r="R4" s="22"/>
      <c r="S4" s="22"/>
      <c r="T4" s="22"/>
      <c r="U4" s="22"/>
      <c r="V4" s="52">
        <v>0</v>
      </c>
      <c r="W4" s="52">
        <v>0</v>
      </c>
      <c r="X4" s="53"/>
      <c r="Y4" s="53"/>
      <c r="Z4" s="53"/>
      <c r="AA4" s="53"/>
      <c r="AB4" s="53"/>
    </row>
    <row r="5" spans="2:29" x14ac:dyDescent="0.15">
      <c r="B5" s="18"/>
      <c r="C5" s="54">
        <f>AH!T7</f>
        <v>161.55510333958389</v>
      </c>
      <c r="D5" s="55">
        <f>N6*O6+M6+10</f>
        <v>46.458333333333336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4">
        <f>C5-N6*O6-N4*O4-M6-M4</f>
        <v>125.09677000625057</v>
      </c>
      <c r="Q5" s="22"/>
      <c r="R5" s="22"/>
      <c r="S5" s="22"/>
      <c r="T5" s="22"/>
      <c r="U5" s="22"/>
      <c r="V5" s="53"/>
      <c r="W5" s="53"/>
      <c r="X5" s="53"/>
      <c r="Y5" s="53"/>
      <c r="Z5" s="53"/>
      <c r="AA5" s="53"/>
      <c r="AB5" s="53"/>
    </row>
    <row r="6" spans="2:29" x14ac:dyDescent="0.15">
      <c r="B6" s="12" t="s">
        <v>46</v>
      </c>
      <c r="C6" s="4"/>
      <c r="D6" s="4"/>
      <c r="E6" s="55">
        <f>AH!V8</f>
        <v>57.257170023172158</v>
      </c>
      <c r="F6" s="55">
        <f>AH!M8</f>
        <v>40</v>
      </c>
      <c r="G6" s="55">
        <f>$C$32*0.1</f>
        <v>0.35000000000000003</v>
      </c>
      <c r="H6" s="55">
        <f>IF(F6=40,0.96,IF(F6=50,0.77,IF(F6=60,0.6,)))</f>
        <v>0.96</v>
      </c>
      <c r="I6" s="55">
        <f>($C$34*$C$32)/(H6)</f>
        <v>29.166666666666668</v>
      </c>
      <c r="J6" s="55">
        <f>($C$34*$C$32)/(G6)</f>
        <v>79.999999999999986</v>
      </c>
      <c r="K6" s="55">
        <f>($C$33*I6)/($C$34)</f>
        <v>7.291666666666667</v>
      </c>
      <c r="L6" s="55">
        <f>($C$33*J6)/($C$34)</f>
        <v>19.999999999999996</v>
      </c>
      <c r="M6" s="55">
        <f>K6</f>
        <v>7.291666666666667</v>
      </c>
      <c r="N6" s="55">
        <f>I6</f>
        <v>29.166666666666668</v>
      </c>
      <c r="O6" s="56">
        <v>1</v>
      </c>
      <c r="P6" s="4"/>
      <c r="Q6" s="52">
        <f>W4+P5</f>
        <v>125.09677000625057</v>
      </c>
      <c r="R6" s="52">
        <f>Q6+M6</f>
        <v>132.38843667291724</v>
      </c>
      <c r="S6" s="52">
        <f>R6+M6</f>
        <v>139.68010333958389</v>
      </c>
      <c r="T6" s="52">
        <f>R6+(4*N6)/(8)</f>
        <v>146.97177000625058</v>
      </c>
      <c r="U6" s="52">
        <f>R6+N6</f>
        <v>161.55510333958389</v>
      </c>
      <c r="V6" s="52">
        <f>AH!W8</f>
        <v>161.55510333958389</v>
      </c>
      <c r="W6" s="52">
        <f>AH!X8</f>
        <v>218.81227336275606</v>
      </c>
      <c r="X6" s="52">
        <f>U6+E6</f>
        <v>218.81227336275606</v>
      </c>
      <c r="Y6" s="52">
        <f>X6+(4*N6)/(8)</f>
        <v>233.3956066960894</v>
      </c>
      <c r="Z6" s="52">
        <f>X6+N6-M6</f>
        <v>240.68727336275606</v>
      </c>
      <c r="AA6" s="52">
        <f>X6+N6</f>
        <v>247.97894002942272</v>
      </c>
      <c r="AB6" s="52">
        <f>AA6+M6</f>
        <v>255.27060669608937</v>
      </c>
      <c r="AC6" s="57"/>
    </row>
    <row r="7" spans="2:29" x14ac:dyDescent="0.15">
      <c r="B7" s="18"/>
      <c r="C7" s="54">
        <f>AH!T9</f>
        <v>188.18284446687176</v>
      </c>
      <c r="D7" s="55">
        <f>N8*O8+M8+10+M6+N6*O6</f>
        <v>91.912878787878782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54">
        <f>C7-N8*O8-N6*O6-M8-M6</f>
        <v>106.26996567899295</v>
      </c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7"/>
    </row>
    <row r="8" spans="2:29" x14ac:dyDescent="0.15">
      <c r="B8" s="12" t="s">
        <v>47</v>
      </c>
      <c r="C8" s="4"/>
      <c r="D8" s="4"/>
      <c r="E8" s="55">
        <f>AH!V10</f>
        <v>130.206938710076</v>
      </c>
      <c r="F8" s="55">
        <f>AH!M10</f>
        <v>50</v>
      </c>
      <c r="G8" s="55">
        <f>$C$32*0.1</f>
        <v>0.35000000000000003</v>
      </c>
      <c r="H8" s="55">
        <f>IF(F8=40,0.96,IF(F8=50,0.77,IF(F8=60,0.6,)))</f>
        <v>0.77</v>
      </c>
      <c r="I8" s="55">
        <f>($C$34*$C$32)/(H8)</f>
        <v>36.36363636363636</v>
      </c>
      <c r="J8" s="55">
        <f>($C$34*$C$32)/(G8)</f>
        <v>79.999999999999986</v>
      </c>
      <c r="K8" s="55">
        <f>($C$33*I8)/($C$34)</f>
        <v>9.0909090909090899</v>
      </c>
      <c r="L8" s="55">
        <f>($C$33*J8)/($C$34)</f>
        <v>19.999999999999996</v>
      </c>
      <c r="M8" s="55">
        <f>K8</f>
        <v>9.0909090909090899</v>
      </c>
      <c r="N8" s="55">
        <f>I8</f>
        <v>36.36363636363636</v>
      </c>
      <c r="O8" s="56">
        <v>1</v>
      </c>
      <c r="P8" s="4"/>
      <c r="Q8" s="52">
        <f>W6+P7+N8+M8</f>
        <v>370.53678449629444</v>
      </c>
      <c r="R8" s="52">
        <f>Q8+M8</f>
        <v>379.62769358720351</v>
      </c>
      <c r="S8" s="52">
        <f>R8+M8</f>
        <v>388.71860267811257</v>
      </c>
      <c r="T8" s="52">
        <f>R8+(4*N8)/(8)</f>
        <v>397.8095117690217</v>
      </c>
      <c r="U8" s="52">
        <f>R8+N8</f>
        <v>415.99132995083988</v>
      </c>
      <c r="V8" s="52">
        <f>AH!W10</f>
        <v>406.99511782962787</v>
      </c>
      <c r="W8" s="52">
        <f>AH!X10</f>
        <v>537.2020565397039</v>
      </c>
      <c r="X8" s="52">
        <f>U8+E8</f>
        <v>546.19826866091591</v>
      </c>
      <c r="Y8" s="52">
        <f>X8+(4*N8)/(8)</f>
        <v>564.38008684273404</v>
      </c>
      <c r="Z8" s="52">
        <f>X8+N8-M8</f>
        <v>573.47099593364317</v>
      </c>
      <c r="AA8" s="52">
        <f>X8+N8</f>
        <v>582.56190502455229</v>
      </c>
      <c r="AB8" s="52">
        <f>AA8+M8</f>
        <v>591.65281411546141</v>
      </c>
      <c r="AC8" s="57"/>
    </row>
    <row r="9" spans="2:29" x14ac:dyDescent="0.15">
      <c r="B9" s="18"/>
      <c r="C9" s="54">
        <f>AH!T11</f>
        <v>120.68278544144039</v>
      </c>
      <c r="D9" s="55">
        <f>N10*O10+M10+10+M8+N8*O8</f>
        <v>100.90909090909091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4">
        <f>C9-N10*O10-N8*O8-M10-M8</f>
        <v>29.773694532349484</v>
      </c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7"/>
    </row>
    <row r="10" spans="2:29" x14ac:dyDescent="0.15">
      <c r="B10" s="12" t="s">
        <v>48</v>
      </c>
      <c r="C10" s="4"/>
      <c r="D10" s="4"/>
      <c r="E10" s="55">
        <f>AH!V12</f>
        <v>6.3175977865581752</v>
      </c>
      <c r="F10" s="55">
        <f>AH!M12</f>
        <v>50</v>
      </c>
      <c r="G10" s="55">
        <f>$C$32*0.1</f>
        <v>0.35000000000000003</v>
      </c>
      <c r="H10" s="55">
        <f>IF(F10=40,0.96,IF(F10=50,0.77,IF(F10=60,0.6,)))</f>
        <v>0.77</v>
      </c>
      <c r="I10" s="55">
        <f>($C$34*$C$32)/(H10)</f>
        <v>36.36363636363636</v>
      </c>
      <c r="J10" s="55">
        <f>($C$34*$C$32)/(G10)</f>
        <v>79.999999999999986</v>
      </c>
      <c r="K10" s="55">
        <f>($C$33*I10)/($C$34)</f>
        <v>9.0909090909090899</v>
      </c>
      <c r="L10" s="55">
        <f>($C$33*J10)/($C$34)</f>
        <v>19.999999999999996</v>
      </c>
      <c r="M10" s="55">
        <f>K10</f>
        <v>9.0909090909090899</v>
      </c>
      <c r="N10" s="55">
        <f>I10</f>
        <v>36.36363636363636</v>
      </c>
      <c r="O10" s="56">
        <v>1</v>
      </c>
      <c r="P10" s="4"/>
      <c r="Q10" s="52">
        <f>W8+P9+N10+M10</f>
        <v>612.43029652659891</v>
      </c>
      <c r="R10" s="52">
        <f>Q10+M10</f>
        <v>621.52120561750803</v>
      </c>
      <c r="S10" s="52">
        <f>R10+M10</f>
        <v>630.61211470841715</v>
      </c>
      <c r="T10" s="52">
        <f>R10+(4*N10)/(8)</f>
        <v>639.70302379932616</v>
      </c>
      <c r="U10" s="52">
        <f>R10+N10</f>
        <v>657.8848419811444</v>
      </c>
      <c r="V10" s="52">
        <f>AH!W12</f>
        <v>657.8848419811444</v>
      </c>
      <c r="W10" s="52">
        <f>AH!X12</f>
        <v>664.20243976770257</v>
      </c>
      <c r="X10" s="52">
        <f>U10+E10</f>
        <v>664.20243976770257</v>
      </c>
      <c r="Y10" s="52">
        <f>X10+(4*N10)/(8)</f>
        <v>682.3842579495207</v>
      </c>
      <c r="Z10" s="52">
        <f>X10+N10-M10</f>
        <v>691.47516704042982</v>
      </c>
      <c r="AA10" s="52">
        <f>X10+N10</f>
        <v>700.56607613133895</v>
      </c>
      <c r="AB10" s="52">
        <f>AA10+M10</f>
        <v>709.65698522224807</v>
      </c>
      <c r="AC10" s="57"/>
    </row>
    <row r="11" spans="2:29" x14ac:dyDescent="0.15">
      <c r="B11" s="18"/>
      <c r="C11" s="54">
        <f>AH!T13</f>
        <v>149.80072932513247</v>
      </c>
      <c r="D11" s="55">
        <f>N12*O12+M12+10+M10+N10*O10</f>
        <v>100.90909090909091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4">
        <f>C11-N12*O12-N10*O10-M12-M10</f>
        <v>58.891638416041559</v>
      </c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7"/>
    </row>
    <row r="12" spans="2:29" x14ac:dyDescent="0.15">
      <c r="B12" s="12" t="s">
        <v>49</v>
      </c>
      <c r="C12" s="4"/>
      <c r="D12" s="4"/>
      <c r="E12" s="55">
        <f>AH!V14</f>
        <v>62.560407358865575</v>
      </c>
      <c r="F12" s="55">
        <f>AH!M14</f>
        <v>50</v>
      </c>
      <c r="G12" s="55">
        <f>$C$32*0.1</f>
        <v>0.35000000000000003</v>
      </c>
      <c r="H12" s="55">
        <f>IF(F12=40,0.96,IF(F12=50,0.77,IF(F12=60,0.6,)))</f>
        <v>0.77</v>
      </c>
      <c r="I12" s="55">
        <f>($C$34*$C$32)/(H12)</f>
        <v>36.36363636363636</v>
      </c>
      <c r="J12" s="55">
        <f>($C$34*$C$32)/(G12)</f>
        <v>79.999999999999986</v>
      </c>
      <c r="K12" s="55">
        <f>($C$33*I12)/($C$34)</f>
        <v>9.0909090909090899</v>
      </c>
      <c r="L12" s="55">
        <f>($C$33*J12)/($C$34)</f>
        <v>19.999999999999996</v>
      </c>
      <c r="M12" s="55">
        <f>K12</f>
        <v>9.0909090909090899</v>
      </c>
      <c r="N12" s="55">
        <f>I12</f>
        <v>36.36363636363636</v>
      </c>
      <c r="O12" s="56">
        <v>1</v>
      </c>
      <c r="P12" s="28"/>
      <c r="Q12" s="52">
        <f>W10+P11+N12+M12</f>
        <v>768.54862363828965</v>
      </c>
      <c r="R12" s="52">
        <f>Q12+M12</f>
        <v>777.63953272919878</v>
      </c>
      <c r="S12" s="52">
        <f>R12+M12</f>
        <v>786.7304418201079</v>
      </c>
      <c r="T12" s="52">
        <f>R12+(4*N12)/(8)</f>
        <v>795.82135091101691</v>
      </c>
      <c r="U12" s="52">
        <f>R12+N12</f>
        <v>814.00316909283515</v>
      </c>
      <c r="V12" s="52">
        <f>AH!W14</f>
        <v>814.00316909283515</v>
      </c>
      <c r="W12" s="52">
        <f>AH!X14</f>
        <v>876.56357645170078</v>
      </c>
      <c r="X12" s="52">
        <f>U12+E12</f>
        <v>876.56357645170078</v>
      </c>
      <c r="Y12" s="52">
        <f>X12+(4*N12)/(8)</f>
        <v>894.74539463351891</v>
      </c>
      <c r="Z12" s="52">
        <f>X12+N12-M12</f>
        <v>903.83630372442803</v>
      </c>
      <c r="AA12" s="52">
        <f>X12+N12</f>
        <v>912.92721281533716</v>
      </c>
      <c r="AB12" s="52">
        <f>AA12+M12</f>
        <v>922.01812190624628</v>
      </c>
      <c r="AC12" s="57"/>
    </row>
    <row r="13" spans="2:29" x14ac:dyDescent="0.15">
      <c r="B13" s="18"/>
      <c r="C13" s="54">
        <f>AH!T15</f>
        <v>272.64118275448959</v>
      </c>
      <c r="D13" s="55">
        <f>N14*O14+M14+10+M12+N12*O12</f>
        <v>100.90909090909091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4">
        <f>C13-N14*O14-N12*O12-M14-M12</f>
        <v>181.73209184539866</v>
      </c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7"/>
    </row>
    <row r="14" spans="2:29" x14ac:dyDescent="0.15">
      <c r="B14" s="12" t="s">
        <v>50</v>
      </c>
      <c r="C14" s="4"/>
      <c r="D14" s="4"/>
      <c r="E14" s="55">
        <f>AH!V16</f>
        <v>88.926039952678806</v>
      </c>
      <c r="F14" s="55">
        <f>AH!M16</f>
        <v>50</v>
      </c>
      <c r="G14" s="55">
        <f>$C$32*0.1</f>
        <v>0.35000000000000003</v>
      </c>
      <c r="H14" s="55">
        <f>IF(F14=40,0.96,IF(F14=50,0.77,IF(F14=60,0.6,)))</f>
        <v>0.77</v>
      </c>
      <c r="I14" s="55">
        <f>($C$34*$C$32)/(H14)</f>
        <v>36.36363636363636</v>
      </c>
      <c r="J14" s="55">
        <f>($C$34*$C$32)/(G14)</f>
        <v>79.999999999999986</v>
      </c>
      <c r="K14" s="55">
        <f>($C$33*I14)/($C$34)</f>
        <v>9.0909090909090899</v>
      </c>
      <c r="L14" s="55">
        <f>($C$33*J14)/($C$34)</f>
        <v>19.999999999999996</v>
      </c>
      <c r="M14" s="55">
        <f>K14</f>
        <v>9.0909090909090899</v>
      </c>
      <c r="N14" s="55">
        <f>I14</f>
        <v>36.36363636363636</v>
      </c>
      <c r="O14" s="56">
        <v>1</v>
      </c>
      <c r="P14" s="4"/>
      <c r="Q14" s="52">
        <f>W12+P13+N14+M14</f>
        <v>1103.7502137516447</v>
      </c>
      <c r="R14" s="52">
        <f>Q14+M14</f>
        <v>1112.8411228425537</v>
      </c>
      <c r="S14" s="52">
        <f>R14+M14</f>
        <v>1121.9320319334627</v>
      </c>
      <c r="T14" s="52">
        <f>R14+(4*N14)/(8)</f>
        <v>1131.0229410243719</v>
      </c>
      <c r="U14" s="52">
        <f>R14+N14</f>
        <v>1149.2047592061899</v>
      </c>
      <c r="V14" s="52">
        <f>AH!W16</f>
        <v>1149.2047592061904</v>
      </c>
      <c r="W14" s="52">
        <f>AH!X16</f>
        <v>1238.1307991588692</v>
      </c>
      <c r="X14" s="52">
        <f>U14+E14</f>
        <v>1238.1307991588687</v>
      </c>
      <c r="Y14" s="52">
        <f>X14+(4*N14)/(8)</f>
        <v>1256.312617340687</v>
      </c>
      <c r="Z14" s="52">
        <f>X14+N14-M14</f>
        <v>1265.403526431596</v>
      </c>
      <c r="AA14" s="52">
        <f>X14+N14</f>
        <v>1274.494435522505</v>
      </c>
      <c r="AB14" s="52">
        <f>AA14+M14</f>
        <v>1283.585344613414</v>
      </c>
      <c r="AC14" s="57"/>
    </row>
    <row r="15" spans="2:29" ht="15" customHeight="1" x14ac:dyDescent="0.15">
      <c r="B15" s="18"/>
      <c r="C15" s="54">
        <f>AH!T17</f>
        <v>105.36089976751137</v>
      </c>
      <c r="D15" s="55">
        <f>N16*O16+M16+10+M14+N14*O14</f>
        <v>100.90909090909091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4">
        <f>C15-N16*O16-N14*O14-M16-M14</f>
        <v>14.45180885842047</v>
      </c>
      <c r="Q15" s="58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60"/>
      <c r="AC15" s="61"/>
    </row>
    <row r="16" spans="2:29" ht="15" customHeight="1" x14ac:dyDescent="0.15">
      <c r="B16" s="12" t="s">
        <v>51</v>
      </c>
      <c r="C16" s="4"/>
      <c r="D16" s="4"/>
      <c r="E16" s="55">
        <f>AH!V18</f>
        <v>61.137400113108484</v>
      </c>
      <c r="F16" s="55">
        <f>AH!M18</f>
        <v>50</v>
      </c>
      <c r="G16" s="55">
        <f>$C$32*0.1</f>
        <v>0.35000000000000003</v>
      </c>
      <c r="H16" s="55">
        <f>IF(F16=40,0.96,IF(F16=50,0.77,IF(F16=60,0.6,)))</f>
        <v>0.77</v>
      </c>
      <c r="I16" s="55">
        <f>($C$34*$C$32)/(H16)</f>
        <v>36.36363636363636</v>
      </c>
      <c r="J16" s="55">
        <f>($C$34*$C$32)/(G16)</f>
        <v>79.999999999999986</v>
      </c>
      <c r="K16" s="55">
        <f>($C$33*I16)/($C$34)</f>
        <v>9.0909090909090899</v>
      </c>
      <c r="L16" s="55">
        <f>($C$33*J16)/($C$34)</f>
        <v>19.999999999999996</v>
      </c>
      <c r="M16" s="55">
        <f>K16</f>
        <v>9.0909090909090899</v>
      </c>
      <c r="N16" s="55">
        <f>I16</f>
        <v>36.36363636363636</v>
      </c>
      <c r="O16" s="56">
        <v>1</v>
      </c>
      <c r="P16" s="4"/>
      <c r="Q16" s="52">
        <f>W14+P15+N16+M16</f>
        <v>1298.0371534718349</v>
      </c>
      <c r="R16" s="52">
        <f>Q16+M16</f>
        <v>1307.1280625627439</v>
      </c>
      <c r="S16" s="52">
        <f>R16+M16</f>
        <v>1316.2189716536529</v>
      </c>
      <c r="T16" s="52">
        <f>R16+(4*N16)/(8)</f>
        <v>1325.3098807445622</v>
      </c>
      <c r="U16" s="52">
        <f>R16+N16</f>
        <v>1343.4916989263802</v>
      </c>
      <c r="V16" s="52">
        <f>AH!W18</f>
        <v>1343.4916989263804</v>
      </c>
      <c r="W16" s="52">
        <f>AH!X18</f>
        <v>1404.6290990394889</v>
      </c>
      <c r="X16" s="52">
        <f>U16+E16</f>
        <v>1404.6290990394887</v>
      </c>
      <c r="Y16" s="52">
        <f>X16+(4*N16)/(8)</f>
        <v>1422.8109172213069</v>
      </c>
      <c r="Z16" s="52">
        <f>X16+N16-M16</f>
        <v>1431.9018263122159</v>
      </c>
      <c r="AA16" s="52">
        <f>X16+N16</f>
        <v>1440.9927354031249</v>
      </c>
      <c r="AB16" s="52">
        <f>AA16+M16</f>
        <v>1450.0836444940339</v>
      </c>
      <c r="AC16" s="57"/>
    </row>
    <row r="17" spans="2:31" ht="15" customHeight="1" x14ac:dyDescent="0.15">
      <c r="B17" s="18"/>
      <c r="C17" s="54">
        <f>AH!T19</f>
        <v>114.69934891785311</v>
      </c>
      <c r="D17" s="55">
        <f>N18*O18+M18+10+M16+N16*O16</f>
        <v>100.90909090909091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4">
        <f>C17-N18*O18-N16*O16-M18-M16</f>
        <v>23.790258008762212</v>
      </c>
      <c r="Q17" s="58"/>
      <c r="R17" s="59"/>
      <c r="S17" s="59"/>
      <c r="T17" s="59"/>
      <c r="U17" s="59"/>
      <c r="V17" s="53"/>
      <c r="W17" s="53"/>
      <c r="X17" s="59"/>
      <c r="Y17" s="59"/>
      <c r="Z17" s="59"/>
      <c r="AA17" s="59"/>
      <c r="AB17" s="60"/>
      <c r="AC17" s="57"/>
    </row>
    <row r="18" spans="2:31" ht="15" customHeight="1" x14ac:dyDescent="0.15">
      <c r="B18" s="12" t="s">
        <v>52</v>
      </c>
      <c r="C18" s="4"/>
      <c r="D18" s="4"/>
      <c r="E18" s="55">
        <f>AH!V20</f>
        <v>10.805069948273415</v>
      </c>
      <c r="F18" s="55">
        <f>AH!M20</f>
        <v>50</v>
      </c>
      <c r="G18" s="55">
        <f>$C$32*0.1</f>
        <v>0.35000000000000003</v>
      </c>
      <c r="H18" s="55">
        <f>IF(F18=40,0.96,IF(F18=50,0.77,IF(F18=60,0.6,)))</f>
        <v>0.77</v>
      </c>
      <c r="I18" s="55">
        <f>($C$34*$C$32)/(H18)</f>
        <v>36.36363636363636</v>
      </c>
      <c r="J18" s="55">
        <f>($C$34*$C$32)/(G18)</f>
        <v>79.999999999999986</v>
      </c>
      <c r="K18" s="55">
        <f>($C$33*I18)/($C$34)</f>
        <v>9.0909090909090899</v>
      </c>
      <c r="L18" s="55">
        <f>($C$33*J18)/($C$34)</f>
        <v>19.999999999999996</v>
      </c>
      <c r="M18" s="55">
        <f>K18</f>
        <v>9.0909090909090899</v>
      </c>
      <c r="N18" s="55">
        <f>I18</f>
        <v>36.36363636363636</v>
      </c>
      <c r="O18" s="56">
        <v>1</v>
      </c>
      <c r="P18" s="4"/>
      <c r="Q18" s="52">
        <f>W16+P17+N18+M18</f>
        <v>1473.8739025027965</v>
      </c>
      <c r="R18" s="52">
        <f>Q18+M18</f>
        <v>1482.9648115937055</v>
      </c>
      <c r="S18" s="52">
        <f>R18+M18</f>
        <v>1492.0557206846145</v>
      </c>
      <c r="T18" s="52">
        <f>R18+(4*N18)/(8)</f>
        <v>1501.1466297755237</v>
      </c>
      <c r="U18" s="52">
        <f>R18+N18</f>
        <v>1519.3284479573417</v>
      </c>
      <c r="V18" s="52">
        <f>AH!W20</f>
        <v>1519.328447957342</v>
      </c>
      <c r="W18" s="52">
        <f>AH!X20</f>
        <v>1530.1335179056155</v>
      </c>
      <c r="X18" s="52">
        <f>U18+E18</f>
        <v>1530.1335179056152</v>
      </c>
      <c r="Y18" s="52">
        <f>X18+(4*N18)/(8)</f>
        <v>1548.3153360874335</v>
      </c>
      <c r="Z18" s="52">
        <f>X18+N18-M18</f>
        <v>1557.4062451783425</v>
      </c>
      <c r="AA18" s="52">
        <f>X18+N18</f>
        <v>1566.4971542692515</v>
      </c>
      <c r="AB18" s="52">
        <f>AA18+M18</f>
        <v>1575.5880633601605</v>
      </c>
      <c r="AC18" s="57"/>
    </row>
    <row r="19" spans="2:31" ht="15" customHeight="1" x14ac:dyDescent="0.15">
      <c r="B19" s="18"/>
      <c r="C19" s="54">
        <f>AH!T21</f>
        <v>141.04339563277767</v>
      </c>
      <c r="D19" s="55">
        <f>N20*O20+M20+10+M18+N18*O18</f>
        <v>100.90909090909091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54">
        <f>C19-N20*O20-N18*O18-M20-M18</f>
        <v>50.134304723686768</v>
      </c>
      <c r="Q19" s="58"/>
      <c r="R19" s="59"/>
      <c r="S19" s="59"/>
      <c r="T19" s="59"/>
      <c r="U19" s="59"/>
      <c r="V19" s="53"/>
      <c r="W19" s="53"/>
      <c r="X19" s="59"/>
      <c r="Y19" s="59"/>
      <c r="Z19" s="59"/>
      <c r="AA19" s="59"/>
      <c r="AB19" s="60"/>
      <c r="AC19" s="57"/>
    </row>
    <row r="20" spans="2:31" ht="15" customHeight="1" x14ac:dyDescent="0.15">
      <c r="B20" s="18" t="s">
        <v>236</v>
      </c>
      <c r="C20" s="54"/>
      <c r="D20" s="55"/>
      <c r="E20" s="55">
        <f>AH!V22</f>
        <v>20.892908754481748</v>
      </c>
      <c r="F20" s="4">
        <v>50</v>
      </c>
      <c r="G20" s="4">
        <v>0.35000000000000003</v>
      </c>
      <c r="H20" s="4">
        <v>0.77</v>
      </c>
      <c r="I20" s="4">
        <v>36.36363636363636</v>
      </c>
      <c r="J20" s="4">
        <v>79.999999999999986</v>
      </c>
      <c r="K20" s="4">
        <v>9.0909090909090899</v>
      </c>
      <c r="L20" s="4">
        <v>19.999999999999996</v>
      </c>
      <c r="M20" s="4">
        <v>9.0909090909090899</v>
      </c>
      <c r="N20" s="4">
        <v>36.36363636363636</v>
      </c>
      <c r="O20" s="56">
        <v>1</v>
      </c>
      <c r="P20" s="28"/>
      <c r="Q20" s="225">
        <f>W18+P19+N20+M20</f>
        <v>1625.7223680838474</v>
      </c>
      <c r="R20" s="225">
        <f>Q20+M20</f>
        <v>1634.8132771747564</v>
      </c>
      <c r="S20" s="225">
        <f>R20+M20</f>
        <v>1643.9041862656654</v>
      </c>
      <c r="T20" s="225">
        <f>R20+(4*N20)/(8)</f>
        <v>1652.9950953565747</v>
      </c>
      <c r="U20" s="225">
        <f>R20+N20</f>
        <v>1671.1769135383927</v>
      </c>
      <c r="V20" s="52">
        <f>AH!W22</f>
        <v>1671.1769135383931</v>
      </c>
      <c r="W20" s="225">
        <f>AH!X22</f>
        <v>1692.069822292875</v>
      </c>
      <c r="X20" s="225">
        <f>U20+E20</f>
        <v>1692.0698222928745</v>
      </c>
      <c r="Y20" s="225">
        <f>X20+(4*N20)/(8)</f>
        <v>1710.2516404746927</v>
      </c>
      <c r="Z20" s="225">
        <f>X20+N20-M20</f>
        <v>1719.3425495656018</v>
      </c>
      <c r="AA20" s="225">
        <f>X20+N20</f>
        <v>1728.4334586565108</v>
      </c>
      <c r="AB20" s="225">
        <f>AA20+M20</f>
        <v>1737.5243677474198</v>
      </c>
      <c r="AC20" s="57"/>
    </row>
    <row r="21" spans="2:31" ht="15" customHeight="1" x14ac:dyDescent="0.15">
      <c r="B21" s="18"/>
      <c r="C21" s="54">
        <f>AH!T23</f>
        <v>156.15837208046699</v>
      </c>
      <c r="D21" s="55">
        <f>N22*O22+M22+10+M20+N20*O20</f>
        <v>55.454545454545453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224">
        <f>C21-N22*O22-N20*O20-M22-M20</f>
        <v>110.70382662592154</v>
      </c>
      <c r="Q21" s="227"/>
      <c r="R21" s="227"/>
      <c r="S21" s="227"/>
      <c r="T21" s="227"/>
      <c r="U21" s="227"/>
      <c r="V21" s="228"/>
      <c r="W21" s="229"/>
      <c r="X21" s="227"/>
      <c r="Y21" s="227"/>
      <c r="Z21" s="227"/>
      <c r="AA21" s="227"/>
      <c r="AB21" s="227"/>
      <c r="AC21" s="57"/>
    </row>
    <row r="22" spans="2:31" ht="15" customHeight="1" x14ac:dyDescent="0.15">
      <c r="B22" s="209" t="s">
        <v>53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4"/>
      <c r="P22" s="4"/>
      <c r="Q22" s="226"/>
      <c r="R22" s="226"/>
      <c r="S22" s="226"/>
      <c r="T22" s="226"/>
      <c r="U22" s="226"/>
      <c r="V22" s="52">
        <f>AH!W24</f>
        <v>1848.2281943733419</v>
      </c>
      <c r="W22" s="226"/>
      <c r="X22" s="226"/>
      <c r="Y22" s="226"/>
      <c r="Z22" s="226"/>
      <c r="AA22" s="226"/>
      <c r="AB22" s="226"/>
      <c r="AC22" s="57"/>
    </row>
    <row r="23" spans="2:31" ht="15.75" customHeight="1" x14ac:dyDescent="0.15">
      <c r="B23" s="223" t="s">
        <v>54</v>
      </c>
      <c r="C23" s="222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22"/>
      <c r="R23" s="22"/>
      <c r="S23" s="22"/>
      <c r="T23" s="22"/>
      <c r="U23" s="22"/>
      <c r="V23" s="211">
        <f>AH!W25</f>
        <v>908.69557645170073</v>
      </c>
      <c r="W23" s="53"/>
      <c r="X23" s="22"/>
      <c r="Y23" s="22"/>
      <c r="Z23" s="22"/>
      <c r="AA23" s="22"/>
      <c r="AB23" s="22"/>
      <c r="AC23" s="57"/>
    </row>
    <row r="24" spans="2:31" ht="15.75" customHeight="1" x14ac:dyDescent="0.15">
      <c r="B24" s="212"/>
      <c r="C24" s="210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W24" s="210"/>
      <c r="X24" s="210"/>
      <c r="Y24" s="210"/>
      <c r="Z24" s="210"/>
      <c r="AA24" s="210"/>
      <c r="AB24" s="210"/>
      <c r="AC24" s="57"/>
    </row>
    <row r="25" spans="2:31" ht="15.75" customHeight="1" x14ac:dyDescent="0.15">
      <c r="B25" s="213"/>
      <c r="C25" s="214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4"/>
      <c r="Q25" s="216"/>
      <c r="R25" s="216"/>
      <c r="S25" s="216"/>
      <c r="T25" s="216"/>
      <c r="U25" s="216"/>
      <c r="V25" s="217"/>
      <c r="W25" s="217"/>
      <c r="X25" s="216"/>
      <c r="Y25" s="216"/>
      <c r="Z25" s="216"/>
      <c r="AA25" s="216"/>
      <c r="AB25" s="216"/>
      <c r="AC25" s="57"/>
    </row>
    <row r="26" spans="2:31" ht="15.75" customHeight="1" x14ac:dyDescent="0.15">
      <c r="B26" s="213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8"/>
      <c r="P26" s="215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57"/>
    </row>
    <row r="27" spans="2:31" ht="15.75" customHeight="1" x14ac:dyDescent="0.15">
      <c r="B27" s="213"/>
      <c r="C27" s="214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4"/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</row>
    <row r="28" spans="2:31" ht="15.75" customHeight="1" x14ac:dyDescent="0.15"/>
    <row r="29" spans="2:31" ht="15.75" customHeight="1" x14ac:dyDescent="0.15"/>
    <row r="30" spans="2:31" ht="15.75" customHeight="1" x14ac:dyDescent="0.15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</row>
    <row r="31" spans="2:31" ht="15.75" customHeight="1" x14ac:dyDescent="0.15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</row>
    <row r="32" spans="2:31" ht="15.75" customHeight="1" x14ac:dyDescent="0.15">
      <c r="B32" s="62" t="s">
        <v>88</v>
      </c>
      <c r="C32" s="63">
        <v>3.5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 spans="2:28" ht="15.75" customHeight="1" x14ac:dyDescent="0.15">
      <c r="B33" s="62" t="s">
        <v>89</v>
      </c>
      <c r="C33" s="63">
        <v>2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</row>
    <row r="34" spans="2:28" ht="15.75" customHeight="1" x14ac:dyDescent="0.15">
      <c r="B34" s="62" t="s">
        <v>90</v>
      </c>
      <c r="C34" s="63">
        <v>8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</row>
    <row r="35" spans="2:28" ht="15.75" customHeight="1" x14ac:dyDescent="0.15"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</row>
    <row r="36" spans="2:28" ht="15.75" customHeight="1" x14ac:dyDescent="0.15"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</row>
    <row r="37" spans="2:28" ht="15.75" customHeight="1" x14ac:dyDescent="0.15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</row>
    <row r="38" spans="2:28" ht="15.75" customHeight="1" x14ac:dyDescent="0.15"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</row>
    <row r="39" spans="2:28" ht="15.75" customHeight="1" x14ac:dyDescent="0.15"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</row>
    <row r="40" spans="2:28" ht="15.75" customHeight="1" x14ac:dyDescent="0.15"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</row>
    <row r="41" spans="2:28" ht="15.75" customHeight="1" x14ac:dyDescent="0.15"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</row>
    <row r="42" spans="2:28" ht="15.75" customHeight="1" x14ac:dyDescent="0.15"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</row>
    <row r="43" spans="2:28" ht="15.75" customHeight="1" x14ac:dyDescent="0.15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</row>
    <row r="44" spans="2:28" ht="15.75" customHeight="1" x14ac:dyDescent="0.15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</row>
    <row r="45" spans="2:28" ht="15.75" customHeight="1" x14ac:dyDescent="0.15"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</row>
    <row r="46" spans="2:28" ht="15.75" customHeight="1" x14ac:dyDescent="0.15"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</row>
    <row r="47" spans="2:28" ht="15.75" customHeight="1" x14ac:dyDescent="0.15"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</row>
    <row r="48" spans="2:28" ht="15.75" customHeight="1" x14ac:dyDescent="0.15"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</row>
    <row r="49" spans="2:28" ht="15.75" customHeight="1" x14ac:dyDescent="0.15"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</row>
    <row r="50" spans="2:28" ht="15.75" customHeight="1" x14ac:dyDescent="0.15"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</row>
    <row r="51" spans="2:28" ht="15.75" customHeight="1" x14ac:dyDescent="0.15"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</row>
    <row r="52" spans="2:28" ht="15.75" customHeight="1" x14ac:dyDescent="0.15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</row>
    <row r="53" spans="2:28" ht="15.75" customHeight="1" x14ac:dyDescent="0.15"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</row>
    <row r="54" spans="2:28" ht="15.75" customHeight="1" x14ac:dyDescent="0.15"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</row>
    <row r="55" spans="2:28" ht="15.75" customHeight="1" x14ac:dyDescent="0.15"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</row>
    <row r="56" spans="2:28" ht="15.75" customHeight="1" x14ac:dyDescent="0.15"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</row>
    <row r="57" spans="2:28" ht="15.75" customHeight="1" x14ac:dyDescent="0.15"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</row>
    <row r="58" spans="2:28" ht="15.75" customHeight="1" x14ac:dyDescent="0.15"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</row>
    <row r="59" spans="2:28" ht="15.75" customHeight="1" x14ac:dyDescent="0.15"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</row>
    <row r="60" spans="2:28" ht="15.75" customHeight="1" x14ac:dyDescent="0.15"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</row>
    <row r="61" spans="2:28" ht="15.75" customHeight="1" x14ac:dyDescent="0.15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</row>
    <row r="62" spans="2:28" ht="15.75" customHeight="1" x14ac:dyDescent="0.15"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</row>
    <row r="63" spans="2:28" ht="15.75" customHeight="1" x14ac:dyDescent="0.15"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</row>
    <row r="64" spans="2:28" ht="15.75" customHeight="1" x14ac:dyDescent="0.15"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</row>
    <row r="65" spans="2:28" ht="15.75" customHeight="1" x14ac:dyDescent="0.15"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</row>
    <row r="66" spans="2:28" ht="15.75" customHeight="1" x14ac:dyDescent="0.15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</row>
    <row r="67" spans="2:28" ht="15.75" customHeight="1" x14ac:dyDescent="0.15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</row>
    <row r="68" spans="2:28" ht="15.75" customHeight="1" x14ac:dyDescent="0.15"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</row>
    <row r="69" spans="2:28" ht="15.75" customHeight="1" x14ac:dyDescent="0.15"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</row>
    <row r="70" spans="2:28" ht="15.75" customHeight="1" x14ac:dyDescent="0.15"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</row>
    <row r="71" spans="2:28" ht="15.75" customHeight="1" x14ac:dyDescent="0.15"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</row>
    <row r="72" spans="2:28" ht="15.75" customHeight="1" x14ac:dyDescent="0.15"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</row>
    <row r="73" spans="2:28" ht="15.75" customHeight="1" x14ac:dyDescent="0.15"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</row>
    <row r="74" spans="2:28" ht="15.75" customHeight="1" x14ac:dyDescent="0.15"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</row>
    <row r="75" spans="2:28" ht="15.75" customHeight="1" x14ac:dyDescent="0.15"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</row>
    <row r="76" spans="2:28" ht="15.75" customHeight="1" x14ac:dyDescent="0.15"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</row>
    <row r="77" spans="2:28" ht="15.75" customHeight="1" x14ac:dyDescent="0.15"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</row>
    <row r="78" spans="2:28" ht="15.75" customHeight="1" x14ac:dyDescent="0.15"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</row>
    <row r="79" spans="2:28" ht="15.75" customHeight="1" x14ac:dyDescent="0.15"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</row>
    <row r="80" spans="2:28" ht="15.75" customHeight="1" x14ac:dyDescent="0.15"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</row>
    <row r="81" spans="2:28" ht="15.75" customHeight="1" x14ac:dyDescent="0.15"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</row>
    <row r="82" spans="2:28" ht="15.75" customHeight="1" x14ac:dyDescent="0.15"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</row>
    <row r="83" spans="2:28" ht="15.75" customHeight="1" x14ac:dyDescent="0.15"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</row>
    <row r="84" spans="2:28" ht="15.75" customHeight="1" x14ac:dyDescent="0.15"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</row>
    <row r="85" spans="2:28" ht="15.75" customHeight="1" x14ac:dyDescent="0.15"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</row>
    <row r="86" spans="2:28" ht="15.75" customHeight="1" x14ac:dyDescent="0.15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</row>
    <row r="87" spans="2:28" ht="15.75" customHeight="1" x14ac:dyDescent="0.15"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</row>
    <row r="88" spans="2:28" ht="15.75" customHeight="1" x14ac:dyDescent="0.15"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</row>
    <row r="89" spans="2:28" ht="15.75" customHeight="1" x14ac:dyDescent="0.15"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</row>
    <row r="90" spans="2:28" ht="15.75" customHeight="1" x14ac:dyDescent="0.15"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</row>
    <row r="91" spans="2:28" ht="15.75" customHeight="1" x14ac:dyDescent="0.15"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</row>
    <row r="92" spans="2:28" ht="15.75" customHeight="1" x14ac:dyDescent="0.15"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</row>
    <row r="93" spans="2:28" ht="15.75" customHeight="1" x14ac:dyDescent="0.15"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</row>
    <row r="94" spans="2:28" ht="15.75" customHeight="1" x14ac:dyDescent="0.15"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</row>
    <row r="95" spans="2:28" ht="15.75" customHeight="1" x14ac:dyDescent="0.15"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</row>
    <row r="96" spans="2:28" ht="15.75" customHeight="1" x14ac:dyDescent="0.15"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</row>
    <row r="97" spans="2:28" ht="15.75" customHeight="1" x14ac:dyDescent="0.15"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</row>
    <row r="98" spans="2:28" ht="15.75" customHeight="1" x14ac:dyDescent="0.15"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</row>
    <row r="99" spans="2:28" ht="15.75" customHeight="1" x14ac:dyDescent="0.15"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</row>
    <row r="100" spans="2:28" ht="15.75" customHeight="1" x14ac:dyDescent="0.15"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</row>
    <row r="101" spans="2:28" ht="15.75" customHeight="1" x14ac:dyDescent="0.15"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</row>
    <row r="102" spans="2:28" ht="15.75" customHeight="1" x14ac:dyDescent="0.15"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</row>
    <row r="103" spans="2:28" ht="15.75" customHeight="1" x14ac:dyDescent="0.15"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</row>
    <row r="104" spans="2:28" ht="15.75" customHeight="1" x14ac:dyDescent="0.15"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</row>
    <row r="105" spans="2:28" ht="15.75" customHeight="1" x14ac:dyDescent="0.15"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</row>
    <row r="106" spans="2:28" ht="15.75" customHeight="1" x14ac:dyDescent="0.15"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</row>
    <row r="107" spans="2:28" ht="15.75" customHeight="1" x14ac:dyDescent="0.15"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</row>
    <row r="108" spans="2:28" ht="15.75" customHeight="1" x14ac:dyDescent="0.15"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</row>
    <row r="109" spans="2:28" ht="15.75" customHeight="1" x14ac:dyDescent="0.15"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</row>
    <row r="110" spans="2:28" ht="15.75" customHeight="1" x14ac:dyDescent="0.15"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</row>
    <row r="111" spans="2:28" ht="15.75" customHeight="1" x14ac:dyDescent="0.15"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</row>
    <row r="112" spans="2:28" ht="15.75" customHeight="1" x14ac:dyDescent="0.15"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</row>
    <row r="113" spans="2:28" ht="15.75" customHeight="1" x14ac:dyDescent="0.15"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</row>
    <row r="114" spans="2:28" ht="15.75" customHeight="1" x14ac:dyDescent="0.15"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</row>
    <row r="115" spans="2:28" ht="15.75" customHeight="1" x14ac:dyDescent="0.15"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</row>
    <row r="116" spans="2:28" ht="15.75" customHeight="1" x14ac:dyDescent="0.15"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</row>
    <row r="117" spans="2:28" ht="15.75" customHeight="1" x14ac:dyDescent="0.15"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</row>
    <row r="118" spans="2:28" ht="15.75" customHeight="1" x14ac:dyDescent="0.15"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</row>
    <row r="119" spans="2:28" ht="15.75" customHeight="1" x14ac:dyDescent="0.15"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</row>
    <row r="120" spans="2:28" ht="15.75" customHeight="1" x14ac:dyDescent="0.15"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</row>
    <row r="121" spans="2:28" ht="15.75" customHeight="1" x14ac:dyDescent="0.15"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</row>
    <row r="122" spans="2:28" ht="15.75" customHeight="1" x14ac:dyDescent="0.15"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</row>
    <row r="123" spans="2:28" ht="15.75" customHeight="1" x14ac:dyDescent="0.15"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</row>
    <row r="124" spans="2:28" ht="15.75" customHeight="1" x14ac:dyDescent="0.15"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</row>
    <row r="125" spans="2:28" ht="15.75" customHeight="1" x14ac:dyDescent="0.15"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</row>
    <row r="126" spans="2:28" ht="15.75" customHeight="1" x14ac:dyDescent="0.15"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</row>
    <row r="127" spans="2:28" ht="15.75" customHeight="1" x14ac:dyDescent="0.15"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</row>
    <row r="128" spans="2:28" ht="15.75" customHeight="1" x14ac:dyDescent="0.15"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</row>
    <row r="129" spans="2:28" ht="15.75" customHeight="1" x14ac:dyDescent="0.15"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</row>
    <row r="130" spans="2:28" ht="15.75" customHeight="1" x14ac:dyDescent="0.15"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</row>
    <row r="131" spans="2:28" ht="15.75" customHeight="1" x14ac:dyDescent="0.15"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</row>
    <row r="132" spans="2:28" ht="15.75" customHeight="1" x14ac:dyDescent="0.15"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</row>
    <row r="133" spans="2:28" ht="15.75" customHeight="1" x14ac:dyDescent="0.15"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</row>
    <row r="134" spans="2:28" ht="15.75" customHeight="1" x14ac:dyDescent="0.15"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</row>
    <row r="135" spans="2:28" ht="15.75" customHeight="1" x14ac:dyDescent="0.15"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</row>
    <row r="136" spans="2:28" ht="15.75" customHeight="1" x14ac:dyDescent="0.15"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</row>
    <row r="137" spans="2:28" ht="15.75" customHeight="1" x14ac:dyDescent="0.15"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</row>
    <row r="138" spans="2:28" ht="15.75" customHeight="1" x14ac:dyDescent="0.15"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</row>
    <row r="139" spans="2:28" ht="15.75" customHeight="1" x14ac:dyDescent="0.15"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</row>
    <row r="140" spans="2:28" ht="15.75" customHeight="1" x14ac:dyDescent="0.15"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</row>
    <row r="141" spans="2:28" ht="15.75" customHeight="1" x14ac:dyDescent="0.15"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</row>
    <row r="142" spans="2:28" ht="15.75" customHeight="1" x14ac:dyDescent="0.15"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</row>
    <row r="143" spans="2:28" ht="15.75" customHeight="1" x14ac:dyDescent="0.15"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</row>
    <row r="144" spans="2:28" ht="15.75" customHeight="1" x14ac:dyDescent="0.15"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</row>
    <row r="145" spans="2:28" ht="15.75" customHeight="1" x14ac:dyDescent="0.15"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</row>
    <row r="146" spans="2:28" ht="15.75" customHeight="1" x14ac:dyDescent="0.15"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</row>
    <row r="147" spans="2:28" ht="15.75" customHeight="1" x14ac:dyDescent="0.15"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</row>
    <row r="148" spans="2:28" ht="15.75" customHeight="1" x14ac:dyDescent="0.15"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</row>
    <row r="149" spans="2:28" ht="15.75" customHeight="1" x14ac:dyDescent="0.15"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</row>
    <row r="150" spans="2:28" ht="15.75" customHeight="1" x14ac:dyDescent="0.15"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</row>
    <row r="151" spans="2:28" ht="15.75" customHeight="1" x14ac:dyDescent="0.15"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</row>
    <row r="152" spans="2:28" ht="15.75" customHeight="1" x14ac:dyDescent="0.15"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</row>
    <row r="153" spans="2:28" ht="15.75" customHeight="1" x14ac:dyDescent="0.15"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</row>
    <row r="154" spans="2:28" ht="15.75" customHeight="1" x14ac:dyDescent="0.15"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</row>
    <row r="155" spans="2:28" ht="15.75" customHeight="1" x14ac:dyDescent="0.15"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</row>
    <row r="156" spans="2:28" ht="15.75" customHeight="1" x14ac:dyDescent="0.15"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</row>
    <row r="157" spans="2:28" ht="15.75" customHeight="1" x14ac:dyDescent="0.15"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</row>
    <row r="158" spans="2:28" ht="15.75" customHeight="1" x14ac:dyDescent="0.15"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</row>
    <row r="159" spans="2:28" ht="15.75" customHeight="1" x14ac:dyDescent="0.15"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</row>
    <row r="160" spans="2:28" ht="15.75" customHeight="1" x14ac:dyDescent="0.15"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</row>
    <row r="161" spans="2:28" ht="15.75" customHeight="1" x14ac:dyDescent="0.15"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</row>
    <row r="162" spans="2:28" ht="15.75" customHeight="1" x14ac:dyDescent="0.15"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</row>
    <row r="163" spans="2:28" ht="15.75" customHeight="1" x14ac:dyDescent="0.15"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</row>
    <row r="164" spans="2:28" ht="15.75" customHeight="1" x14ac:dyDescent="0.15"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</row>
    <row r="165" spans="2:28" ht="15.75" customHeight="1" x14ac:dyDescent="0.15"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</row>
    <row r="166" spans="2:28" ht="15.75" customHeight="1" x14ac:dyDescent="0.15"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</row>
    <row r="167" spans="2:28" ht="15.75" customHeight="1" x14ac:dyDescent="0.15"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</row>
    <row r="168" spans="2:28" ht="15.75" customHeight="1" x14ac:dyDescent="0.15"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</row>
    <row r="169" spans="2:28" ht="15.75" customHeight="1" x14ac:dyDescent="0.15"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</row>
    <row r="170" spans="2:28" ht="15.75" customHeight="1" x14ac:dyDescent="0.15"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</row>
    <row r="171" spans="2:28" ht="15.75" customHeight="1" x14ac:dyDescent="0.15"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</row>
    <row r="172" spans="2:28" ht="15.75" customHeight="1" x14ac:dyDescent="0.15"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</row>
    <row r="173" spans="2:28" ht="15.75" customHeight="1" x14ac:dyDescent="0.15"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</row>
    <row r="174" spans="2:28" ht="15.75" customHeight="1" x14ac:dyDescent="0.15"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</row>
    <row r="175" spans="2:28" ht="15.75" customHeight="1" x14ac:dyDescent="0.15"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</row>
    <row r="176" spans="2:28" ht="15.75" customHeight="1" x14ac:dyDescent="0.15"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</row>
    <row r="177" spans="2:28" ht="15.75" customHeight="1" x14ac:dyDescent="0.15"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</row>
    <row r="178" spans="2:28" ht="15.75" customHeight="1" x14ac:dyDescent="0.15"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</row>
    <row r="179" spans="2:28" ht="15.75" customHeight="1" x14ac:dyDescent="0.15"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</row>
    <row r="180" spans="2:28" ht="15.75" customHeight="1" x14ac:dyDescent="0.15"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</row>
    <row r="181" spans="2:28" ht="15.75" customHeight="1" x14ac:dyDescent="0.15"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</row>
    <row r="182" spans="2:28" ht="15.75" customHeight="1" x14ac:dyDescent="0.15"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</row>
    <row r="183" spans="2:28" ht="15.75" customHeight="1" x14ac:dyDescent="0.15"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</row>
    <row r="184" spans="2:28" ht="15.75" customHeight="1" x14ac:dyDescent="0.15"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</row>
    <row r="185" spans="2:28" ht="15.75" customHeight="1" x14ac:dyDescent="0.15"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</row>
    <row r="186" spans="2:28" ht="15.75" customHeight="1" x14ac:dyDescent="0.15"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</row>
    <row r="187" spans="2:28" ht="15.75" customHeight="1" x14ac:dyDescent="0.15"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</row>
    <row r="188" spans="2:28" ht="15.75" customHeight="1" x14ac:dyDescent="0.15"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</row>
    <row r="189" spans="2:28" ht="15.75" customHeight="1" x14ac:dyDescent="0.15"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</row>
    <row r="190" spans="2:28" ht="15.75" customHeight="1" x14ac:dyDescent="0.15"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</row>
    <row r="191" spans="2:28" ht="15.75" customHeight="1" x14ac:dyDescent="0.15"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</row>
    <row r="192" spans="2:28" ht="15.75" customHeight="1" x14ac:dyDescent="0.15"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</row>
    <row r="193" spans="2:28" ht="15.75" customHeight="1" x14ac:dyDescent="0.15"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</row>
    <row r="194" spans="2:28" ht="15.75" customHeight="1" x14ac:dyDescent="0.15"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</row>
    <row r="195" spans="2:28" ht="15.75" customHeight="1" x14ac:dyDescent="0.15"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</row>
    <row r="196" spans="2:28" ht="15.75" customHeight="1" x14ac:dyDescent="0.15"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</row>
    <row r="197" spans="2:28" ht="15.75" customHeight="1" x14ac:dyDescent="0.15"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</row>
    <row r="198" spans="2:28" ht="15.75" customHeight="1" x14ac:dyDescent="0.15"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</row>
    <row r="199" spans="2:28" ht="15.75" customHeight="1" x14ac:dyDescent="0.15"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</row>
    <row r="200" spans="2:28" ht="15.75" customHeight="1" x14ac:dyDescent="0.15"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</row>
    <row r="201" spans="2:28" ht="15.75" customHeight="1" x14ac:dyDescent="0.15"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</row>
    <row r="202" spans="2:28" ht="15.75" customHeight="1" x14ac:dyDescent="0.15"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</row>
    <row r="203" spans="2:28" ht="15.75" customHeight="1" x14ac:dyDescent="0.15"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</row>
    <row r="204" spans="2:28" ht="15.75" customHeight="1" x14ac:dyDescent="0.15"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</row>
    <row r="205" spans="2:28" ht="15.75" customHeight="1" x14ac:dyDescent="0.15"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</row>
    <row r="206" spans="2:28" ht="15.75" customHeight="1" x14ac:dyDescent="0.15"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</row>
    <row r="207" spans="2:28" ht="15.75" customHeight="1" x14ac:dyDescent="0.15"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</row>
    <row r="208" spans="2:28" ht="15.75" customHeight="1" x14ac:dyDescent="0.15"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</row>
    <row r="209" spans="2:28" ht="15.75" customHeight="1" x14ac:dyDescent="0.15"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</row>
    <row r="210" spans="2:28" ht="15.75" customHeight="1" x14ac:dyDescent="0.15"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</row>
    <row r="211" spans="2:28" ht="15.75" customHeight="1" x14ac:dyDescent="0.15"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</row>
    <row r="212" spans="2:28" ht="15.75" customHeight="1" x14ac:dyDescent="0.15"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</row>
    <row r="213" spans="2:28" ht="15.75" customHeight="1" x14ac:dyDescent="0.15"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</row>
    <row r="214" spans="2:28" ht="15.75" customHeight="1" x14ac:dyDescent="0.15"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</row>
    <row r="215" spans="2:28" ht="15.75" customHeight="1" x14ac:dyDescent="0.15"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</row>
    <row r="216" spans="2:28" ht="15.75" customHeight="1" x14ac:dyDescent="0.15"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</row>
    <row r="217" spans="2:28" ht="15.75" customHeight="1" x14ac:dyDescent="0.15"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</row>
    <row r="218" spans="2:28" ht="15.75" customHeight="1" x14ac:dyDescent="0.15"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</row>
    <row r="219" spans="2:28" ht="15.75" customHeight="1" x14ac:dyDescent="0.15"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</row>
    <row r="220" spans="2:28" ht="15.75" customHeight="1" x14ac:dyDescent="0.15"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</row>
    <row r="221" spans="2:28" ht="15.75" customHeight="1" x14ac:dyDescent="0.15"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</row>
    <row r="222" spans="2:28" ht="15.75" customHeight="1" x14ac:dyDescent="0.15"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</row>
    <row r="223" spans="2:28" ht="15.75" customHeight="1" x14ac:dyDescent="0.15"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</row>
    <row r="224" spans="2:28" ht="15.75" customHeight="1" x14ac:dyDescent="0.15"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</row>
    <row r="225" spans="2:28" ht="15.75" customHeight="1" x14ac:dyDescent="0.15"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</row>
    <row r="226" spans="2:28" ht="15.75" customHeight="1" x14ac:dyDescent="0.15"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</row>
    <row r="227" spans="2:28" ht="15.75" customHeight="1" x14ac:dyDescent="0.15"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</row>
    <row r="228" spans="2:28" ht="15.75" customHeight="1" x14ac:dyDescent="0.15"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</row>
    <row r="229" spans="2:28" ht="15.75" customHeight="1" x14ac:dyDescent="0.15"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</row>
    <row r="230" spans="2:28" ht="15.75" customHeight="1" x14ac:dyDescent="0.15"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</row>
    <row r="231" spans="2:28" ht="15.75" customHeight="1" x14ac:dyDescent="0.15"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</row>
    <row r="232" spans="2:28" ht="15.75" customHeight="1" x14ac:dyDescent="0.15"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</row>
    <row r="233" spans="2:28" ht="15.75" customHeight="1" x14ac:dyDescent="0.15"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</row>
    <row r="234" spans="2:28" ht="15.75" customHeight="1" x14ac:dyDescent="0.15"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</row>
    <row r="235" spans="2:28" ht="15.75" customHeight="1" x14ac:dyDescent="0.15"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</row>
    <row r="236" spans="2:28" ht="15.75" customHeight="1" x14ac:dyDescent="0.15"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</row>
    <row r="237" spans="2:28" ht="15.75" customHeight="1" x14ac:dyDescent="0.15"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</row>
    <row r="238" spans="2:28" ht="15.75" customHeight="1" x14ac:dyDescent="0.15"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</row>
    <row r="239" spans="2:28" ht="15.75" customHeight="1" x14ac:dyDescent="0.15"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</row>
    <row r="240" spans="2:28" ht="15.75" customHeight="1" x14ac:dyDescent="0.15"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</row>
    <row r="241" spans="2:28" ht="15.75" customHeight="1" x14ac:dyDescent="0.15"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</row>
    <row r="242" spans="2:28" ht="15.75" customHeight="1" x14ac:dyDescent="0.15"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</row>
    <row r="243" spans="2:28" ht="15.75" customHeight="1" x14ac:dyDescent="0.15"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</row>
    <row r="244" spans="2:28" ht="15.75" customHeight="1" x14ac:dyDescent="0.15"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</row>
    <row r="245" spans="2:28" ht="15.75" customHeight="1" x14ac:dyDescent="0.15"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</row>
    <row r="246" spans="2:28" ht="15.75" customHeight="1" x14ac:dyDescent="0.15"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</row>
    <row r="247" spans="2:28" ht="15.75" customHeight="1" x14ac:dyDescent="0.15"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</row>
    <row r="248" spans="2:28" ht="15.75" customHeight="1" x14ac:dyDescent="0.15"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</row>
    <row r="249" spans="2:28" ht="15.75" customHeight="1" x14ac:dyDescent="0.15"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</row>
    <row r="250" spans="2:28" ht="15.75" customHeight="1" x14ac:dyDescent="0.15"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</row>
    <row r="251" spans="2:28" ht="15.75" customHeight="1" x14ac:dyDescent="0.15"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</row>
    <row r="252" spans="2:28" ht="15.75" customHeight="1" x14ac:dyDescent="0.15"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</row>
    <row r="253" spans="2:28" ht="15.75" customHeight="1" x14ac:dyDescent="0.15"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</row>
    <row r="254" spans="2:28" ht="15.75" customHeight="1" x14ac:dyDescent="0.15"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</row>
    <row r="255" spans="2:28" ht="15.75" customHeight="1" x14ac:dyDescent="0.15"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</row>
    <row r="256" spans="2:28" ht="15.75" customHeight="1" x14ac:dyDescent="0.15"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</row>
    <row r="257" spans="2:28" ht="15.75" customHeight="1" x14ac:dyDescent="0.15"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</row>
    <row r="258" spans="2:28" ht="15.75" customHeight="1" x14ac:dyDescent="0.15"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</row>
    <row r="259" spans="2:28" ht="15.75" customHeight="1" x14ac:dyDescent="0.15"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</row>
    <row r="260" spans="2:28" ht="15.75" customHeight="1" x14ac:dyDescent="0.15"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</row>
    <row r="261" spans="2:28" ht="15.75" customHeight="1" x14ac:dyDescent="0.15"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</row>
    <row r="262" spans="2:28" ht="15.75" customHeight="1" x14ac:dyDescent="0.15"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</row>
    <row r="263" spans="2:28" ht="15.75" customHeight="1" x14ac:dyDescent="0.15"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</row>
    <row r="264" spans="2:28" ht="15.75" customHeight="1" x14ac:dyDescent="0.15"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</row>
    <row r="265" spans="2:28" ht="15.75" customHeight="1" x14ac:dyDescent="0.15"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</row>
    <row r="266" spans="2:28" ht="15.75" customHeight="1" x14ac:dyDescent="0.15"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</row>
    <row r="267" spans="2:28" ht="15.75" customHeight="1" x14ac:dyDescent="0.15"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</row>
    <row r="268" spans="2:28" ht="15.75" customHeight="1" x14ac:dyDescent="0.15"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</row>
    <row r="269" spans="2:28" ht="15.75" customHeight="1" x14ac:dyDescent="0.15"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</row>
    <row r="270" spans="2:28" ht="15.75" customHeight="1" x14ac:dyDescent="0.15"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</row>
    <row r="271" spans="2:28" ht="15.75" customHeight="1" x14ac:dyDescent="0.15"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</row>
    <row r="272" spans="2:28" ht="15.75" customHeight="1" x14ac:dyDescent="0.15"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</row>
    <row r="273" spans="2:28" ht="15.75" customHeight="1" x14ac:dyDescent="0.15"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</row>
    <row r="274" spans="2:28" ht="15.75" customHeight="1" x14ac:dyDescent="0.15"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</row>
    <row r="275" spans="2:28" ht="15.75" customHeight="1" x14ac:dyDescent="0.15"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</row>
    <row r="276" spans="2:28" ht="15.75" customHeight="1" x14ac:dyDescent="0.15"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</row>
    <row r="277" spans="2:28" ht="15.75" customHeight="1" x14ac:dyDescent="0.15"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</row>
    <row r="278" spans="2:28" ht="15.75" customHeight="1" x14ac:dyDescent="0.15"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</row>
    <row r="279" spans="2:28" ht="15.75" customHeight="1" x14ac:dyDescent="0.15"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</row>
    <row r="280" spans="2:28" ht="15.75" customHeight="1" x14ac:dyDescent="0.15"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</row>
    <row r="281" spans="2:28" ht="15.75" customHeight="1" x14ac:dyDescent="0.15"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</row>
    <row r="282" spans="2:28" ht="15.75" customHeight="1" x14ac:dyDescent="0.15"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</row>
    <row r="283" spans="2:28" ht="15.75" customHeight="1" x14ac:dyDescent="0.15"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</row>
    <row r="284" spans="2:28" ht="15.75" customHeight="1" x14ac:dyDescent="0.15"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</row>
    <row r="285" spans="2:28" ht="15.75" customHeight="1" x14ac:dyDescent="0.15"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</row>
    <row r="286" spans="2:28" ht="15.75" customHeight="1" x14ac:dyDescent="0.15"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</row>
    <row r="287" spans="2:28" ht="15.75" customHeight="1" x14ac:dyDescent="0.15"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</row>
    <row r="288" spans="2:28" ht="15.75" customHeight="1" x14ac:dyDescent="0.15"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</row>
    <row r="289" spans="2:28" ht="15.75" customHeight="1" x14ac:dyDescent="0.15"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</row>
    <row r="290" spans="2:28" ht="15.75" customHeight="1" x14ac:dyDescent="0.15"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</row>
    <row r="291" spans="2:28" ht="15.75" customHeight="1" x14ac:dyDescent="0.15"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</row>
    <row r="292" spans="2:28" ht="15.75" customHeight="1" x14ac:dyDescent="0.15"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</row>
    <row r="293" spans="2:28" ht="15.75" customHeight="1" x14ac:dyDescent="0.15"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</row>
    <row r="294" spans="2:28" ht="15.75" customHeight="1" x14ac:dyDescent="0.15"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</row>
    <row r="295" spans="2:28" ht="15.75" customHeight="1" x14ac:dyDescent="0.15"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</row>
    <row r="296" spans="2:28" ht="15.75" customHeight="1" x14ac:dyDescent="0.15"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</row>
    <row r="297" spans="2:28" ht="15.75" customHeight="1" x14ac:dyDescent="0.15"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</row>
    <row r="298" spans="2:28" ht="15.75" customHeight="1" x14ac:dyDescent="0.15"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</row>
    <row r="299" spans="2:28" ht="15.75" customHeight="1" x14ac:dyDescent="0.15"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</row>
    <row r="300" spans="2:28" ht="15.75" customHeight="1" x14ac:dyDescent="0.15"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</row>
    <row r="301" spans="2:28" ht="15.75" customHeight="1" x14ac:dyDescent="0.15"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</row>
    <row r="302" spans="2:28" ht="15.75" customHeight="1" x14ac:dyDescent="0.15"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</row>
    <row r="303" spans="2:28" ht="15.75" customHeight="1" x14ac:dyDescent="0.15"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</row>
    <row r="304" spans="2:28" ht="15.75" customHeight="1" x14ac:dyDescent="0.15"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</row>
    <row r="305" spans="2:28" ht="15.75" customHeight="1" x14ac:dyDescent="0.15"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</row>
    <row r="306" spans="2:28" ht="15.75" customHeight="1" x14ac:dyDescent="0.15"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</row>
    <row r="307" spans="2:28" ht="15.75" customHeight="1" x14ac:dyDescent="0.15"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</row>
    <row r="308" spans="2:28" ht="15.75" customHeight="1" x14ac:dyDescent="0.15"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</row>
    <row r="309" spans="2:28" ht="15.75" customHeight="1" x14ac:dyDescent="0.15"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</row>
    <row r="310" spans="2:28" ht="15.75" customHeight="1" x14ac:dyDescent="0.15"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</row>
    <row r="311" spans="2:28" ht="15.75" customHeight="1" x14ac:dyDescent="0.15"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</row>
    <row r="312" spans="2:28" ht="15.75" customHeight="1" x14ac:dyDescent="0.15"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</row>
    <row r="313" spans="2:28" ht="15.75" customHeight="1" x14ac:dyDescent="0.15"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</row>
    <row r="314" spans="2:28" ht="15.75" customHeight="1" x14ac:dyDescent="0.15"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</row>
    <row r="315" spans="2:28" ht="15.75" customHeight="1" x14ac:dyDescent="0.15"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</row>
    <row r="316" spans="2:28" ht="15.75" customHeight="1" x14ac:dyDescent="0.15"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</row>
    <row r="317" spans="2:28" ht="15.75" customHeight="1" x14ac:dyDescent="0.15"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</row>
    <row r="318" spans="2:28" ht="15.75" customHeight="1" x14ac:dyDescent="0.15"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</row>
    <row r="319" spans="2:28" ht="15.75" customHeight="1" x14ac:dyDescent="0.15"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</row>
    <row r="320" spans="2:28" ht="15.75" customHeight="1" x14ac:dyDescent="0.15"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</row>
    <row r="321" spans="2:28" ht="15.75" customHeight="1" x14ac:dyDescent="0.15"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</row>
    <row r="322" spans="2:28" ht="15.75" customHeight="1" x14ac:dyDescent="0.15"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</row>
    <row r="323" spans="2:28" ht="15.75" customHeight="1" x14ac:dyDescent="0.15"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</row>
    <row r="324" spans="2:28" ht="15.75" customHeight="1" x14ac:dyDescent="0.15"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</row>
    <row r="325" spans="2:28" ht="15.75" customHeight="1" x14ac:dyDescent="0.15"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</row>
    <row r="326" spans="2:28" ht="15.75" customHeight="1" x14ac:dyDescent="0.15"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</row>
    <row r="327" spans="2:28" ht="15.75" customHeight="1" x14ac:dyDescent="0.15"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</row>
    <row r="328" spans="2:28" ht="15.75" customHeight="1" x14ac:dyDescent="0.15"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</row>
    <row r="329" spans="2:28" ht="15.75" customHeight="1" x14ac:dyDescent="0.15"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</row>
    <row r="330" spans="2:28" ht="15.75" customHeight="1" x14ac:dyDescent="0.15"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</row>
    <row r="331" spans="2:28" ht="15.75" customHeight="1" x14ac:dyDescent="0.15"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</row>
    <row r="332" spans="2:28" ht="15.75" customHeight="1" x14ac:dyDescent="0.15"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</row>
    <row r="333" spans="2:28" ht="15.75" customHeight="1" x14ac:dyDescent="0.15"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</row>
    <row r="334" spans="2:28" ht="15.75" customHeight="1" x14ac:dyDescent="0.15"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</row>
    <row r="335" spans="2:28" ht="15.75" customHeight="1" x14ac:dyDescent="0.15"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</row>
    <row r="336" spans="2:28" ht="15.75" customHeight="1" x14ac:dyDescent="0.15"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</row>
    <row r="337" spans="2:28" ht="15.75" customHeight="1" x14ac:dyDescent="0.15"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</row>
    <row r="338" spans="2:28" ht="15.75" customHeight="1" x14ac:dyDescent="0.15"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</row>
    <row r="339" spans="2:28" ht="15.75" customHeight="1" x14ac:dyDescent="0.15"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</row>
    <row r="340" spans="2:28" ht="15.75" customHeight="1" x14ac:dyDescent="0.15"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</row>
    <row r="341" spans="2:28" ht="15.75" customHeight="1" x14ac:dyDescent="0.15"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</row>
    <row r="342" spans="2:28" ht="15.75" customHeight="1" x14ac:dyDescent="0.15"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</row>
    <row r="343" spans="2:28" ht="15.75" customHeight="1" x14ac:dyDescent="0.15"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</row>
    <row r="344" spans="2:28" ht="15.75" customHeight="1" x14ac:dyDescent="0.15"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</row>
    <row r="345" spans="2:28" ht="15.75" customHeight="1" x14ac:dyDescent="0.15"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</row>
    <row r="346" spans="2:28" ht="15.75" customHeight="1" x14ac:dyDescent="0.15"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</row>
    <row r="347" spans="2:28" ht="15.75" customHeight="1" x14ac:dyDescent="0.15"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</row>
    <row r="348" spans="2:28" ht="15.75" customHeight="1" x14ac:dyDescent="0.15"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</row>
    <row r="349" spans="2:28" ht="15.75" customHeight="1" x14ac:dyDescent="0.15"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</row>
    <row r="350" spans="2:28" ht="15.75" customHeight="1" x14ac:dyDescent="0.15"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</row>
    <row r="351" spans="2:28" ht="15.75" customHeight="1" x14ac:dyDescent="0.15"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</row>
    <row r="352" spans="2:28" ht="15.75" customHeight="1" x14ac:dyDescent="0.15"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</row>
    <row r="353" spans="2:28" ht="15.75" customHeight="1" x14ac:dyDescent="0.15"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</row>
    <row r="354" spans="2:28" ht="15.75" customHeight="1" x14ac:dyDescent="0.15"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</row>
    <row r="355" spans="2:28" ht="15.75" customHeight="1" x14ac:dyDescent="0.15"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</row>
    <row r="356" spans="2:28" ht="15.75" customHeight="1" x14ac:dyDescent="0.15"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</row>
    <row r="357" spans="2:28" ht="15.75" customHeight="1" x14ac:dyDescent="0.15"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</row>
    <row r="358" spans="2:28" ht="15.75" customHeight="1" x14ac:dyDescent="0.15"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</row>
    <row r="359" spans="2:28" ht="15.75" customHeight="1" x14ac:dyDescent="0.15"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</row>
    <row r="360" spans="2:28" ht="15.75" customHeight="1" x14ac:dyDescent="0.15"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</row>
    <row r="361" spans="2:28" ht="15.75" customHeight="1" x14ac:dyDescent="0.15"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</row>
    <row r="362" spans="2:28" ht="15.75" customHeight="1" x14ac:dyDescent="0.15"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</row>
    <row r="363" spans="2:28" ht="15.75" customHeight="1" x14ac:dyDescent="0.15"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</row>
    <row r="364" spans="2:28" ht="15.75" customHeight="1" x14ac:dyDescent="0.15"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</row>
    <row r="365" spans="2:28" ht="15.75" customHeight="1" x14ac:dyDescent="0.15"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</row>
    <row r="366" spans="2:28" ht="15.75" customHeight="1" x14ac:dyDescent="0.15"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</row>
    <row r="367" spans="2:28" ht="15.75" customHeight="1" x14ac:dyDescent="0.15"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</row>
    <row r="368" spans="2:28" ht="15.75" customHeight="1" x14ac:dyDescent="0.15"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</row>
    <row r="369" spans="2:28" ht="15.75" customHeight="1" x14ac:dyDescent="0.15"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</row>
    <row r="370" spans="2:28" ht="15.75" customHeight="1" x14ac:dyDescent="0.15"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</row>
    <row r="371" spans="2:28" ht="15.75" customHeight="1" x14ac:dyDescent="0.15"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</row>
    <row r="372" spans="2:28" ht="15.75" customHeight="1" x14ac:dyDescent="0.15"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</row>
    <row r="373" spans="2:28" ht="15.75" customHeight="1" x14ac:dyDescent="0.15"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</row>
    <row r="374" spans="2:28" ht="15.75" customHeight="1" x14ac:dyDescent="0.15"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</row>
    <row r="375" spans="2:28" ht="15.75" customHeight="1" x14ac:dyDescent="0.15"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</row>
    <row r="376" spans="2:28" ht="15.75" customHeight="1" x14ac:dyDescent="0.15"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</row>
    <row r="377" spans="2:28" ht="15.75" customHeight="1" x14ac:dyDescent="0.15"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</row>
    <row r="378" spans="2:28" ht="15.75" customHeight="1" x14ac:dyDescent="0.15"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</row>
    <row r="379" spans="2:28" ht="15.75" customHeight="1" x14ac:dyDescent="0.15"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</row>
    <row r="380" spans="2:28" ht="15.75" customHeight="1" x14ac:dyDescent="0.15"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</row>
    <row r="381" spans="2:28" ht="15.75" customHeight="1" x14ac:dyDescent="0.15"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</row>
    <row r="382" spans="2:28" ht="15.75" customHeight="1" x14ac:dyDescent="0.15"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</row>
    <row r="383" spans="2:28" ht="15.75" customHeight="1" x14ac:dyDescent="0.15"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</row>
    <row r="384" spans="2:28" ht="15.75" customHeight="1" x14ac:dyDescent="0.15"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</row>
    <row r="385" spans="2:28" ht="15.75" customHeight="1" x14ac:dyDescent="0.15"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</row>
    <row r="386" spans="2:28" ht="15.75" customHeight="1" x14ac:dyDescent="0.15"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</row>
    <row r="387" spans="2:28" ht="15.75" customHeight="1" x14ac:dyDescent="0.15"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</row>
    <row r="388" spans="2:28" ht="15.75" customHeight="1" x14ac:dyDescent="0.15"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</row>
    <row r="389" spans="2:28" ht="15.75" customHeight="1" x14ac:dyDescent="0.15"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</row>
    <row r="390" spans="2:28" ht="15.75" customHeight="1" x14ac:dyDescent="0.15"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</row>
    <row r="391" spans="2:28" ht="15.75" customHeight="1" x14ac:dyDescent="0.15"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</row>
    <row r="392" spans="2:28" ht="15.75" customHeight="1" x14ac:dyDescent="0.15"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</row>
    <row r="393" spans="2:28" ht="15.75" customHeight="1" x14ac:dyDescent="0.15"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</row>
    <row r="394" spans="2:28" ht="15.75" customHeight="1" x14ac:dyDescent="0.15"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</row>
    <row r="395" spans="2:28" ht="15.75" customHeight="1" x14ac:dyDescent="0.15"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</row>
    <row r="396" spans="2:28" ht="15.75" customHeight="1" x14ac:dyDescent="0.15"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</row>
    <row r="397" spans="2:28" ht="15.75" customHeight="1" x14ac:dyDescent="0.15"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</row>
    <row r="398" spans="2:28" ht="15.75" customHeight="1" x14ac:dyDescent="0.15"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</row>
    <row r="399" spans="2:28" ht="15.75" customHeight="1" x14ac:dyDescent="0.15"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</row>
    <row r="400" spans="2:28" ht="15.75" customHeight="1" x14ac:dyDescent="0.15"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</row>
    <row r="401" spans="2:28" ht="15.75" customHeight="1" x14ac:dyDescent="0.15"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</row>
    <row r="402" spans="2:28" ht="15.75" customHeight="1" x14ac:dyDescent="0.15"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</row>
    <row r="403" spans="2:28" ht="15.75" customHeight="1" x14ac:dyDescent="0.15"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</row>
    <row r="404" spans="2:28" ht="15.75" customHeight="1" x14ac:dyDescent="0.15"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</row>
    <row r="405" spans="2:28" ht="15.75" customHeight="1" x14ac:dyDescent="0.15"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</row>
    <row r="406" spans="2:28" ht="15.75" customHeight="1" x14ac:dyDescent="0.15"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</row>
    <row r="407" spans="2:28" ht="15.75" customHeight="1" x14ac:dyDescent="0.15"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</row>
    <row r="408" spans="2:28" ht="15.75" customHeight="1" x14ac:dyDescent="0.15"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</row>
    <row r="409" spans="2:28" ht="15.75" customHeight="1" x14ac:dyDescent="0.15"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</row>
    <row r="410" spans="2:28" ht="15.75" customHeight="1" x14ac:dyDescent="0.15"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</row>
    <row r="411" spans="2:28" ht="15.75" customHeight="1" x14ac:dyDescent="0.15"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</row>
    <row r="412" spans="2:28" ht="15.75" customHeight="1" x14ac:dyDescent="0.15"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</row>
    <row r="413" spans="2:28" ht="15.75" customHeight="1" x14ac:dyDescent="0.15"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</row>
    <row r="414" spans="2:28" ht="15.75" customHeight="1" x14ac:dyDescent="0.15"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</row>
    <row r="415" spans="2:28" ht="15.75" customHeight="1" x14ac:dyDescent="0.15"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</row>
    <row r="416" spans="2:28" ht="15.75" customHeight="1" x14ac:dyDescent="0.15"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</row>
    <row r="417" spans="2:28" ht="15.75" customHeight="1" x14ac:dyDescent="0.15"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</row>
    <row r="418" spans="2:28" ht="15.75" customHeight="1" x14ac:dyDescent="0.15"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</row>
    <row r="419" spans="2:28" ht="15.75" customHeight="1" x14ac:dyDescent="0.15"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</row>
    <row r="420" spans="2:28" ht="15.75" customHeight="1" x14ac:dyDescent="0.15"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</row>
    <row r="421" spans="2:28" ht="15.75" customHeight="1" x14ac:dyDescent="0.15"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</row>
    <row r="422" spans="2:28" ht="15.75" customHeight="1" x14ac:dyDescent="0.15"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</row>
    <row r="423" spans="2:28" ht="15.75" customHeight="1" x14ac:dyDescent="0.15"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</row>
    <row r="424" spans="2:28" ht="15.75" customHeight="1" x14ac:dyDescent="0.15"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</row>
    <row r="425" spans="2:28" ht="15.75" customHeight="1" x14ac:dyDescent="0.15"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</row>
    <row r="426" spans="2:28" ht="15.75" customHeight="1" x14ac:dyDescent="0.15"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</row>
    <row r="427" spans="2:28" ht="15.75" customHeight="1" x14ac:dyDescent="0.15"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</row>
    <row r="428" spans="2:28" ht="15.75" customHeight="1" x14ac:dyDescent="0.15"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</row>
    <row r="429" spans="2:28" ht="15.75" customHeight="1" x14ac:dyDescent="0.15"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</row>
    <row r="430" spans="2:28" ht="15.75" customHeight="1" x14ac:dyDescent="0.15"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</row>
    <row r="431" spans="2:28" ht="15.75" customHeight="1" x14ac:dyDescent="0.15"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</row>
    <row r="432" spans="2:28" ht="15.75" customHeight="1" x14ac:dyDescent="0.15"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</row>
    <row r="433" spans="2:28" ht="15.75" customHeight="1" x14ac:dyDescent="0.15"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</row>
    <row r="434" spans="2:28" ht="15.75" customHeight="1" x14ac:dyDescent="0.15"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</row>
    <row r="435" spans="2:28" ht="15.75" customHeight="1" x14ac:dyDescent="0.15"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</row>
    <row r="436" spans="2:28" ht="15.75" customHeight="1" x14ac:dyDescent="0.15"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</row>
    <row r="437" spans="2:28" ht="15.75" customHeight="1" x14ac:dyDescent="0.15"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</row>
    <row r="438" spans="2:28" ht="15.75" customHeight="1" x14ac:dyDescent="0.15"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</row>
    <row r="439" spans="2:28" ht="15.75" customHeight="1" x14ac:dyDescent="0.15"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</row>
    <row r="440" spans="2:28" ht="15.75" customHeight="1" x14ac:dyDescent="0.15"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</row>
    <row r="441" spans="2:28" ht="15.75" customHeight="1" x14ac:dyDescent="0.15"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</row>
    <row r="442" spans="2:28" ht="15.75" customHeight="1" x14ac:dyDescent="0.15"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</row>
    <row r="443" spans="2:28" ht="15.75" customHeight="1" x14ac:dyDescent="0.15"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</row>
    <row r="444" spans="2:28" ht="15.75" customHeight="1" x14ac:dyDescent="0.15"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</row>
    <row r="445" spans="2:28" ht="15.75" customHeight="1" x14ac:dyDescent="0.15"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</row>
    <row r="446" spans="2:28" ht="15.75" customHeight="1" x14ac:dyDescent="0.15"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</row>
    <row r="447" spans="2:28" ht="15.75" customHeight="1" x14ac:dyDescent="0.15"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</row>
    <row r="448" spans="2:28" ht="15.75" customHeight="1" x14ac:dyDescent="0.15"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</row>
    <row r="449" spans="2:28" ht="15.75" customHeight="1" x14ac:dyDescent="0.15"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</row>
    <row r="450" spans="2:28" ht="15.75" customHeight="1" x14ac:dyDescent="0.15"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</row>
    <row r="451" spans="2:28" ht="15.75" customHeight="1" x14ac:dyDescent="0.15"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</row>
    <row r="452" spans="2:28" ht="15.75" customHeight="1" x14ac:dyDescent="0.15"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</row>
    <row r="453" spans="2:28" ht="15.75" customHeight="1" x14ac:dyDescent="0.15"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</row>
    <row r="454" spans="2:28" ht="15.75" customHeight="1" x14ac:dyDescent="0.15"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</row>
    <row r="455" spans="2:28" ht="15.75" customHeight="1" x14ac:dyDescent="0.15"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</row>
    <row r="456" spans="2:28" ht="15.75" customHeight="1" x14ac:dyDescent="0.15"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</row>
    <row r="457" spans="2:28" ht="15.75" customHeight="1" x14ac:dyDescent="0.15"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</row>
    <row r="458" spans="2:28" ht="15.75" customHeight="1" x14ac:dyDescent="0.15"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</row>
    <row r="459" spans="2:28" ht="15.75" customHeight="1" x14ac:dyDescent="0.15"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</row>
    <row r="460" spans="2:28" ht="15.75" customHeight="1" x14ac:dyDescent="0.15"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</row>
    <row r="461" spans="2:28" ht="15.75" customHeight="1" x14ac:dyDescent="0.15"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</row>
    <row r="462" spans="2:28" ht="15.75" customHeight="1" x14ac:dyDescent="0.15"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</row>
    <row r="463" spans="2:28" ht="15.75" customHeight="1" x14ac:dyDescent="0.15"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</row>
    <row r="464" spans="2:28" ht="15.75" customHeight="1" x14ac:dyDescent="0.15"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</row>
    <row r="465" spans="2:28" ht="15.75" customHeight="1" x14ac:dyDescent="0.15"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</row>
    <row r="466" spans="2:28" ht="15.75" customHeight="1" x14ac:dyDescent="0.15"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</row>
    <row r="467" spans="2:28" ht="15.75" customHeight="1" x14ac:dyDescent="0.15"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</row>
    <row r="468" spans="2:28" ht="15.75" customHeight="1" x14ac:dyDescent="0.15"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</row>
    <row r="469" spans="2:28" ht="15.75" customHeight="1" x14ac:dyDescent="0.15"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</row>
    <row r="470" spans="2:28" ht="15.75" customHeight="1" x14ac:dyDescent="0.15"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</row>
    <row r="471" spans="2:28" ht="15.75" customHeight="1" x14ac:dyDescent="0.15"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</row>
    <row r="472" spans="2:28" ht="15.75" customHeight="1" x14ac:dyDescent="0.15"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</row>
    <row r="473" spans="2:28" ht="15.75" customHeight="1" x14ac:dyDescent="0.15"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</row>
    <row r="474" spans="2:28" ht="15.75" customHeight="1" x14ac:dyDescent="0.15"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</row>
    <row r="475" spans="2:28" ht="15.75" customHeight="1" x14ac:dyDescent="0.15"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</row>
    <row r="476" spans="2:28" ht="15.75" customHeight="1" x14ac:dyDescent="0.15"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</row>
    <row r="477" spans="2:28" ht="15.75" customHeight="1" x14ac:dyDescent="0.15"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</row>
    <row r="478" spans="2:28" ht="15.75" customHeight="1" x14ac:dyDescent="0.15"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</row>
    <row r="479" spans="2:28" ht="15.75" customHeight="1" x14ac:dyDescent="0.15"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</row>
    <row r="480" spans="2:28" ht="15.75" customHeight="1" x14ac:dyDescent="0.15"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</row>
    <row r="481" spans="2:28" ht="15.75" customHeight="1" x14ac:dyDescent="0.15"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</row>
    <row r="482" spans="2:28" ht="15.75" customHeight="1" x14ac:dyDescent="0.15"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</row>
    <row r="483" spans="2:28" ht="15.75" customHeight="1" x14ac:dyDescent="0.15"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</row>
    <row r="484" spans="2:28" ht="15.75" customHeight="1" x14ac:dyDescent="0.15"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</row>
    <row r="485" spans="2:28" ht="15.75" customHeight="1" x14ac:dyDescent="0.15"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</row>
    <row r="486" spans="2:28" ht="15.75" customHeight="1" x14ac:dyDescent="0.15"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</row>
    <row r="487" spans="2:28" ht="15.75" customHeight="1" x14ac:dyDescent="0.15"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</row>
    <row r="488" spans="2:28" ht="15.75" customHeight="1" x14ac:dyDescent="0.15"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</row>
    <row r="489" spans="2:28" ht="15.75" customHeight="1" x14ac:dyDescent="0.15"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</row>
    <row r="490" spans="2:28" ht="15.75" customHeight="1" x14ac:dyDescent="0.15"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</row>
    <row r="491" spans="2:28" ht="15.75" customHeight="1" x14ac:dyDescent="0.15"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</row>
    <row r="492" spans="2:28" ht="15.75" customHeight="1" x14ac:dyDescent="0.15"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</row>
    <row r="493" spans="2:28" ht="15.75" customHeight="1" x14ac:dyDescent="0.15"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</row>
    <row r="494" spans="2:28" ht="15.75" customHeight="1" x14ac:dyDescent="0.15"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</row>
    <row r="495" spans="2:28" ht="15.75" customHeight="1" x14ac:dyDescent="0.15"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</row>
    <row r="496" spans="2:28" ht="15.75" customHeight="1" x14ac:dyDescent="0.15"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</row>
    <row r="497" spans="2:28" ht="15.75" customHeight="1" x14ac:dyDescent="0.15"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</row>
    <row r="498" spans="2:28" ht="15.75" customHeight="1" x14ac:dyDescent="0.15"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</row>
    <row r="499" spans="2:28" ht="15.75" customHeight="1" x14ac:dyDescent="0.15"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</row>
    <row r="500" spans="2:28" ht="15.75" customHeight="1" x14ac:dyDescent="0.15"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</row>
    <row r="501" spans="2:28" ht="15.75" customHeight="1" x14ac:dyDescent="0.15"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</row>
    <row r="502" spans="2:28" ht="15.75" customHeight="1" x14ac:dyDescent="0.15"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</row>
    <row r="503" spans="2:28" ht="15.75" customHeight="1" x14ac:dyDescent="0.15"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</row>
    <row r="504" spans="2:28" ht="15.75" customHeight="1" x14ac:dyDescent="0.15"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</row>
    <row r="505" spans="2:28" ht="15.75" customHeight="1" x14ac:dyDescent="0.15"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</row>
    <row r="506" spans="2:28" ht="15.75" customHeight="1" x14ac:dyDescent="0.15"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</row>
    <row r="507" spans="2:28" ht="15.75" customHeight="1" x14ac:dyDescent="0.15"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</row>
    <row r="508" spans="2:28" ht="15.75" customHeight="1" x14ac:dyDescent="0.15"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</row>
    <row r="509" spans="2:28" ht="15.75" customHeight="1" x14ac:dyDescent="0.15"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</row>
    <row r="510" spans="2:28" ht="15.75" customHeight="1" x14ac:dyDescent="0.15"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</row>
    <row r="511" spans="2:28" ht="15.75" customHeight="1" x14ac:dyDescent="0.15"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</row>
    <row r="512" spans="2:28" ht="15.75" customHeight="1" x14ac:dyDescent="0.15"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</row>
    <row r="513" spans="2:28" ht="15.75" customHeight="1" x14ac:dyDescent="0.15"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</row>
    <row r="514" spans="2:28" ht="15.75" customHeight="1" x14ac:dyDescent="0.15"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</row>
    <row r="515" spans="2:28" ht="15.75" customHeight="1" x14ac:dyDescent="0.15"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</row>
    <row r="516" spans="2:28" ht="15.75" customHeight="1" x14ac:dyDescent="0.15"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</row>
    <row r="517" spans="2:28" ht="15.75" customHeight="1" x14ac:dyDescent="0.15"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</row>
    <row r="518" spans="2:28" ht="15.75" customHeight="1" x14ac:dyDescent="0.15"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</row>
    <row r="519" spans="2:28" ht="15.75" customHeight="1" x14ac:dyDescent="0.15"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</row>
    <row r="520" spans="2:28" ht="15.75" customHeight="1" x14ac:dyDescent="0.15"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</row>
    <row r="521" spans="2:28" ht="15.75" customHeight="1" x14ac:dyDescent="0.15"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</row>
    <row r="522" spans="2:28" ht="15.75" customHeight="1" x14ac:dyDescent="0.15"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</row>
    <row r="523" spans="2:28" ht="15.75" customHeight="1" x14ac:dyDescent="0.15"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</row>
    <row r="524" spans="2:28" ht="15.75" customHeight="1" x14ac:dyDescent="0.15"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</row>
    <row r="525" spans="2:28" ht="15.75" customHeight="1" x14ac:dyDescent="0.15"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</row>
    <row r="526" spans="2:28" ht="15.75" customHeight="1" x14ac:dyDescent="0.15"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</row>
    <row r="527" spans="2:28" ht="15.75" customHeight="1" x14ac:dyDescent="0.15"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</row>
    <row r="528" spans="2:28" ht="15.75" customHeight="1" x14ac:dyDescent="0.15"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</row>
    <row r="529" spans="2:28" ht="15.75" customHeight="1" x14ac:dyDescent="0.15"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</row>
    <row r="530" spans="2:28" ht="15.75" customHeight="1" x14ac:dyDescent="0.15"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</row>
    <row r="531" spans="2:28" ht="15.75" customHeight="1" x14ac:dyDescent="0.15"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</row>
    <row r="532" spans="2:28" ht="15.75" customHeight="1" x14ac:dyDescent="0.15"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</row>
    <row r="533" spans="2:28" ht="15.75" customHeight="1" x14ac:dyDescent="0.15"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</row>
    <row r="534" spans="2:28" ht="15.75" customHeight="1" x14ac:dyDescent="0.15"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</row>
    <row r="535" spans="2:28" ht="15.75" customHeight="1" x14ac:dyDescent="0.15"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</row>
    <row r="536" spans="2:28" ht="15.75" customHeight="1" x14ac:dyDescent="0.15"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</row>
    <row r="537" spans="2:28" ht="15.75" customHeight="1" x14ac:dyDescent="0.15"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</row>
    <row r="538" spans="2:28" ht="15.75" customHeight="1" x14ac:dyDescent="0.15"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</row>
    <row r="539" spans="2:28" ht="15.75" customHeight="1" x14ac:dyDescent="0.15"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</row>
    <row r="540" spans="2:28" ht="15.75" customHeight="1" x14ac:dyDescent="0.15"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</row>
    <row r="541" spans="2:28" ht="15.75" customHeight="1" x14ac:dyDescent="0.15"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</row>
    <row r="542" spans="2:28" ht="15.75" customHeight="1" x14ac:dyDescent="0.15"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</row>
    <row r="543" spans="2:28" ht="15.75" customHeight="1" x14ac:dyDescent="0.15"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</row>
    <row r="544" spans="2:28" ht="15.75" customHeight="1" x14ac:dyDescent="0.15"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</row>
    <row r="545" spans="2:28" ht="15.75" customHeight="1" x14ac:dyDescent="0.15"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</row>
    <row r="546" spans="2:28" ht="15.75" customHeight="1" x14ac:dyDescent="0.15"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</row>
    <row r="547" spans="2:28" ht="15.75" customHeight="1" x14ac:dyDescent="0.15"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</row>
    <row r="548" spans="2:28" ht="15.75" customHeight="1" x14ac:dyDescent="0.15"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</row>
    <row r="549" spans="2:28" ht="15.75" customHeight="1" x14ac:dyDescent="0.15"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</row>
    <row r="550" spans="2:28" ht="15.75" customHeight="1" x14ac:dyDescent="0.15"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</row>
    <row r="551" spans="2:28" ht="15.75" customHeight="1" x14ac:dyDescent="0.15"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</row>
    <row r="552" spans="2:28" ht="15.75" customHeight="1" x14ac:dyDescent="0.15"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</row>
    <row r="553" spans="2:28" ht="15.75" customHeight="1" x14ac:dyDescent="0.15"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</row>
    <row r="554" spans="2:28" ht="15.75" customHeight="1" x14ac:dyDescent="0.15"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</row>
    <row r="555" spans="2:28" ht="15.75" customHeight="1" x14ac:dyDescent="0.15"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</row>
    <row r="556" spans="2:28" ht="15.75" customHeight="1" x14ac:dyDescent="0.15"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</row>
    <row r="557" spans="2:28" ht="15.75" customHeight="1" x14ac:dyDescent="0.15"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</row>
    <row r="558" spans="2:28" ht="15.75" customHeight="1" x14ac:dyDescent="0.15"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</row>
    <row r="559" spans="2:28" ht="15.75" customHeight="1" x14ac:dyDescent="0.15"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</row>
    <row r="560" spans="2:28" ht="15.75" customHeight="1" x14ac:dyDescent="0.15"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</row>
    <row r="561" spans="2:28" ht="15.75" customHeight="1" x14ac:dyDescent="0.15"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</row>
    <row r="562" spans="2:28" ht="15.75" customHeight="1" x14ac:dyDescent="0.15"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</row>
    <row r="563" spans="2:28" ht="15.75" customHeight="1" x14ac:dyDescent="0.15"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</row>
    <row r="564" spans="2:28" ht="15.75" customHeight="1" x14ac:dyDescent="0.15"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</row>
    <row r="565" spans="2:28" ht="15.75" customHeight="1" x14ac:dyDescent="0.15"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</row>
    <row r="566" spans="2:28" ht="15.75" customHeight="1" x14ac:dyDescent="0.15"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</row>
    <row r="567" spans="2:28" ht="15.75" customHeight="1" x14ac:dyDescent="0.15"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</row>
    <row r="568" spans="2:28" ht="15.75" customHeight="1" x14ac:dyDescent="0.15"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</row>
    <row r="569" spans="2:28" ht="15.75" customHeight="1" x14ac:dyDescent="0.15"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</row>
    <row r="570" spans="2:28" ht="15.75" customHeight="1" x14ac:dyDescent="0.15"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</row>
    <row r="571" spans="2:28" ht="15.75" customHeight="1" x14ac:dyDescent="0.15"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</row>
    <row r="572" spans="2:28" ht="15.75" customHeight="1" x14ac:dyDescent="0.15"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</row>
    <row r="573" spans="2:28" ht="15.75" customHeight="1" x14ac:dyDescent="0.15"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</row>
    <row r="574" spans="2:28" ht="15.75" customHeight="1" x14ac:dyDescent="0.15"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</row>
    <row r="575" spans="2:28" ht="15.75" customHeight="1" x14ac:dyDescent="0.15"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</row>
    <row r="576" spans="2:28" ht="15.75" customHeight="1" x14ac:dyDescent="0.15"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</row>
    <row r="577" spans="2:28" ht="15.75" customHeight="1" x14ac:dyDescent="0.15"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</row>
    <row r="578" spans="2:28" ht="15.75" customHeight="1" x14ac:dyDescent="0.15"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</row>
    <row r="579" spans="2:28" ht="15.75" customHeight="1" x14ac:dyDescent="0.15"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</row>
    <row r="580" spans="2:28" ht="15.75" customHeight="1" x14ac:dyDescent="0.15"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</row>
    <row r="581" spans="2:28" ht="15.75" customHeight="1" x14ac:dyDescent="0.15"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</row>
    <row r="582" spans="2:28" ht="15.75" customHeight="1" x14ac:dyDescent="0.15"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</row>
    <row r="583" spans="2:28" ht="15.75" customHeight="1" x14ac:dyDescent="0.15"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</row>
    <row r="584" spans="2:28" ht="15.75" customHeight="1" x14ac:dyDescent="0.15"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</row>
    <row r="585" spans="2:28" ht="15.75" customHeight="1" x14ac:dyDescent="0.15"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</row>
    <row r="586" spans="2:28" ht="15.75" customHeight="1" x14ac:dyDescent="0.15"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</row>
    <row r="587" spans="2:28" ht="15.75" customHeight="1" x14ac:dyDescent="0.15"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</row>
    <row r="588" spans="2:28" ht="15.75" customHeight="1" x14ac:dyDescent="0.15"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</row>
    <row r="589" spans="2:28" ht="15.75" customHeight="1" x14ac:dyDescent="0.15"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</row>
    <row r="590" spans="2:28" ht="15.75" customHeight="1" x14ac:dyDescent="0.15"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</row>
    <row r="591" spans="2:28" ht="15.75" customHeight="1" x14ac:dyDescent="0.15"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</row>
    <row r="592" spans="2:28" ht="15.75" customHeight="1" x14ac:dyDescent="0.15"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</row>
    <row r="593" spans="2:28" ht="15.75" customHeight="1" x14ac:dyDescent="0.15"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</row>
    <row r="594" spans="2:28" ht="15.75" customHeight="1" x14ac:dyDescent="0.15"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</row>
    <row r="595" spans="2:28" ht="15.75" customHeight="1" x14ac:dyDescent="0.15"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</row>
    <row r="596" spans="2:28" ht="15.75" customHeight="1" x14ac:dyDescent="0.15"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</row>
    <row r="597" spans="2:28" ht="15.75" customHeight="1" x14ac:dyDescent="0.15"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</row>
    <row r="598" spans="2:28" ht="15.75" customHeight="1" x14ac:dyDescent="0.15"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</row>
    <row r="599" spans="2:28" ht="15.75" customHeight="1" x14ac:dyDescent="0.15"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</row>
    <row r="600" spans="2:28" ht="15.75" customHeight="1" x14ac:dyDescent="0.15"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</row>
    <row r="601" spans="2:28" ht="15.75" customHeight="1" x14ac:dyDescent="0.15"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</row>
    <row r="602" spans="2:28" ht="15.75" customHeight="1" x14ac:dyDescent="0.15"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</row>
    <row r="603" spans="2:28" ht="15.75" customHeight="1" x14ac:dyDescent="0.15"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</row>
    <row r="604" spans="2:28" ht="15.75" customHeight="1" x14ac:dyDescent="0.15"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</row>
    <row r="605" spans="2:28" ht="15.75" customHeight="1" x14ac:dyDescent="0.15"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</row>
    <row r="606" spans="2:28" ht="15.75" customHeight="1" x14ac:dyDescent="0.15"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</row>
    <row r="607" spans="2:28" ht="15.75" customHeight="1" x14ac:dyDescent="0.15"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</row>
    <row r="608" spans="2:28" ht="15.75" customHeight="1" x14ac:dyDescent="0.15"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</row>
    <row r="609" spans="2:28" ht="15.75" customHeight="1" x14ac:dyDescent="0.15"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</row>
    <row r="610" spans="2:28" ht="15.75" customHeight="1" x14ac:dyDescent="0.15"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</row>
    <row r="611" spans="2:28" ht="15.75" customHeight="1" x14ac:dyDescent="0.15"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</row>
    <row r="612" spans="2:28" ht="15.75" customHeight="1" x14ac:dyDescent="0.15"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</row>
    <row r="613" spans="2:28" ht="15.75" customHeight="1" x14ac:dyDescent="0.15"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</row>
    <row r="614" spans="2:28" ht="15.75" customHeight="1" x14ac:dyDescent="0.15"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</row>
    <row r="615" spans="2:28" ht="15.75" customHeight="1" x14ac:dyDescent="0.15"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</row>
    <row r="616" spans="2:28" ht="15.75" customHeight="1" x14ac:dyDescent="0.15"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</row>
    <row r="617" spans="2:28" ht="15.75" customHeight="1" x14ac:dyDescent="0.15"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</row>
    <row r="618" spans="2:28" ht="15.75" customHeight="1" x14ac:dyDescent="0.15"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</row>
    <row r="619" spans="2:28" ht="15.75" customHeight="1" x14ac:dyDescent="0.15"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</row>
    <row r="620" spans="2:28" ht="15.75" customHeight="1" x14ac:dyDescent="0.15"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</row>
    <row r="621" spans="2:28" ht="15.75" customHeight="1" x14ac:dyDescent="0.15"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</row>
    <row r="622" spans="2:28" ht="15.75" customHeight="1" x14ac:dyDescent="0.15"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</row>
    <row r="623" spans="2:28" ht="15.75" customHeight="1" x14ac:dyDescent="0.15"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</row>
    <row r="624" spans="2:28" ht="15.75" customHeight="1" x14ac:dyDescent="0.15"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</row>
    <row r="625" spans="2:28" ht="15.75" customHeight="1" x14ac:dyDescent="0.15"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</row>
    <row r="626" spans="2:28" ht="15.75" customHeight="1" x14ac:dyDescent="0.15"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</row>
    <row r="627" spans="2:28" ht="15.75" customHeight="1" x14ac:dyDescent="0.15"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</row>
    <row r="628" spans="2:28" ht="15.75" customHeight="1" x14ac:dyDescent="0.15"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</row>
    <row r="629" spans="2:28" ht="15.75" customHeight="1" x14ac:dyDescent="0.15"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</row>
    <row r="630" spans="2:28" ht="15.75" customHeight="1" x14ac:dyDescent="0.15"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</row>
    <row r="631" spans="2:28" ht="15.75" customHeight="1" x14ac:dyDescent="0.15"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</row>
    <row r="632" spans="2:28" ht="15.75" customHeight="1" x14ac:dyDescent="0.15"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</row>
    <row r="633" spans="2:28" ht="15.75" customHeight="1" x14ac:dyDescent="0.15"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</row>
    <row r="634" spans="2:28" ht="15.75" customHeight="1" x14ac:dyDescent="0.15"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</row>
    <row r="635" spans="2:28" ht="15.75" customHeight="1" x14ac:dyDescent="0.15"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</row>
    <row r="636" spans="2:28" ht="15.75" customHeight="1" x14ac:dyDescent="0.15"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</row>
    <row r="637" spans="2:28" ht="15.75" customHeight="1" x14ac:dyDescent="0.15"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</row>
    <row r="638" spans="2:28" ht="15.75" customHeight="1" x14ac:dyDescent="0.15"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</row>
    <row r="639" spans="2:28" ht="15.75" customHeight="1" x14ac:dyDescent="0.15"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</row>
    <row r="640" spans="2:28" ht="15.75" customHeight="1" x14ac:dyDescent="0.15"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</row>
    <row r="641" spans="2:28" ht="15.75" customHeight="1" x14ac:dyDescent="0.15"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</row>
    <row r="642" spans="2:28" ht="15.75" customHeight="1" x14ac:dyDescent="0.15"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</row>
    <row r="643" spans="2:28" ht="15.75" customHeight="1" x14ac:dyDescent="0.15"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</row>
    <row r="644" spans="2:28" ht="15.75" customHeight="1" x14ac:dyDescent="0.15"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</row>
    <row r="645" spans="2:28" ht="15.75" customHeight="1" x14ac:dyDescent="0.15"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</row>
    <row r="646" spans="2:28" ht="15.75" customHeight="1" x14ac:dyDescent="0.15"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</row>
    <row r="647" spans="2:28" ht="15.75" customHeight="1" x14ac:dyDescent="0.15"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</row>
    <row r="648" spans="2:28" ht="15.75" customHeight="1" x14ac:dyDescent="0.15"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</row>
    <row r="649" spans="2:28" ht="15.75" customHeight="1" x14ac:dyDescent="0.15"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</row>
    <row r="650" spans="2:28" ht="15.75" customHeight="1" x14ac:dyDescent="0.15"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</row>
    <row r="651" spans="2:28" ht="15.75" customHeight="1" x14ac:dyDescent="0.15"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</row>
    <row r="652" spans="2:28" ht="15.75" customHeight="1" x14ac:dyDescent="0.15"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</row>
    <row r="653" spans="2:28" ht="15.75" customHeight="1" x14ac:dyDescent="0.15"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</row>
    <row r="654" spans="2:28" ht="15.75" customHeight="1" x14ac:dyDescent="0.15"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</row>
    <row r="655" spans="2:28" ht="15.75" customHeight="1" x14ac:dyDescent="0.15"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</row>
    <row r="656" spans="2:28" ht="15.75" customHeight="1" x14ac:dyDescent="0.15"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</row>
    <row r="657" spans="2:28" ht="15.75" customHeight="1" x14ac:dyDescent="0.15"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</row>
    <row r="658" spans="2:28" ht="15.75" customHeight="1" x14ac:dyDescent="0.15"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</row>
    <row r="659" spans="2:28" ht="15.75" customHeight="1" x14ac:dyDescent="0.15"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</row>
    <row r="660" spans="2:28" ht="15.75" customHeight="1" x14ac:dyDescent="0.15"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</row>
    <row r="661" spans="2:28" ht="15.75" customHeight="1" x14ac:dyDescent="0.15"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</row>
    <row r="662" spans="2:28" ht="15.75" customHeight="1" x14ac:dyDescent="0.15"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</row>
    <row r="663" spans="2:28" ht="15.75" customHeight="1" x14ac:dyDescent="0.15"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</row>
    <row r="664" spans="2:28" ht="15.75" customHeight="1" x14ac:dyDescent="0.15"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</row>
    <row r="665" spans="2:28" ht="15.75" customHeight="1" x14ac:dyDescent="0.15"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</row>
    <row r="666" spans="2:28" ht="15.75" customHeight="1" x14ac:dyDescent="0.15"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</row>
    <row r="667" spans="2:28" ht="15.75" customHeight="1" x14ac:dyDescent="0.15"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</row>
    <row r="668" spans="2:28" ht="15.75" customHeight="1" x14ac:dyDescent="0.15"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</row>
    <row r="669" spans="2:28" ht="15.75" customHeight="1" x14ac:dyDescent="0.15"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</row>
    <row r="670" spans="2:28" ht="15.75" customHeight="1" x14ac:dyDescent="0.15"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</row>
    <row r="671" spans="2:28" ht="15.75" customHeight="1" x14ac:dyDescent="0.15"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</row>
    <row r="672" spans="2:28" ht="15.75" customHeight="1" x14ac:dyDescent="0.15"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</row>
    <row r="673" spans="2:28" ht="15.75" customHeight="1" x14ac:dyDescent="0.15"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</row>
    <row r="674" spans="2:28" ht="15.75" customHeight="1" x14ac:dyDescent="0.15"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</row>
    <row r="675" spans="2:28" ht="15.75" customHeight="1" x14ac:dyDescent="0.15"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</row>
    <row r="676" spans="2:28" ht="15.75" customHeight="1" x14ac:dyDescent="0.15"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</row>
    <row r="677" spans="2:28" ht="15.75" customHeight="1" x14ac:dyDescent="0.15"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</row>
    <row r="678" spans="2:28" ht="15.75" customHeight="1" x14ac:dyDescent="0.15"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</row>
    <row r="679" spans="2:28" ht="15.75" customHeight="1" x14ac:dyDescent="0.15"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</row>
    <row r="680" spans="2:28" ht="15.75" customHeight="1" x14ac:dyDescent="0.15"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</row>
    <row r="681" spans="2:28" ht="15.75" customHeight="1" x14ac:dyDescent="0.15"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</row>
    <row r="682" spans="2:28" ht="15.75" customHeight="1" x14ac:dyDescent="0.15"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</row>
    <row r="683" spans="2:28" ht="15.75" customHeight="1" x14ac:dyDescent="0.15"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</row>
    <row r="684" spans="2:28" ht="15.75" customHeight="1" x14ac:dyDescent="0.15"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</row>
    <row r="685" spans="2:28" ht="15.75" customHeight="1" x14ac:dyDescent="0.15"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</row>
    <row r="686" spans="2:28" ht="15.75" customHeight="1" x14ac:dyDescent="0.15"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</row>
    <row r="687" spans="2:28" ht="15.75" customHeight="1" x14ac:dyDescent="0.15"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</row>
    <row r="688" spans="2:28" ht="15.75" customHeight="1" x14ac:dyDescent="0.15"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</row>
    <row r="689" spans="2:28" ht="15.75" customHeight="1" x14ac:dyDescent="0.15"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</row>
    <row r="690" spans="2:28" ht="15.75" customHeight="1" x14ac:dyDescent="0.15"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</row>
    <row r="691" spans="2:28" ht="15.75" customHeight="1" x14ac:dyDescent="0.15"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</row>
    <row r="692" spans="2:28" ht="15.75" customHeight="1" x14ac:dyDescent="0.15"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</row>
    <row r="693" spans="2:28" ht="15.75" customHeight="1" x14ac:dyDescent="0.15"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</row>
    <row r="694" spans="2:28" ht="15.75" customHeight="1" x14ac:dyDescent="0.15"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</row>
    <row r="695" spans="2:28" ht="15.75" customHeight="1" x14ac:dyDescent="0.15"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</row>
    <row r="696" spans="2:28" ht="15.75" customHeight="1" x14ac:dyDescent="0.15"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</row>
    <row r="697" spans="2:28" ht="15.75" customHeight="1" x14ac:dyDescent="0.15"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</row>
    <row r="698" spans="2:28" ht="15.75" customHeight="1" x14ac:dyDescent="0.15"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</row>
    <row r="699" spans="2:28" ht="15.75" customHeight="1" x14ac:dyDescent="0.15"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</row>
    <row r="700" spans="2:28" ht="15.75" customHeight="1" x14ac:dyDescent="0.15"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</row>
    <row r="701" spans="2:28" ht="15.75" customHeight="1" x14ac:dyDescent="0.15"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</row>
    <row r="702" spans="2:28" ht="15.75" customHeight="1" x14ac:dyDescent="0.15"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</row>
    <row r="703" spans="2:28" ht="15.75" customHeight="1" x14ac:dyDescent="0.15"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</row>
    <row r="704" spans="2:28" ht="15.75" customHeight="1" x14ac:dyDescent="0.15"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</row>
    <row r="705" spans="2:28" ht="15.75" customHeight="1" x14ac:dyDescent="0.15"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</row>
    <row r="706" spans="2:28" ht="15.75" customHeight="1" x14ac:dyDescent="0.15"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</row>
    <row r="707" spans="2:28" ht="15.75" customHeight="1" x14ac:dyDescent="0.15"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</row>
    <row r="708" spans="2:28" ht="15.75" customHeight="1" x14ac:dyDescent="0.15"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</row>
    <row r="709" spans="2:28" ht="15.75" customHeight="1" x14ac:dyDescent="0.15"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</row>
    <row r="710" spans="2:28" ht="15.75" customHeight="1" x14ac:dyDescent="0.15"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</row>
    <row r="711" spans="2:28" ht="15.75" customHeight="1" x14ac:dyDescent="0.15"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</row>
    <row r="712" spans="2:28" ht="15.75" customHeight="1" x14ac:dyDescent="0.15"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</row>
    <row r="713" spans="2:28" ht="15.75" customHeight="1" x14ac:dyDescent="0.15"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</row>
    <row r="714" spans="2:28" ht="15.75" customHeight="1" x14ac:dyDescent="0.15"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</row>
    <row r="715" spans="2:28" ht="15.75" customHeight="1" x14ac:dyDescent="0.15"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</row>
    <row r="716" spans="2:28" ht="15.75" customHeight="1" x14ac:dyDescent="0.15"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</row>
    <row r="717" spans="2:28" ht="15.75" customHeight="1" x14ac:dyDescent="0.15"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</row>
    <row r="718" spans="2:28" ht="15.75" customHeight="1" x14ac:dyDescent="0.15"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</row>
    <row r="719" spans="2:28" ht="15.75" customHeight="1" x14ac:dyDescent="0.15"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</row>
    <row r="720" spans="2:28" ht="15.75" customHeight="1" x14ac:dyDescent="0.15"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</row>
    <row r="721" spans="2:28" ht="15.75" customHeight="1" x14ac:dyDescent="0.15"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</row>
    <row r="722" spans="2:28" ht="15.75" customHeight="1" x14ac:dyDescent="0.15"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</row>
    <row r="723" spans="2:28" ht="15.75" customHeight="1" x14ac:dyDescent="0.15"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</row>
    <row r="724" spans="2:28" ht="15.75" customHeight="1" x14ac:dyDescent="0.15"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</row>
    <row r="725" spans="2:28" ht="15.75" customHeight="1" x14ac:dyDescent="0.15"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</row>
    <row r="726" spans="2:28" ht="15.75" customHeight="1" x14ac:dyDescent="0.15"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</row>
    <row r="727" spans="2:28" ht="15.75" customHeight="1" x14ac:dyDescent="0.15"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</row>
    <row r="728" spans="2:28" ht="15.75" customHeight="1" x14ac:dyDescent="0.15"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</row>
    <row r="729" spans="2:28" ht="15.75" customHeight="1" x14ac:dyDescent="0.15"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</row>
    <row r="730" spans="2:28" ht="15.75" customHeight="1" x14ac:dyDescent="0.15"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</row>
    <row r="731" spans="2:28" ht="15.75" customHeight="1" x14ac:dyDescent="0.15"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</row>
    <row r="732" spans="2:28" ht="15.75" customHeight="1" x14ac:dyDescent="0.15"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</row>
    <row r="733" spans="2:28" ht="15.75" customHeight="1" x14ac:dyDescent="0.15"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</row>
    <row r="734" spans="2:28" ht="15.75" customHeight="1" x14ac:dyDescent="0.15"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</row>
    <row r="735" spans="2:28" ht="15.75" customHeight="1" x14ac:dyDescent="0.15"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</row>
    <row r="736" spans="2:28" ht="15.75" customHeight="1" x14ac:dyDescent="0.15"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</row>
    <row r="737" spans="2:28" ht="15.75" customHeight="1" x14ac:dyDescent="0.15"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</row>
    <row r="738" spans="2:28" ht="15.75" customHeight="1" x14ac:dyDescent="0.15"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</row>
    <row r="739" spans="2:28" ht="15.75" customHeight="1" x14ac:dyDescent="0.15"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</row>
    <row r="740" spans="2:28" ht="15.75" customHeight="1" x14ac:dyDescent="0.15"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</row>
    <row r="741" spans="2:28" ht="15.75" customHeight="1" x14ac:dyDescent="0.15"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</row>
    <row r="742" spans="2:28" ht="15.75" customHeight="1" x14ac:dyDescent="0.15"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</row>
    <row r="743" spans="2:28" ht="15.75" customHeight="1" x14ac:dyDescent="0.15"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</row>
    <row r="744" spans="2:28" ht="15.75" customHeight="1" x14ac:dyDescent="0.15"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</row>
    <row r="745" spans="2:28" ht="15.75" customHeight="1" x14ac:dyDescent="0.15"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</row>
    <row r="746" spans="2:28" ht="15.75" customHeight="1" x14ac:dyDescent="0.15"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</row>
    <row r="747" spans="2:28" ht="15.75" customHeight="1" x14ac:dyDescent="0.15"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</row>
    <row r="748" spans="2:28" ht="15.75" customHeight="1" x14ac:dyDescent="0.15"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</row>
    <row r="749" spans="2:28" ht="15.75" customHeight="1" x14ac:dyDescent="0.15"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</row>
    <row r="750" spans="2:28" ht="15.75" customHeight="1" x14ac:dyDescent="0.15"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</row>
    <row r="751" spans="2:28" ht="15.75" customHeight="1" x14ac:dyDescent="0.15"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</row>
    <row r="752" spans="2:28" ht="15.75" customHeight="1" x14ac:dyDescent="0.15"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</row>
    <row r="753" spans="2:28" ht="15.75" customHeight="1" x14ac:dyDescent="0.15"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</row>
    <row r="754" spans="2:28" ht="15.75" customHeight="1" x14ac:dyDescent="0.15"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</row>
    <row r="755" spans="2:28" ht="15.75" customHeight="1" x14ac:dyDescent="0.15"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</row>
    <row r="756" spans="2:28" ht="15.75" customHeight="1" x14ac:dyDescent="0.15"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</row>
    <row r="757" spans="2:28" ht="15.75" customHeight="1" x14ac:dyDescent="0.15"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</row>
    <row r="758" spans="2:28" ht="15.75" customHeight="1" x14ac:dyDescent="0.15"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</row>
    <row r="759" spans="2:28" ht="15.75" customHeight="1" x14ac:dyDescent="0.15"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</row>
    <row r="760" spans="2:28" ht="15.75" customHeight="1" x14ac:dyDescent="0.15"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</row>
    <row r="761" spans="2:28" ht="15.75" customHeight="1" x14ac:dyDescent="0.15"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</row>
    <row r="762" spans="2:28" ht="15.75" customHeight="1" x14ac:dyDescent="0.15"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</row>
    <row r="763" spans="2:28" ht="15.75" customHeight="1" x14ac:dyDescent="0.15"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</row>
    <row r="764" spans="2:28" ht="15.75" customHeight="1" x14ac:dyDescent="0.15"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</row>
    <row r="765" spans="2:28" ht="15.75" customHeight="1" x14ac:dyDescent="0.15"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</row>
    <row r="766" spans="2:28" ht="15.75" customHeight="1" x14ac:dyDescent="0.15"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</row>
    <row r="767" spans="2:28" ht="15.75" customHeight="1" x14ac:dyDescent="0.15"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</row>
    <row r="768" spans="2:28" ht="15.75" customHeight="1" x14ac:dyDescent="0.15"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</row>
    <row r="769" spans="2:28" ht="15.75" customHeight="1" x14ac:dyDescent="0.15"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</row>
    <row r="770" spans="2:28" ht="15.75" customHeight="1" x14ac:dyDescent="0.15"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</row>
    <row r="771" spans="2:28" ht="15.75" customHeight="1" x14ac:dyDescent="0.15"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</row>
    <row r="772" spans="2:28" ht="15.75" customHeight="1" x14ac:dyDescent="0.15"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</row>
    <row r="773" spans="2:28" ht="15.75" customHeight="1" x14ac:dyDescent="0.15"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</row>
    <row r="774" spans="2:28" ht="15.75" customHeight="1" x14ac:dyDescent="0.15"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</row>
    <row r="775" spans="2:28" ht="15.75" customHeight="1" x14ac:dyDescent="0.15"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</row>
    <row r="776" spans="2:28" ht="15.75" customHeight="1" x14ac:dyDescent="0.15"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</row>
    <row r="777" spans="2:28" ht="15.75" customHeight="1" x14ac:dyDescent="0.15"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</row>
    <row r="778" spans="2:28" ht="15.75" customHeight="1" x14ac:dyDescent="0.15"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</row>
    <row r="779" spans="2:28" ht="15.75" customHeight="1" x14ac:dyDescent="0.15"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</row>
    <row r="780" spans="2:28" ht="15.75" customHeight="1" x14ac:dyDescent="0.15"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</row>
    <row r="781" spans="2:28" ht="15.75" customHeight="1" x14ac:dyDescent="0.15"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</row>
    <row r="782" spans="2:28" ht="15.75" customHeight="1" x14ac:dyDescent="0.15"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</row>
    <row r="783" spans="2:28" ht="15.75" customHeight="1" x14ac:dyDescent="0.15"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</row>
    <row r="784" spans="2:28" ht="15.75" customHeight="1" x14ac:dyDescent="0.15"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</row>
    <row r="785" spans="2:28" ht="15.75" customHeight="1" x14ac:dyDescent="0.15"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</row>
    <row r="786" spans="2:28" ht="15.75" customHeight="1" x14ac:dyDescent="0.15"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</row>
    <row r="787" spans="2:28" ht="15.75" customHeight="1" x14ac:dyDescent="0.15"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</row>
    <row r="788" spans="2:28" ht="15.75" customHeight="1" x14ac:dyDescent="0.15"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</row>
    <row r="789" spans="2:28" ht="15.75" customHeight="1" x14ac:dyDescent="0.15"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</row>
    <row r="790" spans="2:28" ht="15.75" customHeight="1" x14ac:dyDescent="0.15"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</row>
    <row r="791" spans="2:28" ht="15.75" customHeight="1" x14ac:dyDescent="0.15"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</row>
    <row r="792" spans="2:28" ht="15.75" customHeight="1" x14ac:dyDescent="0.15"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</row>
    <row r="793" spans="2:28" ht="15.75" customHeight="1" x14ac:dyDescent="0.15"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</row>
    <row r="794" spans="2:28" ht="15.75" customHeight="1" x14ac:dyDescent="0.15"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</row>
    <row r="795" spans="2:28" ht="15.75" customHeight="1" x14ac:dyDescent="0.15"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</row>
    <row r="796" spans="2:28" ht="15.75" customHeight="1" x14ac:dyDescent="0.15"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</row>
    <row r="797" spans="2:28" ht="15.75" customHeight="1" x14ac:dyDescent="0.15"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</row>
    <row r="798" spans="2:28" ht="15.75" customHeight="1" x14ac:dyDescent="0.15"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</row>
    <row r="799" spans="2:28" ht="15.75" customHeight="1" x14ac:dyDescent="0.15"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</row>
    <row r="800" spans="2:28" ht="15.75" customHeight="1" x14ac:dyDescent="0.15"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</row>
    <row r="801" spans="2:28" ht="15.75" customHeight="1" x14ac:dyDescent="0.15"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</row>
    <row r="802" spans="2:28" ht="15.75" customHeight="1" x14ac:dyDescent="0.15"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</row>
    <row r="803" spans="2:28" ht="15.75" customHeight="1" x14ac:dyDescent="0.15"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</row>
    <row r="804" spans="2:28" ht="15.75" customHeight="1" x14ac:dyDescent="0.15"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</row>
    <row r="805" spans="2:28" ht="15.75" customHeight="1" x14ac:dyDescent="0.15"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</row>
    <row r="806" spans="2:28" ht="15.75" customHeight="1" x14ac:dyDescent="0.15"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</row>
    <row r="807" spans="2:28" ht="15.75" customHeight="1" x14ac:dyDescent="0.15"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</row>
    <row r="808" spans="2:28" ht="15.75" customHeight="1" x14ac:dyDescent="0.15"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</row>
    <row r="809" spans="2:28" ht="15.75" customHeight="1" x14ac:dyDescent="0.15"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</row>
    <row r="810" spans="2:28" ht="15.75" customHeight="1" x14ac:dyDescent="0.15"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</row>
    <row r="811" spans="2:28" ht="15.75" customHeight="1" x14ac:dyDescent="0.15"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</row>
    <row r="812" spans="2:28" ht="15.75" customHeight="1" x14ac:dyDescent="0.15"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</row>
    <row r="813" spans="2:28" ht="15.75" customHeight="1" x14ac:dyDescent="0.15"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</row>
    <row r="814" spans="2:28" ht="15.75" customHeight="1" x14ac:dyDescent="0.15"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</row>
    <row r="815" spans="2:28" ht="15.75" customHeight="1" x14ac:dyDescent="0.15"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</row>
    <row r="816" spans="2:28" ht="15.75" customHeight="1" x14ac:dyDescent="0.15"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</row>
    <row r="817" spans="2:28" ht="15.75" customHeight="1" x14ac:dyDescent="0.15"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</row>
    <row r="818" spans="2:28" ht="15.75" customHeight="1" x14ac:dyDescent="0.15"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</row>
    <row r="819" spans="2:28" ht="15.75" customHeight="1" x14ac:dyDescent="0.15"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</row>
    <row r="820" spans="2:28" ht="15.75" customHeight="1" x14ac:dyDescent="0.15"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</row>
    <row r="821" spans="2:28" ht="15.75" customHeight="1" x14ac:dyDescent="0.15"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</row>
    <row r="822" spans="2:28" ht="15.75" customHeight="1" x14ac:dyDescent="0.15"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</row>
    <row r="823" spans="2:28" ht="15.75" customHeight="1" x14ac:dyDescent="0.15"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</row>
    <row r="824" spans="2:28" ht="15.75" customHeight="1" x14ac:dyDescent="0.15"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</row>
    <row r="825" spans="2:28" ht="15.75" customHeight="1" x14ac:dyDescent="0.15"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</row>
    <row r="826" spans="2:28" ht="15.75" customHeight="1" x14ac:dyDescent="0.15"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</row>
    <row r="827" spans="2:28" ht="15.75" customHeight="1" x14ac:dyDescent="0.15"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</row>
    <row r="828" spans="2:28" ht="15.75" customHeight="1" x14ac:dyDescent="0.15"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</row>
    <row r="829" spans="2:28" ht="15.75" customHeight="1" x14ac:dyDescent="0.15"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</row>
    <row r="830" spans="2:28" ht="15.75" customHeight="1" x14ac:dyDescent="0.15"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</row>
    <row r="831" spans="2:28" ht="15.75" customHeight="1" x14ac:dyDescent="0.15"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</row>
    <row r="832" spans="2:28" ht="15.75" customHeight="1" x14ac:dyDescent="0.15"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</row>
    <row r="833" spans="2:28" ht="15.75" customHeight="1" x14ac:dyDescent="0.15"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</row>
    <row r="834" spans="2:28" ht="15.75" customHeight="1" x14ac:dyDescent="0.15"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</row>
    <row r="835" spans="2:28" ht="15.75" customHeight="1" x14ac:dyDescent="0.15"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</row>
    <row r="836" spans="2:28" ht="15.75" customHeight="1" x14ac:dyDescent="0.15"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</row>
    <row r="837" spans="2:28" ht="15.75" customHeight="1" x14ac:dyDescent="0.15"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</row>
    <row r="838" spans="2:28" ht="15.75" customHeight="1" x14ac:dyDescent="0.15"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</row>
    <row r="839" spans="2:28" ht="15.75" customHeight="1" x14ac:dyDescent="0.15"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</row>
    <row r="840" spans="2:28" ht="15.75" customHeight="1" x14ac:dyDescent="0.15"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</row>
    <row r="841" spans="2:28" ht="15.75" customHeight="1" x14ac:dyDescent="0.15"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</row>
    <row r="842" spans="2:28" ht="15.75" customHeight="1" x14ac:dyDescent="0.15"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</row>
    <row r="843" spans="2:28" ht="15.75" customHeight="1" x14ac:dyDescent="0.15"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</row>
    <row r="844" spans="2:28" ht="15.75" customHeight="1" x14ac:dyDescent="0.15"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</row>
    <row r="845" spans="2:28" ht="15.75" customHeight="1" x14ac:dyDescent="0.15"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</row>
    <row r="846" spans="2:28" ht="15.75" customHeight="1" x14ac:dyDescent="0.15"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</row>
    <row r="847" spans="2:28" ht="15.75" customHeight="1" x14ac:dyDescent="0.15"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</row>
    <row r="848" spans="2:28" ht="15.75" customHeight="1" x14ac:dyDescent="0.15"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</row>
    <row r="849" spans="2:28" ht="15.75" customHeight="1" x14ac:dyDescent="0.15"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</row>
    <row r="850" spans="2:28" ht="15.75" customHeight="1" x14ac:dyDescent="0.15"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</row>
    <row r="851" spans="2:28" ht="15.75" customHeight="1" x14ac:dyDescent="0.15"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</row>
    <row r="852" spans="2:28" ht="15.75" customHeight="1" x14ac:dyDescent="0.15"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</row>
    <row r="853" spans="2:28" ht="15.75" customHeight="1" x14ac:dyDescent="0.15"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</row>
    <row r="854" spans="2:28" ht="15.75" customHeight="1" x14ac:dyDescent="0.15"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</row>
    <row r="855" spans="2:28" ht="15.75" customHeight="1" x14ac:dyDescent="0.15"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</row>
    <row r="856" spans="2:28" ht="15.75" customHeight="1" x14ac:dyDescent="0.15"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</row>
    <row r="857" spans="2:28" ht="15.75" customHeight="1" x14ac:dyDescent="0.15"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</row>
    <row r="858" spans="2:28" ht="15.75" customHeight="1" x14ac:dyDescent="0.15"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</row>
    <row r="859" spans="2:28" ht="15.75" customHeight="1" x14ac:dyDescent="0.15"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</row>
    <row r="860" spans="2:28" ht="15.75" customHeight="1" x14ac:dyDescent="0.15"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</row>
    <row r="861" spans="2:28" ht="15.75" customHeight="1" x14ac:dyDescent="0.15"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</row>
    <row r="862" spans="2:28" ht="15.75" customHeight="1" x14ac:dyDescent="0.15"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</row>
    <row r="863" spans="2:28" ht="15.75" customHeight="1" x14ac:dyDescent="0.15"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</row>
    <row r="864" spans="2:28" ht="15.75" customHeight="1" x14ac:dyDescent="0.15"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</row>
    <row r="865" spans="2:28" ht="15.75" customHeight="1" x14ac:dyDescent="0.15"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</row>
    <row r="866" spans="2:28" ht="15.75" customHeight="1" x14ac:dyDescent="0.15"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</row>
    <row r="867" spans="2:28" ht="15.75" customHeight="1" x14ac:dyDescent="0.15"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</row>
    <row r="868" spans="2:28" ht="15.75" customHeight="1" x14ac:dyDescent="0.15"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</row>
    <row r="869" spans="2:28" ht="15.75" customHeight="1" x14ac:dyDescent="0.15"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</row>
    <row r="870" spans="2:28" ht="15.75" customHeight="1" x14ac:dyDescent="0.15"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</row>
    <row r="871" spans="2:28" ht="15.75" customHeight="1" x14ac:dyDescent="0.15"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</row>
    <row r="872" spans="2:28" ht="15.75" customHeight="1" x14ac:dyDescent="0.15"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</row>
    <row r="873" spans="2:28" ht="15.75" customHeight="1" x14ac:dyDescent="0.15"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</row>
    <row r="874" spans="2:28" ht="15.75" customHeight="1" x14ac:dyDescent="0.15"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</row>
    <row r="875" spans="2:28" ht="15.75" customHeight="1" x14ac:dyDescent="0.15"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</row>
    <row r="876" spans="2:28" ht="15.75" customHeight="1" x14ac:dyDescent="0.15"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</row>
    <row r="877" spans="2:28" ht="15.75" customHeight="1" x14ac:dyDescent="0.15"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</row>
    <row r="878" spans="2:28" ht="15.75" customHeight="1" x14ac:dyDescent="0.15"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</row>
    <row r="879" spans="2:28" ht="15.75" customHeight="1" x14ac:dyDescent="0.15"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</row>
    <row r="880" spans="2:28" ht="15.75" customHeight="1" x14ac:dyDescent="0.15"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</row>
    <row r="881" spans="2:28" ht="15.75" customHeight="1" x14ac:dyDescent="0.15"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</row>
    <row r="882" spans="2:28" ht="15.75" customHeight="1" x14ac:dyDescent="0.15"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</row>
    <row r="883" spans="2:28" ht="15.75" customHeight="1" x14ac:dyDescent="0.15"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</row>
    <row r="884" spans="2:28" ht="15.75" customHeight="1" x14ac:dyDescent="0.15"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</row>
    <row r="885" spans="2:28" ht="15.75" customHeight="1" x14ac:dyDescent="0.15"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</row>
    <row r="886" spans="2:28" ht="15.75" customHeight="1" x14ac:dyDescent="0.15"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</row>
    <row r="887" spans="2:28" ht="15.75" customHeight="1" x14ac:dyDescent="0.15"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</row>
    <row r="888" spans="2:28" ht="15.75" customHeight="1" x14ac:dyDescent="0.15"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</row>
    <row r="889" spans="2:28" ht="15.75" customHeight="1" x14ac:dyDescent="0.15"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</row>
    <row r="890" spans="2:28" ht="15.75" customHeight="1" x14ac:dyDescent="0.15"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</row>
    <row r="891" spans="2:28" ht="15.75" customHeight="1" x14ac:dyDescent="0.15"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</row>
    <row r="892" spans="2:28" ht="15.75" customHeight="1" x14ac:dyDescent="0.15"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</row>
    <row r="893" spans="2:28" ht="15.75" customHeight="1" x14ac:dyDescent="0.15"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</row>
    <row r="894" spans="2:28" ht="15.75" customHeight="1" x14ac:dyDescent="0.15"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</row>
    <row r="895" spans="2:28" ht="15.75" customHeight="1" x14ac:dyDescent="0.15"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</row>
    <row r="896" spans="2:28" ht="15.75" customHeight="1" x14ac:dyDescent="0.15"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</row>
    <row r="897" spans="2:28" ht="15.75" customHeight="1" x14ac:dyDescent="0.15"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</row>
    <row r="898" spans="2:28" ht="15.75" customHeight="1" x14ac:dyDescent="0.15"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</row>
    <row r="899" spans="2:28" ht="15.75" customHeight="1" x14ac:dyDescent="0.15"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</row>
    <row r="900" spans="2:28" ht="15.75" customHeight="1" x14ac:dyDescent="0.15"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</row>
    <row r="901" spans="2:28" ht="15.75" customHeight="1" x14ac:dyDescent="0.15"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</row>
    <row r="902" spans="2:28" ht="15.75" customHeight="1" x14ac:dyDescent="0.15"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</row>
    <row r="903" spans="2:28" ht="15.75" customHeight="1" x14ac:dyDescent="0.15"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</row>
    <row r="904" spans="2:28" ht="15.75" customHeight="1" x14ac:dyDescent="0.15"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</row>
    <row r="905" spans="2:28" ht="15.75" customHeight="1" x14ac:dyDescent="0.15"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</row>
    <row r="906" spans="2:28" ht="15.75" customHeight="1" x14ac:dyDescent="0.15"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</row>
    <row r="907" spans="2:28" ht="15.75" customHeight="1" x14ac:dyDescent="0.15"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</row>
    <row r="908" spans="2:28" ht="15.75" customHeight="1" x14ac:dyDescent="0.15"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</row>
    <row r="909" spans="2:28" ht="15.75" customHeight="1" x14ac:dyDescent="0.15"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</row>
    <row r="910" spans="2:28" ht="15.75" customHeight="1" x14ac:dyDescent="0.15"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</row>
    <row r="911" spans="2:28" ht="15.75" customHeight="1" x14ac:dyDescent="0.15"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</row>
    <row r="912" spans="2:28" ht="15.75" customHeight="1" x14ac:dyDescent="0.15"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</row>
    <row r="913" spans="2:28" ht="15.75" customHeight="1" x14ac:dyDescent="0.15"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</row>
    <row r="914" spans="2:28" ht="15.75" customHeight="1" x14ac:dyDescent="0.15"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</row>
    <row r="915" spans="2:28" ht="15.75" customHeight="1" x14ac:dyDescent="0.15"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</row>
    <row r="916" spans="2:28" ht="15.75" customHeight="1" x14ac:dyDescent="0.15"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</row>
    <row r="917" spans="2:28" ht="15.75" customHeight="1" x14ac:dyDescent="0.15"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</row>
    <row r="918" spans="2:28" ht="15.75" customHeight="1" x14ac:dyDescent="0.15"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</row>
    <row r="919" spans="2:28" ht="15.75" customHeight="1" x14ac:dyDescent="0.15"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</row>
    <row r="920" spans="2:28" ht="15.75" customHeight="1" x14ac:dyDescent="0.15"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</row>
    <row r="921" spans="2:28" ht="15.75" customHeight="1" x14ac:dyDescent="0.15"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</row>
    <row r="922" spans="2:28" ht="15.75" customHeight="1" x14ac:dyDescent="0.15"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</row>
    <row r="923" spans="2:28" ht="15.75" customHeight="1" x14ac:dyDescent="0.15"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</row>
    <row r="924" spans="2:28" ht="15.75" customHeight="1" x14ac:dyDescent="0.15"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</row>
    <row r="925" spans="2:28" ht="15.75" customHeight="1" x14ac:dyDescent="0.15"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</row>
    <row r="926" spans="2:28" ht="15.75" customHeight="1" x14ac:dyDescent="0.15"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</row>
    <row r="927" spans="2:28" ht="15.75" customHeight="1" x14ac:dyDescent="0.15"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</row>
    <row r="928" spans="2:28" ht="15.75" customHeight="1" x14ac:dyDescent="0.15"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</row>
    <row r="929" spans="2:28" ht="15.75" customHeight="1" x14ac:dyDescent="0.15"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</row>
    <row r="930" spans="2:28" ht="15.75" customHeight="1" x14ac:dyDescent="0.15"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</row>
    <row r="931" spans="2:28" ht="15.75" customHeight="1" x14ac:dyDescent="0.15"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</row>
    <row r="932" spans="2:28" ht="15.75" customHeight="1" x14ac:dyDescent="0.15"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</row>
    <row r="933" spans="2:28" ht="15.75" customHeight="1" x14ac:dyDescent="0.15"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</row>
    <row r="934" spans="2:28" ht="15.75" customHeight="1" x14ac:dyDescent="0.15"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</row>
    <row r="935" spans="2:28" ht="15.75" customHeight="1" x14ac:dyDescent="0.15"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</row>
    <row r="936" spans="2:28" ht="15.75" customHeight="1" x14ac:dyDescent="0.15"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</row>
    <row r="937" spans="2:28" ht="15.75" customHeight="1" x14ac:dyDescent="0.15"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</row>
    <row r="938" spans="2:28" ht="15.75" customHeight="1" x14ac:dyDescent="0.15"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</row>
    <row r="939" spans="2:28" ht="15.75" customHeight="1" x14ac:dyDescent="0.15"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</row>
    <row r="940" spans="2:28" ht="15.75" customHeight="1" x14ac:dyDescent="0.15"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</row>
    <row r="941" spans="2:28" ht="15.75" customHeight="1" x14ac:dyDescent="0.15"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</row>
    <row r="942" spans="2:28" ht="15.75" customHeight="1" x14ac:dyDescent="0.15"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</row>
    <row r="943" spans="2:28" ht="15.75" customHeight="1" x14ac:dyDescent="0.15"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</row>
    <row r="944" spans="2:28" ht="15.75" customHeight="1" x14ac:dyDescent="0.15"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</row>
    <row r="945" spans="2:28" ht="15.75" customHeight="1" x14ac:dyDescent="0.15"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</row>
    <row r="946" spans="2:28" ht="15.75" customHeight="1" x14ac:dyDescent="0.15"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</row>
    <row r="947" spans="2:28" ht="15.75" customHeight="1" x14ac:dyDescent="0.15"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</row>
    <row r="948" spans="2:28" ht="15.75" customHeight="1" x14ac:dyDescent="0.15"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</row>
    <row r="949" spans="2:28" ht="15.75" customHeight="1" x14ac:dyDescent="0.15"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</row>
    <row r="950" spans="2:28" ht="15.75" customHeight="1" x14ac:dyDescent="0.15"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</row>
    <row r="951" spans="2:28" ht="15.75" customHeight="1" x14ac:dyDescent="0.15"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</row>
    <row r="952" spans="2:28" ht="15.75" customHeight="1" x14ac:dyDescent="0.15"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</row>
    <row r="953" spans="2:28" ht="15.75" customHeight="1" x14ac:dyDescent="0.15"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</row>
    <row r="954" spans="2:28" ht="15.75" customHeight="1" x14ac:dyDescent="0.15"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</row>
    <row r="955" spans="2:28" ht="15.75" customHeight="1" x14ac:dyDescent="0.15"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</row>
    <row r="956" spans="2:28" ht="15.75" customHeight="1" x14ac:dyDescent="0.15"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</row>
    <row r="957" spans="2:28" ht="15.75" customHeight="1" x14ac:dyDescent="0.15"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</row>
    <row r="958" spans="2:28" ht="15.75" customHeight="1" x14ac:dyDescent="0.15"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</row>
    <row r="959" spans="2:28" ht="15.75" customHeight="1" x14ac:dyDescent="0.15"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</row>
    <row r="960" spans="2:28" ht="15.75" customHeight="1" x14ac:dyDescent="0.15"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</row>
    <row r="961" spans="2:28" ht="15.75" customHeight="1" x14ac:dyDescent="0.15"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</row>
    <row r="962" spans="2:28" ht="15.75" customHeight="1" x14ac:dyDescent="0.15"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</row>
    <row r="963" spans="2:28" ht="15.75" customHeight="1" x14ac:dyDescent="0.15"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</row>
    <row r="964" spans="2:28" ht="15.75" customHeight="1" x14ac:dyDescent="0.15"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</row>
    <row r="965" spans="2:28" ht="15.75" customHeight="1" x14ac:dyDescent="0.15"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</row>
    <row r="966" spans="2:28" ht="15.75" customHeight="1" x14ac:dyDescent="0.15"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</row>
    <row r="967" spans="2:28" ht="15.75" customHeight="1" x14ac:dyDescent="0.15"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</row>
    <row r="968" spans="2:28" ht="15.75" customHeight="1" x14ac:dyDescent="0.15"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</row>
    <row r="969" spans="2:28" ht="15.75" customHeight="1" x14ac:dyDescent="0.15"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</row>
    <row r="970" spans="2:28" ht="15.75" customHeight="1" x14ac:dyDescent="0.15"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</row>
    <row r="971" spans="2:28" ht="15.75" customHeight="1" x14ac:dyDescent="0.15"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</row>
    <row r="972" spans="2:28" ht="15.75" customHeight="1" x14ac:dyDescent="0.15"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</row>
    <row r="973" spans="2:28" ht="15.75" customHeight="1" x14ac:dyDescent="0.15"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</row>
    <row r="974" spans="2:28" ht="15.75" customHeight="1" x14ac:dyDescent="0.15"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</row>
    <row r="975" spans="2:28" ht="15.75" customHeight="1" x14ac:dyDescent="0.15"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</row>
    <row r="976" spans="2:28" ht="15.75" customHeight="1" x14ac:dyDescent="0.15"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</row>
    <row r="977" spans="2:28" ht="15.75" customHeight="1" x14ac:dyDescent="0.15"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</row>
    <row r="978" spans="2:28" ht="15.75" customHeight="1" x14ac:dyDescent="0.15"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</row>
    <row r="979" spans="2:28" ht="15.75" customHeight="1" x14ac:dyDescent="0.15"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</row>
    <row r="980" spans="2:28" ht="15.75" customHeight="1" x14ac:dyDescent="0.15"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</row>
    <row r="981" spans="2:28" ht="15.75" customHeight="1" x14ac:dyDescent="0.15"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</row>
    <row r="982" spans="2:28" ht="15.75" customHeight="1" x14ac:dyDescent="0.15"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</row>
    <row r="983" spans="2:28" ht="15.75" customHeight="1" x14ac:dyDescent="0.15"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</row>
    <row r="984" spans="2:28" ht="15.75" customHeight="1" x14ac:dyDescent="0.15"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</row>
    <row r="985" spans="2:28" ht="15.75" customHeight="1" x14ac:dyDescent="0.15"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</row>
    <row r="986" spans="2:28" ht="15.75" customHeight="1" x14ac:dyDescent="0.15"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</row>
    <row r="987" spans="2:28" ht="15.75" customHeight="1" x14ac:dyDescent="0.15"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</row>
    <row r="988" spans="2:28" ht="15.75" customHeight="1" x14ac:dyDescent="0.15"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</row>
    <row r="989" spans="2:28" ht="15.75" customHeight="1" x14ac:dyDescent="0.15"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</row>
    <row r="990" spans="2:28" ht="15.75" customHeight="1" x14ac:dyDescent="0.15"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</row>
    <row r="991" spans="2:28" ht="15.75" customHeight="1" x14ac:dyDescent="0.15"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</row>
    <row r="992" spans="2:28" ht="15.75" customHeight="1" x14ac:dyDescent="0.15"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</row>
    <row r="993" spans="2:28" ht="15.75" customHeight="1" x14ac:dyDescent="0.15"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</row>
    <row r="994" spans="2:28" ht="15.75" customHeight="1" x14ac:dyDescent="0.15"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</row>
    <row r="995" spans="2:28" ht="15.75" customHeight="1" x14ac:dyDescent="0.15"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</row>
    <row r="996" spans="2:28" ht="15.75" customHeight="1" x14ac:dyDescent="0.15"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</row>
    <row r="997" spans="2:28" ht="15.75" customHeight="1" x14ac:dyDescent="0.15"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</row>
    <row r="998" spans="2:28" ht="15.75" customHeight="1" x14ac:dyDescent="0.15"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</row>
    <row r="999" spans="2:28" ht="15.75" customHeight="1" x14ac:dyDescent="0.15"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</row>
    <row r="1000" spans="2:28" ht="15.75" customHeight="1" x14ac:dyDescent="0.15"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</row>
    <row r="1001" spans="2:28" ht="15.75" customHeight="1" x14ac:dyDescent="0.15"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</row>
    <row r="1002" spans="2:28" ht="15.75" customHeight="1" x14ac:dyDescent="0.15"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</row>
  </sheetData>
  <mergeCells count="13">
    <mergeCell ref="X2:AB2"/>
    <mergeCell ref="C2:C3"/>
    <mergeCell ref="D2:D3"/>
    <mergeCell ref="E2:E3"/>
    <mergeCell ref="F2:F3"/>
    <mergeCell ref="K2:K3"/>
    <mergeCell ref="L2:L3"/>
    <mergeCell ref="M2:M3"/>
    <mergeCell ref="N2:N3"/>
    <mergeCell ref="O2:O3"/>
    <mergeCell ref="P2:P3"/>
    <mergeCell ref="Q2:U2"/>
    <mergeCell ref="V2:W2"/>
  </mergeCells>
  <pageMargins left="0.7" right="0.7" top="0.75" bottom="0.75" header="0" footer="0"/>
  <pageSetup scale="4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8A55-273B-4901-90EF-7ABA05E99B6B}">
  <dimension ref="A1:H67"/>
  <sheetViews>
    <sheetView topLeftCell="C7" workbookViewId="0">
      <selection activeCell="F16" sqref="F16"/>
    </sheetView>
  </sheetViews>
  <sheetFormatPr baseColWidth="10" defaultRowHeight="14" x14ac:dyDescent="0.15"/>
  <cols>
    <col min="2" max="2" width="15.5" bestFit="1" customWidth="1"/>
    <col min="3" max="3" width="11.6640625" bestFit="1" customWidth="1"/>
  </cols>
  <sheetData>
    <row r="1" spans="1:8" x14ac:dyDescent="0.15">
      <c r="A1" s="231" t="s">
        <v>166</v>
      </c>
      <c r="B1" s="231" t="s">
        <v>246</v>
      </c>
      <c r="C1" s="231" t="s">
        <v>118</v>
      </c>
      <c r="D1" s="231" t="s">
        <v>247</v>
      </c>
      <c r="E1" s="231" t="s">
        <v>248</v>
      </c>
      <c r="F1" s="230"/>
    </row>
    <row r="2" spans="1:8" x14ac:dyDescent="0.15">
      <c r="A2" s="230" t="s">
        <v>253</v>
      </c>
      <c r="B2" s="230"/>
      <c r="C2" s="237">
        <v>0</v>
      </c>
      <c r="D2" s="232">
        <v>-0.02</v>
      </c>
      <c r="E2" s="232">
        <v>-0.02</v>
      </c>
      <c r="F2" s="230"/>
    </row>
    <row r="3" spans="1:8" x14ac:dyDescent="0.15">
      <c r="A3" s="366">
        <v>1</v>
      </c>
      <c r="B3" s="230" t="s">
        <v>147</v>
      </c>
      <c r="C3" s="237">
        <v>125.09677000625059</v>
      </c>
      <c r="D3" s="232">
        <v>-0.02</v>
      </c>
      <c r="E3" s="232">
        <v>-0.02</v>
      </c>
      <c r="F3" s="230"/>
      <c r="G3" s="230" t="s">
        <v>147</v>
      </c>
      <c r="H3" t="s">
        <v>250</v>
      </c>
    </row>
    <row r="4" spans="1:8" x14ac:dyDescent="0.15">
      <c r="A4" s="366"/>
      <c r="B4" s="230" t="s">
        <v>151</v>
      </c>
      <c r="C4" s="237">
        <v>132.38843667291727</v>
      </c>
      <c r="D4" s="232">
        <v>-0.02</v>
      </c>
      <c r="E4" s="233">
        <v>0</v>
      </c>
      <c r="F4" s="234" t="s">
        <v>254</v>
      </c>
      <c r="G4" s="230" t="s">
        <v>151</v>
      </c>
      <c r="H4" t="s">
        <v>150</v>
      </c>
    </row>
    <row r="5" spans="1:8" x14ac:dyDescent="0.15">
      <c r="A5" s="366"/>
      <c r="B5" s="230" t="s">
        <v>154</v>
      </c>
      <c r="C5" s="237">
        <v>139.68010333958392</v>
      </c>
      <c r="D5" s="232">
        <v>-0.02</v>
      </c>
      <c r="E5" s="233">
        <v>0.02</v>
      </c>
      <c r="F5" s="230"/>
      <c r="G5" s="230" t="s">
        <v>154</v>
      </c>
      <c r="H5" t="s">
        <v>251</v>
      </c>
    </row>
    <row r="6" spans="1:8" x14ac:dyDescent="0.15">
      <c r="A6" s="366"/>
      <c r="B6" s="230" t="s">
        <v>157</v>
      </c>
      <c r="C6" s="237">
        <v>161.55510333958392</v>
      </c>
      <c r="D6" s="233">
        <v>-0.08</v>
      </c>
      <c r="E6" s="233">
        <v>0.08</v>
      </c>
      <c r="F6" s="230"/>
      <c r="G6" s="230" t="s">
        <v>157</v>
      </c>
      <c r="H6" t="s">
        <v>191</v>
      </c>
    </row>
    <row r="7" spans="1:8" x14ac:dyDescent="0.15">
      <c r="A7" s="366"/>
      <c r="B7" s="230" t="s">
        <v>158</v>
      </c>
      <c r="C7" s="237">
        <v>218.81227336275609</v>
      </c>
      <c r="D7" s="233">
        <v>-0.08</v>
      </c>
      <c r="E7" s="233">
        <v>0.08</v>
      </c>
      <c r="F7" s="230"/>
    </row>
    <row r="8" spans="1:8" x14ac:dyDescent="0.15">
      <c r="A8" s="366"/>
      <c r="B8" s="230" t="s">
        <v>249</v>
      </c>
      <c r="C8" s="237">
        <v>240.68727336275609</v>
      </c>
      <c r="D8" s="232">
        <v>-0.02</v>
      </c>
      <c r="E8" s="233">
        <v>0.02</v>
      </c>
      <c r="F8" s="230"/>
    </row>
    <row r="9" spans="1:8" x14ac:dyDescent="0.15">
      <c r="A9" s="366"/>
      <c r="B9" s="230" t="s">
        <v>152</v>
      </c>
      <c r="C9" s="237">
        <v>247.97894002942274</v>
      </c>
      <c r="D9" s="232">
        <v>-0.02</v>
      </c>
      <c r="E9" s="233">
        <v>0</v>
      </c>
      <c r="F9" s="230"/>
    </row>
    <row r="10" spans="1:8" x14ac:dyDescent="0.15">
      <c r="A10" s="366"/>
      <c r="B10" s="230" t="s">
        <v>149</v>
      </c>
      <c r="C10" s="237">
        <v>255.2706066960894</v>
      </c>
      <c r="D10" s="232">
        <v>-0.02</v>
      </c>
      <c r="E10" s="232">
        <v>-0.02</v>
      </c>
      <c r="F10" s="230"/>
    </row>
    <row r="11" spans="1:8" x14ac:dyDescent="0.15">
      <c r="A11" s="366">
        <v>2</v>
      </c>
      <c r="B11" s="230" t="s">
        <v>147</v>
      </c>
      <c r="C11" s="237">
        <v>370.5367844962945</v>
      </c>
      <c r="D11" s="232">
        <v>-0.02</v>
      </c>
      <c r="E11" s="232">
        <v>-0.02</v>
      </c>
    </row>
    <row r="12" spans="1:8" x14ac:dyDescent="0.15">
      <c r="A12" s="366"/>
      <c r="B12" s="230" t="s">
        <v>151</v>
      </c>
      <c r="C12" s="237">
        <v>379.62769358720357</v>
      </c>
      <c r="D12" s="233">
        <v>0</v>
      </c>
      <c r="E12" s="235">
        <v>-0.02</v>
      </c>
    </row>
    <row r="13" spans="1:8" x14ac:dyDescent="0.15">
      <c r="A13" s="366"/>
      <c r="B13" s="230" t="s">
        <v>154</v>
      </c>
      <c r="C13" s="237">
        <v>388.71860267811263</v>
      </c>
      <c r="D13" s="233">
        <v>0.02</v>
      </c>
      <c r="E13" s="233">
        <v>-0.02</v>
      </c>
      <c r="F13" s="236" t="s">
        <v>255</v>
      </c>
    </row>
    <row r="14" spans="1:8" x14ac:dyDescent="0.15">
      <c r="A14" s="366"/>
      <c r="B14" s="230" t="s">
        <v>157</v>
      </c>
      <c r="C14" s="237">
        <v>415.99132995083994</v>
      </c>
      <c r="D14" s="233">
        <v>0.08</v>
      </c>
      <c r="E14" s="233">
        <v>-0.08</v>
      </c>
    </row>
    <row r="15" spans="1:8" x14ac:dyDescent="0.15">
      <c r="A15" s="366"/>
      <c r="B15" s="230" t="s">
        <v>158</v>
      </c>
      <c r="C15" s="237">
        <v>546.19826866091591</v>
      </c>
      <c r="D15" s="233">
        <v>0.08</v>
      </c>
      <c r="E15" s="233">
        <v>-0.08</v>
      </c>
    </row>
    <row r="16" spans="1:8" x14ac:dyDescent="0.15">
      <c r="A16" s="366"/>
      <c r="B16" s="230" t="s">
        <v>249</v>
      </c>
      <c r="C16" s="237">
        <v>573.47099593364317</v>
      </c>
      <c r="D16" s="233">
        <v>0.02</v>
      </c>
      <c r="E16" s="233">
        <v>-0.02</v>
      </c>
    </row>
    <row r="17" spans="1:5" x14ac:dyDescent="0.15">
      <c r="A17" s="366"/>
      <c r="B17" s="230" t="s">
        <v>152</v>
      </c>
      <c r="C17" s="237">
        <v>582.56190502455229</v>
      </c>
      <c r="D17" s="233">
        <v>0</v>
      </c>
      <c r="E17" s="235">
        <v>-0.02</v>
      </c>
    </row>
    <row r="18" spans="1:5" x14ac:dyDescent="0.15">
      <c r="A18" s="366"/>
      <c r="B18" s="230" t="s">
        <v>149</v>
      </c>
      <c r="C18" s="237">
        <v>591.65281411546141</v>
      </c>
      <c r="D18" s="232">
        <v>-0.02</v>
      </c>
      <c r="E18" s="232">
        <v>-0.02</v>
      </c>
    </row>
    <row r="19" spans="1:5" x14ac:dyDescent="0.15">
      <c r="A19" s="366">
        <v>3</v>
      </c>
      <c r="B19" s="230" t="s">
        <v>147</v>
      </c>
      <c r="C19" s="237">
        <v>612.4302965265988</v>
      </c>
      <c r="D19" s="232">
        <v>-0.02</v>
      </c>
      <c r="E19" s="232">
        <v>-0.02</v>
      </c>
    </row>
    <row r="20" spans="1:5" x14ac:dyDescent="0.15">
      <c r="A20" s="366"/>
      <c r="B20" s="230" t="s">
        <v>151</v>
      </c>
      <c r="C20" s="237">
        <v>621.52120561750792</v>
      </c>
      <c r="D20" s="232">
        <v>-0.02</v>
      </c>
      <c r="E20" s="233">
        <v>0</v>
      </c>
    </row>
    <row r="21" spans="1:5" x14ac:dyDescent="0.15">
      <c r="A21" s="366"/>
      <c r="B21" s="230" t="s">
        <v>154</v>
      </c>
      <c r="C21" s="237">
        <v>630.61211470841704</v>
      </c>
      <c r="D21" s="232">
        <v>-0.02</v>
      </c>
      <c r="E21" s="233">
        <v>0.02</v>
      </c>
    </row>
    <row r="22" spans="1:5" x14ac:dyDescent="0.15">
      <c r="A22" s="366"/>
      <c r="B22" s="230" t="s">
        <v>157</v>
      </c>
      <c r="C22" s="237">
        <v>657.88484198114429</v>
      </c>
      <c r="D22" s="233">
        <v>-0.08</v>
      </c>
      <c r="E22" s="233">
        <v>0.08</v>
      </c>
    </row>
    <row r="23" spans="1:5" x14ac:dyDescent="0.15">
      <c r="A23" s="366"/>
      <c r="B23" s="230" t="s">
        <v>158</v>
      </c>
      <c r="C23" s="237">
        <v>664.20243976770246</v>
      </c>
      <c r="D23" s="233">
        <v>-0.08</v>
      </c>
      <c r="E23" s="233">
        <v>0.08</v>
      </c>
    </row>
    <row r="24" spans="1:5" x14ac:dyDescent="0.15">
      <c r="A24" s="366"/>
      <c r="B24" s="230" t="s">
        <v>249</v>
      </c>
      <c r="C24" s="237">
        <v>691.47516704042971</v>
      </c>
      <c r="D24" s="232">
        <v>-0.02</v>
      </c>
      <c r="E24" s="233">
        <v>0.02</v>
      </c>
    </row>
    <row r="25" spans="1:5" x14ac:dyDescent="0.15">
      <c r="A25" s="366"/>
      <c r="B25" s="230" t="s">
        <v>152</v>
      </c>
      <c r="C25" s="237">
        <v>700.56607613133883</v>
      </c>
      <c r="D25" s="232">
        <v>-0.02</v>
      </c>
      <c r="E25" s="233">
        <v>0</v>
      </c>
    </row>
    <row r="26" spans="1:5" x14ac:dyDescent="0.15">
      <c r="A26" s="366"/>
      <c r="B26" s="230" t="s">
        <v>149</v>
      </c>
      <c r="C26" s="237">
        <v>709.65698522224795</v>
      </c>
      <c r="D26" s="232">
        <v>-0.02</v>
      </c>
      <c r="E26" s="232">
        <v>-0.02</v>
      </c>
    </row>
    <row r="27" spans="1:5" x14ac:dyDescent="0.15">
      <c r="A27" s="366">
        <v>4</v>
      </c>
      <c r="B27" s="230" t="s">
        <v>147</v>
      </c>
      <c r="C27" s="237">
        <v>768.54862363828943</v>
      </c>
      <c r="D27" s="232">
        <v>-0.02</v>
      </c>
      <c r="E27" s="232">
        <v>-0.02</v>
      </c>
    </row>
    <row r="28" spans="1:5" x14ac:dyDescent="0.15">
      <c r="A28" s="366"/>
      <c r="B28" s="230" t="s">
        <v>151</v>
      </c>
      <c r="C28" s="237">
        <v>777.63953272919855</v>
      </c>
      <c r="D28" s="232">
        <v>-0.02</v>
      </c>
      <c r="E28" s="233">
        <v>0</v>
      </c>
    </row>
    <row r="29" spans="1:5" x14ac:dyDescent="0.15">
      <c r="A29" s="366"/>
      <c r="B29" s="230" t="s">
        <v>154</v>
      </c>
      <c r="C29" s="237">
        <v>786.73044182010767</v>
      </c>
      <c r="D29" s="232">
        <v>-0.02</v>
      </c>
      <c r="E29" s="233">
        <v>0.02</v>
      </c>
    </row>
    <row r="30" spans="1:5" x14ac:dyDescent="0.15">
      <c r="A30" s="366"/>
      <c r="B30" s="230" t="s">
        <v>157</v>
      </c>
      <c r="C30" s="237">
        <v>814.00316909283492</v>
      </c>
      <c r="D30" s="233">
        <v>-0.08</v>
      </c>
      <c r="E30" s="233">
        <v>0.08</v>
      </c>
    </row>
    <row r="31" spans="1:5" x14ac:dyDescent="0.15">
      <c r="A31" s="366"/>
      <c r="B31" s="230" t="s">
        <v>158</v>
      </c>
      <c r="C31" s="237">
        <v>876.56357645170056</v>
      </c>
      <c r="D31" s="233">
        <v>-0.08</v>
      </c>
      <c r="E31" s="233">
        <v>0.08</v>
      </c>
    </row>
    <row r="32" spans="1:5" x14ac:dyDescent="0.15">
      <c r="A32" s="366"/>
      <c r="B32" s="230" t="s">
        <v>249</v>
      </c>
      <c r="C32" s="237">
        <v>903.83630372442781</v>
      </c>
      <c r="D32" s="232">
        <v>-0.02</v>
      </c>
      <c r="E32" s="233">
        <v>0.02</v>
      </c>
    </row>
    <row r="33" spans="1:5" x14ac:dyDescent="0.15">
      <c r="A33" s="366"/>
      <c r="B33" s="230" t="s">
        <v>152</v>
      </c>
      <c r="C33" s="237">
        <v>912.92721281533693</v>
      </c>
      <c r="D33" s="232">
        <v>-0.02</v>
      </c>
      <c r="E33" s="233">
        <v>0</v>
      </c>
    </row>
    <row r="34" spans="1:5" x14ac:dyDescent="0.15">
      <c r="A34" s="366"/>
      <c r="B34" s="230" t="s">
        <v>149</v>
      </c>
      <c r="C34" s="237">
        <v>922.01812190624605</v>
      </c>
      <c r="D34" s="232">
        <v>-0.02</v>
      </c>
      <c r="E34" s="232">
        <v>-0.02</v>
      </c>
    </row>
    <row r="35" spans="1:5" x14ac:dyDescent="0.15">
      <c r="A35" s="366">
        <v>5</v>
      </c>
      <c r="B35" s="230" t="s">
        <v>147</v>
      </c>
      <c r="C35" s="237">
        <v>1103.7502137516444</v>
      </c>
      <c r="D35" s="232">
        <v>-0.02</v>
      </c>
      <c r="E35" s="232">
        <v>-0.02</v>
      </c>
    </row>
    <row r="36" spans="1:5" x14ac:dyDescent="0.15">
      <c r="A36" s="366"/>
      <c r="B36" s="230" t="s">
        <v>151</v>
      </c>
      <c r="C36" s="237">
        <v>1112.8411228425534</v>
      </c>
      <c r="D36" s="232">
        <v>-0.02</v>
      </c>
      <c r="E36" s="233">
        <v>0</v>
      </c>
    </row>
    <row r="37" spans="1:5" x14ac:dyDescent="0.15">
      <c r="A37" s="366"/>
      <c r="B37" s="230" t="s">
        <v>154</v>
      </c>
      <c r="C37" s="237">
        <v>1121.9320319334624</v>
      </c>
      <c r="D37" s="232">
        <v>-0.02</v>
      </c>
      <c r="E37" s="233">
        <v>0.02</v>
      </c>
    </row>
    <row r="38" spans="1:5" x14ac:dyDescent="0.15">
      <c r="A38" s="366"/>
      <c r="B38" s="230" t="s">
        <v>157</v>
      </c>
      <c r="C38" s="237">
        <v>1149.2047592061897</v>
      </c>
      <c r="D38" s="233">
        <v>-0.08</v>
      </c>
      <c r="E38" s="233">
        <v>0.08</v>
      </c>
    </row>
    <row r="39" spans="1:5" x14ac:dyDescent="0.15">
      <c r="A39" s="366"/>
      <c r="B39" s="230" t="s">
        <v>158</v>
      </c>
      <c r="C39" s="237">
        <v>1238.1307991588685</v>
      </c>
      <c r="D39" s="233">
        <v>-0.08</v>
      </c>
      <c r="E39" s="233">
        <v>0.08</v>
      </c>
    </row>
    <row r="40" spans="1:5" x14ac:dyDescent="0.15">
      <c r="A40" s="366"/>
      <c r="B40" s="230" t="s">
        <v>249</v>
      </c>
      <c r="C40" s="237">
        <v>1265.4035264315958</v>
      </c>
      <c r="D40" s="232">
        <v>-0.02</v>
      </c>
      <c r="E40" s="233">
        <v>0.02</v>
      </c>
    </row>
    <row r="41" spans="1:5" x14ac:dyDescent="0.15">
      <c r="A41" s="366"/>
      <c r="B41" s="230" t="s">
        <v>152</v>
      </c>
      <c r="C41" s="237">
        <v>1274.4944355225048</v>
      </c>
      <c r="D41" s="232">
        <v>-0.02</v>
      </c>
      <c r="E41" s="233">
        <v>0</v>
      </c>
    </row>
    <row r="42" spans="1:5" x14ac:dyDescent="0.15">
      <c r="A42" s="366"/>
      <c r="B42" s="230" t="s">
        <v>149</v>
      </c>
      <c r="C42" s="237">
        <v>1283.5853446134138</v>
      </c>
      <c r="D42" s="232">
        <v>-0.02</v>
      </c>
      <c r="E42" s="232">
        <v>-0.02</v>
      </c>
    </row>
    <row r="43" spans="1:5" x14ac:dyDescent="0.15">
      <c r="A43" s="366">
        <v>6</v>
      </c>
      <c r="B43" s="230" t="s">
        <v>147</v>
      </c>
      <c r="C43" s="237">
        <v>1298.0371534718347</v>
      </c>
      <c r="D43" s="232">
        <v>-0.02</v>
      </c>
      <c r="E43" s="232">
        <v>-0.02</v>
      </c>
    </row>
    <row r="44" spans="1:5" x14ac:dyDescent="0.15">
      <c r="A44" s="366"/>
      <c r="B44" s="230" t="s">
        <v>151</v>
      </c>
      <c r="C44" s="237">
        <v>1307.1280625627437</v>
      </c>
      <c r="D44" s="233">
        <v>0</v>
      </c>
      <c r="E44" s="235">
        <v>-0.02</v>
      </c>
    </row>
    <row r="45" spans="1:5" x14ac:dyDescent="0.15">
      <c r="A45" s="366"/>
      <c r="B45" s="230" t="s">
        <v>154</v>
      </c>
      <c r="C45" s="237">
        <v>1316.2189716536527</v>
      </c>
      <c r="D45" s="233">
        <v>0.02</v>
      </c>
      <c r="E45" s="233">
        <v>-0.02</v>
      </c>
    </row>
    <row r="46" spans="1:5" x14ac:dyDescent="0.15">
      <c r="A46" s="366"/>
      <c r="B46" s="230" t="s">
        <v>157</v>
      </c>
      <c r="C46" s="237">
        <v>1343.49169892638</v>
      </c>
      <c r="D46" s="233">
        <v>0.08</v>
      </c>
      <c r="E46" s="233">
        <v>-0.08</v>
      </c>
    </row>
    <row r="47" spans="1:5" x14ac:dyDescent="0.15">
      <c r="A47" s="366"/>
      <c r="B47" s="230" t="s">
        <v>158</v>
      </c>
      <c r="C47" s="237">
        <v>1404.6290990394884</v>
      </c>
      <c r="D47" s="233">
        <v>0.08</v>
      </c>
      <c r="E47" s="233">
        <v>-0.08</v>
      </c>
    </row>
    <row r="48" spans="1:5" x14ac:dyDescent="0.15">
      <c r="A48" s="366"/>
      <c r="B48" s="230" t="s">
        <v>249</v>
      </c>
      <c r="C48" s="237">
        <v>1431.9018263122157</v>
      </c>
      <c r="D48" s="233">
        <v>0.02</v>
      </c>
      <c r="E48" s="233">
        <v>-0.02</v>
      </c>
    </row>
    <row r="49" spans="1:5" x14ac:dyDescent="0.15">
      <c r="A49" s="366"/>
      <c r="B49" s="230" t="s">
        <v>152</v>
      </c>
      <c r="C49" s="237">
        <v>1440.9927354031247</v>
      </c>
      <c r="D49" s="233">
        <v>0</v>
      </c>
      <c r="E49" s="235">
        <v>-0.02</v>
      </c>
    </row>
    <row r="50" spans="1:5" x14ac:dyDescent="0.15">
      <c r="A50" s="366"/>
      <c r="B50" s="230" t="s">
        <v>149</v>
      </c>
      <c r="C50" s="237">
        <v>1450.0836444940337</v>
      </c>
      <c r="D50" s="232">
        <v>-0.02</v>
      </c>
      <c r="E50" s="232">
        <v>-0.02</v>
      </c>
    </row>
    <row r="51" spans="1:5" x14ac:dyDescent="0.15">
      <c r="A51" s="366">
        <v>7</v>
      </c>
      <c r="B51" s="230" t="s">
        <v>147</v>
      </c>
      <c r="C51" s="237">
        <v>1473.8739025027965</v>
      </c>
      <c r="D51" s="232">
        <v>-0.02</v>
      </c>
      <c r="E51" s="232">
        <v>-0.02</v>
      </c>
    </row>
    <row r="52" spans="1:5" x14ac:dyDescent="0.15">
      <c r="A52" s="366"/>
      <c r="B52" s="230" t="s">
        <v>151</v>
      </c>
      <c r="C52" s="237">
        <v>1482.9648115937055</v>
      </c>
      <c r="D52" s="233">
        <v>0</v>
      </c>
      <c r="E52" s="235">
        <v>-0.02</v>
      </c>
    </row>
    <row r="53" spans="1:5" x14ac:dyDescent="0.15">
      <c r="A53" s="366"/>
      <c r="B53" s="230" t="s">
        <v>154</v>
      </c>
      <c r="C53" s="237">
        <v>1492.0557206846145</v>
      </c>
      <c r="D53" s="233">
        <v>0.02</v>
      </c>
      <c r="E53" s="233">
        <v>-0.02</v>
      </c>
    </row>
    <row r="54" spans="1:5" x14ac:dyDescent="0.15">
      <c r="A54" s="366"/>
      <c r="B54" s="230" t="s">
        <v>157</v>
      </c>
      <c r="C54" s="237">
        <v>1519.3284479573417</v>
      </c>
      <c r="D54" s="233">
        <v>0.08</v>
      </c>
      <c r="E54" s="233">
        <v>-0.08</v>
      </c>
    </row>
    <row r="55" spans="1:5" x14ac:dyDescent="0.15">
      <c r="A55" s="366"/>
      <c r="B55" s="230" t="s">
        <v>158</v>
      </c>
      <c r="C55" s="237">
        <v>1530.1335179056152</v>
      </c>
      <c r="D55" s="233">
        <v>0.08</v>
      </c>
      <c r="E55" s="233">
        <v>-0.08</v>
      </c>
    </row>
    <row r="56" spans="1:5" x14ac:dyDescent="0.15">
      <c r="A56" s="366"/>
      <c r="B56" s="230" t="s">
        <v>249</v>
      </c>
      <c r="C56" s="237">
        <v>1557.4062451783425</v>
      </c>
      <c r="D56" s="233">
        <v>0.02</v>
      </c>
      <c r="E56" s="233">
        <v>-0.02</v>
      </c>
    </row>
    <row r="57" spans="1:5" x14ac:dyDescent="0.15">
      <c r="A57" s="366"/>
      <c r="B57" s="230" t="s">
        <v>152</v>
      </c>
      <c r="C57" s="237">
        <v>1566.4971542692515</v>
      </c>
      <c r="D57" s="233">
        <v>0</v>
      </c>
      <c r="E57" s="235">
        <v>-0.02</v>
      </c>
    </row>
    <row r="58" spans="1:5" x14ac:dyDescent="0.15">
      <c r="A58" s="366"/>
      <c r="B58" s="230" t="s">
        <v>149</v>
      </c>
      <c r="C58" s="237">
        <v>1575.5880633601605</v>
      </c>
      <c r="D58" s="232">
        <v>-0.02</v>
      </c>
      <c r="E58" s="232">
        <v>-0.02</v>
      </c>
    </row>
    <row r="59" spans="1:5" x14ac:dyDescent="0.15">
      <c r="A59" s="366">
        <v>7</v>
      </c>
      <c r="B59" s="230" t="s">
        <v>147</v>
      </c>
      <c r="C59" s="237">
        <v>1625.7223680838474</v>
      </c>
      <c r="D59" s="232">
        <v>-0.02</v>
      </c>
      <c r="E59" s="232">
        <v>-0.02</v>
      </c>
    </row>
    <row r="60" spans="1:5" x14ac:dyDescent="0.15">
      <c r="A60" s="366"/>
      <c r="B60" s="230" t="s">
        <v>151</v>
      </c>
      <c r="C60" s="237">
        <v>1634.8132771747564</v>
      </c>
      <c r="D60" s="233">
        <v>0</v>
      </c>
      <c r="E60" s="235">
        <v>-0.02</v>
      </c>
    </row>
    <row r="61" spans="1:5" x14ac:dyDescent="0.15">
      <c r="A61" s="366"/>
      <c r="B61" s="230" t="s">
        <v>154</v>
      </c>
      <c r="C61" s="237">
        <v>1643.9041862656654</v>
      </c>
      <c r="D61" s="233">
        <v>0.02</v>
      </c>
      <c r="E61" s="233">
        <v>-0.02</v>
      </c>
    </row>
    <row r="62" spans="1:5" x14ac:dyDescent="0.15">
      <c r="A62" s="366"/>
      <c r="B62" s="230" t="s">
        <v>157</v>
      </c>
      <c r="C62" s="237">
        <v>1671.1769135383927</v>
      </c>
      <c r="D62" s="233">
        <v>0.08</v>
      </c>
      <c r="E62" s="233">
        <v>-0.08</v>
      </c>
    </row>
    <row r="63" spans="1:5" x14ac:dyDescent="0.15">
      <c r="A63" s="366"/>
      <c r="B63" s="230" t="s">
        <v>158</v>
      </c>
      <c r="C63" s="237">
        <v>1692.0698222928745</v>
      </c>
      <c r="D63" s="233">
        <v>0.08</v>
      </c>
      <c r="E63" s="233">
        <v>-0.08</v>
      </c>
    </row>
    <row r="64" spans="1:5" x14ac:dyDescent="0.15">
      <c r="A64" s="366"/>
      <c r="B64" s="230" t="s">
        <v>249</v>
      </c>
      <c r="C64" s="237">
        <v>1719.3425495656018</v>
      </c>
      <c r="D64" s="233">
        <v>0.02</v>
      </c>
      <c r="E64" s="233">
        <v>-0.02</v>
      </c>
    </row>
    <row r="65" spans="1:5" x14ac:dyDescent="0.15">
      <c r="A65" s="366"/>
      <c r="B65" s="230" t="s">
        <v>152</v>
      </c>
      <c r="C65" s="237">
        <v>1728.4334586565108</v>
      </c>
      <c r="D65" s="233">
        <v>0</v>
      </c>
      <c r="E65" s="235">
        <v>-0.02</v>
      </c>
    </row>
    <row r="66" spans="1:5" x14ac:dyDescent="0.15">
      <c r="A66" s="366"/>
      <c r="B66" s="230" t="s">
        <v>149</v>
      </c>
      <c r="C66" s="237">
        <v>1737.5243677474198</v>
      </c>
      <c r="D66" s="232">
        <v>-0.02</v>
      </c>
      <c r="E66" s="232">
        <v>-0.02</v>
      </c>
    </row>
    <row r="67" spans="1:5" x14ac:dyDescent="0.15">
      <c r="A67" t="s">
        <v>252</v>
      </c>
      <c r="C67" s="237">
        <v>1848.2281943733419</v>
      </c>
      <c r="D67" s="232">
        <v>-0.02</v>
      </c>
      <c r="E67" s="232">
        <v>-0.02</v>
      </c>
    </row>
  </sheetData>
  <mergeCells count="8">
    <mergeCell ref="A43:A50"/>
    <mergeCell ref="A51:A58"/>
    <mergeCell ref="A59:A66"/>
    <mergeCell ref="A3:A10"/>
    <mergeCell ref="A11:A18"/>
    <mergeCell ref="A19:A26"/>
    <mergeCell ref="A27:A34"/>
    <mergeCell ref="A35:A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001"/>
  <sheetViews>
    <sheetView topLeftCell="H2" zoomScale="60" zoomScaleNormal="60" workbookViewId="0">
      <selection activeCell="T21" sqref="T21"/>
    </sheetView>
  </sheetViews>
  <sheetFormatPr baseColWidth="10" defaultColWidth="12.6640625" defaultRowHeight="15" customHeight="1" x14ac:dyDescent="0.15"/>
  <cols>
    <col min="1" max="1" width="5" customWidth="1"/>
    <col min="2" max="2" width="9.1640625" customWidth="1"/>
    <col min="3" max="3" width="9.5" customWidth="1"/>
    <col min="4" max="4" width="9.1640625" customWidth="1"/>
    <col min="5" max="5" width="9.1640625" bestFit="1" customWidth="1"/>
    <col min="6" max="6" width="10.5" bestFit="1" customWidth="1"/>
    <col min="7" max="7" width="4.6640625" customWidth="1"/>
    <col min="8" max="8" width="9" customWidth="1"/>
    <col min="9" max="9" width="10.5" bestFit="1" customWidth="1"/>
    <col min="10" max="10" width="8.6640625" bestFit="1" customWidth="1"/>
    <col min="11" max="11" width="7.5" bestFit="1" customWidth="1"/>
    <col min="12" max="12" width="9.1640625" bestFit="1" customWidth="1"/>
    <col min="13" max="13" width="6.6640625" bestFit="1" customWidth="1"/>
    <col min="14" max="14" width="4.83203125" bestFit="1" customWidth="1"/>
    <col min="15" max="15" width="5.6640625" customWidth="1"/>
    <col min="16" max="16" width="7.83203125" customWidth="1"/>
    <col min="17" max="17" width="11.5" customWidth="1"/>
    <col min="18" max="18" width="10.1640625" customWidth="1"/>
    <col min="19" max="24" width="9.33203125" customWidth="1"/>
    <col min="25" max="25" width="9.6640625" customWidth="1"/>
    <col min="26" max="26" width="8.5" customWidth="1"/>
    <col min="27" max="27" width="6.33203125" customWidth="1"/>
    <col min="28" max="28" width="6.6640625" customWidth="1"/>
    <col min="29" max="29" width="6.1640625" customWidth="1"/>
    <col min="30" max="30" width="9.33203125" customWidth="1"/>
    <col min="37" max="38" width="16.5" bestFit="1" customWidth="1"/>
    <col min="41" max="41" width="17.5" bestFit="1" customWidth="1"/>
  </cols>
  <sheetData>
    <row r="1" spans="1:42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2" ht="48" customHeight="1" x14ac:dyDescent="0.15">
      <c r="A2" s="1"/>
      <c r="B2" s="5" t="s">
        <v>91</v>
      </c>
      <c r="C2" s="65" t="s">
        <v>8</v>
      </c>
      <c r="D2" s="65" t="s">
        <v>92</v>
      </c>
      <c r="E2" s="65" t="s">
        <v>93</v>
      </c>
      <c r="F2" s="65" t="s">
        <v>94</v>
      </c>
      <c r="G2" s="65" t="s">
        <v>95</v>
      </c>
      <c r="H2" s="5" t="s">
        <v>96</v>
      </c>
      <c r="I2" s="65" t="s">
        <v>97</v>
      </c>
      <c r="J2" s="65" t="s">
        <v>98</v>
      </c>
      <c r="K2" s="65" t="s">
        <v>99</v>
      </c>
      <c r="L2" s="65" t="s">
        <v>100</v>
      </c>
      <c r="M2" s="65" t="s">
        <v>101</v>
      </c>
      <c r="N2" s="65" t="s">
        <v>102</v>
      </c>
      <c r="O2" s="65" t="s">
        <v>103</v>
      </c>
      <c r="P2" s="65" t="s">
        <v>104</v>
      </c>
      <c r="Q2" s="364" t="s">
        <v>105</v>
      </c>
      <c r="R2" s="360"/>
      <c r="S2" s="364" t="s">
        <v>24</v>
      </c>
      <c r="T2" s="365"/>
      <c r="U2" s="360"/>
      <c r="V2" s="359" t="s">
        <v>106</v>
      </c>
      <c r="W2" s="365"/>
      <c r="X2" s="367"/>
      <c r="Y2" s="283"/>
      <c r="Z2" s="283"/>
      <c r="AA2" s="284"/>
      <c r="AB2" s="284"/>
      <c r="AC2" s="283"/>
      <c r="AD2" s="1"/>
      <c r="AE2" s="300" t="s">
        <v>298</v>
      </c>
    </row>
    <row r="3" spans="1:42" ht="15" customHeight="1" x14ac:dyDescent="0.15">
      <c r="A3" s="1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5" t="s">
        <v>107</v>
      </c>
      <c r="R3" s="5" t="s">
        <v>108</v>
      </c>
      <c r="S3" s="5" t="s">
        <v>109</v>
      </c>
      <c r="T3" s="5" t="s">
        <v>96</v>
      </c>
      <c r="U3" s="5" t="s">
        <v>110</v>
      </c>
      <c r="V3" s="5" t="s">
        <v>109</v>
      </c>
      <c r="W3" s="244" t="s">
        <v>96</v>
      </c>
      <c r="X3" s="286" t="s">
        <v>110</v>
      </c>
      <c r="Y3" s="273"/>
      <c r="Z3" s="273"/>
      <c r="AA3" s="273"/>
      <c r="AB3" s="273"/>
      <c r="AC3" s="273"/>
      <c r="AD3" s="1"/>
    </row>
    <row r="4" spans="1:42" x14ac:dyDescent="0.15">
      <c r="A4" s="1"/>
      <c r="B4" s="4"/>
      <c r="C4" s="18"/>
      <c r="D4" s="18"/>
      <c r="E4" s="18"/>
      <c r="F4" s="18"/>
      <c r="G4" s="18"/>
      <c r="H4" s="12" t="s">
        <v>31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34"/>
      <c r="T4" s="67">
        <v>0</v>
      </c>
      <c r="U4" s="68"/>
      <c r="W4" s="285">
        <v>1644</v>
      </c>
      <c r="X4" s="287"/>
      <c r="Y4" s="213"/>
      <c r="Z4" s="213"/>
      <c r="AA4" s="215"/>
      <c r="AB4" s="215"/>
      <c r="AC4" s="213"/>
      <c r="AD4" s="1"/>
      <c r="AI4" s="301" t="s">
        <v>299</v>
      </c>
      <c r="AJ4" s="301" t="s">
        <v>304</v>
      </c>
      <c r="AK4" s="301" t="s">
        <v>300</v>
      </c>
      <c r="AL4" s="301" t="s">
        <v>301</v>
      </c>
      <c r="AM4" s="301" t="s">
        <v>303</v>
      </c>
      <c r="AN4" s="301" t="s">
        <v>302</v>
      </c>
      <c r="AO4" s="301" t="s">
        <v>306</v>
      </c>
      <c r="AP4" s="301" t="s">
        <v>305</v>
      </c>
    </row>
    <row r="5" spans="1:42" x14ac:dyDescent="0.15">
      <c r="A5" s="1"/>
      <c r="B5" s="12">
        <v>1</v>
      </c>
      <c r="C5" s="69">
        <v>3.1419999999999999</v>
      </c>
      <c r="D5" s="69">
        <v>301.86099999999999</v>
      </c>
      <c r="E5" s="13">
        <v>40</v>
      </c>
      <c r="F5" s="13">
        <f>IF(E5=40,80,)</f>
        <v>80</v>
      </c>
      <c r="G5" s="13">
        <v>1800</v>
      </c>
      <c r="H5" s="18"/>
      <c r="I5" s="4"/>
      <c r="J5" s="4"/>
      <c r="K5" s="4"/>
      <c r="L5" s="4"/>
      <c r="M5" s="4"/>
      <c r="N5" s="4"/>
      <c r="O5" s="4"/>
      <c r="P5" s="4"/>
      <c r="Q5" s="4"/>
      <c r="R5" s="4"/>
      <c r="S5" s="34"/>
      <c r="T5" s="34"/>
      <c r="U5" s="34"/>
      <c r="V5" s="53"/>
      <c r="W5" s="279"/>
      <c r="X5" s="229"/>
      <c r="Y5" s="215"/>
      <c r="Z5" s="215"/>
      <c r="AA5" s="270"/>
      <c r="AB5" s="270"/>
      <c r="AC5" s="215"/>
      <c r="AD5" s="1"/>
      <c r="AI5" s="302">
        <v>1</v>
      </c>
      <c r="AJ5" s="303">
        <v>7.2410000000000002E-2</v>
      </c>
      <c r="AK5" s="304">
        <f>T20+48.515</f>
        <v>957.21057645170049</v>
      </c>
      <c r="AL5" s="304">
        <f>AK5+AO5</f>
        <v>999.19157645170048</v>
      </c>
      <c r="AM5" s="302">
        <v>1617.1548</v>
      </c>
      <c r="AN5" s="302">
        <v>1614.6927000000001</v>
      </c>
      <c r="AO5" s="302">
        <v>41.981000000000002</v>
      </c>
      <c r="AP5" s="302">
        <v>12.3</v>
      </c>
    </row>
    <row r="6" spans="1:42" x14ac:dyDescent="0.15">
      <c r="A6" s="1"/>
      <c r="B6" s="18"/>
      <c r="C6" s="28"/>
      <c r="D6" s="28"/>
      <c r="E6" s="4"/>
      <c r="F6" s="4"/>
      <c r="G6" s="4"/>
      <c r="H6" s="12" t="s">
        <v>111</v>
      </c>
      <c r="I6" s="13">
        <v>50</v>
      </c>
      <c r="J6" s="13">
        <f>C7-C5</f>
        <v>-10.916</v>
      </c>
      <c r="K6" s="69">
        <v>95</v>
      </c>
      <c r="L6" s="71">
        <f>J6*50*-1</f>
        <v>545.80000000000007</v>
      </c>
      <c r="M6" s="69">
        <f>ROUNDUP(MIN(K6:L6),0)</f>
        <v>95</v>
      </c>
      <c r="N6" s="19">
        <f>M6/2</f>
        <v>47.5</v>
      </c>
      <c r="O6" s="69">
        <f>M6-N6</f>
        <v>47.5</v>
      </c>
      <c r="P6" s="69">
        <f>(N6*O6*J6)/(200*M6)</f>
        <v>-1.2962750000000001</v>
      </c>
      <c r="Q6" s="312" t="str">
        <f>IF(J6&lt;0,"CONVEXA","CONCAVA")</f>
        <v>CONVEXA</v>
      </c>
      <c r="R6" s="13" t="str">
        <f>IF(N6=O6,"SIMETRICA","ASIMETRICA")</f>
        <v>SIMETRICA</v>
      </c>
      <c r="S6" s="67">
        <f>T6-N6</f>
        <v>240.47899999999998</v>
      </c>
      <c r="T6" s="67">
        <v>287.97899999999998</v>
      </c>
      <c r="U6" s="67">
        <f>T6+O6</f>
        <v>335.47899999999998</v>
      </c>
      <c r="V6" s="67">
        <f>W6-N6*(C5/100)</f>
        <v>1651.5563500000001</v>
      </c>
      <c r="W6" s="280">
        <v>1653.0488</v>
      </c>
      <c r="X6" s="278">
        <f>W6+O6*(C7/100)</f>
        <v>1649.3561500000001</v>
      </c>
      <c r="Y6" s="215"/>
      <c r="Z6" s="215"/>
      <c r="AA6" s="270"/>
      <c r="AB6" s="272"/>
      <c r="AC6" s="215"/>
      <c r="AD6" s="1"/>
    </row>
    <row r="7" spans="1:42" x14ac:dyDescent="0.15">
      <c r="A7" s="1"/>
      <c r="B7" s="12">
        <v>2</v>
      </c>
      <c r="C7" s="69">
        <v>-7.774</v>
      </c>
      <c r="D7" s="69">
        <v>260.80500000000001</v>
      </c>
      <c r="E7" s="13">
        <v>50</v>
      </c>
      <c r="F7" s="13">
        <v>140</v>
      </c>
      <c r="G7" s="13">
        <v>295</v>
      </c>
      <c r="H7" s="18"/>
      <c r="I7" s="4"/>
      <c r="J7" s="4"/>
      <c r="K7" s="28"/>
      <c r="L7" s="72"/>
      <c r="M7" s="4"/>
      <c r="N7" s="23"/>
      <c r="O7" s="4"/>
      <c r="P7" s="28"/>
      <c r="Q7" s="4"/>
      <c r="R7" s="4"/>
      <c r="S7" s="34"/>
      <c r="T7" s="34"/>
      <c r="U7" s="34"/>
      <c r="V7" s="53"/>
      <c r="W7" s="279"/>
      <c r="X7" s="229"/>
      <c r="Y7" s="215"/>
      <c r="Z7" s="215"/>
      <c r="AA7" s="270"/>
      <c r="AB7" s="270"/>
      <c r="AC7" s="215"/>
      <c r="AD7" s="1"/>
    </row>
    <row r="8" spans="1:42" x14ac:dyDescent="0.15">
      <c r="A8" s="1"/>
      <c r="B8" s="18"/>
      <c r="C8" s="28"/>
      <c r="D8" s="28"/>
      <c r="E8" s="4"/>
      <c r="F8" s="4"/>
      <c r="G8" s="4"/>
      <c r="H8" s="12" t="s">
        <v>112</v>
      </c>
      <c r="I8" s="13">
        <v>50</v>
      </c>
      <c r="J8" s="13">
        <f>C9-C7</f>
        <v>4.774</v>
      </c>
      <c r="K8" s="69">
        <v>50</v>
      </c>
      <c r="L8" s="71">
        <f>J8*50</f>
        <v>238.7</v>
      </c>
      <c r="M8" s="69">
        <f>ROUNDUP(MIN(K8:L8),0)</f>
        <v>50</v>
      </c>
      <c r="N8" s="19">
        <f>M8/2</f>
        <v>25</v>
      </c>
      <c r="O8" s="69">
        <f>M8-N8</f>
        <v>25</v>
      </c>
      <c r="P8" s="69">
        <f>(N8*O8*J8)/(200*M8)</f>
        <v>0.298375</v>
      </c>
      <c r="Q8" s="312" t="str">
        <f>IF(J8&lt;0,"CONVEXA","CONCAVA")</f>
        <v>CONCAVA</v>
      </c>
      <c r="R8" s="13" t="str">
        <f>IF(N8=O8,"SIMETRICA","ASIMETRICA")</f>
        <v>SIMETRICA</v>
      </c>
      <c r="S8" s="67">
        <f>T8-N8</f>
        <v>468.88200000000001</v>
      </c>
      <c r="T8" s="67">
        <v>493.88200000000001</v>
      </c>
      <c r="U8" s="67">
        <f>T8+O8</f>
        <v>518.88200000000006</v>
      </c>
      <c r="V8" s="67">
        <f>W8-N8*(C7/100)</f>
        <v>1638.9850000000001</v>
      </c>
      <c r="W8" s="280">
        <v>1637.0415</v>
      </c>
      <c r="X8" s="278">
        <f>W8+O8*(C9/100)</f>
        <v>1636.2915</v>
      </c>
      <c r="Y8" s="215"/>
      <c r="Z8" s="215"/>
      <c r="AA8" s="270"/>
      <c r="AB8" s="272"/>
      <c r="AC8" s="215"/>
      <c r="AD8" s="1"/>
      <c r="AH8" s="230"/>
      <c r="AI8" s="230"/>
      <c r="AJ8" s="230"/>
      <c r="AK8" s="230"/>
      <c r="AL8" s="230"/>
      <c r="AM8" s="230"/>
      <c r="AN8" s="230"/>
      <c r="AO8" s="230"/>
      <c r="AP8" s="230"/>
    </row>
    <row r="9" spans="1:42" x14ac:dyDescent="0.15">
      <c r="A9" s="1"/>
      <c r="B9" s="12">
        <v>3</v>
      </c>
      <c r="C9" s="69">
        <v>-3</v>
      </c>
      <c r="D9" s="69">
        <v>302.76900000000001</v>
      </c>
      <c r="E9" s="13">
        <v>50</v>
      </c>
      <c r="F9" s="13">
        <v>140</v>
      </c>
      <c r="G9" s="13">
        <v>1800</v>
      </c>
      <c r="H9" s="18"/>
      <c r="I9" s="4"/>
      <c r="J9" s="4"/>
      <c r="K9" s="28"/>
      <c r="L9" s="72"/>
      <c r="M9" s="4"/>
      <c r="N9" s="23"/>
      <c r="O9" s="4"/>
      <c r="P9" s="28"/>
      <c r="Q9" s="4"/>
      <c r="R9" s="4"/>
      <c r="S9" s="34"/>
      <c r="T9" s="34"/>
      <c r="U9" s="34"/>
      <c r="V9" s="53"/>
      <c r="W9" s="279"/>
      <c r="X9" s="229"/>
      <c r="Y9" s="215"/>
      <c r="Z9" s="215"/>
      <c r="AA9" s="270"/>
      <c r="AB9" s="270"/>
      <c r="AC9" s="215"/>
      <c r="AD9" s="1"/>
      <c r="AH9" s="230"/>
      <c r="AI9" s="305" t="s">
        <v>307</v>
      </c>
      <c r="AJ9" s="305" t="s">
        <v>308</v>
      </c>
      <c r="AK9" s="305" t="s">
        <v>300</v>
      </c>
      <c r="AL9" s="305" t="s">
        <v>301</v>
      </c>
      <c r="AM9" s="305" t="s">
        <v>303</v>
      </c>
      <c r="AN9" s="305" t="s">
        <v>302</v>
      </c>
      <c r="AO9" s="305" t="s">
        <v>306</v>
      </c>
      <c r="AP9" s="306"/>
    </row>
    <row r="10" spans="1:42" x14ac:dyDescent="0.15">
      <c r="A10" s="1"/>
      <c r="B10" s="4"/>
      <c r="C10" s="28"/>
      <c r="D10" s="28"/>
      <c r="E10" s="4"/>
      <c r="F10" s="4"/>
      <c r="G10" s="4"/>
      <c r="H10" s="12" t="s">
        <v>113</v>
      </c>
      <c r="I10" s="13">
        <v>50</v>
      </c>
      <c r="J10" s="13">
        <f>C11-C9</f>
        <v>-4.2409999999999997</v>
      </c>
      <c r="K10" s="69">
        <v>30</v>
      </c>
      <c r="L10" s="71">
        <f>J10*50*-1</f>
        <v>212.04999999999998</v>
      </c>
      <c r="M10" s="69">
        <f>ROUNDUP(MIN(K10:L10),0)</f>
        <v>30</v>
      </c>
      <c r="N10" s="19">
        <f>M10/2</f>
        <v>15</v>
      </c>
      <c r="O10" s="69">
        <f>M10-N10</f>
        <v>15</v>
      </c>
      <c r="P10" s="69">
        <f>(N10*O10*J10)/(200*M10)</f>
        <v>-0.1590375</v>
      </c>
      <c r="Q10" s="312" t="str">
        <f>IF(J10&lt;0,"CONVEXA","CONCAVA")</f>
        <v>CONVEXA</v>
      </c>
      <c r="R10" s="13" t="str">
        <f>IF(N10=O10,"SIMETRICA","ASIMETRICA")</f>
        <v>SIMETRICA</v>
      </c>
      <c r="S10" s="67">
        <f>T10-N10</f>
        <v>768.88199999999995</v>
      </c>
      <c r="T10" s="67">
        <v>783.88199999999995</v>
      </c>
      <c r="U10" s="67">
        <f>T10+O10</f>
        <v>798.88199999999995</v>
      </c>
      <c r="V10" s="67">
        <f>W10-N10*(C9/100)</f>
        <v>1628.7915</v>
      </c>
      <c r="W10" s="280">
        <v>1628.3415</v>
      </c>
      <c r="X10" s="278">
        <f>W10+O10*(C11/100)</f>
        <v>1627.2553499999999</v>
      </c>
      <c r="Y10" s="215"/>
      <c r="Z10" s="215"/>
      <c r="AA10" s="214"/>
      <c r="AB10" s="272"/>
      <c r="AC10" s="215"/>
      <c r="AD10" s="1"/>
      <c r="AH10" s="230"/>
      <c r="AI10" s="307">
        <v>1</v>
      </c>
      <c r="AJ10" s="307">
        <v>5.548</v>
      </c>
      <c r="AK10" s="229">
        <v>0</v>
      </c>
      <c r="AL10" s="229">
        <v>154.16499999999999</v>
      </c>
      <c r="AM10" s="307">
        <v>1644</v>
      </c>
      <c r="AN10" s="307">
        <v>1648.6210000000001</v>
      </c>
      <c r="AO10" s="307">
        <f>AL10-AK10</f>
        <v>154.16499999999999</v>
      </c>
      <c r="AP10" s="230"/>
    </row>
    <row r="11" spans="1:42" x14ac:dyDescent="0.15">
      <c r="A11" s="1"/>
      <c r="B11" s="12">
        <v>4</v>
      </c>
      <c r="C11" s="69">
        <v>-7.2409999999999997</v>
      </c>
      <c r="D11" s="69">
        <v>319.91000000000003</v>
      </c>
      <c r="E11" s="13">
        <v>50</v>
      </c>
      <c r="F11" s="13">
        <v>140</v>
      </c>
      <c r="G11" s="13">
        <v>330</v>
      </c>
      <c r="H11" s="18"/>
      <c r="I11" s="4"/>
      <c r="J11" s="4"/>
      <c r="K11" s="28"/>
      <c r="L11" s="72"/>
      <c r="M11" s="4"/>
      <c r="N11" s="23"/>
      <c r="O11" s="4"/>
      <c r="P11" s="28"/>
      <c r="Q11" s="4"/>
      <c r="R11" s="4"/>
      <c r="S11" s="34"/>
      <c r="T11" s="34"/>
      <c r="U11" s="34"/>
      <c r="V11" s="53"/>
      <c r="W11" s="279"/>
      <c r="X11" s="229"/>
      <c r="Y11" s="215"/>
      <c r="Z11" s="215"/>
      <c r="AA11" s="270"/>
      <c r="AB11" s="270"/>
      <c r="AC11" s="215"/>
      <c r="AD11" s="1"/>
      <c r="AH11" s="230"/>
      <c r="AI11" s="307">
        <v>2</v>
      </c>
      <c r="AJ11" s="307">
        <v>2.3119999999999998</v>
      </c>
      <c r="AK11" s="229">
        <v>216.20400000000001</v>
      </c>
      <c r="AL11" s="229">
        <v>260.31400000000002</v>
      </c>
      <c r="AM11" s="307">
        <v>1650.481</v>
      </c>
      <c r="AN11" s="307">
        <v>1651.703</v>
      </c>
      <c r="AO11" s="308">
        <f>AL11-AK11</f>
        <v>44.110000000000014</v>
      </c>
      <c r="AP11" s="230"/>
    </row>
    <row r="12" spans="1:42" x14ac:dyDescent="0.15">
      <c r="A12" s="1"/>
      <c r="B12" s="18"/>
      <c r="C12" s="28"/>
      <c r="D12" s="28"/>
      <c r="E12" s="4"/>
      <c r="F12" s="4"/>
      <c r="G12" s="4"/>
      <c r="H12" s="12" t="s">
        <v>114</v>
      </c>
      <c r="I12" s="13">
        <v>50</v>
      </c>
      <c r="J12" s="13">
        <f>C13-C11</f>
        <v>15.440999999999999</v>
      </c>
      <c r="K12" s="69">
        <v>160</v>
      </c>
      <c r="L12" s="71">
        <f>J12*50</f>
        <v>772.05</v>
      </c>
      <c r="M12" s="69">
        <f>ROUNDUP(MIN(K12:L12),0)</f>
        <v>160</v>
      </c>
      <c r="N12" s="19">
        <f>M12/2</f>
        <v>80</v>
      </c>
      <c r="O12" s="69">
        <f>M12-N12</f>
        <v>80</v>
      </c>
      <c r="P12" s="69">
        <f>(N12*O12*J12)/(200*M12)</f>
        <v>3.0881999999999996</v>
      </c>
      <c r="Q12" s="312" t="str">
        <f>IF(J12&lt;0,"CONVEXA","CONCAVA")</f>
        <v>CONCAVA</v>
      </c>
      <c r="R12" s="13" t="str">
        <f>IF(N12=O12,"SIMETRICA","ASIMETRICA")</f>
        <v>SIMETRICA</v>
      </c>
      <c r="S12" s="67">
        <f>T12-N12</f>
        <v>963</v>
      </c>
      <c r="T12" s="67">
        <v>1043</v>
      </c>
      <c r="U12" s="67">
        <f>T12+O12</f>
        <v>1123</v>
      </c>
      <c r="V12" s="67">
        <f>W12-N12*(C11/100)</f>
        <v>1615.3725999999999</v>
      </c>
      <c r="W12" s="280">
        <v>1609.5798</v>
      </c>
      <c r="X12" s="278">
        <f>W12+O12*(C13/100)</f>
        <v>1616.1397999999999</v>
      </c>
      <c r="Y12" s="215"/>
      <c r="Z12" s="215"/>
      <c r="AA12" s="270"/>
      <c r="AB12" s="272"/>
      <c r="AC12" s="215"/>
      <c r="AD12" s="1"/>
      <c r="AH12" s="230"/>
      <c r="AI12" s="307">
        <v>3</v>
      </c>
      <c r="AJ12" s="307">
        <v>14.154</v>
      </c>
      <c r="AK12" s="309">
        <f>U6+55.879</f>
        <v>391.358</v>
      </c>
      <c r="AL12" s="309">
        <f>664.202-88.578</f>
        <v>575.62400000000002</v>
      </c>
      <c r="AM12" s="307">
        <v>1645.7650000000001</v>
      </c>
      <c r="AN12" s="307">
        <v>1634.4770000000001</v>
      </c>
      <c r="AO12" s="310">
        <f>AL12-AK12</f>
        <v>184.26600000000002</v>
      </c>
      <c r="AP12" s="230"/>
    </row>
    <row r="13" spans="1:42" x14ac:dyDescent="0.15">
      <c r="A13" s="1"/>
      <c r="B13" s="12">
        <v>5</v>
      </c>
      <c r="C13" s="69">
        <v>8.1999999999999993</v>
      </c>
      <c r="D13" s="69">
        <v>280.39100000000002</v>
      </c>
      <c r="E13" s="13">
        <v>50</v>
      </c>
      <c r="F13" s="13">
        <v>140</v>
      </c>
      <c r="G13" s="13">
        <v>282</v>
      </c>
      <c r="H13" s="18"/>
      <c r="I13" s="4"/>
      <c r="J13" s="4"/>
      <c r="K13" s="28"/>
      <c r="L13" s="72"/>
      <c r="M13" s="4"/>
      <c r="N13" s="23"/>
      <c r="O13" s="4"/>
      <c r="P13" s="28"/>
      <c r="Q13" s="4"/>
      <c r="R13" s="4"/>
      <c r="S13" s="34"/>
      <c r="T13" s="34"/>
      <c r="U13" s="34"/>
      <c r="V13" s="53"/>
      <c r="W13" s="279"/>
      <c r="X13" s="229"/>
      <c r="Y13" s="215"/>
      <c r="Z13" s="215"/>
      <c r="AA13" s="270"/>
      <c r="AB13" s="270"/>
      <c r="AC13" s="215"/>
      <c r="AD13" s="1"/>
      <c r="AH13" s="230"/>
      <c r="AI13" s="307">
        <v>4</v>
      </c>
      <c r="AJ13" s="307">
        <v>21.11</v>
      </c>
      <c r="AK13" s="309">
        <f>68.647+664.2024</f>
        <v>732.84940000000006</v>
      </c>
      <c r="AL13" s="22">
        <v>899.08557645170094</v>
      </c>
      <c r="AM13" s="307">
        <v>1629.952</v>
      </c>
      <c r="AN13" s="307">
        <v>1620</v>
      </c>
      <c r="AO13" s="311">
        <f>AL13-AK13</f>
        <v>166.23617645170089</v>
      </c>
      <c r="AP13" s="230"/>
    </row>
    <row r="14" spans="1:42" x14ac:dyDescent="0.15">
      <c r="A14" s="1"/>
      <c r="B14" s="4"/>
      <c r="C14" s="28"/>
      <c r="D14" s="28"/>
      <c r="E14" s="4"/>
      <c r="F14" s="4"/>
      <c r="G14" s="4"/>
      <c r="H14" s="12" t="s">
        <v>115</v>
      </c>
      <c r="I14" s="13">
        <v>50</v>
      </c>
      <c r="J14" s="13">
        <f>C15-C13</f>
        <v>-5.3999999999999995</v>
      </c>
      <c r="K14" s="69">
        <v>30</v>
      </c>
      <c r="L14" s="71">
        <f>J14*50*-1</f>
        <v>270</v>
      </c>
      <c r="M14" s="69">
        <f>ROUNDUP(MIN(K14:L14),0)</f>
        <v>30</v>
      </c>
      <c r="N14" s="19">
        <f>M14/2</f>
        <v>15</v>
      </c>
      <c r="O14" s="69">
        <f>M14-N14</f>
        <v>15</v>
      </c>
      <c r="P14" s="69">
        <f>(N14*O14*J14)/(200*M14)</f>
        <v>-0.20249999999999996</v>
      </c>
      <c r="Q14" s="312" t="str">
        <f>IF(J14&lt;0,"CONVEXA","CONCAVA")</f>
        <v>CONVEXA</v>
      </c>
      <c r="R14" s="13" t="str">
        <f>IF(N14=O14,"SIMETRICA","ASIMETRICA")</f>
        <v>SIMETRICA</v>
      </c>
      <c r="S14" s="67">
        <f>T14-N14</f>
        <v>1244.817</v>
      </c>
      <c r="T14" s="67">
        <v>1259.817</v>
      </c>
      <c r="U14" s="67">
        <f>T14+O14</f>
        <v>1274.817</v>
      </c>
      <c r="V14" s="67">
        <f>W14-N14*(C13/100)</f>
        <v>1626.1288</v>
      </c>
      <c r="W14" s="280">
        <v>1627.3588</v>
      </c>
      <c r="X14" s="278">
        <f>W14+O14*(C15/100)</f>
        <v>1627.7788</v>
      </c>
      <c r="Y14" s="215"/>
      <c r="Z14" s="215"/>
      <c r="AA14" s="270"/>
      <c r="AB14" s="272"/>
      <c r="AC14" s="215"/>
      <c r="AD14" s="1"/>
      <c r="AH14" s="230"/>
      <c r="AI14" s="307">
        <v>5</v>
      </c>
      <c r="AJ14" s="307">
        <v>4.3319999999999999</v>
      </c>
      <c r="AK14" s="309">
        <f>AL14-AO14</f>
        <v>1532.9169999999999</v>
      </c>
      <c r="AL14" s="309">
        <f>1761.282-50.798</f>
        <v>1710.4839999999999</v>
      </c>
      <c r="AM14" s="307">
        <v>1611.01</v>
      </c>
      <c r="AN14" s="307">
        <v>1622.269</v>
      </c>
      <c r="AO14" s="307">
        <v>177.56700000000001</v>
      </c>
      <c r="AP14" s="230"/>
    </row>
    <row r="15" spans="1:42" x14ac:dyDescent="0.15">
      <c r="A15" s="1"/>
      <c r="B15" s="12">
        <v>6</v>
      </c>
      <c r="C15" s="69">
        <v>2.8</v>
      </c>
      <c r="D15" s="69">
        <v>290.76900000000001</v>
      </c>
      <c r="E15" s="13">
        <v>50</v>
      </c>
      <c r="F15" s="13">
        <v>140</v>
      </c>
      <c r="G15" s="13">
        <v>1800</v>
      </c>
      <c r="H15" s="18"/>
      <c r="I15" s="4"/>
      <c r="J15" s="4"/>
      <c r="K15" s="28"/>
      <c r="L15" s="72"/>
      <c r="M15" s="4"/>
      <c r="N15" s="23"/>
      <c r="O15" s="4"/>
      <c r="P15" s="28"/>
      <c r="Q15" s="4"/>
      <c r="R15" s="4"/>
      <c r="S15" s="34"/>
      <c r="T15" s="34"/>
      <c r="U15" s="34"/>
      <c r="V15" s="53"/>
      <c r="W15" s="279"/>
      <c r="X15" s="229"/>
      <c r="Y15" s="215"/>
      <c r="Z15" s="215"/>
      <c r="AA15" s="270"/>
      <c r="AB15" s="270"/>
      <c r="AC15" s="215"/>
      <c r="AD15" s="1"/>
      <c r="AH15" s="230"/>
      <c r="AI15" s="230"/>
      <c r="AJ15" s="230"/>
      <c r="AK15" s="230"/>
      <c r="AL15" s="230"/>
      <c r="AM15" s="230"/>
      <c r="AN15" s="230"/>
      <c r="AO15" s="230"/>
      <c r="AP15" s="230"/>
    </row>
    <row r="16" spans="1:42" x14ac:dyDescent="0.15">
      <c r="A16" s="1"/>
      <c r="B16" s="18"/>
      <c r="C16" s="28"/>
      <c r="D16" s="28"/>
      <c r="E16" s="4"/>
      <c r="F16" s="4"/>
      <c r="G16" s="4"/>
      <c r="H16" s="12" t="s">
        <v>116</v>
      </c>
      <c r="I16" s="13">
        <v>50</v>
      </c>
      <c r="J16" s="13">
        <f>C17-C15</f>
        <v>2.6480000000000006</v>
      </c>
      <c r="K16" s="69">
        <v>40</v>
      </c>
      <c r="L16" s="71">
        <f>J16*50</f>
        <v>132.40000000000003</v>
      </c>
      <c r="M16" s="69">
        <f>ROUNDUP(MIN(K16:L16),0)</f>
        <v>40</v>
      </c>
      <c r="N16" s="19">
        <f>M16/2</f>
        <v>20</v>
      </c>
      <c r="O16" s="69">
        <f>M16-N16</f>
        <v>20</v>
      </c>
      <c r="P16" s="69">
        <f>(N16*O16*J16)/(200*M16)</f>
        <v>0.13240000000000005</v>
      </c>
      <c r="Q16" s="312" t="str">
        <f>IF(J16&lt;0,"CONVEXA","CONCAVA")</f>
        <v>CONCAVA</v>
      </c>
      <c r="R16" s="13" t="str">
        <f>IF(N16=O16,"SIMETRICA","ASIMETRICA")</f>
        <v>SIMETRICA</v>
      </c>
      <c r="S16" s="67">
        <f>T16-N16</f>
        <v>1519.817</v>
      </c>
      <c r="T16" s="67">
        <v>1539.817</v>
      </c>
      <c r="U16" s="67">
        <f>T16+O16</f>
        <v>1559.817</v>
      </c>
      <c r="V16" s="67">
        <f>W16-N16*(C15/100)</f>
        <v>1634.6387999999999</v>
      </c>
      <c r="W16" s="280">
        <v>1635.1987999999999</v>
      </c>
      <c r="X16" s="278">
        <f>W16+O16*(C17/100)</f>
        <v>1636.2883999999999</v>
      </c>
      <c r="Y16" s="215"/>
      <c r="Z16" s="215"/>
      <c r="AA16" s="270"/>
      <c r="AB16" s="272"/>
      <c r="AC16" s="215"/>
      <c r="AD16" s="1"/>
      <c r="AH16" s="230"/>
      <c r="AI16" s="230"/>
      <c r="AJ16" s="230"/>
      <c r="AK16" s="230"/>
      <c r="AL16" s="230"/>
      <c r="AM16" s="230"/>
      <c r="AN16" s="230"/>
      <c r="AO16" s="230"/>
      <c r="AP16" s="230"/>
    </row>
    <row r="17" spans="1:31" x14ac:dyDescent="0.15">
      <c r="A17" s="1"/>
      <c r="B17" s="12">
        <v>7</v>
      </c>
      <c r="C17" s="69">
        <v>5.4480000000000004</v>
      </c>
      <c r="D17" s="69">
        <v>351.20600000000002</v>
      </c>
      <c r="E17" s="13">
        <v>50</v>
      </c>
      <c r="F17" s="13">
        <v>140</v>
      </c>
      <c r="G17" s="13">
        <v>450</v>
      </c>
      <c r="H17" s="18"/>
      <c r="I17" s="4"/>
      <c r="J17" s="4"/>
      <c r="K17" s="28"/>
      <c r="L17" s="72"/>
      <c r="M17" s="4"/>
      <c r="N17" s="4"/>
      <c r="O17" s="4"/>
      <c r="P17" s="28"/>
      <c r="Q17" s="4"/>
      <c r="R17" s="4"/>
      <c r="S17" s="34"/>
      <c r="T17" s="34"/>
      <c r="U17" s="34"/>
      <c r="V17" s="53"/>
      <c r="W17" s="279"/>
      <c r="X17" s="229"/>
      <c r="Y17" s="215"/>
      <c r="Z17" s="215"/>
      <c r="AA17" s="270"/>
      <c r="AB17" s="270"/>
      <c r="AC17" s="215"/>
      <c r="AD17" s="1"/>
    </row>
    <row r="18" spans="1:31" x14ac:dyDescent="0.15">
      <c r="A18" s="1"/>
      <c r="B18" s="4"/>
      <c r="C18" s="28"/>
      <c r="D18" s="28"/>
      <c r="E18" s="4"/>
      <c r="F18" s="4"/>
      <c r="G18" s="4"/>
      <c r="H18" s="12"/>
      <c r="I18" s="13"/>
      <c r="J18" s="13"/>
      <c r="K18" s="69"/>
      <c r="L18" s="71"/>
      <c r="M18" s="69"/>
      <c r="N18" s="13"/>
      <c r="O18" s="69"/>
      <c r="P18" s="69"/>
      <c r="Q18" s="13"/>
      <c r="R18" s="13"/>
      <c r="S18" s="67"/>
      <c r="T18" s="67"/>
      <c r="U18" s="67"/>
      <c r="V18" s="67"/>
      <c r="W18" s="280"/>
      <c r="X18" s="278"/>
      <c r="Y18" s="215"/>
      <c r="Z18" s="215"/>
      <c r="AA18" s="270"/>
      <c r="AB18" s="272"/>
      <c r="AC18" s="215"/>
      <c r="AD18" s="1"/>
    </row>
    <row r="19" spans="1:31" x14ac:dyDescent="0.15">
      <c r="A19" s="1"/>
      <c r="B19" s="209"/>
      <c r="C19" s="290"/>
      <c r="D19" s="290"/>
      <c r="E19" s="267"/>
      <c r="F19" s="267"/>
      <c r="G19" s="267"/>
      <c r="H19" s="209" t="s">
        <v>53</v>
      </c>
      <c r="I19" s="267"/>
      <c r="J19" s="267"/>
      <c r="K19" s="267"/>
      <c r="L19" s="267"/>
      <c r="M19" s="267"/>
      <c r="N19" s="267"/>
      <c r="O19" s="267"/>
      <c r="P19" s="267"/>
      <c r="Q19" s="267"/>
      <c r="R19" s="267"/>
      <c r="S19" s="288">
        <v>1848.2281943733419</v>
      </c>
      <c r="T19" s="50">
        <v>1848.2281943733419</v>
      </c>
      <c r="U19" s="50">
        <v>1848.2281943733419</v>
      </c>
      <c r="V19" s="288"/>
      <c r="W19" s="281">
        <v>1652</v>
      </c>
      <c r="X19" s="289"/>
      <c r="Y19" s="215"/>
      <c r="Z19" s="215"/>
      <c r="AA19" s="270"/>
      <c r="AB19" s="270"/>
      <c r="AC19" s="215"/>
      <c r="AD19" s="1"/>
    </row>
    <row r="20" spans="1:31" x14ac:dyDescent="0.15">
      <c r="A20" s="1"/>
      <c r="B20" s="274"/>
      <c r="C20" s="275"/>
      <c r="D20" s="275"/>
      <c r="E20" s="276"/>
      <c r="F20" s="276"/>
      <c r="G20" s="276"/>
      <c r="H20" s="223" t="s">
        <v>54</v>
      </c>
      <c r="I20" s="276"/>
      <c r="J20" s="276"/>
      <c r="K20" s="276"/>
      <c r="L20" s="276"/>
      <c r="M20" s="276"/>
      <c r="N20" s="276"/>
      <c r="O20" s="276"/>
      <c r="P20" s="276"/>
      <c r="Q20" s="276"/>
      <c r="R20" s="276"/>
      <c r="S20" s="277"/>
      <c r="T20" s="22">
        <f>'CARTERA HZ'!R25</f>
        <v>908.6955764517005</v>
      </c>
      <c r="U20" s="277"/>
      <c r="V20" s="229"/>
      <c r="W20" s="282">
        <v>1620</v>
      </c>
      <c r="X20" s="229"/>
      <c r="Y20" s="215"/>
      <c r="Z20" s="215"/>
      <c r="AA20" s="270"/>
      <c r="AB20" s="272"/>
      <c r="AC20" s="215"/>
      <c r="AD20" s="215"/>
      <c r="AE20" s="268"/>
    </row>
    <row r="21" spans="1:31" ht="15.75" customHeight="1" x14ac:dyDescent="0.15">
      <c r="A21" s="1"/>
      <c r="B21" s="213"/>
      <c r="C21" s="214"/>
      <c r="D21" s="214"/>
      <c r="E21" s="215"/>
      <c r="F21" s="215"/>
      <c r="G21" s="215"/>
      <c r="H21" s="213"/>
      <c r="I21" s="215"/>
      <c r="J21" s="215"/>
      <c r="K21" s="214"/>
      <c r="L21" s="269"/>
      <c r="M21" s="215"/>
      <c r="N21" s="215"/>
      <c r="O21" s="215"/>
      <c r="P21" s="214"/>
      <c r="Q21" s="215"/>
      <c r="R21" s="215"/>
      <c r="S21" s="217"/>
      <c r="T21" s="217"/>
      <c r="U21" s="217"/>
      <c r="V21" s="217"/>
      <c r="W21" s="217"/>
      <c r="X21" s="217"/>
      <c r="Y21" s="215"/>
      <c r="Z21" s="215"/>
      <c r="AA21" s="270"/>
      <c r="AB21" s="270"/>
      <c r="AC21" s="215"/>
      <c r="AD21" s="215"/>
      <c r="AE21" s="268"/>
    </row>
    <row r="22" spans="1:31" ht="15.75" customHeight="1" x14ac:dyDescent="0.15">
      <c r="A22" s="1"/>
      <c r="B22" s="215"/>
      <c r="C22" s="214"/>
      <c r="D22" s="214"/>
      <c r="E22" s="215"/>
      <c r="F22" s="215"/>
      <c r="G22" s="215"/>
      <c r="H22" s="213"/>
      <c r="I22" s="215"/>
      <c r="J22" s="271"/>
      <c r="K22" s="214"/>
      <c r="L22" s="269"/>
      <c r="M22" s="214"/>
      <c r="N22" s="215"/>
      <c r="O22" s="214"/>
      <c r="P22" s="214"/>
      <c r="Q22" s="215"/>
      <c r="R22" s="215"/>
      <c r="S22" s="219"/>
      <c r="T22" s="219"/>
      <c r="U22" s="219"/>
      <c r="V22" s="219"/>
      <c r="W22" s="219"/>
      <c r="X22" s="219"/>
      <c r="Y22" s="215"/>
      <c r="Z22" s="215"/>
      <c r="AA22" s="270"/>
      <c r="AB22" s="272"/>
      <c r="AC22" s="215"/>
      <c r="AD22" s="215"/>
      <c r="AE22" s="268"/>
    </row>
    <row r="23" spans="1:31" ht="15.75" customHeight="1" x14ac:dyDescent="0.15">
      <c r="A23" s="1"/>
      <c r="B23" s="213"/>
      <c r="C23" s="214"/>
      <c r="D23" s="214"/>
      <c r="E23" s="215"/>
      <c r="F23" s="215"/>
      <c r="G23" s="215"/>
      <c r="H23" s="213"/>
      <c r="I23" s="215"/>
      <c r="J23" s="215"/>
      <c r="K23" s="214"/>
      <c r="L23" s="269"/>
      <c r="M23" s="215"/>
      <c r="N23" s="215"/>
      <c r="O23" s="215"/>
      <c r="P23" s="214"/>
      <c r="Q23" s="215"/>
      <c r="R23" s="215"/>
      <c r="S23" s="217"/>
      <c r="T23" s="217"/>
      <c r="U23" s="217"/>
      <c r="V23" s="217"/>
      <c r="W23" s="217"/>
      <c r="X23" s="217"/>
      <c r="Y23" s="215"/>
      <c r="Z23" s="215"/>
      <c r="AA23" s="270"/>
      <c r="AB23" s="270"/>
      <c r="AC23" s="215"/>
      <c r="AD23" s="215"/>
      <c r="AE23" s="268"/>
    </row>
    <row r="24" spans="1:31" ht="15.75" customHeight="1" x14ac:dyDescent="0.15">
      <c r="A24" s="1"/>
      <c r="B24" s="213"/>
      <c r="C24" s="214"/>
      <c r="D24" s="214"/>
      <c r="E24" s="215"/>
      <c r="F24" s="215"/>
      <c r="G24" s="215"/>
      <c r="H24" s="213"/>
      <c r="I24" s="215"/>
      <c r="J24" s="271"/>
      <c r="K24" s="214"/>
      <c r="L24" s="269"/>
      <c r="M24" s="214"/>
      <c r="N24" s="215"/>
      <c r="O24" s="214"/>
      <c r="P24" s="214"/>
      <c r="Q24" s="215"/>
      <c r="R24" s="215"/>
      <c r="S24" s="219"/>
      <c r="T24" s="219"/>
      <c r="U24" s="219"/>
      <c r="V24" s="219"/>
      <c r="W24" s="219"/>
      <c r="X24" s="219"/>
      <c r="Y24" s="215"/>
      <c r="Z24" s="215"/>
      <c r="AA24" s="270"/>
      <c r="AB24" s="272"/>
      <c r="AC24" s="215"/>
      <c r="AD24" s="215"/>
      <c r="AE24" s="268"/>
    </row>
    <row r="25" spans="1:31" ht="15.75" customHeight="1" x14ac:dyDescent="0.15">
      <c r="A25" s="1"/>
      <c r="B25" s="213"/>
      <c r="C25" s="214"/>
      <c r="D25" s="214"/>
      <c r="E25" s="215"/>
      <c r="F25" s="215"/>
      <c r="G25" s="215"/>
      <c r="H25" s="213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7"/>
      <c r="T25" s="217"/>
      <c r="U25" s="217"/>
      <c r="V25" s="217"/>
      <c r="W25" s="217"/>
      <c r="X25" s="217"/>
      <c r="Y25" s="215"/>
      <c r="Z25" s="215"/>
      <c r="AA25" s="270"/>
      <c r="AB25" s="270"/>
      <c r="AC25" s="215"/>
      <c r="AD25" s="215"/>
      <c r="AE25" s="268"/>
    </row>
    <row r="26" spans="1:31" ht="15.75" customHeight="1" x14ac:dyDescent="0.15">
      <c r="A26" s="1"/>
      <c r="B26" s="213"/>
      <c r="C26" s="271"/>
      <c r="D26" s="215"/>
      <c r="E26" s="215"/>
      <c r="F26" s="215"/>
      <c r="G26" s="215"/>
      <c r="H26" s="213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73"/>
      <c r="T26" s="273"/>
      <c r="U26" s="273"/>
      <c r="V26" s="273"/>
      <c r="W26" s="273"/>
      <c r="X26" s="273"/>
      <c r="Y26" s="215"/>
      <c r="Z26" s="215"/>
      <c r="AA26" s="213"/>
      <c r="AB26" s="213"/>
      <c r="AC26" s="215"/>
      <c r="AD26" s="215"/>
      <c r="AE26" s="268"/>
    </row>
    <row r="27" spans="1:31" ht="15.75" customHeight="1" x14ac:dyDescent="0.15">
      <c r="A27" s="1"/>
      <c r="B27" s="215"/>
      <c r="C27" s="215"/>
      <c r="D27" s="215"/>
      <c r="E27" s="215"/>
      <c r="F27" s="215"/>
      <c r="G27" s="215"/>
      <c r="H27" s="213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9"/>
      <c r="T27" s="219"/>
      <c r="U27" s="219"/>
      <c r="V27" s="219"/>
      <c r="W27" s="219"/>
      <c r="X27" s="219"/>
      <c r="Y27" s="215"/>
      <c r="Z27" s="215"/>
      <c r="AA27" s="213"/>
      <c r="AB27" s="213"/>
      <c r="AC27" s="215"/>
      <c r="AD27" s="215"/>
      <c r="AE27" s="268"/>
    </row>
    <row r="28" spans="1:31" ht="15.75" customHeight="1" x14ac:dyDescent="0.15">
      <c r="A28" s="1"/>
      <c r="B28" s="215"/>
      <c r="C28" s="215"/>
      <c r="D28" s="215"/>
      <c r="E28" s="215"/>
      <c r="F28" s="215"/>
      <c r="G28" s="215"/>
      <c r="H28" s="213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7"/>
      <c r="T28" s="219"/>
      <c r="U28" s="217"/>
      <c r="V28" s="217"/>
      <c r="W28" s="217"/>
      <c r="X28" s="217"/>
      <c r="Y28" s="215"/>
      <c r="Z28" s="215"/>
      <c r="AA28" s="215"/>
      <c r="AB28" s="215"/>
      <c r="AC28" s="215"/>
      <c r="AD28" s="215"/>
      <c r="AE28" s="268"/>
    </row>
    <row r="29" spans="1:31" ht="15.75" customHeight="1" x14ac:dyDescent="0.15">
      <c r="A29" s="1"/>
      <c r="B29" s="215"/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  <c r="AA29" s="215"/>
      <c r="AB29" s="215"/>
      <c r="AC29" s="215"/>
      <c r="AD29" s="215"/>
      <c r="AE29" s="268"/>
    </row>
    <row r="30" spans="1:31" ht="15.75" customHeight="1" thickBot="1" x14ac:dyDescent="0.2">
      <c r="A30" s="1"/>
      <c r="B30" s="260" t="s">
        <v>284</v>
      </c>
      <c r="C30" s="7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1" ht="15.75" customHeight="1" x14ac:dyDescent="0.15">
      <c r="A31" s="1"/>
      <c r="B31" s="261" t="s">
        <v>285</v>
      </c>
      <c r="C31" s="262" t="s">
        <v>291</v>
      </c>
      <c r="D31" s="1"/>
      <c r="E31" s="261" t="s">
        <v>292</v>
      </c>
      <c r="F31" s="262" t="s">
        <v>291</v>
      </c>
      <c r="G31" s="1"/>
      <c r="H31" s="261" t="s">
        <v>294</v>
      </c>
      <c r="I31" s="262" t="s">
        <v>291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1" ht="15.75" customHeight="1" x14ac:dyDescent="0.15">
      <c r="A32" s="1"/>
      <c r="B32" s="263" t="s">
        <v>287</v>
      </c>
      <c r="C32" s="264">
        <v>95</v>
      </c>
      <c r="D32" s="1"/>
      <c r="E32" s="263" t="s">
        <v>287</v>
      </c>
      <c r="F32" s="264">
        <v>20</v>
      </c>
      <c r="G32" s="1"/>
      <c r="H32" s="263" t="s">
        <v>287</v>
      </c>
      <c r="I32" s="264">
        <v>27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customHeight="1" thickBot="1" x14ac:dyDescent="0.2">
      <c r="A33" s="1"/>
      <c r="B33" s="265" t="s">
        <v>289</v>
      </c>
      <c r="C33" s="266">
        <f>0.6*I6</f>
        <v>30</v>
      </c>
      <c r="D33" s="1"/>
      <c r="E33" s="265" t="s">
        <v>289</v>
      </c>
      <c r="F33" s="266">
        <f>0.6*50</f>
        <v>30</v>
      </c>
      <c r="G33" s="1"/>
      <c r="H33" s="265" t="s">
        <v>289</v>
      </c>
      <c r="I33" s="266">
        <f>0.6*50</f>
        <v>30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customHeight="1" x14ac:dyDescent="0.15">
      <c r="A34" s="1"/>
      <c r="B34" s="260" t="s">
        <v>296</v>
      </c>
      <c r="C34" s="83">
        <f>P6*((O6/2)/N6)^2</f>
        <v>-0.32406875000000002</v>
      </c>
      <c r="D34" s="1"/>
      <c r="E34" s="260" t="s">
        <v>296</v>
      </c>
      <c r="F34" s="83">
        <f>P10*((O10/2)/N10)^2</f>
        <v>-3.9759375E-2</v>
      </c>
      <c r="G34" s="1"/>
      <c r="H34" s="260" t="s">
        <v>296</v>
      </c>
      <c r="I34" s="83">
        <f>P14*((O14/2)/N14)^2</f>
        <v>-5.0624999999999989E-2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customHeight="1" thickBot="1" x14ac:dyDescent="0.2">
      <c r="A35" s="1"/>
      <c r="D35" s="1"/>
      <c r="G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customHeight="1" x14ac:dyDescent="0.15">
      <c r="A36" s="1"/>
      <c r="B36" s="313" t="s">
        <v>290</v>
      </c>
      <c r="C36" s="314" t="s">
        <v>286</v>
      </c>
      <c r="D36" s="1"/>
      <c r="E36" s="261" t="s">
        <v>293</v>
      </c>
      <c r="F36" s="262" t="s">
        <v>286</v>
      </c>
      <c r="G36" s="1"/>
      <c r="H36" s="261" t="s">
        <v>295</v>
      </c>
      <c r="I36" s="262" t="s">
        <v>286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customHeight="1" x14ac:dyDescent="0.15">
      <c r="A37" s="1"/>
      <c r="B37" s="263" t="s">
        <v>287</v>
      </c>
      <c r="C37" s="264">
        <v>50</v>
      </c>
      <c r="D37" s="1"/>
      <c r="E37" s="263" t="s">
        <v>287</v>
      </c>
      <c r="F37" s="264">
        <v>150</v>
      </c>
      <c r="G37" s="1"/>
      <c r="H37" s="263" t="s">
        <v>287</v>
      </c>
      <c r="I37" s="264">
        <v>40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 thickBot="1" x14ac:dyDescent="0.2">
      <c r="A38" s="1"/>
      <c r="B38" s="263" t="s">
        <v>289</v>
      </c>
      <c r="C38" s="264">
        <f>0.6*I10</f>
        <v>30</v>
      </c>
      <c r="D38" s="1"/>
      <c r="E38" s="265" t="s">
        <v>289</v>
      </c>
      <c r="F38" s="266">
        <f>0.6*50</f>
        <v>30</v>
      </c>
      <c r="G38" s="1"/>
      <c r="H38" s="265" t="s">
        <v>289</v>
      </c>
      <c r="I38" s="266">
        <f>0.6*50</f>
        <v>30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 thickBot="1" x14ac:dyDescent="0.2">
      <c r="A39" s="1"/>
      <c r="B39" s="265" t="s">
        <v>288</v>
      </c>
      <c r="C39" s="266">
        <f>((I8)^2*J8)/395</f>
        <v>30.215189873417721</v>
      </c>
      <c r="D39" s="1"/>
      <c r="E39" s="265" t="s">
        <v>288</v>
      </c>
      <c r="F39" s="266">
        <f>((I12)^2*J12)/395</f>
        <v>97.72784810126582</v>
      </c>
      <c r="G39" s="1"/>
      <c r="H39" s="265" t="s">
        <v>288</v>
      </c>
      <c r="I39" s="266">
        <f>((I16)^2*J16)/395</f>
        <v>16.75949367088608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 x14ac:dyDescent="0.15">
      <c r="A40" s="1"/>
      <c r="B40" s="260" t="s">
        <v>296</v>
      </c>
      <c r="C40" s="83">
        <f>P8*((O8/2)/N8)^2</f>
        <v>7.459375E-2</v>
      </c>
      <c r="D40" s="1"/>
      <c r="E40" s="260" t="s">
        <v>296</v>
      </c>
      <c r="F40" s="83">
        <f>P12*((O12/2)/N12)^2</f>
        <v>0.7720499999999999</v>
      </c>
      <c r="G40" s="1"/>
      <c r="H40" s="260" t="s">
        <v>296</v>
      </c>
      <c r="I40" s="83">
        <f>P16*((O16/2)/N16)^2</f>
        <v>3.3100000000000011E-2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ht="15.75" customHeight="1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mergeCells count="3">
    <mergeCell ref="Q2:R2"/>
    <mergeCell ref="S2:U2"/>
    <mergeCell ref="V2:X2"/>
  </mergeCell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85" workbookViewId="0">
      <selection activeCell="F105" sqref="F105"/>
    </sheetView>
  </sheetViews>
  <sheetFormatPr baseColWidth="10" defaultColWidth="12.6640625" defaultRowHeight="15" customHeight="1" x14ac:dyDescent="0.15"/>
  <cols>
    <col min="1" max="1" width="4.6640625" customWidth="1"/>
    <col min="2" max="2" width="12.1640625" customWidth="1"/>
    <col min="3" max="3" width="10.1640625" customWidth="1"/>
    <col min="4" max="4" width="9.33203125" customWidth="1"/>
    <col min="5" max="6" width="32.83203125" bestFit="1" customWidth="1"/>
    <col min="7" max="7" width="6.33203125" customWidth="1"/>
    <col min="8" max="8" width="9.6640625" bestFit="1" customWidth="1"/>
    <col min="9" max="9" width="8.33203125" bestFit="1" customWidth="1"/>
    <col min="10" max="10" width="5.6640625" customWidth="1"/>
    <col min="11" max="13" width="11" customWidth="1"/>
    <col min="14" max="26" width="10.6640625" customWidth="1"/>
  </cols>
  <sheetData>
    <row r="1" spans="1:26" ht="14.25" customHeight="1" x14ac:dyDescent="0.1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4.25" customHeight="1" x14ac:dyDescent="0.1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41.25" customHeight="1" x14ac:dyDescent="0.15">
      <c r="A3" s="74"/>
      <c r="B3" s="75" t="s">
        <v>117</v>
      </c>
      <c r="C3" s="76" t="s">
        <v>118</v>
      </c>
      <c r="D3" s="76" t="s">
        <v>119</v>
      </c>
      <c r="E3" s="76" t="s">
        <v>120</v>
      </c>
      <c r="F3" s="76" t="s">
        <v>121</v>
      </c>
      <c r="G3" s="368" t="s">
        <v>122</v>
      </c>
      <c r="H3" s="369"/>
      <c r="I3" s="369"/>
      <c r="J3" s="370"/>
      <c r="K3" s="74"/>
      <c r="L3" s="257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4.25" customHeight="1" x14ac:dyDescent="0.15">
      <c r="A4" s="38"/>
      <c r="B4" s="299" t="s">
        <v>123</v>
      </c>
      <c r="C4" s="77">
        <v>0</v>
      </c>
      <c r="D4" s="77">
        <v>1644</v>
      </c>
      <c r="E4" s="77" t="str">
        <f t="shared" ref="E4:E104" si="0">CONCATENATE(C4,",",D4)</f>
        <v>0,1644</v>
      </c>
      <c r="F4" s="78" t="str">
        <f t="shared" ref="F4:F104" si="1">CONCATENATE(C4,",",D4*10)</f>
        <v>0,16440</v>
      </c>
      <c r="G4" s="239" t="s">
        <v>257</v>
      </c>
      <c r="H4" s="240" t="s">
        <v>260</v>
      </c>
      <c r="I4" s="239" t="s">
        <v>259</v>
      </c>
      <c r="J4" s="239" t="s">
        <v>258</v>
      </c>
      <c r="K4" s="38"/>
      <c r="L4" s="210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4.25" customHeight="1" x14ac:dyDescent="0.15">
      <c r="A5" s="38"/>
      <c r="B5" s="63">
        <v>1</v>
      </c>
      <c r="C5" s="79">
        <v>14.507</v>
      </c>
      <c r="D5" s="79">
        <v>1646</v>
      </c>
      <c r="E5" s="77" t="str">
        <f t="shared" si="0"/>
        <v>14,507,1646</v>
      </c>
      <c r="F5" s="78" t="str">
        <f t="shared" si="1"/>
        <v>14,507,16460</v>
      </c>
      <c r="G5" s="79"/>
      <c r="H5" s="80"/>
      <c r="I5" s="79"/>
      <c r="J5" s="79"/>
      <c r="K5" s="38"/>
      <c r="L5" s="210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4.25" customHeight="1" x14ac:dyDescent="0.15">
      <c r="A6" s="38"/>
      <c r="B6" s="63">
        <v>2</v>
      </c>
      <c r="C6" s="79">
        <v>55.670999999999999</v>
      </c>
      <c r="D6" s="79">
        <v>1650</v>
      </c>
      <c r="E6" s="77" t="str">
        <f t="shared" si="0"/>
        <v>55,671,1650</v>
      </c>
      <c r="F6" s="78" t="str">
        <f t="shared" si="1"/>
        <v>55,671,16500</v>
      </c>
      <c r="G6" s="79"/>
      <c r="H6" s="80"/>
      <c r="I6" s="79"/>
      <c r="J6" s="79"/>
      <c r="K6" s="38"/>
      <c r="L6" s="210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4.25" customHeight="1" x14ac:dyDescent="0.15">
      <c r="A7" s="38"/>
      <c r="B7" s="63">
        <v>3</v>
      </c>
      <c r="C7" s="79">
        <v>92.286000000000001</v>
      </c>
      <c r="D7" s="79">
        <v>1652</v>
      </c>
      <c r="E7" s="77" t="str">
        <f t="shared" si="0"/>
        <v>92,286,1652</v>
      </c>
      <c r="F7" s="78" t="str">
        <f t="shared" si="1"/>
        <v>92,286,16520</v>
      </c>
      <c r="G7" s="79"/>
      <c r="H7" s="80"/>
      <c r="I7" s="79"/>
      <c r="J7" s="79"/>
      <c r="K7" s="38"/>
      <c r="L7" s="210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4.25" customHeight="1" x14ac:dyDescent="0.15">
      <c r="A8" s="38"/>
      <c r="B8" s="294" t="s">
        <v>256</v>
      </c>
      <c r="C8" s="79">
        <f>C7+1.837</f>
        <v>94.123000000000005</v>
      </c>
      <c r="D8" s="242">
        <f>1650+H8</f>
        <v>1651.3487314504548</v>
      </c>
      <c r="E8" s="77" t="str">
        <f>CONCATENATE(C8,",",D8)</f>
        <v>94,123,1651,34873145045</v>
      </c>
      <c r="F8" s="78" t="str">
        <f t="shared" si="1"/>
        <v>94,123,16513,4873145045</v>
      </c>
      <c r="G8" s="79">
        <v>5.6349999999999998</v>
      </c>
      <c r="H8" s="241">
        <f>(J8*G8)/(G8+I8)</f>
        <v>1.3487314504547629</v>
      </c>
      <c r="I8" s="79">
        <v>2.7210000000000001</v>
      </c>
      <c r="J8" s="79">
        <v>2</v>
      </c>
      <c r="K8" s="38"/>
      <c r="L8" s="210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4.25" customHeight="1" x14ac:dyDescent="0.15">
      <c r="A9" s="38"/>
      <c r="B9" s="294" t="s">
        <v>261</v>
      </c>
      <c r="C9" s="79">
        <v>127.473</v>
      </c>
      <c r="D9" s="79">
        <f>1650+H9</f>
        <v>1651.1460075346872</v>
      </c>
      <c r="E9" s="77" t="str">
        <f t="shared" si="0"/>
        <v>127,473,1651,14600753469</v>
      </c>
      <c r="F9" s="78" t="str">
        <f t="shared" si="1"/>
        <v>127,473,16511,4600753469</v>
      </c>
      <c r="G9" s="79">
        <v>6.2359999999999998</v>
      </c>
      <c r="H9" s="241">
        <f>(J9*G9)/(G9+I9)</f>
        <v>1.1460075346871268</v>
      </c>
      <c r="I9" s="79">
        <v>4.6470000000000002</v>
      </c>
      <c r="J9" s="79">
        <v>2</v>
      </c>
      <c r="K9" s="38"/>
      <c r="L9" s="210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4.25" customHeight="1" x14ac:dyDescent="0.15">
      <c r="A10" s="38"/>
      <c r="B10" s="238">
        <v>6</v>
      </c>
      <c r="C10" s="243">
        <f>C11-11.954</f>
        <v>149.601</v>
      </c>
      <c r="D10" s="79">
        <v>1648</v>
      </c>
      <c r="E10" s="77" t="str">
        <f>CONCATENATE(C10,",",D10)</f>
        <v>149,601,1648</v>
      </c>
      <c r="F10" s="78" t="str">
        <f>CONCATENATE(C10,",",D10*10)</f>
        <v>149,601,16480</v>
      </c>
      <c r="G10" s="79"/>
      <c r="H10" s="80"/>
      <c r="I10" s="79"/>
      <c r="J10" s="79"/>
      <c r="K10" s="38"/>
      <c r="L10" s="210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4.25" customHeight="1" x14ac:dyDescent="0.15">
      <c r="A11" s="38"/>
      <c r="B11" s="292" t="s">
        <v>262</v>
      </c>
      <c r="C11" s="79">
        <v>161.55500000000001</v>
      </c>
      <c r="D11" s="79">
        <f>1644+H11</f>
        <v>1645.4998077662437</v>
      </c>
      <c r="E11" s="77" t="str">
        <f t="shared" si="0"/>
        <v>161,555,1645,49980776624</v>
      </c>
      <c r="F11" s="78" t="str">
        <f t="shared" si="1"/>
        <v>161,555,16454,9980776624</v>
      </c>
      <c r="G11" s="79">
        <v>3.9009999999999998</v>
      </c>
      <c r="H11" s="241">
        <f>(J11*G11)/(G11+I11)</f>
        <v>1.4998077662437523</v>
      </c>
      <c r="I11" s="79">
        <v>1.3009999999999999</v>
      </c>
      <c r="J11" s="79">
        <v>2</v>
      </c>
      <c r="K11" s="38"/>
      <c r="L11" s="210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4.25" customHeight="1" x14ac:dyDescent="0.15">
      <c r="A12" s="38"/>
      <c r="B12" s="63">
        <v>8</v>
      </c>
      <c r="C12" s="79">
        <f>C11+6.56</f>
        <v>168.11500000000001</v>
      </c>
      <c r="D12" s="79">
        <v>1644</v>
      </c>
      <c r="E12" s="77" t="str">
        <f t="shared" si="0"/>
        <v>168,115,1644</v>
      </c>
      <c r="F12" s="78" t="str">
        <f t="shared" si="1"/>
        <v>168,115,16440</v>
      </c>
      <c r="G12" s="79"/>
      <c r="H12" s="80"/>
      <c r="I12" s="79"/>
      <c r="J12" s="79"/>
      <c r="K12" s="38"/>
      <c r="L12" s="210"/>
      <c r="M12" s="38">
        <f>1900/100</f>
        <v>19</v>
      </c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4.25" customHeight="1" x14ac:dyDescent="0.15">
      <c r="A13" s="38"/>
      <c r="B13" s="63">
        <v>9</v>
      </c>
      <c r="C13" s="79">
        <f>C12+(7.783/2)</f>
        <v>172.00650000000002</v>
      </c>
      <c r="D13" s="79">
        <f>1642+H13</f>
        <v>1643.7259664035621</v>
      </c>
      <c r="E13" s="77" t="str">
        <f t="shared" si="0"/>
        <v>172,0065,1643,72596640356</v>
      </c>
      <c r="F13" s="78" t="str">
        <f t="shared" si="1"/>
        <v>172,0065,16437,2596640356</v>
      </c>
      <c r="G13" s="79">
        <v>8.5280000000000005</v>
      </c>
      <c r="H13" s="241">
        <f>(J13*G13)/(G13+I13)</f>
        <v>1.7259664035620319</v>
      </c>
      <c r="I13" s="79">
        <v>1.3540000000000001</v>
      </c>
      <c r="J13" s="79">
        <v>2</v>
      </c>
      <c r="K13" s="38"/>
      <c r="L13" s="210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4.25" customHeight="1" x14ac:dyDescent="0.15">
      <c r="A14" s="38"/>
      <c r="B14" s="63">
        <v>10</v>
      </c>
      <c r="C14" s="79">
        <f>C12+7.783</f>
        <v>175.898</v>
      </c>
      <c r="D14" s="79">
        <v>1644</v>
      </c>
      <c r="E14" s="77" t="str">
        <f t="shared" si="0"/>
        <v>175,898,1644</v>
      </c>
      <c r="F14" s="78" t="str">
        <f t="shared" si="1"/>
        <v>175,898,16440</v>
      </c>
      <c r="G14" s="79"/>
      <c r="H14" s="80"/>
      <c r="I14" s="79"/>
      <c r="J14" s="79"/>
      <c r="K14" s="38"/>
      <c r="L14" s="210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4.25" customHeight="1" x14ac:dyDescent="0.15">
      <c r="A15" s="38"/>
      <c r="B15" s="63">
        <v>11</v>
      </c>
      <c r="C15" s="79">
        <f>C14+17.319</f>
        <v>193.21699999999998</v>
      </c>
      <c r="D15" s="79">
        <v>1648</v>
      </c>
      <c r="E15" s="77" t="str">
        <f t="shared" si="0"/>
        <v>193,217,1648</v>
      </c>
      <c r="F15" s="78" t="str">
        <f t="shared" si="1"/>
        <v>193,217,16480</v>
      </c>
      <c r="G15" s="79"/>
      <c r="H15" s="80"/>
      <c r="I15" s="79"/>
      <c r="J15" s="79"/>
      <c r="K15" s="38"/>
      <c r="L15" s="210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4.25" customHeight="1" x14ac:dyDescent="0.15">
      <c r="A16" s="38"/>
      <c r="B16" s="63">
        <v>12</v>
      </c>
      <c r="C16" s="79">
        <f>C15+10.064</f>
        <v>203.28099999999998</v>
      </c>
      <c r="D16" s="79">
        <v>1650</v>
      </c>
      <c r="E16" s="77" t="str">
        <f t="shared" si="0"/>
        <v>203,281,1650</v>
      </c>
      <c r="F16" s="78" t="str">
        <f t="shared" si="1"/>
        <v>203,281,16500</v>
      </c>
      <c r="G16" s="79"/>
      <c r="H16" s="80"/>
      <c r="I16" s="79"/>
      <c r="J16" s="79"/>
      <c r="K16" s="38"/>
      <c r="L16" s="210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4.25" customHeight="1" x14ac:dyDescent="0.15">
      <c r="A17" s="38"/>
      <c r="B17" s="293">
        <v>13</v>
      </c>
      <c r="C17" s="79">
        <f>C18-1.99</f>
        <v>216.822</v>
      </c>
      <c r="D17" s="79">
        <f>1652+H17</f>
        <v>1652</v>
      </c>
      <c r="E17" s="77" t="str">
        <f t="shared" si="0"/>
        <v>216,822,1652</v>
      </c>
      <c r="F17" s="78" t="str">
        <f t="shared" si="1"/>
        <v>216,822,16520</v>
      </c>
      <c r="G17" s="79"/>
      <c r="H17" s="241"/>
      <c r="I17" s="79"/>
      <c r="J17" s="79"/>
      <c r="K17" s="38"/>
      <c r="L17" s="250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4.25" customHeight="1" x14ac:dyDescent="0.15">
      <c r="A18" s="38"/>
      <c r="B18" s="292" t="s">
        <v>124</v>
      </c>
      <c r="C18" s="79">
        <v>218.81200000000001</v>
      </c>
      <c r="D18" s="79">
        <v>1652.2660000000001</v>
      </c>
      <c r="E18" s="77" t="str">
        <f t="shared" si="0"/>
        <v>218,812,1652,266</v>
      </c>
      <c r="F18" s="78" t="str">
        <f t="shared" si="1"/>
        <v>218,812,16522,66</v>
      </c>
      <c r="G18" s="79">
        <v>0.76800000000000002</v>
      </c>
      <c r="H18" s="241">
        <f>(J18*G18)/(G18+I18)</f>
        <v>0.26551426101987902</v>
      </c>
      <c r="I18" s="79">
        <v>5.0170000000000003</v>
      </c>
      <c r="J18" s="79">
        <v>2</v>
      </c>
      <c r="K18" s="81"/>
      <c r="L18" s="250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4.25" customHeight="1" x14ac:dyDescent="0.15">
      <c r="A19" s="298"/>
      <c r="B19" s="63">
        <v>15</v>
      </c>
      <c r="C19" s="79">
        <f>C18+12.945</f>
        <v>231.75700000000001</v>
      </c>
      <c r="D19" s="79">
        <f>1652+H19</f>
        <v>1653.7475095785442</v>
      </c>
      <c r="E19" s="77" t="str">
        <f t="shared" si="0"/>
        <v>231,757,1653,74750957854</v>
      </c>
      <c r="F19" s="78" t="str">
        <f t="shared" si="1"/>
        <v>231,757,16537,4750957854</v>
      </c>
      <c r="G19" s="79">
        <v>4.5609999999999999</v>
      </c>
      <c r="H19" s="241">
        <f>(J19*G19)/(G19+I19)</f>
        <v>1.7475095785440613</v>
      </c>
      <c r="I19" s="79">
        <v>0.65900000000000003</v>
      </c>
      <c r="J19" s="79">
        <v>2</v>
      </c>
      <c r="K19" s="38"/>
      <c r="L19" s="250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4.25" customHeight="1" x14ac:dyDescent="0.15">
      <c r="A20" s="38"/>
      <c r="B20" s="63">
        <v>16</v>
      </c>
      <c r="C20" s="79">
        <f>C18+27.882</f>
        <v>246.69400000000002</v>
      </c>
      <c r="D20" s="79">
        <v>1652</v>
      </c>
      <c r="E20" s="77" t="str">
        <f t="shared" si="0"/>
        <v>246,694,1652</v>
      </c>
      <c r="F20" s="78" t="str">
        <f t="shared" si="1"/>
        <v>246,694,16520</v>
      </c>
      <c r="G20" s="79"/>
      <c r="H20" s="80"/>
      <c r="I20" s="79"/>
      <c r="J20" s="79"/>
      <c r="K20" s="38"/>
      <c r="L20" s="250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4.25" customHeight="1" x14ac:dyDescent="0.15">
      <c r="A21" s="38"/>
      <c r="B21" s="63">
        <v>17</v>
      </c>
      <c r="C21" s="79">
        <f>C20+64.914</f>
        <v>311.608</v>
      </c>
      <c r="D21" s="79">
        <v>1650</v>
      </c>
      <c r="E21" s="77" t="str">
        <f t="shared" si="0"/>
        <v>311,608,1650</v>
      </c>
      <c r="F21" s="78" t="str">
        <f t="shared" si="1"/>
        <v>311,608,16500</v>
      </c>
      <c r="G21" s="79">
        <v>2.3130000000000002</v>
      </c>
      <c r="H21" s="80">
        <f>(J21*G21)/I21</f>
        <v>0.73533619456366239</v>
      </c>
      <c r="I21" s="79">
        <v>6.2910000000000004</v>
      </c>
      <c r="J21" s="79">
        <v>2</v>
      </c>
      <c r="K21" s="38"/>
      <c r="L21" s="210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4.25" customHeight="1" x14ac:dyDescent="0.15">
      <c r="A22" s="38"/>
      <c r="B22" s="63">
        <v>18</v>
      </c>
      <c r="C22" s="79">
        <f>C21+29.885</f>
        <v>341.49299999999999</v>
      </c>
      <c r="D22" s="79">
        <v>1646</v>
      </c>
      <c r="E22" s="77" t="str">
        <f t="shared" si="0"/>
        <v>341,493,1646</v>
      </c>
      <c r="F22" s="78" t="str">
        <f t="shared" si="1"/>
        <v>341,493,16460</v>
      </c>
      <c r="G22" s="79"/>
      <c r="H22" s="80"/>
      <c r="I22" s="79"/>
      <c r="J22" s="79"/>
      <c r="K22" s="38"/>
      <c r="L22" s="210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4.25" customHeight="1" x14ac:dyDescent="0.15">
      <c r="A23" s="38"/>
      <c r="B23" s="63">
        <v>19</v>
      </c>
      <c r="C23" s="79">
        <f>C22+8.48</f>
        <v>349.97300000000001</v>
      </c>
      <c r="D23" s="79">
        <f>1644+H23</f>
        <v>1644.3573391973612</v>
      </c>
      <c r="E23" s="77" t="str">
        <f t="shared" si="0"/>
        <v>349,973,1644,35733919736</v>
      </c>
      <c r="F23" s="78" t="str">
        <f t="shared" si="1"/>
        <v>349,973,16443,5733919736</v>
      </c>
      <c r="G23" s="79">
        <v>0.65</v>
      </c>
      <c r="H23" s="241">
        <f>(J23*G23)/(G23+I23)</f>
        <v>0.35733919736118747</v>
      </c>
      <c r="I23" s="79">
        <v>2.988</v>
      </c>
      <c r="J23" s="79">
        <v>2</v>
      </c>
      <c r="K23" s="38"/>
      <c r="L23" s="210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4.25" customHeight="1" x14ac:dyDescent="0.15">
      <c r="A24" s="38"/>
      <c r="B24" s="63">
        <v>20</v>
      </c>
      <c r="C24" s="79">
        <f>C22+16.961</f>
        <v>358.45400000000001</v>
      </c>
      <c r="D24" s="79">
        <v>1646</v>
      </c>
      <c r="E24" s="77" t="str">
        <f t="shared" si="0"/>
        <v>358,454,1646</v>
      </c>
      <c r="F24" s="78" t="str">
        <f t="shared" si="1"/>
        <v>358,454,16460</v>
      </c>
      <c r="G24" s="79"/>
      <c r="H24" s="80"/>
      <c r="I24" s="79"/>
      <c r="J24" s="79"/>
      <c r="K24" s="38"/>
      <c r="L24" s="210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4.25" customHeight="1" x14ac:dyDescent="0.15">
      <c r="A25" s="38"/>
      <c r="B25" s="63">
        <v>21</v>
      </c>
      <c r="C25" s="79">
        <f>C24+5.641</f>
        <v>364.09500000000003</v>
      </c>
      <c r="D25" s="79">
        <f>1646+H25</f>
        <v>1647.4219858156027</v>
      </c>
      <c r="E25" s="77" t="str">
        <f t="shared" si="0"/>
        <v>364,095,1647,4219858156</v>
      </c>
      <c r="F25" s="78" t="str">
        <f t="shared" si="1"/>
        <v>364,095,16474,219858156</v>
      </c>
      <c r="G25" s="79">
        <v>2.4060000000000001</v>
      </c>
      <c r="H25" s="241">
        <f>(J25*G25)/(G25+I25)</f>
        <v>1.4219858156028369</v>
      </c>
      <c r="I25" s="79">
        <v>0.97799999999999998</v>
      </c>
      <c r="J25" s="79">
        <v>2</v>
      </c>
      <c r="K25" s="38"/>
      <c r="L25" s="210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4.25" customHeight="1" x14ac:dyDescent="0.15">
      <c r="A26" s="38"/>
      <c r="B26" s="63">
        <v>22</v>
      </c>
      <c r="C26" s="79">
        <f>C24+11.281</f>
        <v>369.73500000000001</v>
      </c>
      <c r="D26" s="79">
        <v>1646</v>
      </c>
      <c r="E26" s="77" t="str">
        <f t="shared" si="0"/>
        <v>369,735,1646</v>
      </c>
      <c r="F26" s="78" t="str">
        <f t="shared" si="1"/>
        <v>369,735,16460</v>
      </c>
      <c r="G26" s="79"/>
      <c r="H26" s="80"/>
      <c r="I26" s="79"/>
      <c r="J26" s="79"/>
      <c r="K26" s="38"/>
      <c r="L26" s="210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4.25" customHeight="1" x14ac:dyDescent="0.15">
      <c r="A27" s="38"/>
      <c r="B27" s="63">
        <v>23</v>
      </c>
      <c r="C27" s="79">
        <f>C26+6.681</f>
        <v>376.416</v>
      </c>
      <c r="D27" s="79">
        <f>1644+H27</f>
        <v>1645.234902124115</v>
      </c>
      <c r="E27" s="77" t="str">
        <f t="shared" si="0"/>
        <v>376,416,1645,23490212412</v>
      </c>
      <c r="F27" s="78" t="str">
        <f t="shared" si="1"/>
        <v>376,416,16452,3490212411</v>
      </c>
      <c r="G27" s="79">
        <v>2.9649999999999999</v>
      </c>
      <c r="H27" s="241">
        <f>(J27*G27)/(G27+I27)</f>
        <v>1.234902124114952</v>
      </c>
      <c r="I27" s="79">
        <v>1.837</v>
      </c>
      <c r="J27" s="79">
        <v>2</v>
      </c>
      <c r="K27" s="38"/>
      <c r="L27" s="210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4.25" customHeight="1" x14ac:dyDescent="0.15">
      <c r="A28" s="38"/>
      <c r="B28" s="63">
        <v>24</v>
      </c>
      <c r="C28" s="79">
        <f>C26+13.362</f>
        <v>383.09700000000004</v>
      </c>
      <c r="D28" s="79">
        <v>1646</v>
      </c>
      <c r="E28" s="77" t="str">
        <f t="shared" si="0"/>
        <v>383,097,1646</v>
      </c>
      <c r="F28" s="78" t="str">
        <f t="shared" si="1"/>
        <v>383,097,16460</v>
      </c>
      <c r="G28" s="79"/>
      <c r="H28" s="80"/>
      <c r="I28" s="79"/>
      <c r="J28" s="79"/>
      <c r="K28" s="38"/>
      <c r="L28" s="210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4.25" customHeight="1" x14ac:dyDescent="0.15">
      <c r="A29" s="38"/>
      <c r="B29" s="292" t="s">
        <v>263</v>
      </c>
      <c r="C29" s="79">
        <f>C28+23.941</f>
        <v>407.03800000000001</v>
      </c>
      <c r="D29" s="79">
        <f>1650+H29</f>
        <v>1650.8717310087172</v>
      </c>
      <c r="E29" s="77" t="str">
        <f t="shared" si="0"/>
        <v>407,038,1650,87173100872</v>
      </c>
      <c r="F29" s="78" t="str">
        <f t="shared" si="1"/>
        <v>407,038,16508,7173100872</v>
      </c>
      <c r="G29" s="79">
        <v>1.05</v>
      </c>
      <c r="H29" s="241">
        <f>(J29*G29)/(G29+I29)</f>
        <v>0.87173100871731024</v>
      </c>
      <c r="I29" s="79">
        <v>1.359</v>
      </c>
      <c r="J29" s="79">
        <v>2</v>
      </c>
      <c r="K29" s="38"/>
      <c r="L29" s="210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4.25" customHeight="1" x14ac:dyDescent="0.15">
      <c r="A30" s="38"/>
      <c r="B30" s="63">
        <v>26</v>
      </c>
      <c r="C30" s="79">
        <f>C29+9.57</f>
        <v>416.608</v>
      </c>
      <c r="D30" s="79">
        <v>1654</v>
      </c>
      <c r="E30" s="77" t="str">
        <f t="shared" si="0"/>
        <v>416,608,1654</v>
      </c>
      <c r="F30" s="78" t="str">
        <f t="shared" si="1"/>
        <v>416,608,16540</v>
      </c>
      <c r="G30" s="79"/>
      <c r="H30" s="80"/>
      <c r="I30" s="79"/>
      <c r="J30" s="79"/>
      <c r="K30" s="38"/>
      <c r="L30" s="210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4.25" customHeight="1" x14ac:dyDescent="0.15">
      <c r="A31" s="38"/>
      <c r="B31" s="63">
        <v>27</v>
      </c>
      <c r="C31" s="79">
        <f>C30+12.23</f>
        <v>428.83800000000002</v>
      </c>
      <c r="D31" s="79">
        <v>1656</v>
      </c>
      <c r="E31" s="77" t="str">
        <f t="shared" si="0"/>
        <v>428,838,1656</v>
      </c>
      <c r="F31" s="78" t="str">
        <f t="shared" si="1"/>
        <v>428,838,16560</v>
      </c>
      <c r="G31" s="79"/>
      <c r="H31" s="80"/>
      <c r="I31" s="79"/>
      <c r="J31" s="79"/>
      <c r="K31" s="38"/>
      <c r="L31" s="210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4.25" customHeight="1" x14ac:dyDescent="0.15">
      <c r="A32" s="38"/>
      <c r="B32" s="63">
        <v>28</v>
      </c>
      <c r="C32" s="79">
        <f>C31+19.8</f>
        <v>448.63800000000003</v>
      </c>
      <c r="D32" s="79">
        <v>1654</v>
      </c>
      <c r="E32" s="77" t="str">
        <f t="shared" si="0"/>
        <v>448,638,1654</v>
      </c>
      <c r="F32" s="78" t="str">
        <f t="shared" si="1"/>
        <v>448,638,16540</v>
      </c>
      <c r="G32" s="79"/>
      <c r="H32" s="80"/>
      <c r="I32" s="79"/>
      <c r="J32" s="79"/>
      <c r="K32" s="38"/>
      <c r="L32" s="210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4.25" customHeight="1" x14ac:dyDescent="0.15">
      <c r="A33" s="38"/>
      <c r="B33" s="63">
        <v>29</v>
      </c>
      <c r="C33" s="79">
        <f>C32+20.13</f>
        <v>468.76800000000003</v>
      </c>
      <c r="D33" s="79">
        <v>1648</v>
      </c>
      <c r="E33" s="77" t="str">
        <f t="shared" si="0"/>
        <v>468,768,1648</v>
      </c>
      <c r="F33" s="78" t="str">
        <f t="shared" si="1"/>
        <v>468,768,16480</v>
      </c>
      <c r="G33" s="79"/>
      <c r="H33" s="80"/>
      <c r="I33" s="79"/>
      <c r="J33" s="79"/>
      <c r="K33" s="38"/>
      <c r="L33" s="210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4.25" customHeight="1" x14ac:dyDescent="0.15">
      <c r="A34" s="38"/>
      <c r="B34" s="294" t="s">
        <v>264</v>
      </c>
      <c r="C34" s="79">
        <f>C33+13.24</f>
        <v>482.00800000000004</v>
      </c>
      <c r="D34" s="79">
        <f>1642+H34</f>
        <v>1643.5619318181818</v>
      </c>
      <c r="E34" s="77" t="str">
        <f t="shared" si="0"/>
        <v>482,008,1643,56193181818</v>
      </c>
      <c r="F34" s="78" t="str">
        <f t="shared" si="1"/>
        <v>482,008,16435,6193181818</v>
      </c>
      <c r="G34" s="79">
        <v>5.4980000000000002</v>
      </c>
      <c r="H34" s="241">
        <f>(J34*G34)/(G34+I34)</f>
        <v>1.5619318181818183</v>
      </c>
      <c r="I34" s="79">
        <v>1.542</v>
      </c>
      <c r="J34" s="79">
        <v>2</v>
      </c>
      <c r="K34" s="38"/>
      <c r="L34" s="210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4.25" customHeight="1" x14ac:dyDescent="0.15">
      <c r="A35" s="38"/>
      <c r="B35" s="295" t="s">
        <v>265</v>
      </c>
      <c r="C35" s="79">
        <f>C34+51.3</f>
        <v>533.30799999999999</v>
      </c>
      <c r="D35" s="79">
        <f>1642+H35</f>
        <v>1642.4961226490775</v>
      </c>
      <c r="E35" s="77" t="str">
        <f t="shared" si="0"/>
        <v>533,308,1642,49612264908</v>
      </c>
      <c r="F35" s="78" t="str">
        <f t="shared" si="1"/>
        <v>533,308,16424,9612264908</v>
      </c>
      <c r="G35" s="79">
        <v>5.5659999999999998</v>
      </c>
      <c r="H35" s="241">
        <f>(J35*G35)/(G35+I35)</f>
        <v>0.4961226490774579</v>
      </c>
      <c r="I35" s="79">
        <v>16.872</v>
      </c>
      <c r="J35" s="79">
        <v>2</v>
      </c>
      <c r="K35" s="38"/>
      <c r="L35" s="210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4.25" customHeight="1" x14ac:dyDescent="0.15">
      <c r="A36" s="38"/>
      <c r="B36" s="293" t="s">
        <v>266</v>
      </c>
      <c r="C36" s="79">
        <f>C35+16.34</f>
        <v>549.64800000000002</v>
      </c>
      <c r="D36" s="79">
        <f>1646+H36</f>
        <v>1646.2278296736624</v>
      </c>
      <c r="E36" s="77" t="str">
        <f t="shared" si="0"/>
        <v>549,648,1646,22782967366</v>
      </c>
      <c r="F36" s="78" t="str">
        <f t="shared" si="1"/>
        <v>549,648,16462,2782967366</v>
      </c>
      <c r="G36" s="79">
        <v>0.93899999999999995</v>
      </c>
      <c r="H36" s="241">
        <f>(J36*G36)/(G36+I36)</f>
        <v>0.22782967366250148</v>
      </c>
      <c r="I36" s="79">
        <v>7.3040000000000003</v>
      </c>
      <c r="J36" s="79">
        <v>2</v>
      </c>
      <c r="K36" s="38"/>
      <c r="L36" s="210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4.25" customHeight="1" x14ac:dyDescent="0.15">
      <c r="A37" s="38"/>
      <c r="B37" s="238">
        <v>33</v>
      </c>
      <c r="C37" s="79">
        <f>C36+20.786</f>
        <v>570.43399999999997</v>
      </c>
      <c r="D37" s="79">
        <v>1642</v>
      </c>
      <c r="E37" s="77" t="str">
        <f t="shared" si="0"/>
        <v>570,434,1642</v>
      </c>
      <c r="F37" s="78" t="str">
        <f t="shared" si="1"/>
        <v>570,434,16420</v>
      </c>
      <c r="G37" s="79"/>
      <c r="H37" s="80"/>
      <c r="I37" s="79"/>
      <c r="J37" s="79"/>
      <c r="K37" s="38"/>
      <c r="L37" s="210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4.25" customHeight="1" x14ac:dyDescent="0.15">
      <c r="A38" s="38"/>
      <c r="B38" s="63">
        <v>34</v>
      </c>
      <c r="C38" s="79">
        <f>C37+9.56</f>
        <v>579.99399999999991</v>
      </c>
      <c r="D38" s="79">
        <v>1634</v>
      </c>
      <c r="E38" s="77" t="str">
        <f t="shared" si="0"/>
        <v>579,994,1634</v>
      </c>
      <c r="F38" s="78" t="str">
        <f t="shared" si="1"/>
        <v>579,994,16340</v>
      </c>
      <c r="G38" s="79"/>
      <c r="H38" s="80"/>
      <c r="I38" s="79"/>
      <c r="J38" s="79"/>
      <c r="K38" s="38"/>
      <c r="L38" s="210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4.25" customHeight="1" x14ac:dyDescent="0.15">
      <c r="A39" s="38"/>
      <c r="B39" s="63">
        <v>35</v>
      </c>
      <c r="C39" s="79">
        <f>C38+24.387</f>
        <v>604.38099999999986</v>
      </c>
      <c r="D39" s="79">
        <v>1628</v>
      </c>
      <c r="E39" s="77" t="str">
        <f t="shared" si="0"/>
        <v>604,381,1628</v>
      </c>
      <c r="F39" s="78" t="str">
        <f t="shared" si="1"/>
        <v>604,381,16280</v>
      </c>
      <c r="G39" s="79"/>
      <c r="H39" s="80"/>
      <c r="I39" s="79"/>
      <c r="J39" s="79"/>
      <c r="K39" s="38"/>
      <c r="L39" s="210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4.25" customHeight="1" x14ac:dyDescent="0.15">
      <c r="A40" s="38"/>
      <c r="B40" s="63">
        <v>36</v>
      </c>
      <c r="C40" s="79">
        <f>C39+19.813</f>
        <v>624.19399999999985</v>
      </c>
      <c r="D40" s="79">
        <f>1626+H40</f>
        <v>1626.3692738547709</v>
      </c>
      <c r="E40" s="77" t="str">
        <f t="shared" si="0"/>
        <v>624,194,1626,36927385477</v>
      </c>
      <c r="F40" s="78" t="str">
        <f t="shared" si="1"/>
        <v>624,194,16263,6927385477</v>
      </c>
      <c r="G40" s="79">
        <v>1.8460000000000001</v>
      </c>
      <c r="H40" s="241">
        <f>(J40*G40)/(G40+I40)</f>
        <v>0.36927385477095426</v>
      </c>
      <c r="I40" s="79">
        <v>8.1519999999999992</v>
      </c>
      <c r="J40" s="79">
        <v>2</v>
      </c>
      <c r="K40" s="38"/>
      <c r="L40" s="210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4.25" customHeight="1" x14ac:dyDescent="0.15">
      <c r="A41" s="38"/>
      <c r="B41" s="63">
        <v>37</v>
      </c>
      <c r="C41" s="79">
        <f>C39+39.625</f>
        <v>644.00599999999986</v>
      </c>
      <c r="D41" s="79">
        <v>1628</v>
      </c>
      <c r="E41" s="77" t="str">
        <f t="shared" si="0"/>
        <v>644,006,1628</v>
      </c>
      <c r="F41" s="78" t="str">
        <f t="shared" si="1"/>
        <v>644,006,16280</v>
      </c>
      <c r="G41" s="79"/>
      <c r="H41" s="80"/>
      <c r="I41" s="79"/>
      <c r="J41" s="79"/>
      <c r="K41" s="38"/>
      <c r="L41" s="210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4.25" customHeight="1" x14ac:dyDescent="0.15">
      <c r="A42" s="38"/>
      <c r="B42" s="292" t="s">
        <v>267</v>
      </c>
      <c r="C42" s="79">
        <v>657.88484198114395</v>
      </c>
      <c r="D42" s="79">
        <f>1630+H42</f>
        <v>1631.9342958777986</v>
      </c>
      <c r="E42" s="77" t="str">
        <f t="shared" si="0"/>
        <v>657,884841981144,1631,9342958778</v>
      </c>
      <c r="F42" s="78" t="str">
        <f t="shared" si="1"/>
        <v>657,884841981144,16319,342958778</v>
      </c>
      <c r="G42" s="79">
        <v>4.6219999999999999</v>
      </c>
      <c r="H42" s="241">
        <f>(J42*G42)/(G42+I42)</f>
        <v>1.9342958777987027</v>
      </c>
      <c r="I42" s="79">
        <v>0.157</v>
      </c>
      <c r="J42" s="79">
        <v>2</v>
      </c>
      <c r="K42" s="38"/>
      <c r="L42" s="210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4.25" customHeight="1" x14ac:dyDescent="0.15">
      <c r="A43" s="38"/>
      <c r="B43" s="292" t="s">
        <v>268</v>
      </c>
      <c r="C43" s="79">
        <v>664.202439767702</v>
      </c>
      <c r="D43" s="79">
        <f>1630+H43</f>
        <v>1631.8471426575381</v>
      </c>
      <c r="E43" s="77" t="str">
        <f t="shared" si="0"/>
        <v>664,202439767702,1631,84714265754</v>
      </c>
      <c r="F43" s="78" t="str">
        <f t="shared" si="1"/>
        <v>664,202439767702,16318,4714265754</v>
      </c>
      <c r="G43" s="79">
        <v>6.61</v>
      </c>
      <c r="H43" s="241">
        <f>(J43*G43)/(G43+I43)</f>
        <v>1.8471426575380747</v>
      </c>
      <c r="I43" s="79">
        <v>0.54700000000000004</v>
      </c>
      <c r="J43" s="79">
        <v>2</v>
      </c>
      <c r="K43" s="38"/>
      <c r="L43" s="210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4.25" customHeight="1" x14ac:dyDescent="0.15">
      <c r="A44" s="38"/>
      <c r="B44" s="63">
        <v>40</v>
      </c>
      <c r="C44" s="79">
        <f>C43+26.281</f>
        <v>690.48343976770195</v>
      </c>
      <c r="D44" s="79">
        <v>1630</v>
      </c>
      <c r="E44" s="77" t="str">
        <f t="shared" si="0"/>
        <v>690,483439767702,1630</v>
      </c>
      <c r="F44" s="78" t="str">
        <f t="shared" si="1"/>
        <v>690,483439767702,16300</v>
      </c>
      <c r="G44" s="79"/>
      <c r="H44" s="80"/>
      <c r="I44" s="79"/>
      <c r="J44" s="79"/>
      <c r="K44" s="38"/>
      <c r="L44" s="210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4.25" customHeight="1" x14ac:dyDescent="0.15">
      <c r="A45" s="38"/>
      <c r="B45" s="63">
        <v>41</v>
      </c>
      <c r="C45" s="79">
        <f>C44+17.143</f>
        <v>707.62643976770198</v>
      </c>
      <c r="D45" s="79">
        <v>1628</v>
      </c>
      <c r="E45" s="77" t="str">
        <f t="shared" si="0"/>
        <v>707,626439767702,1628</v>
      </c>
      <c r="F45" s="78" t="str">
        <f t="shared" si="1"/>
        <v>707,626439767702,16280</v>
      </c>
      <c r="G45" s="79"/>
      <c r="H45" s="80"/>
      <c r="I45" s="79"/>
      <c r="J45" s="79"/>
      <c r="K45" s="38"/>
      <c r="L45" s="210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4.25" customHeight="1" x14ac:dyDescent="0.15">
      <c r="A46" s="38"/>
      <c r="B46" s="63">
        <v>42</v>
      </c>
      <c r="C46" s="79">
        <f>C45+6.809</f>
        <v>714.43543976770195</v>
      </c>
      <c r="D46" s="79">
        <f>1626+H46</f>
        <v>1627.1971638941914</v>
      </c>
      <c r="E46" s="77" t="str">
        <f t="shared" si="0"/>
        <v>714,435439767702,1627,19716389419</v>
      </c>
      <c r="F46" s="78" t="str">
        <f t="shared" si="1"/>
        <v>714,435439767702,16271,9716389419</v>
      </c>
      <c r="G46" s="79">
        <v>2.1949999999999998</v>
      </c>
      <c r="H46" s="241">
        <f>(J46*G46)/(G46+I46)</f>
        <v>1.1971638941914371</v>
      </c>
      <c r="I46" s="79">
        <v>1.472</v>
      </c>
      <c r="J46" s="79">
        <v>2</v>
      </c>
      <c r="K46" s="38"/>
      <c r="L46" s="210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4.25" customHeight="1" x14ac:dyDescent="0.15">
      <c r="A47" s="38"/>
      <c r="B47" s="63">
        <v>43</v>
      </c>
      <c r="C47" s="79">
        <f>C45+13.494</f>
        <v>721.12043976770201</v>
      </c>
      <c r="D47" s="79">
        <v>1628</v>
      </c>
      <c r="E47" s="77" t="str">
        <f t="shared" si="0"/>
        <v>721,120439767702,1628</v>
      </c>
      <c r="F47" s="78" t="str">
        <f t="shared" si="1"/>
        <v>721,120439767702,16280</v>
      </c>
      <c r="G47" s="79"/>
      <c r="H47" s="80"/>
      <c r="I47" s="79"/>
      <c r="J47" s="79"/>
      <c r="K47" s="38"/>
      <c r="L47" s="210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4.25" customHeight="1" x14ac:dyDescent="0.15">
      <c r="A48" s="38"/>
      <c r="B48" s="63">
        <v>44</v>
      </c>
      <c r="C48" s="79">
        <f>C47+29.656</f>
        <v>750.77643976770196</v>
      </c>
      <c r="D48" s="79">
        <v>1634</v>
      </c>
      <c r="E48" s="77" t="str">
        <f t="shared" si="0"/>
        <v>750,776439767702,1634</v>
      </c>
      <c r="F48" s="78" t="str">
        <f t="shared" si="1"/>
        <v>750,776439767702,16340</v>
      </c>
      <c r="G48" s="79"/>
      <c r="H48" s="80"/>
      <c r="I48" s="79"/>
      <c r="J48" s="79"/>
      <c r="K48" s="38"/>
      <c r="L48" s="210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4.25" customHeight="1" x14ac:dyDescent="0.15">
      <c r="A49" s="38"/>
      <c r="B49" s="63">
        <v>45</v>
      </c>
      <c r="C49" s="79">
        <f>C48+37.395</f>
        <v>788.17143976770194</v>
      </c>
      <c r="D49" s="79">
        <v>1638</v>
      </c>
      <c r="E49" s="77" t="str">
        <f t="shared" si="0"/>
        <v>788,171439767702,1638</v>
      </c>
      <c r="F49" s="78" t="str">
        <f t="shared" si="1"/>
        <v>788,171439767702,16380</v>
      </c>
      <c r="G49" s="79"/>
      <c r="H49" s="80"/>
      <c r="I49" s="79"/>
      <c r="J49" s="79"/>
      <c r="K49" s="38"/>
      <c r="L49" s="210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4.25" customHeight="1" x14ac:dyDescent="0.15">
      <c r="A50" s="38"/>
      <c r="B50" s="292" t="s">
        <v>269</v>
      </c>
      <c r="C50" s="79">
        <v>814.00316909283504</v>
      </c>
      <c r="D50" s="79">
        <f>1644+H50</f>
        <v>1645.9354064375341</v>
      </c>
      <c r="E50" s="77" t="str">
        <f t="shared" si="0"/>
        <v>814,003169092835,1645,93540643753</v>
      </c>
      <c r="F50" s="78" t="str">
        <f t="shared" si="1"/>
        <v>814,003169092835,16459,3540643753</v>
      </c>
      <c r="G50" s="79">
        <v>8.8689999999999998</v>
      </c>
      <c r="H50" s="241">
        <f>(J50*G50)/(G50+I50)</f>
        <v>1.9354064375340971</v>
      </c>
      <c r="I50" s="79">
        <v>0.29599999999999999</v>
      </c>
      <c r="J50" s="79">
        <v>2</v>
      </c>
      <c r="K50" s="38"/>
      <c r="L50" s="210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4.25" customHeight="1" x14ac:dyDescent="0.15">
      <c r="A51" s="38"/>
      <c r="B51" s="63">
        <v>47</v>
      </c>
      <c r="C51" s="79">
        <f>C50+(26/2)</f>
        <v>827.00316909283504</v>
      </c>
      <c r="D51" s="79">
        <f>1646+H51</f>
        <v>1646.5698991788795</v>
      </c>
      <c r="E51" s="77" t="str">
        <f t="shared" si="0"/>
        <v>827,003169092835,1646,56989917888</v>
      </c>
      <c r="F51" s="78" t="str">
        <f t="shared" si="1"/>
        <v>827,003169092835,16465,6989917888</v>
      </c>
      <c r="G51" s="79">
        <v>5.4829999999999997</v>
      </c>
      <c r="H51" s="241">
        <f>(J51*G51)/(G51+I51)</f>
        <v>0.56989917887953434</v>
      </c>
      <c r="I51" s="79">
        <v>13.759</v>
      </c>
      <c r="J51" s="79">
        <v>2</v>
      </c>
      <c r="K51" s="38"/>
      <c r="L51" s="210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4.25" customHeight="1" x14ac:dyDescent="0.15">
      <c r="A52" s="38"/>
      <c r="B52" s="63">
        <v>48</v>
      </c>
      <c r="C52" s="79">
        <f>C50+26</f>
        <v>840.00316909283504</v>
      </c>
      <c r="D52" s="79">
        <v>1646</v>
      </c>
      <c r="E52" s="77" t="str">
        <f t="shared" si="0"/>
        <v>840,003169092835,1646</v>
      </c>
      <c r="F52" s="78" t="str">
        <f t="shared" si="1"/>
        <v>840,003169092835,16460</v>
      </c>
      <c r="G52" s="79"/>
      <c r="H52" s="80"/>
      <c r="I52" s="79"/>
      <c r="J52" s="79"/>
      <c r="K52" s="38"/>
      <c r="L52" s="210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4.25" customHeight="1" x14ac:dyDescent="0.15">
      <c r="A53" s="38"/>
      <c r="B53" s="63">
        <v>49</v>
      </c>
      <c r="C53" s="79">
        <f>C52+12.48</f>
        <v>852.48316909283506</v>
      </c>
      <c r="D53" s="79">
        <v>1640</v>
      </c>
      <c r="E53" s="77" t="str">
        <f t="shared" si="0"/>
        <v>852,483169092835,1640</v>
      </c>
      <c r="F53" s="78" t="str">
        <f t="shared" si="1"/>
        <v>852,483169092835,16400</v>
      </c>
      <c r="G53" s="79"/>
      <c r="H53" s="80"/>
      <c r="I53" s="79"/>
      <c r="J53" s="79"/>
      <c r="K53" s="38"/>
      <c r="L53" s="210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4.25" customHeight="1" x14ac:dyDescent="0.15">
      <c r="A54" s="38"/>
      <c r="B54" s="63">
        <v>50</v>
      </c>
      <c r="C54" s="79">
        <f>C53+14.58</f>
        <v>867.0631690928351</v>
      </c>
      <c r="D54" s="79">
        <v>1634</v>
      </c>
      <c r="E54" s="77" t="str">
        <f t="shared" si="0"/>
        <v>867,063169092835,1634</v>
      </c>
      <c r="F54" s="78" t="str">
        <f t="shared" si="1"/>
        <v>867,063169092835,16340</v>
      </c>
      <c r="G54" s="79"/>
      <c r="H54" s="80"/>
      <c r="I54" s="79"/>
      <c r="J54" s="79"/>
      <c r="K54" s="38"/>
      <c r="L54" s="210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4.25" customHeight="1" x14ac:dyDescent="0.15">
      <c r="A55" s="38"/>
      <c r="B55" s="292" t="s">
        <v>270</v>
      </c>
      <c r="C55" s="79">
        <v>876.56357645170101</v>
      </c>
      <c r="D55" s="79">
        <f>1630+H55</f>
        <v>1631.4245127188635</v>
      </c>
      <c r="E55" s="77" t="str">
        <f t="shared" si="0"/>
        <v>876,563576451701,1631,42451271886</v>
      </c>
      <c r="F55" s="78" t="str">
        <f t="shared" si="1"/>
        <v>876,563576451701,16314,2451271886</v>
      </c>
      <c r="G55" s="79">
        <v>2.1560000000000001</v>
      </c>
      <c r="H55" s="241">
        <f>(J55*G55)/(G55+I55)</f>
        <v>1.4245127188635613</v>
      </c>
      <c r="I55" s="79">
        <v>0.871</v>
      </c>
      <c r="J55" s="79">
        <v>2</v>
      </c>
      <c r="K55" s="38"/>
      <c r="L55" s="210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4.25" customHeight="1" x14ac:dyDescent="0.15">
      <c r="A56" s="38"/>
      <c r="B56" s="63">
        <v>52</v>
      </c>
      <c r="C56" s="79">
        <f>C55+16.569</f>
        <v>893.13257645170097</v>
      </c>
      <c r="D56" s="79">
        <v>1628</v>
      </c>
      <c r="E56" s="77" t="str">
        <f t="shared" si="0"/>
        <v>893,132576451701,1628</v>
      </c>
      <c r="F56" s="78" t="str">
        <f t="shared" si="1"/>
        <v>893,132576451701,16280</v>
      </c>
      <c r="G56" s="79"/>
      <c r="H56" s="80"/>
      <c r="I56" s="79"/>
      <c r="J56" s="79"/>
      <c r="K56" s="38"/>
      <c r="L56" s="210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4.25" customHeight="1" x14ac:dyDescent="0.15">
      <c r="A57" s="38"/>
      <c r="B57" s="291" t="s">
        <v>271</v>
      </c>
      <c r="C57" s="79">
        <v>899.08557645170094</v>
      </c>
      <c r="D57" s="79">
        <v>1620</v>
      </c>
      <c r="E57" s="77" t="str">
        <f t="shared" si="0"/>
        <v>899,085576451701,1620</v>
      </c>
      <c r="F57" s="78" t="str">
        <f t="shared" si="1"/>
        <v>899,085576451701,16200</v>
      </c>
      <c r="G57" s="79"/>
      <c r="H57" s="80"/>
      <c r="I57" s="79"/>
      <c r="J57" s="79"/>
      <c r="K57" s="38"/>
      <c r="L57" s="210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4.25" customHeight="1" x14ac:dyDescent="0.15">
      <c r="A58" s="38"/>
      <c r="B58" s="63">
        <v>54</v>
      </c>
      <c r="C58" s="79">
        <f>C57+16.288</f>
        <v>915.37357645170096</v>
      </c>
      <c r="D58" s="79">
        <v>1614</v>
      </c>
      <c r="E58" s="77" t="str">
        <f t="shared" si="0"/>
        <v>915,373576451701,1614</v>
      </c>
      <c r="F58" s="78" t="str">
        <f t="shared" si="1"/>
        <v>915,373576451701,16140</v>
      </c>
      <c r="G58" s="79"/>
      <c r="H58" s="80"/>
      <c r="I58" s="79"/>
      <c r="J58" s="79"/>
      <c r="K58" s="38"/>
      <c r="L58" s="210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4.25" customHeight="1" x14ac:dyDescent="0.15">
      <c r="A59" s="38"/>
      <c r="B59" s="63">
        <v>55</v>
      </c>
      <c r="C59" s="79">
        <f>C58+28.41</f>
        <v>943.78357645170092</v>
      </c>
      <c r="D59" s="79">
        <v>1608</v>
      </c>
      <c r="E59" s="77" t="str">
        <f t="shared" si="0"/>
        <v>943,783576451701,1608</v>
      </c>
      <c r="F59" s="78" t="str">
        <f t="shared" si="1"/>
        <v>943,783576451701,16080</v>
      </c>
      <c r="G59" s="79"/>
      <c r="H59" s="80"/>
      <c r="I59" s="79"/>
      <c r="J59" s="79"/>
      <c r="K59" s="38"/>
      <c r="L59" s="210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4.25" customHeight="1" x14ac:dyDescent="0.15">
      <c r="A60" s="38"/>
      <c r="B60" s="259" t="s">
        <v>272</v>
      </c>
      <c r="C60" s="79">
        <f>C59+19.748</f>
        <v>963.53157645170097</v>
      </c>
      <c r="D60" s="79">
        <f>1602+H60</f>
        <v>1603.0331010452962</v>
      </c>
      <c r="E60" s="77" t="str">
        <f t="shared" si="0"/>
        <v>963,531576451701,1603,0331010453</v>
      </c>
      <c r="F60" s="78" t="str">
        <f t="shared" si="1"/>
        <v>963,531576451701,16030,331010453</v>
      </c>
      <c r="G60" s="79">
        <v>2.9649999999999999</v>
      </c>
      <c r="H60" s="241">
        <f>(J60*G60)/(G60+I60)</f>
        <v>1.0331010452961671</v>
      </c>
      <c r="I60" s="79">
        <v>2.7749999999999999</v>
      </c>
      <c r="J60" s="79">
        <v>2</v>
      </c>
      <c r="K60" s="38"/>
      <c r="L60" s="210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4.25" customHeight="1" x14ac:dyDescent="0.15">
      <c r="A61" s="38"/>
      <c r="B61" s="63">
        <v>57</v>
      </c>
      <c r="C61" s="79">
        <f>C60+3.342</f>
        <v>966.87357645170096</v>
      </c>
      <c r="D61" s="79">
        <v>1604</v>
      </c>
      <c r="E61" s="77" t="str">
        <f t="shared" si="0"/>
        <v>966,873576451701,1604</v>
      </c>
      <c r="F61" s="78" t="str">
        <f t="shared" si="1"/>
        <v>966,873576451701,16040</v>
      </c>
      <c r="G61" s="79"/>
      <c r="H61" s="80"/>
      <c r="I61" s="79"/>
      <c r="J61" s="79"/>
      <c r="K61" s="38"/>
      <c r="L61" s="210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4.25" customHeight="1" x14ac:dyDescent="0.15">
      <c r="A62" s="38"/>
      <c r="B62" s="63">
        <v>58</v>
      </c>
      <c r="C62" s="79">
        <f>C61+16.678</f>
        <v>983.55157645170095</v>
      </c>
      <c r="D62" s="79">
        <v>1610</v>
      </c>
      <c r="E62" s="77" t="str">
        <f t="shared" si="0"/>
        <v>983,551576451701,1610</v>
      </c>
      <c r="F62" s="78" t="str">
        <f t="shared" si="1"/>
        <v>983,551576451701,16100</v>
      </c>
      <c r="G62" s="79"/>
      <c r="H62" s="80"/>
      <c r="I62" s="79"/>
      <c r="J62" s="79"/>
      <c r="K62" s="81"/>
      <c r="L62" s="210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4.25" customHeight="1" x14ac:dyDescent="0.15">
      <c r="A63" s="38"/>
      <c r="B63" s="63">
        <v>59</v>
      </c>
      <c r="C63" s="79">
        <f>C62+38.128</f>
        <v>1021.679576451701</v>
      </c>
      <c r="D63" s="79">
        <v>1612</v>
      </c>
      <c r="E63" s="77" t="str">
        <f t="shared" si="0"/>
        <v>1021,6795764517,1612</v>
      </c>
      <c r="F63" s="78" t="str">
        <f t="shared" si="1"/>
        <v>1021,6795764517,16120</v>
      </c>
      <c r="G63" s="79"/>
      <c r="H63" s="80"/>
      <c r="I63" s="79"/>
      <c r="J63" s="79"/>
      <c r="K63" s="38"/>
      <c r="L63" s="210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4.25" customHeight="1" x14ac:dyDescent="0.15">
      <c r="A64" s="38"/>
      <c r="B64" s="63">
        <v>60</v>
      </c>
      <c r="C64" s="79">
        <f>C63+(15.527/2)</f>
        <v>1029.443076451701</v>
      </c>
      <c r="D64" s="79">
        <f>1612+H64</f>
        <v>1612.5780550223928</v>
      </c>
      <c r="E64" s="77" t="str">
        <f t="shared" si="0"/>
        <v>1029,4430764517,1612,57805502239</v>
      </c>
      <c r="F64" s="78" t="str">
        <f t="shared" si="1"/>
        <v>1029,4430764517,16125,7805502239</v>
      </c>
      <c r="G64" s="79">
        <v>1.8069999999999999</v>
      </c>
      <c r="H64" s="241">
        <f>(J64*G64)/(G64+I64)</f>
        <v>0.57805502239283424</v>
      </c>
      <c r="I64" s="79">
        <v>4.4450000000000003</v>
      </c>
      <c r="J64" s="79">
        <v>2</v>
      </c>
      <c r="K64" s="38"/>
      <c r="L64" s="210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4.25" customHeight="1" x14ac:dyDescent="0.15">
      <c r="A65" s="38"/>
      <c r="B65" s="63">
        <v>61</v>
      </c>
      <c r="C65" s="79">
        <f>C63+15.527</f>
        <v>1037.206576451701</v>
      </c>
      <c r="D65" s="79">
        <v>1612</v>
      </c>
      <c r="E65" s="77" t="str">
        <f t="shared" si="0"/>
        <v>1037,2065764517,1612</v>
      </c>
      <c r="F65" s="78" t="str">
        <f t="shared" si="1"/>
        <v>1037,2065764517,16120</v>
      </c>
      <c r="G65" s="79"/>
      <c r="H65" s="80"/>
      <c r="I65" s="79"/>
      <c r="J65" s="79"/>
      <c r="K65" s="38"/>
      <c r="L65" s="210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4.25" customHeight="1" x14ac:dyDescent="0.15">
      <c r="A66" s="38"/>
      <c r="B66" s="294" t="s">
        <v>273</v>
      </c>
      <c r="C66" s="79">
        <f>C65+20.486</f>
        <v>1057.6925764517011</v>
      </c>
      <c r="D66" s="79">
        <f>1610+H66</f>
        <v>1610.4277297721917</v>
      </c>
      <c r="E66" s="77" t="str">
        <f t="shared" si="0"/>
        <v>1057,6925764517,1610,42772977219</v>
      </c>
      <c r="F66" s="78" t="str">
        <f t="shared" si="1"/>
        <v>1057,6925764517,16104,2772977219</v>
      </c>
      <c r="G66" s="79">
        <v>1.089</v>
      </c>
      <c r="H66" s="241">
        <f>(J66*G66)/(G66+I66)</f>
        <v>0.42772977219167313</v>
      </c>
      <c r="I66" s="79">
        <v>4.0030000000000001</v>
      </c>
      <c r="J66" s="79">
        <v>2</v>
      </c>
      <c r="K66" s="38"/>
      <c r="L66" s="210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4.25" customHeight="1" x14ac:dyDescent="0.15">
      <c r="A67" s="38"/>
      <c r="B67" s="63">
        <v>63</v>
      </c>
      <c r="C67" s="79">
        <f>C66+4.256</f>
        <v>1061.9485764517012</v>
      </c>
      <c r="D67" s="79">
        <v>1612</v>
      </c>
      <c r="E67" s="77" t="str">
        <f t="shared" si="0"/>
        <v>1061,9485764517,1612</v>
      </c>
      <c r="F67" s="78" t="str">
        <f t="shared" si="1"/>
        <v>1061,9485764517,16120</v>
      </c>
      <c r="G67" s="79"/>
      <c r="H67" s="80"/>
      <c r="I67" s="79"/>
      <c r="J67" s="79"/>
      <c r="K67" s="38"/>
      <c r="L67" s="210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4.25" customHeight="1" x14ac:dyDescent="0.15">
      <c r="A68" s="38"/>
      <c r="B68" s="63">
        <v>64</v>
      </c>
      <c r="C68" s="79">
        <f>C67+11.51</f>
        <v>1073.4585764517012</v>
      </c>
      <c r="D68" s="79">
        <v>1616</v>
      </c>
      <c r="E68" s="77" t="str">
        <f t="shared" si="0"/>
        <v>1073,4585764517,1616</v>
      </c>
      <c r="F68" s="78" t="str">
        <f t="shared" si="1"/>
        <v>1073,4585764517,16160</v>
      </c>
      <c r="G68" s="79"/>
      <c r="H68" s="80"/>
      <c r="I68" s="79"/>
      <c r="J68" s="79"/>
      <c r="K68" s="38"/>
      <c r="L68" s="210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4.25" customHeight="1" x14ac:dyDescent="0.15">
      <c r="A69" s="38"/>
      <c r="B69" s="63">
        <v>65</v>
      </c>
      <c r="C69" s="79">
        <f>C68+45.845</f>
        <v>1119.3035764517012</v>
      </c>
      <c r="D69" s="79">
        <v>1620</v>
      </c>
      <c r="E69" s="77" t="str">
        <f t="shared" si="0"/>
        <v>1119,3035764517,1620</v>
      </c>
      <c r="F69" s="78" t="str">
        <f t="shared" si="1"/>
        <v>1119,3035764517,16200</v>
      </c>
      <c r="G69" s="79"/>
      <c r="H69" s="80"/>
      <c r="I69" s="79"/>
      <c r="J69" s="79"/>
      <c r="K69" s="38"/>
      <c r="L69" s="210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4.25" customHeight="1" x14ac:dyDescent="0.15">
      <c r="A70" s="38"/>
      <c r="B70" s="292" t="s">
        <v>274</v>
      </c>
      <c r="C70" s="79">
        <v>1149.2047592061901</v>
      </c>
      <c r="D70" s="79">
        <f>1622+H70</f>
        <v>1622.0683876723754</v>
      </c>
      <c r="E70" s="77" t="str">
        <f t="shared" si="0"/>
        <v>1149,20475920619,1622,06838767238</v>
      </c>
      <c r="F70" s="78" t="str">
        <f t="shared" si="1"/>
        <v>1149,20475920619,16220,6838767238</v>
      </c>
      <c r="G70" s="79">
        <v>1.7629999999999999</v>
      </c>
      <c r="H70" s="241">
        <f>(J70*G70)/(G70+I70)</f>
        <v>6.8387672375336994E-2</v>
      </c>
      <c r="I70" s="79">
        <v>49.795999999999999</v>
      </c>
      <c r="J70" s="79">
        <v>2</v>
      </c>
      <c r="K70" s="38"/>
      <c r="L70" s="210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4.25" customHeight="1" x14ac:dyDescent="0.15">
      <c r="A71" s="38"/>
      <c r="B71" s="63">
        <v>67</v>
      </c>
      <c r="C71" s="79">
        <f>C70+(43/2)</f>
        <v>1170.7047592061901</v>
      </c>
      <c r="D71" s="79">
        <f>1620+H71</f>
        <v>1621.4752510760402</v>
      </c>
      <c r="E71" s="77" t="str">
        <f t="shared" si="0"/>
        <v>1170,70475920619,1621,47525107604</v>
      </c>
      <c r="F71" s="78" t="str">
        <f t="shared" si="1"/>
        <v>1170,70475920619,16214,7525107604</v>
      </c>
      <c r="G71" s="79">
        <v>4.1130000000000004</v>
      </c>
      <c r="H71" s="241">
        <f>(J71*G71)/(G71+I71)</f>
        <v>1.4752510760401722</v>
      </c>
      <c r="I71" s="79">
        <v>1.4630000000000001</v>
      </c>
      <c r="J71" s="79">
        <v>2</v>
      </c>
      <c r="K71" s="38"/>
      <c r="L71" s="210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4.25" customHeight="1" x14ac:dyDescent="0.15">
      <c r="A72" s="38"/>
      <c r="B72" s="63">
        <v>68</v>
      </c>
      <c r="C72" s="79">
        <f>C70+43</f>
        <v>1192.2047592061901</v>
      </c>
      <c r="D72" s="79">
        <v>1622</v>
      </c>
      <c r="E72" s="77" t="str">
        <f t="shared" si="0"/>
        <v>1192,20475920619,1622</v>
      </c>
      <c r="F72" s="78" t="str">
        <f t="shared" si="1"/>
        <v>1192,20475920619,16220</v>
      </c>
      <c r="G72" s="79"/>
      <c r="H72" s="80"/>
      <c r="I72" s="79"/>
      <c r="J72" s="79"/>
      <c r="K72" s="38"/>
      <c r="L72" s="210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4.25" customHeight="1" x14ac:dyDescent="0.15">
      <c r="A73" s="38"/>
      <c r="B73" s="292" t="s">
        <v>275</v>
      </c>
      <c r="C73" s="79">
        <v>1238.130799158869</v>
      </c>
      <c r="D73" s="79">
        <f>1624+H73</f>
        <v>1625.9744638651296</v>
      </c>
      <c r="E73" s="77" t="str">
        <f t="shared" si="0"/>
        <v>1238,13079915887,1625,97446386513</v>
      </c>
      <c r="F73" s="78" t="str">
        <f t="shared" si="1"/>
        <v>1238,13079915887,16259,7446386513</v>
      </c>
      <c r="G73" s="79">
        <v>7.9640000000000004</v>
      </c>
      <c r="H73" s="241">
        <f>(J73*G73)/(G73+I73)</f>
        <v>1.9744638651295401</v>
      </c>
      <c r="I73" s="79">
        <v>0.10299999999999999</v>
      </c>
      <c r="J73" s="79">
        <v>2</v>
      </c>
      <c r="K73" s="38"/>
      <c r="L73" s="210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4.25" customHeight="1" x14ac:dyDescent="0.15">
      <c r="A74" s="38"/>
      <c r="B74" s="63">
        <v>70</v>
      </c>
      <c r="C74" s="79">
        <f>C73+14.604</f>
        <v>1252.734799158869</v>
      </c>
      <c r="D74" s="79">
        <v>1632</v>
      </c>
      <c r="E74" s="77" t="str">
        <f t="shared" si="0"/>
        <v>1252,73479915887,1632</v>
      </c>
      <c r="F74" s="78" t="str">
        <f t="shared" si="1"/>
        <v>1252,73479915887,16320</v>
      </c>
      <c r="G74" s="79"/>
      <c r="H74" s="80"/>
      <c r="I74" s="79"/>
      <c r="J74" s="79"/>
      <c r="K74" s="38"/>
      <c r="L74" s="210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4.25" customHeight="1" x14ac:dyDescent="0.15">
      <c r="A75" s="38"/>
      <c r="B75" s="63">
        <v>71</v>
      </c>
      <c r="C75" s="79">
        <f>C74+41.217</f>
        <v>1293.9517991588691</v>
      </c>
      <c r="D75" s="79">
        <v>1634</v>
      </c>
      <c r="E75" s="77" t="str">
        <f t="shared" si="0"/>
        <v>1293,95179915887,1634</v>
      </c>
      <c r="F75" s="78" t="str">
        <f t="shared" si="1"/>
        <v>1293,95179915887,16340</v>
      </c>
      <c r="G75" s="79"/>
      <c r="H75" s="82"/>
      <c r="I75" s="79"/>
      <c r="J75" s="79"/>
      <c r="K75" s="38"/>
      <c r="L75" s="210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4.25" customHeight="1" x14ac:dyDescent="0.15">
      <c r="A76" s="38"/>
      <c r="B76" s="63">
        <v>72</v>
      </c>
      <c r="C76" s="79">
        <f>C75+30.808</f>
        <v>1324.7597991588691</v>
      </c>
      <c r="D76" s="79">
        <v>1632</v>
      </c>
      <c r="E76" s="77" t="str">
        <f t="shared" si="0"/>
        <v>1324,75979915887,1632</v>
      </c>
      <c r="F76" s="78" t="str">
        <f t="shared" si="1"/>
        <v>1324,75979915887,16320</v>
      </c>
      <c r="G76" s="79"/>
      <c r="H76" s="82"/>
      <c r="I76" s="79"/>
      <c r="J76" s="79"/>
      <c r="K76" s="38"/>
      <c r="L76" s="210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4.25" customHeight="1" x14ac:dyDescent="0.15">
      <c r="A77" s="38"/>
      <c r="B77" s="292" t="s">
        <v>276</v>
      </c>
      <c r="C77" s="79">
        <v>1343.4916989263804</v>
      </c>
      <c r="D77" s="79">
        <f>1630+H77</f>
        <v>1631.1449312937516</v>
      </c>
      <c r="E77" s="77" t="str">
        <f t="shared" si="0"/>
        <v>1343,49169892638,1631,14493129375</v>
      </c>
      <c r="F77" s="78" t="str">
        <f t="shared" si="1"/>
        <v>1343,49169892638,16311,4493129375</v>
      </c>
      <c r="G77" s="79">
        <v>2.2080000000000002</v>
      </c>
      <c r="H77" s="241">
        <f>(J77*G77)/(G77+I77)</f>
        <v>1.1449312937516205</v>
      </c>
      <c r="I77" s="79">
        <v>1.649</v>
      </c>
      <c r="J77" s="79">
        <v>2</v>
      </c>
      <c r="K77" s="38"/>
      <c r="L77" s="210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4.25" customHeight="1" x14ac:dyDescent="0.15">
      <c r="A78" s="38"/>
      <c r="B78" s="63">
        <v>74</v>
      </c>
      <c r="C78" s="79">
        <f>C77+11.1</f>
        <v>1354.5916989263803</v>
      </c>
      <c r="D78" s="79">
        <v>1632</v>
      </c>
      <c r="E78" s="77" t="str">
        <f t="shared" si="0"/>
        <v>1354,59169892638,1632</v>
      </c>
      <c r="F78" s="78" t="str">
        <f t="shared" si="1"/>
        <v>1354,59169892638,16320</v>
      </c>
      <c r="G78" s="79"/>
      <c r="H78" s="82"/>
      <c r="I78" s="79"/>
      <c r="J78" s="79"/>
      <c r="K78" s="38"/>
      <c r="L78" s="210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4.25" customHeight="1" x14ac:dyDescent="0.15">
      <c r="A79" s="38"/>
      <c r="B79" s="63">
        <v>75</v>
      </c>
      <c r="C79" s="79">
        <f>C78+(14.2/2)</f>
        <v>1361.6916989263802</v>
      </c>
      <c r="D79" s="79">
        <f>1632+H79</f>
        <v>1632.1647750469504</v>
      </c>
      <c r="E79" s="77" t="str">
        <f t="shared" si="0"/>
        <v>1361,69169892638,1632,16477504695</v>
      </c>
      <c r="F79" s="78" t="str">
        <f t="shared" si="1"/>
        <v>1361,69169892638,16321,6477504695</v>
      </c>
      <c r="G79" s="79">
        <v>1.0089999999999999</v>
      </c>
      <c r="H79" s="241">
        <f>(J79*G79)/(G79+I79)</f>
        <v>0.16477504695027353</v>
      </c>
      <c r="I79" s="79">
        <v>11.238</v>
      </c>
      <c r="J79" s="79">
        <v>2</v>
      </c>
      <c r="K79" s="38"/>
      <c r="L79" s="210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4.25" customHeight="1" x14ac:dyDescent="0.15">
      <c r="A80" s="38"/>
      <c r="B80" s="63">
        <v>76</v>
      </c>
      <c r="C80" s="79">
        <f>C78+14.2</f>
        <v>1368.7916989263804</v>
      </c>
      <c r="D80" s="79">
        <v>1632</v>
      </c>
      <c r="E80" s="77" t="str">
        <f t="shared" si="0"/>
        <v>1368,79169892638,1632</v>
      </c>
      <c r="F80" s="78" t="str">
        <f t="shared" si="1"/>
        <v>1368,79169892638,16320</v>
      </c>
      <c r="G80" s="79"/>
      <c r="H80" s="82"/>
      <c r="I80" s="79"/>
      <c r="J80" s="79"/>
      <c r="K80" s="38"/>
      <c r="L80" s="210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4.25" customHeight="1" x14ac:dyDescent="0.15">
      <c r="A81" s="38"/>
      <c r="B81" s="63">
        <v>77</v>
      </c>
      <c r="C81" s="79">
        <f>C80+(13.383/2)</f>
        <v>1375.4831989263803</v>
      </c>
      <c r="D81" s="79">
        <f>1630+H81</f>
        <v>1631.0018333672847</v>
      </c>
      <c r="E81" s="77" t="str">
        <f t="shared" si="0"/>
        <v>1375,48319892638,1631,00183336728</v>
      </c>
      <c r="F81" s="78" t="str">
        <f t="shared" si="1"/>
        <v>1375,48319892638,16310,0183336728</v>
      </c>
      <c r="G81" s="79">
        <v>19.672000000000001</v>
      </c>
      <c r="H81" s="241">
        <f>(J81*G81)/(G81+I81)</f>
        <v>1.0018333672845792</v>
      </c>
      <c r="I81" s="79">
        <v>19.600000000000001</v>
      </c>
      <c r="J81" s="79">
        <v>2</v>
      </c>
      <c r="K81" s="38"/>
      <c r="L81" s="210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4.25" customHeight="1" x14ac:dyDescent="0.15">
      <c r="A82" s="38"/>
      <c r="B82" s="63">
        <v>78</v>
      </c>
      <c r="C82" s="79">
        <f>C80+13.383</f>
        <v>1382.1746989263804</v>
      </c>
      <c r="D82" s="79">
        <v>1632</v>
      </c>
      <c r="E82" s="77" t="str">
        <f t="shared" si="0"/>
        <v>1382,17469892638,1632</v>
      </c>
      <c r="F82" s="78" t="str">
        <f t="shared" si="1"/>
        <v>1382,17469892638,16320</v>
      </c>
      <c r="G82" s="79"/>
      <c r="H82" s="80"/>
      <c r="I82" s="79"/>
      <c r="J82" s="79"/>
      <c r="K82" s="38"/>
      <c r="L82" s="210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4.25" customHeight="1" x14ac:dyDescent="0.15">
      <c r="A83" s="38"/>
      <c r="B83" s="296" t="s">
        <v>277</v>
      </c>
      <c r="C83" s="79">
        <v>1404.6290990394889</v>
      </c>
      <c r="D83" s="79">
        <f>1630+H83</f>
        <v>1631.0316479501371</v>
      </c>
      <c r="E83" s="77" t="str">
        <f t="shared" si="0"/>
        <v>1404,62909903949,1631,03164795014</v>
      </c>
      <c r="F83" s="78" t="str">
        <f t="shared" si="1"/>
        <v>1404,62909903949,16310,3164795014</v>
      </c>
      <c r="G83" s="79">
        <v>1.92</v>
      </c>
      <c r="H83" s="241">
        <f>(J83*G83)/(G83+I83)</f>
        <v>1.0316479501370157</v>
      </c>
      <c r="I83" s="79">
        <v>1.8022</v>
      </c>
      <c r="J83" s="79">
        <v>2</v>
      </c>
      <c r="K83" s="38"/>
      <c r="L83" s="210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4.25" customHeight="1" x14ac:dyDescent="0.15">
      <c r="A84" s="38"/>
      <c r="B84" s="294" t="s">
        <v>278</v>
      </c>
      <c r="C84" s="79">
        <f>C83+4.117</f>
        <v>1408.7460990394889</v>
      </c>
      <c r="D84" s="79">
        <f>1630+H84</f>
        <v>1630.8375750643409</v>
      </c>
      <c r="E84" s="77" t="str">
        <f t="shared" si="0"/>
        <v>1408,74609903949,1630,83757506434</v>
      </c>
      <c r="F84" s="78" t="str">
        <f t="shared" si="1"/>
        <v>1408,74609903949,16308,3757506434</v>
      </c>
      <c r="G84" s="79">
        <v>2.9289999999999998</v>
      </c>
      <c r="H84" s="241">
        <f>(J84*G84)/(G84+I84)</f>
        <v>0.8375750643408636</v>
      </c>
      <c r="I84" s="79">
        <v>4.0650000000000004</v>
      </c>
      <c r="J84" s="79">
        <v>2</v>
      </c>
      <c r="K84" s="38"/>
      <c r="L84" s="210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4.25" customHeight="1" x14ac:dyDescent="0.15">
      <c r="A85" s="38"/>
      <c r="B85" s="63">
        <v>81</v>
      </c>
      <c r="C85" s="79">
        <f>C84+7.011</f>
        <v>1415.7570990394888</v>
      </c>
      <c r="D85" s="79">
        <v>1632</v>
      </c>
      <c r="E85" s="77" t="str">
        <f t="shared" si="0"/>
        <v>1415,75709903949,1632</v>
      </c>
      <c r="F85" s="78" t="str">
        <f t="shared" si="1"/>
        <v>1415,75709903949,16320</v>
      </c>
      <c r="G85" s="79"/>
      <c r="H85" s="82"/>
      <c r="I85" s="79"/>
      <c r="J85" s="79"/>
      <c r="K85" s="38"/>
      <c r="L85" s="210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4.25" customHeight="1" x14ac:dyDescent="0.15">
      <c r="A86" s="38"/>
      <c r="B86" s="63">
        <v>82</v>
      </c>
      <c r="C86" s="79">
        <f>C85+13.246</f>
        <v>1429.0030990394889</v>
      </c>
      <c r="D86" s="79">
        <v>1636</v>
      </c>
      <c r="E86" s="77" t="str">
        <f t="shared" si="0"/>
        <v>1429,00309903949,1636</v>
      </c>
      <c r="F86" s="78" t="str">
        <f t="shared" si="1"/>
        <v>1429,00309903949,16360</v>
      </c>
      <c r="G86" s="79"/>
      <c r="H86" s="82"/>
      <c r="I86" s="79"/>
      <c r="J86" s="79"/>
      <c r="K86" s="38"/>
      <c r="L86" s="210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4.25" customHeight="1" x14ac:dyDescent="0.15">
      <c r="A87" s="38"/>
      <c r="B87" s="292" t="s">
        <v>279</v>
      </c>
      <c r="C87" s="79">
        <v>1519.328447957342</v>
      </c>
      <c r="D87" s="79">
        <f>1638+H87</f>
        <v>1639.8778544875199</v>
      </c>
      <c r="E87" s="77" t="str">
        <f t="shared" si="0"/>
        <v>1519,32844795734,1639,87785448752</v>
      </c>
      <c r="F87" s="78" t="str">
        <f t="shared" si="1"/>
        <v>1519,32844795734,16398,7785448752</v>
      </c>
      <c r="G87" s="79">
        <v>3.536</v>
      </c>
      <c r="H87" s="241">
        <f>(J87*G87)/(G87+I87)</f>
        <v>1.877854487519915</v>
      </c>
      <c r="I87" s="79">
        <v>0.23</v>
      </c>
      <c r="J87" s="79">
        <v>2</v>
      </c>
      <c r="K87" s="38"/>
      <c r="L87" s="210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4.25" customHeight="1" x14ac:dyDescent="0.15">
      <c r="A88" s="38"/>
      <c r="B88" s="292" t="s">
        <v>280</v>
      </c>
      <c r="C88" s="79">
        <v>1530.1335179056155</v>
      </c>
      <c r="D88" s="79">
        <f>1638+H88</f>
        <v>1639.9381070702507</v>
      </c>
      <c r="E88" s="77" t="str">
        <f t="shared" si="0"/>
        <v>1530,13351790562,1639,93810707025</v>
      </c>
      <c r="F88" s="78" t="str">
        <f t="shared" si="1"/>
        <v>1530,13351790562,16399,3810707025</v>
      </c>
      <c r="G88" s="79">
        <v>4.29</v>
      </c>
      <c r="H88" s="241">
        <f>(J88*G88)/(G88+I88)</f>
        <v>1.9381070702507344</v>
      </c>
      <c r="I88" s="79">
        <v>0.13700000000000001</v>
      </c>
      <c r="J88" s="79">
        <v>2</v>
      </c>
      <c r="K88" s="38"/>
      <c r="L88" s="210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4.25" customHeight="1" x14ac:dyDescent="0.15">
      <c r="A89" s="38"/>
      <c r="B89" s="294" t="s">
        <v>281</v>
      </c>
      <c r="C89" s="79">
        <f>C88+11.444</f>
        <v>1541.5775179056154</v>
      </c>
      <c r="D89" s="79">
        <f>1638+H89</f>
        <v>1638.9418330113758</v>
      </c>
      <c r="E89" s="77" t="str">
        <f t="shared" si="0"/>
        <v>1541,57751790562,1638,94183301138</v>
      </c>
      <c r="F89" s="78" t="str">
        <f t="shared" si="1"/>
        <v>1541,57751790562,16389,4183301138</v>
      </c>
      <c r="G89" s="79">
        <v>2.194</v>
      </c>
      <c r="H89" s="241">
        <f>(J89*G89)/(G89+I89)</f>
        <v>0.94183301137583175</v>
      </c>
      <c r="I89" s="79">
        <v>2.4649999999999999</v>
      </c>
      <c r="J89" s="79">
        <v>2</v>
      </c>
      <c r="K89" s="38"/>
      <c r="L89" s="210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4.25" customHeight="1" x14ac:dyDescent="0.15">
      <c r="A90" s="38"/>
      <c r="B90" s="238">
        <v>86</v>
      </c>
      <c r="C90" s="79">
        <f>C89+13.657</f>
        <v>1555.2345179056153</v>
      </c>
      <c r="D90" s="79">
        <v>1640</v>
      </c>
      <c r="E90" s="77" t="str">
        <f t="shared" si="0"/>
        <v>1555,23451790562,1640</v>
      </c>
      <c r="F90" s="78" t="str">
        <f t="shared" si="1"/>
        <v>1555,23451790562,16400</v>
      </c>
      <c r="G90" s="79"/>
      <c r="H90" s="80"/>
      <c r="I90" s="79"/>
      <c r="J90" s="79"/>
      <c r="K90" s="38"/>
      <c r="L90" s="210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4.25" customHeight="1" x14ac:dyDescent="0.15">
      <c r="A91" s="38"/>
      <c r="B91" s="63">
        <v>87</v>
      </c>
      <c r="C91" s="79">
        <f>C90+39.934</f>
        <v>1595.1685179056153</v>
      </c>
      <c r="D91" s="79">
        <v>1646</v>
      </c>
      <c r="E91" s="77" t="str">
        <f t="shared" si="0"/>
        <v>1595,16851790562,1646</v>
      </c>
      <c r="F91" s="78" t="str">
        <f t="shared" si="1"/>
        <v>1595,16851790562,16460</v>
      </c>
      <c r="G91" s="63"/>
      <c r="H91" s="63"/>
      <c r="I91" s="63"/>
      <c r="J91" s="63"/>
      <c r="K91" s="38"/>
      <c r="L91" s="210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4.25" customHeight="1" x14ac:dyDescent="0.15">
      <c r="A92" s="38"/>
      <c r="B92" s="63">
        <v>88</v>
      </c>
      <c r="C92" s="79">
        <f>C91+28.538</f>
        <v>1623.7065179056153</v>
      </c>
      <c r="D92" s="79">
        <v>1652</v>
      </c>
      <c r="E92" s="77" t="str">
        <f t="shared" si="0"/>
        <v>1623,70651790562,1652</v>
      </c>
      <c r="F92" s="78" t="str">
        <f t="shared" si="1"/>
        <v>1623,70651790562,16520</v>
      </c>
      <c r="G92" s="63"/>
      <c r="H92" s="63"/>
      <c r="I92" s="63"/>
      <c r="J92" s="63"/>
      <c r="K92" s="38"/>
      <c r="L92" s="210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4.25" customHeight="1" x14ac:dyDescent="0.15">
      <c r="A93" s="38"/>
      <c r="B93" s="63">
        <v>89</v>
      </c>
      <c r="C93" s="79">
        <f>C92+(17.263/2)</f>
        <v>1632.3380179056153</v>
      </c>
      <c r="D93" s="79">
        <f>1652+H93</f>
        <v>1652.481027104137</v>
      </c>
      <c r="E93" s="77" t="str">
        <f t="shared" si="0"/>
        <v>1632,33801790562,1652,48102710414</v>
      </c>
      <c r="F93" s="78" t="str">
        <f t="shared" si="1"/>
        <v>1632,33801790562,16524,8102710414</v>
      </c>
      <c r="G93" s="63">
        <v>1.6859999999999999</v>
      </c>
      <c r="H93" s="241">
        <f>(J93*G93)/(G93+I93)</f>
        <v>0.48102710413694721</v>
      </c>
      <c r="I93" s="63">
        <v>5.3239999999999998</v>
      </c>
      <c r="J93" s="63">
        <v>2</v>
      </c>
      <c r="K93" s="38"/>
      <c r="L93" s="210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4.25" customHeight="1" x14ac:dyDescent="0.15">
      <c r="A94" s="38"/>
      <c r="B94" s="63">
        <v>90</v>
      </c>
      <c r="C94" s="79">
        <f>C92+17.263</f>
        <v>1640.9695179056152</v>
      </c>
      <c r="D94" s="79">
        <v>1652</v>
      </c>
      <c r="E94" s="77" t="str">
        <f t="shared" si="0"/>
        <v>1640,96951790562,1652</v>
      </c>
      <c r="F94" s="78" t="str">
        <f t="shared" si="1"/>
        <v>1640,96951790562,16520</v>
      </c>
      <c r="G94" s="79"/>
      <c r="H94" s="80"/>
      <c r="I94" s="79"/>
      <c r="J94" s="79"/>
      <c r="K94" s="38"/>
      <c r="L94" s="210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4.25" customHeight="1" x14ac:dyDescent="0.15">
      <c r="A95" s="38"/>
      <c r="B95" s="292" t="s">
        <v>282</v>
      </c>
      <c r="C95" s="79">
        <v>1671.1769135383931</v>
      </c>
      <c r="D95" s="79">
        <f>1648+H95</f>
        <v>1649.6331585081584</v>
      </c>
      <c r="E95" s="77" t="str">
        <f t="shared" si="0"/>
        <v>1671,17691353839,1649,63315850816</v>
      </c>
      <c r="F95" s="78" t="str">
        <f t="shared" si="1"/>
        <v>1671,17691353839,16496,3315850816</v>
      </c>
      <c r="G95" s="63">
        <v>5.6050000000000004</v>
      </c>
      <c r="H95" s="241">
        <f>(J95*G95)/(G95+I95)</f>
        <v>1.633158508158508</v>
      </c>
      <c r="I95" s="63">
        <v>1.2589999999999999</v>
      </c>
      <c r="J95" s="63">
        <v>2</v>
      </c>
      <c r="K95" s="38"/>
      <c r="L95" s="210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4.25" customHeight="1" x14ac:dyDescent="0.15">
      <c r="A96" s="38"/>
      <c r="B96" s="292" t="s">
        <v>283</v>
      </c>
      <c r="C96" s="79">
        <v>1692.069822292875</v>
      </c>
      <c r="D96" s="79">
        <f>1650+H96</f>
        <v>1650.7798608654639</v>
      </c>
      <c r="E96" s="77" t="str">
        <f t="shared" si="0"/>
        <v>1692,06982229287,1650,77986086546</v>
      </c>
      <c r="F96" s="78" t="str">
        <f t="shared" si="1"/>
        <v>1692,06982229287,16507,7986086546</v>
      </c>
      <c r="G96" s="79">
        <v>3.3069999999999999</v>
      </c>
      <c r="H96" s="241">
        <f>(J96*G96)/(G96+I96)</f>
        <v>0.77986086546397826</v>
      </c>
      <c r="I96" s="79">
        <v>5.1740000000000004</v>
      </c>
      <c r="J96" s="79">
        <v>2</v>
      </c>
      <c r="K96" s="38"/>
      <c r="L96" s="210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4.25" customHeight="1" x14ac:dyDescent="0.15">
      <c r="A97" s="38"/>
      <c r="B97" s="63">
        <v>93</v>
      </c>
      <c r="C97" s="79">
        <f>C96+19.068</f>
        <v>1711.1378222928749</v>
      </c>
      <c r="D97" s="79">
        <v>1654</v>
      </c>
      <c r="E97" s="77" t="str">
        <f t="shared" si="0"/>
        <v>1711,13782229287,1654</v>
      </c>
      <c r="F97" s="78" t="str">
        <f t="shared" si="1"/>
        <v>1711,13782229287,16540</v>
      </c>
      <c r="G97" s="79"/>
      <c r="H97" s="80"/>
      <c r="I97" s="79"/>
      <c r="J97" s="79"/>
      <c r="K97" s="38"/>
      <c r="L97" s="210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4.25" customHeight="1" x14ac:dyDescent="0.15">
      <c r="A98" s="38"/>
      <c r="B98" s="63">
        <v>94</v>
      </c>
      <c r="C98" s="79">
        <f>C97+(21.266/2)</f>
        <v>1721.770822292875</v>
      </c>
      <c r="D98" s="79">
        <f>1654+H98</f>
        <v>1654.6910206358059</v>
      </c>
      <c r="E98" s="77" t="str">
        <f t="shared" si="0"/>
        <v>1721,77082229287,1654,69102063581</v>
      </c>
      <c r="F98" s="78" t="str">
        <f t="shared" si="1"/>
        <v>1721,77082229287,16546,9102063581</v>
      </c>
      <c r="G98" s="63">
        <v>2.4780000000000002</v>
      </c>
      <c r="H98" s="241">
        <f>(J98*G98)/(G98+I98)</f>
        <v>0.69102063580591189</v>
      </c>
      <c r="I98" s="63">
        <v>4.694</v>
      </c>
      <c r="J98" s="63">
        <v>2</v>
      </c>
      <c r="K98" s="38"/>
      <c r="L98" s="250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4.25" customHeight="1" x14ac:dyDescent="0.15">
      <c r="A99" s="38"/>
      <c r="B99" s="63">
        <v>95</v>
      </c>
      <c r="C99" s="79">
        <f>C97+21.266</f>
        <v>1732.403822292875</v>
      </c>
      <c r="D99" s="79">
        <v>1654</v>
      </c>
      <c r="E99" s="77" t="str">
        <f t="shared" si="0"/>
        <v>1732,40382229288,1654</v>
      </c>
      <c r="F99" s="78" t="str">
        <f t="shared" si="1"/>
        <v>1732,40382229288,16540</v>
      </c>
      <c r="G99" s="63"/>
      <c r="H99" s="63"/>
      <c r="I99" s="63"/>
      <c r="J99" s="63"/>
      <c r="K99" s="38"/>
      <c r="L99" s="210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4.25" customHeight="1" x14ac:dyDescent="0.15">
      <c r="A100" s="38"/>
      <c r="B100" s="63">
        <v>96</v>
      </c>
      <c r="C100" s="79">
        <f>C99+(40.916/2)</f>
        <v>1752.8618222928751</v>
      </c>
      <c r="D100" s="79">
        <f>1652+H100</f>
        <v>1652.3772012367253</v>
      </c>
      <c r="E100" s="77" t="str">
        <f t="shared" si="0"/>
        <v>1752,86182229288,1652,37720123673</v>
      </c>
      <c r="F100" s="78" t="str">
        <f t="shared" si="1"/>
        <v>1752,86182229288,16523,7720123673</v>
      </c>
      <c r="G100" s="63">
        <v>1.403</v>
      </c>
      <c r="H100" s="241">
        <f>(J100*G100)/(G100+I100)</f>
        <v>0.37720123672536632</v>
      </c>
      <c r="I100" s="63">
        <v>6.0359999999999996</v>
      </c>
      <c r="J100" s="63">
        <v>2</v>
      </c>
      <c r="K100" s="38"/>
      <c r="L100" s="210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4.25" customHeight="1" x14ac:dyDescent="0.15">
      <c r="A101" s="38"/>
      <c r="B101" s="63">
        <v>97</v>
      </c>
      <c r="C101" s="79">
        <f>C99+40.916</f>
        <v>1773.319822292875</v>
      </c>
      <c r="D101" s="79">
        <v>1654</v>
      </c>
      <c r="E101" s="77" t="str">
        <f t="shared" si="0"/>
        <v>1773,31982229287,1654</v>
      </c>
      <c r="F101" s="78" t="str">
        <f t="shared" si="1"/>
        <v>1773,31982229287,16540</v>
      </c>
      <c r="G101" s="63"/>
      <c r="H101" s="63"/>
      <c r="I101" s="63"/>
      <c r="J101" s="63"/>
      <c r="K101" s="38"/>
      <c r="L101" s="210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4.25" customHeight="1" x14ac:dyDescent="0.15">
      <c r="A102" s="38"/>
      <c r="B102" s="63">
        <v>98</v>
      </c>
      <c r="C102" s="79">
        <f>C101+(45.978/2)</f>
        <v>1796.308822292875</v>
      </c>
      <c r="D102" s="79">
        <f>1654+H102</f>
        <v>1654.6047745358089</v>
      </c>
      <c r="E102" s="77" t="str">
        <f t="shared" si="0"/>
        <v>1796,30882229287,1654,60477453581</v>
      </c>
      <c r="F102" s="78" t="str">
        <f t="shared" si="1"/>
        <v>1796,30882229287,16546,0477453581</v>
      </c>
      <c r="G102" s="63">
        <v>1.1399999999999999</v>
      </c>
      <c r="H102" s="241">
        <f>(J102*G102)/(G102+I102)</f>
        <v>0.60477453580901863</v>
      </c>
      <c r="I102" s="63">
        <v>2.63</v>
      </c>
      <c r="J102" s="63">
        <v>2</v>
      </c>
      <c r="K102" s="38"/>
      <c r="L102" s="250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4.25" customHeight="1" x14ac:dyDescent="0.15">
      <c r="A103" s="38"/>
      <c r="B103" s="258">
        <v>99</v>
      </c>
      <c r="C103" s="247">
        <f>C101+45.978</f>
        <v>1819.297822292875</v>
      </c>
      <c r="D103" s="247">
        <v>1654</v>
      </c>
      <c r="E103" s="248" t="str">
        <f t="shared" si="0"/>
        <v>1819,29782229288,1654</v>
      </c>
      <c r="F103" s="249" t="str">
        <f t="shared" si="1"/>
        <v>1819,29782229288,16540</v>
      </c>
      <c r="G103" s="247"/>
      <c r="H103" s="253"/>
      <c r="I103" s="247"/>
      <c r="J103" s="247"/>
      <c r="K103" s="38"/>
      <c r="L103" s="250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4.25" customHeight="1" x14ac:dyDescent="0.15">
      <c r="A104" s="38"/>
      <c r="B104" s="297" t="s">
        <v>297</v>
      </c>
      <c r="C104" s="255">
        <v>1848.2281943733419</v>
      </c>
      <c r="D104" s="255">
        <v>1652</v>
      </c>
      <c r="E104" s="255" t="str">
        <f t="shared" si="0"/>
        <v>1848,22819437334,1652</v>
      </c>
      <c r="F104" s="256" t="str">
        <f t="shared" si="1"/>
        <v>1848,22819437334,16520</v>
      </c>
      <c r="G104" s="254"/>
      <c r="H104" s="254"/>
      <c r="I104" s="254"/>
      <c r="J104" s="254"/>
      <c r="K104" s="210"/>
      <c r="L104" s="210"/>
      <c r="M104" s="210"/>
      <c r="N104" s="210"/>
      <c r="O104" s="210"/>
      <c r="P104" s="210"/>
      <c r="Q104" s="210"/>
      <c r="R104" s="210"/>
      <c r="S104" s="38"/>
      <c r="T104" s="38"/>
      <c r="U104" s="38"/>
      <c r="V104" s="38"/>
      <c r="W104" s="38"/>
      <c r="X104" s="38"/>
      <c r="Y104" s="38"/>
      <c r="Z104" s="38"/>
    </row>
    <row r="105" spans="1:26" ht="14.25" customHeight="1" x14ac:dyDescent="0.15">
      <c r="A105" s="38"/>
      <c r="B105" s="210"/>
      <c r="C105" s="250"/>
      <c r="D105" s="250"/>
      <c r="E105" s="250"/>
      <c r="F105" s="251"/>
      <c r="G105" s="250"/>
      <c r="H105" s="250"/>
      <c r="I105" s="250"/>
      <c r="J105" s="250"/>
      <c r="K105" s="210"/>
      <c r="L105" s="210"/>
      <c r="M105" s="210"/>
      <c r="N105" s="210"/>
      <c r="O105" s="210"/>
      <c r="P105" s="210"/>
      <c r="Q105" s="210"/>
      <c r="R105" s="210"/>
      <c r="S105" s="38"/>
      <c r="T105" s="38"/>
      <c r="U105" s="38"/>
      <c r="V105" s="38"/>
      <c r="W105" s="38"/>
      <c r="X105" s="38"/>
      <c r="Y105" s="38"/>
      <c r="Z105" s="38"/>
    </row>
    <row r="106" spans="1:26" ht="14.25" customHeight="1" x14ac:dyDescent="0.15">
      <c r="A106" s="38"/>
      <c r="B106" s="210"/>
      <c r="C106" s="250"/>
      <c r="D106" s="250"/>
      <c r="E106" s="250"/>
      <c r="F106" s="251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38"/>
      <c r="T106" s="38"/>
      <c r="U106" s="38"/>
      <c r="V106" s="38"/>
      <c r="W106" s="38"/>
      <c r="X106" s="38"/>
      <c r="Y106" s="38"/>
      <c r="Z106" s="38"/>
    </row>
    <row r="107" spans="1:26" ht="14.25" customHeight="1" x14ac:dyDescent="0.15">
      <c r="A107" s="38"/>
      <c r="B107" s="210"/>
      <c r="C107" s="250"/>
      <c r="D107" s="250"/>
      <c r="E107" s="250"/>
      <c r="F107" s="251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38"/>
      <c r="T107" s="38"/>
      <c r="U107" s="38"/>
      <c r="V107" s="38"/>
      <c r="W107" s="38"/>
      <c r="X107" s="38"/>
      <c r="Y107" s="38"/>
      <c r="Z107" s="38"/>
    </row>
    <row r="108" spans="1:26" ht="14.25" customHeight="1" x14ac:dyDescent="0.15">
      <c r="A108" s="38"/>
      <c r="B108" s="210"/>
      <c r="C108" s="250"/>
      <c r="D108" s="250"/>
      <c r="E108" s="250"/>
      <c r="F108" s="251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38"/>
      <c r="T108" s="38"/>
      <c r="U108" s="38"/>
      <c r="V108" s="38"/>
      <c r="W108" s="38"/>
      <c r="X108" s="38"/>
      <c r="Y108" s="38"/>
      <c r="Z108" s="38"/>
    </row>
    <row r="109" spans="1:26" ht="14.25" customHeight="1" x14ac:dyDescent="0.15">
      <c r="A109" s="38"/>
      <c r="B109" s="210"/>
      <c r="C109" s="250"/>
      <c r="D109" s="250"/>
      <c r="E109" s="250"/>
      <c r="F109" s="251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38"/>
      <c r="T109" s="38"/>
      <c r="U109" s="38"/>
      <c r="V109" s="38"/>
      <c r="W109" s="38"/>
      <c r="X109" s="38"/>
      <c r="Y109" s="38"/>
      <c r="Z109" s="38"/>
    </row>
    <row r="110" spans="1:26" ht="14.25" customHeight="1" x14ac:dyDescent="0.15">
      <c r="A110" s="38"/>
      <c r="B110" s="210"/>
      <c r="C110" s="250"/>
      <c r="D110" s="250"/>
      <c r="E110" s="250"/>
      <c r="F110" s="251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38"/>
      <c r="T110" s="38"/>
      <c r="U110" s="38"/>
      <c r="V110" s="38"/>
      <c r="W110" s="38"/>
      <c r="X110" s="38"/>
      <c r="Y110" s="38"/>
      <c r="Z110" s="38"/>
    </row>
    <row r="111" spans="1:26" ht="14.25" customHeight="1" x14ac:dyDescent="0.15">
      <c r="A111" s="38"/>
      <c r="B111" s="210"/>
      <c r="C111" s="250"/>
      <c r="D111" s="250"/>
      <c r="E111" s="250"/>
      <c r="F111" s="251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38"/>
      <c r="T111" s="38"/>
      <c r="U111" s="38"/>
      <c r="V111" s="38"/>
      <c r="W111" s="38"/>
      <c r="X111" s="38"/>
      <c r="Y111" s="38"/>
      <c r="Z111" s="38"/>
    </row>
    <row r="112" spans="1:26" ht="14.25" customHeight="1" x14ac:dyDescent="0.15">
      <c r="A112" s="38"/>
      <c r="B112" s="210"/>
      <c r="C112" s="250"/>
      <c r="D112" s="250"/>
      <c r="E112" s="250"/>
      <c r="F112" s="251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38"/>
      <c r="T112" s="38"/>
      <c r="U112" s="38"/>
      <c r="V112" s="38"/>
      <c r="W112" s="38"/>
      <c r="X112" s="38"/>
      <c r="Y112" s="38"/>
      <c r="Z112" s="38"/>
    </row>
    <row r="113" spans="1:26" ht="14.25" customHeight="1" x14ac:dyDescent="0.15">
      <c r="A113" s="38"/>
      <c r="B113" s="210"/>
      <c r="C113" s="250"/>
      <c r="D113" s="250"/>
      <c r="E113" s="250"/>
      <c r="F113" s="251"/>
      <c r="G113" s="210"/>
      <c r="H113" s="210"/>
      <c r="I113" s="210"/>
      <c r="J113" s="210"/>
      <c r="K113" s="210"/>
      <c r="L113" s="245"/>
      <c r="M113" s="245"/>
      <c r="N113" s="210"/>
      <c r="O113" s="210"/>
      <c r="P113" s="210"/>
      <c r="Q113" s="210"/>
      <c r="R113" s="210"/>
      <c r="S113" s="38"/>
      <c r="T113" s="38"/>
      <c r="U113" s="38"/>
      <c r="V113" s="38"/>
      <c r="W113" s="38"/>
      <c r="X113" s="38"/>
      <c r="Y113" s="38"/>
      <c r="Z113" s="38"/>
    </row>
    <row r="114" spans="1:26" ht="14.25" customHeight="1" x14ac:dyDescent="0.15">
      <c r="A114" s="38"/>
      <c r="B114" s="210"/>
      <c r="C114" s="250"/>
      <c r="D114" s="250"/>
      <c r="E114" s="250"/>
      <c r="F114" s="251"/>
      <c r="G114" s="210"/>
      <c r="H114" s="210"/>
      <c r="I114" s="210"/>
      <c r="J114" s="210"/>
      <c r="K114" s="210"/>
      <c r="L114" s="245"/>
      <c r="M114" s="245"/>
      <c r="N114" s="210"/>
      <c r="O114" s="210"/>
      <c r="P114" s="210"/>
      <c r="Q114" s="210"/>
      <c r="R114" s="210"/>
      <c r="S114" s="38"/>
      <c r="T114" s="38"/>
      <c r="U114" s="38"/>
      <c r="V114" s="38"/>
      <c r="W114" s="38"/>
      <c r="X114" s="38"/>
      <c r="Y114" s="38"/>
      <c r="Z114" s="38"/>
    </row>
    <row r="115" spans="1:26" ht="14.25" customHeight="1" x14ac:dyDescent="0.15">
      <c r="A115" s="38"/>
      <c r="B115" s="210"/>
      <c r="C115" s="250"/>
      <c r="D115" s="250"/>
      <c r="E115" s="250"/>
      <c r="F115" s="251"/>
      <c r="G115" s="210"/>
      <c r="H115" s="210"/>
      <c r="I115" s="210"/>
      <c r="J115" s="210"/>
      <c r="K115" s="210"/>
      <c r="L115" s="245"/>
      <c r="M115" s="245"/>
      <c r="N115" s="210"/>
      <c r="O115" s="210"/>
      <c r="P115" s="210"/>
      <c r="Q115" s="210"/>
      <c r="R115" s="210"/>
      <c r="S115" s="38"/>
      <c r="T115" s="38"/>
      <c r="U115" s="38"/>
      <c r="V115" s="38"/>
      <c r="W115" s="38"/>
      <c r="X115" s="38"/>
      <c r="Y115" s="38"/>
      <c r="Z115" s="38"/>
    </row>
    <row r="116" spans="1:26" ht="14.25" customHeight="1" x14ac:dyDescent="0.15">
      <c r="A116" s="38"/>
      <c r="B116" s="210"/>
      <c r="C116" s="250"/>
      <c r="D116" s="250"/>
      <c r="E116" s="250"/>
      <c r="F116" s="251"/>
      <c r="G116" s="210"/>
      <c r="H116" s="210"/>
      <c r="I116" s="210"/>
      <c r="J116" s="210"/>
      <c r="K116" s="210"/>
      <c r="L116" s="245"/>
      <c r="M116" s="245"/>
      <c r="N116" s="210"/>
      <c r="O116" s="210"/>
      <c r="P116" s="210"/>
      <c r="Q116" s="210"/>
      <c r="R116" s="210"/>
      <c r="S116" s="38"/>
      <c r="T116" s="38"/>
      <c r="U116" s="38"/>
      <c r="V116" s="38"/>
      <c r="W116" s="38"/>
      <c r="X116" s="38"/>
      <c r="Y116" s="38"/>
      <c r="Z116" s="38"/>
    </row>
    <row r="117" spans="1:26" ht="14.25" customHeight="1" x14ac:dyDescent="0.15">
      <c r="A117" s="38"/>
      <c r="B117" s="210"/>
      <c r="C117" s="250"/>
      <c r="D117" s="250"/>
      <c r="E117" s="250"/>
      <c r="F117" s="251"/>
      <c r="G117" s="250"/>
      <c r="H117" s="250"/>
      <c r="I117" s="250"/>
      <c r="J117" s="250"/>
      <c r="K117" s="210"/>
      <c r="L117" s="245"/>
      <c r="M117" s="245"/>
      <c r="N117" s="210"/>
      <c r="O117" s="210"/>
      <c r="P117" s="210"/>
      <c r="Q117" s="210"/>
      <c r="R117" s="210"/>
      <c r="S117" s="38"/>
      <c r="T117" s="38"/>
      <c r="U117" s="38"/>
      <c r="V117" s="38"/>
      <c r="W117" s="38"/>
      <c r="X117" s="38"/>
      <c r="Y117" s="38"/>
      <c r="Z117" s="38"/>
    </row>
    <row r="118" spans="1:26" ht="14.25" customHeight="1" x14ac:dyDescent="0.15">
      <c r="A118" s="38"/>
      <c r="B118" s="210"/>
      <c r="C118" s="250"/>
      <c r="D118" s="250"/>
      <c r="E118" s="250"/>
      <c r="F118" s="251"/>
      <c r="G118" s="210"/>
      <c r="H118" s="210"/>
      <c r="I118" s="210"/>
      <c r="J118" s="210"/>
      <c r="K118" s="210"/>
      <c r="L118" s="210"/>
      <c r="M118" s="245"/>
      <c r="N118" s="210"/>
      <c r="O118" s="210"/>
      <c r="P118" s="210"/>
      <c r="Q118" s="210"/>
      <c r="R118" s="210"/>
      <c r="S118" s="38"/>
      <c r="T118" s="38"/>
      <c r="U118" s="38"/>
      <c r="V118" s="38"/>
      <c r="W118" s="38"/>
      <c r="X118" s="38"/>
      <c r="Y118" s="38"/>
      <c r="Z118" s="38"/>
    </row>
    <row r="119" spans="1:26" ht="14.25" customHeight="1" x14ac:dyDescent="0.15">
      <c r="A119" s="38"/>
      <c r="B119" s="210"/>
      <c r="C119" s="250"/>
      <c r="D119" s="250"/>
      <c r="E119" s="250"/>
      <c r="F119" s="251"/>
      <c r="G119" s="250"/>
      <c r="H119" s="250"/>
      <c r="I119" s="250"/>
      <c r="J119" s="250"/>
      <c r="K119" s="210"/>
      <c r="L119" s="210"/>
      <c r="M119" s="245"/>
      <c r="N119" s="210"/>
      <c r="O119" s="210"/>
      <c r="P119" s="210"/>
      <c r="Q119" s="210"/>
      <c r="R119" s="210"/>
      <c r="S119" s="38"/>
      <c r="T119" s="38"/>
      <c r="U119" s="38"/>
      <c r="V119" s="38"/>
      <c r="W119" s="38"/>
      <c r="X119" s="38"/>
      <c r="Y119" s="38"/>
      <c r="Z119" s="38"/>
    </row>
    <row r="120" spans="1:26" ht="14.25" customHeight="1" x14ac:dyDescent="0.15">
      <c r="A120" s="38"/>
      <c r="B120" s="210"/>
      <c r="C120" s="250"/>
      <c r="D120" s="250"/>
      <c r="E120" s="250"/>
      <c r="F120" s="251"/>
      <c r="G120" s="210"/>
      <c r="H120" s="210"/>
      <c r="I120" s="210"/>
      <c r="J120" s="210"/>
      <c r="K120" s="210"/>
      <c r="L120" s="210"/>
      <c r="M120" s="245"/>
      <c r="N120" s="210"/>
      <c r="O120" s="210"/>
      <c r="P120" s="210"/>
      <c r="Q120" s="210"/>
      <c r="R120" s="210"/>
      <c r="S120" s="38"/>
      <c r="T120" s="38"/>
      <c r="U120" s="38"/>
      <c r="V120" s="38"/>
      <c r="W120" s="38"/>
      <c r="X120" s="38"/>
      <c r="Y120" s="38"/>
      <c r="Z120" s="38"/>
    </row>
    <row r="121" spans="1:26" ht="14.25" customHeight="1" x14ac:dyDescent="0.15">
      <c r="A121" s="38"/>
      <c r="B121" s="210"/>
      <c r="C121" s="250"/>
      <c r="D121" s="250"/>
      <c r="E121" s="250"/>
      <c r="F121" s="251"/>
      <c r="G121" s="210"/>
      <c r="H121" s="210"/>
      <c r="I121" s="210"/>
      <c r="J121" s="210"/>
      <c r="K121" s="210"/>
      <c r="L121" s="210"/>
      <c r="M121" s="245"/>
      <c r="N121" s="210"/>
      <c r="O121" s="210"/>
      <c r="P121" s="210"/>
      <c r="Q121" s="210"/>
      <c r="R121" s="210"/>
      <c r="S121" s="38"/>
      <c r="T121" s="38"/>
      <c r="U121" s="38"/>
      <c r="V121" s="38"/>
      <c r="W121" s="38"/>
      <c r="X121" s="38"/>
      <c r="Y121" s="38"/>
      <c r="Z121" s="38"/>
    </row>
    <row r="122" spans="1:26" ht="14.25" customHeight="1" x14ac:dyDescent="0.15">
      <c r="A122" s="38"/>
      <c r="B122" s="210"/>
      <c r="C122" s="250"/>
      <c r="D122" s="250"/>
      <c r="E122" s="250"/>
      <c r="F122" s="251"/>
      <c r="G122" s="210"/>
      <c r="H122" s="210"/>
      <c r="I122" s="210"/>
      <c r="J122" s="210"/>
      <c r="K122" s="210"/>
      <c r="L122" s="210"/>
      <c r="M122" s="245"/>
      <c r="N122" s="210"/>
      <c r="O122" s="210"/>
      <c r="P122" s="210"/>
      <c r="Q122" s="210"/>
      <c r="R122" s="210"/>
      <c r="S122" s="38"/>
      <c r="T122" s="38"/>
      <c r="U122" s="38"/>
      <c r="V122" s="38"/>
      <c r="W122" s="38"/>
      <c r="X122" s="38"/>
      <c r="Y122" s="38"/>
      <c r="Z122" s="38"/>
    </row>
    <row r="123" spans="1:26" ht="14.25" customHeight="1" x14ac:dyDescent="0.15">
      <c r="A123" s="38"/>
      <c r="B123" s="210"/>
      <c r="C123" s="250"/>
      <c r="D123" s="250"/>
      <c r="E123" s="250"/>
      <c r="F123" s="251"/>
      <c r="G123" s="210"/>
      <c r="H123" s="210"/>
      <c r="I123" s="210"/>
      <c r="J123" s="210"/>
      <c r="K123" s="210"/>
      <c r="L123" s="210"/>
      <c r="M123" s="245"/>
      <c r="N123" s="210"/>
      <c r="O123" s="210"/>
      <c r="P123" s="210"/>
      <c r="Q123" s="210"/>
      <c r="R123" s="210"/>
      <c r="S123" s="38"/>
      <c r="T123" s="38"/>
      <c r="U123" s="38"/>
      <c r="V123" s="38"/>
      <c r="W123" s="38"/>
      <c r="X123" s="38"/>
      <c r="Y123" s="38"/>
      <c r="Z123" s="38"/>
    </row>
    <row r="124" spans="1:26" ht="14.25" customHeight="1" x14ac:dyDescent="0.15">
      <c r="A124" s="38"/>
      <c r="B124" s="210"/>
      <c r="C124" s="250"/>
      <c r="D124" s="250"/>
      <c r="E124" s="250"/>
      <c r="F124" s="251"/>
      <c r="G124" s="210"/>
      <c r="H124" s="210"/>
      <c r="I124" s="210"/>
      <c r="J124" s="210"/>
      <c r="K124" s="210"/>
      <c r="L124" s="210"/>
      <c r="M124" s="245"/>
      <c r="N124" s="210"/>
      <c r="O124" s="210"/>
      <c r="P124" s="210"/>
      <c r="Q124" s="210"/>
      <c r="R124" s="210"/>
      <c r="S124" s="38"/>
      <c r="T124" s="38"/>
      <c r="U124" s="38"/>
      <c r="V124" s="38"/>
      <c r="W124" s="38"/>
      <c r="X124" s="38"/>
      <c r="Y124" s="38"/>
      <c r="Z124" s="38"/>
    </row>
    <row r="125" spans="1:26" ht="14.25" customHeight="1" x14ac:dyDescent="0.15">
      <c r="A125" s="38"/>
      <c r="B125" s="210"/>
      <c r="C125" s="250"/>
      <c r="D125" s="250"/>
      <c r="E125" s="250"/>
      <c r="F125" s="251"/>
      <c r="G125" s="210"/>
      <c r="H125" s="210"/>
      <c r="I125" s="210"/>
      <c r="J125" s="210"/>
      <c r="K125" s="210"/>
      <c r="L125" s="210"/>
      <c r="M125" s="245"/>
      <c r="N125" s="210"/>
      <c r="O125" s="210"/>
      <c r="P125" s="210"/>
      <c r="Q125" s="210"/>
      <c r="R125" s="210"/>
      <c r="S125" s="38"/>
      <c r="T125" s="38"/>
      <c r="U125" s="38"/>
      <c r="V125" s="38"/>
      <c r="W125" s="38"/>
      <c r="X125" s="38"/>
      <c r="Y125" s="38"/>
      <c r="Z125" s="38"/>
    </row>
    <row r="126" spans="1:26" ht="14.25" customHeight="1" x14ac:dyDescent="0.15">
      <c r="A126" s="38"/>
      <c r="B126" s="252"/>
      <c r="C126" s="250"/>
      <c r="D126" s="250"/>
      <c r="E126" s="250"/>
      <c r="F126" s="251"/>
      <c r="G126" s="210"/>
      <c r="H126" s="210"/>
      <c r="I126" s="210"/>
      <c r="J126" s="210"/>
      <c r="K126" s="210"/>
      <c r="L126" s="210"/>
      <c r="M126" s="245"/>
      <c r="N126" s="210"/>
      <c r="O126" s="210"/>
      <c r="P126" s="210"/>
      <c r="Q126" s="210"/>
      <c r="R126" s="210"/>
      <c r="S126" s="38"/>
      <c r="T126" s="38"/>
      <c r="U126" s="38"/>
      <c r="V126" s="38"/>
      <c r="W126" s="38"/>
      <c r="X126" s="38"/>
      <c r="Y126" s="38"/>
      <c r="Z126" s="38"/>
    </row>
    <row r="127" spans="1:26" ht="14.25" customHeight="1" x14ac:dyDescent="0.15">
      <c r="A127" s="38"/>
      <c r="B127" s="210"/>
      <c r="C127" s="250"/>
      <c r="D127" s="250"/>
      <c r="E127" s="250"/>
      <c r="F127" s="251"/>
      <c r="G127" s="250"/>
      <c r="H127" s="250"/>
      <c r="I127" s="250"/>
      <c r="J127" s="250"/>
      <c r="K127" s="210"/>
      <c r="L127" s="210"/>
      <c r="M127" s="245"/>
      <c r="N127" s="210"/>
      <c r="O127" s="210"/>
      <c r="P127" s="210"/>
      <c r="Q127" s="210"/>
      <c r="R127" s="210"/>
      <c r="S127" s="38"/>
      <c r="T127" s="38"/>
      <c r="U127" s="38"/>
      <c r="V127" s="38"/>
      <c r="W127" s="38"/>
      <c r="X127" s="38"/>
      <c r="Y127" s="38"/>
      <c r="Z127" s="38"/>
    </row>
    <row r="128" spans="1:26" ht="14.25" customHeight="1" x14ac:dyDescent="0.15">
      <c r="A128" s="38"/>
      <c r="B128" s="210"/>
      <c r="C128" s="250"/>
      <c r="D128" s="250"/>
      <c r="E128" s="250"/>
      <c r="F128" s="251"/>
      <c r="G128" s="250"/>
      <c r="H128" s="250"/>
      <c r="I128" s="250"/>
      <c r="J128" s="250"/>
      <c r="K128" s="210"/>
      <c r="L128" s="210"/>
      <c r="M128" s="245"/>
      <c r="N128" s="210"/>
      <c r="O128" s="210"/>
      <c r="P128" s="210"/>
      <c r="Q128" s="210"/>
      <c r="R128" s="210"/>
      <c r="S128" s="38"/>
      <c r="T128" s="38"/>
      <c r="U128" s="38"/>
      <c r="V128" s="38"/>
      <c r="W128" s="38"/>
      <c r="X128" s="38"/>
      <c r="Y128" s="38"/>
      <c r="Z128" s="38"/>
    </row>
    <row r="129" spans="1:26" ht="14.25" customHeight="1" x14ac:dyDescent="0.15">
      <c r="A129" s="38"/>
      <c r="B129" s="210"/>
      <c r="C129" s="250"/>
      <c r="D129" s="250"/>
      <c r="E129" s="250"/>
      <c r="F129" s="251"/>
      <c r="G129" s="210"/>
      <c r="H129" s="210"/>
      <c r="I129" s="210"/>
      <c r="J129" s="210"/>
      <c r="K129" s="210"/>
      <c r="L129" s="210"/>
      <c r="M129" s="245"/>
      <c r="N129" s="210"/>
      <c r="O129" s="210"/>
      <c r="P129" s="210"/>
      <c r="Q129" s="210"/>
      <c r="R129" s="210"/>
      <c r="S129" s="38"/>
      <c r="T129" s="38"/>
      <c r="U129" s="38"/>
      <c r="V129" s="38"/>
      <c r="W129" s="38"/>
      <c r="X129" s="38"/>
      <c r="Y129" s="38"/>
      <c r="Z129" s="38"/>
    </row>
    <row r="130" spans="1:26" ht="14.25" customHeight="1" x14ac:dyDescent="0.15">
      <c r="A130" s="38"/>
      <c r="B130" s="210"/>
      <c r="C130" s="250"/>
      <c r="D130" s="250"/>
      <c r="E130" s="250"/>
      <c r="F130" s="251"/>
      <c r="G130" s="210"/>
      <c r="H130" s="210"/>
      <c r="I130" s="210"/>
      <c r="J130" s="210"/>
      <c r="K130" s="210"/>
      <c r="L130" s="210"/>
      <c r="M130" s="245"/>
      <c r="N130" s="210"/>
      <c r="O130" s="210"/>
      <c r="P130" s="210"/>
      <c r="Q130" s="210"/>
      <c r="R130" s="210"/>
      <c r="S130" s="38"/>
      <c r="T130" s="38"/>
      <c r="U130" s="38"/>
      <c r="V130" s="38"/>
      <c r="W130" s="38"/>
      <c r="X130" s="38"/>
      <c r="Y130" s="38"/>
      <c r="Z130" s="38"/>
    </row>
    <row r="131" spans="1:26" ht="14.25" customHeight="1" x14ac:dyDescent="0.15">
      <c r="A131" s="38"/>
      <c r="B131" s="210"/>
      <c r="C131" s="250"/>
      <c r="D131" s="250"/>
      <c r="E131" s="250"/>
      <c r="F131" s="251"/>
      <c r="G131" s="210"/>
      <c r="H131" s="210"/>
      <c r="I131" s="210"/>
      <c r="J131" s="210"/>
      <c r="K131" s="210"/>
      <c r="L131" s="210"/>
      <c r="M131" s="245"/>
      <c r="N131" s="210"/>
      <c r="O131" s="210"/>
      <c r="P131" s="210"/>
      <c r="Q131" s="210"/>
      <c r="R131" s="210"/>
      <c r="S131" s="38"/>
      <c r="T131" s="38"/>
      <c r="U131" s="38"/>
      <c r="V131" s="38"/>
      <c r="W131" s="38"/>
      <c r="X131" s="38"/>
      <c r="Y131" s="38"/>
      <c r="Z131" s="38"/>
    </row>
    <row r="132" spans="1:26" ht="14.25" customHeight="1" x14ac:dyDescent="0.15">
      <c r="A132" s="38"/>
      <c r="B132" s="210"/>
      <c r="C132" s="250"/>
      <c r="D132" s="250"/>
      <c r="E132" s="250"/>
      <c r="F132" s="251"/>
      <c r="G132" s="210"/>
      <c r="H132" s="210"/>
      <c r="I132" s="210"/>
      <c r="J132" s="210"/>
      <c r="K132" s="210"/>
      <c r="L132" s="210"/>
      <c r="M132" s="245"/>
      <c r="N132" s="210"/>
      <c r="O132" s="210"/>
      <c r="P132" s="210"/>
      <c r="Q132" s="210"/>
      <c r="R132" s="210"/>
      <c r="S132" s="38"/>
      <c r="T132" s="38"/>
      <c r="U132" s="38"/>
      <c r="V132" s="38"/>
      <c r="W132" s="38"/>
      <c r="X132" s="38"/>
      <c r="Y132" s="38"/>
      <c r="Z132" s="38"/>
    </row>
    <row r="133" spans="1:26" ht="14.25" customHeight="1" x14ac:dyDescent="0.15">
      <c r="A133" s="38"/>
      <c r="B133" s="210"/>
      <c r="C133" s="250"/>
      <c r="D133" s="250"/>
      <c r="E133" s="250"/>
      <c r="F133" s="251"/>
      <c r="G133" s="250"/>
      <c r="H133" s="250"/>
      <c r="I133" s="250"/>
      <c r="J133" s="250"/>
      <c r="K133" s="210"/>
      <c r="L133" s="250"/>
      <c r="M133" s="245"/>
      <c r="N133" s="210"/>
      <c r="O133" s="210"/>
      <c r="P133" s="210"/>
      <c r="Q133" s="210"/>
      <c r="R133" s="210"/>
      <c r="S133" s="38"/>
      <c r="T133" s="38"/>
      <c r="U133" s="38"/>
      <c r="V133" s="38"/>
      <c r="W133" s="38"/>
      <c r="X133" s="38"/>
      <c r="Y133" s="38"/>
      <c r="Z133" s="38"/>
    </row>
    <row r="134" spans="1:26" ht="14.25" customHeight="1" x14ac:dyDescent="0.15">
      <c r="A134" s="38"/>
      <c r="B134" s="210"/>
      <c r="C134" s="250"/>
      <c r="D134" s="250"/>
      <c r="E134" s="250"/>
      <c r="F134" s="251"/>
      <c r="G134" s="210"/>
      <c r="H134" s="210"/>
      <c r="I134" s="210"/>
      <c r="J134" s="210"/>
      <c r="K134" s="210"/>
      <c r="L134" s="250"/>
      <c r="M134" s="246"/>
      <c r="N134" s="210"/>
      <c r="O134" s="210"/>
      <c r="P134" s="210"/>
      <c r="Q134" s="210"/>
      <c r="R134" s="210"/>
      <c r="S134" s="38"/>
      <c r="T134" s="38"/>
      <c r="U134" s="38"/>
      <c r="V134" s="38"/>
      <c r="W134" s="38"/>
      <c r="X134" s="38"/>
      <c r="Y134" s="38"/>
      <c r="Z134" s="38"/>
    </row>
    <row r="135" spans="1:26" ht="14.25" customHeight="1" x14ac:dyDescent="0.15">
      <c r="A135" s="38"/>
      <c r="B135" s="210"/>
      <c r="C135" s="250"/>
      <c r="D135" s="250"/>
      <c r="E135" s="250"/>
      <c r="F135" s="251"/>
      <c r="G135" s="210"/>
      <c r="H135" s="210"/>
      <c r="I135" s="210"/>
      <c r="J135" s="210"/>
      <c r="K135" s="210"/>
      <c r="L135" s="250"/>
      <c r="M135" s="246"/>
      <c r="N135" s="210"/>
      <c r="O135" s="210"/>
      <c r="P135" s="210"/>
      <c r="Q135" s="210"/>
      <c r="R135" s="210"/>
      <c r="S135" s="38"/>
      <c r="T135" s="38"/>
      <c r="U135" s="38"/>
      <c r="V135" s="38"/>
      <c r="W135" s="38"/>
      <c r="X135" s="38"/>
      <c r="Y135" s="38"/>
      <c r="Z135" s="38"/>
    </row>
    <row r="136" spans="1:26" ht="14.25" customHeight="1" x14ac:dyDescent="0.15">
      <c r="A136" s="38"/>
      <c r="B136" s="210"/>
      <c r="C136" s="250"/>
      <c r="D136" s="250"/>
      <c r="E136" s="250"/>
      <c r="F136" s="251"/>
      <c r="G136" s="250"/>
      <c r="H136" s="250"/>
      <c r="I136" s="250"/>
      <c r="J136" s="250"/>
      <c r="K136" s="210"/>
      <c r="L136" s="250"/>
      <c r="M136" s="246"/>
      <c r="N136" s="210"/>
      <c r="O136" s="210"/>
      <c r="P136" s="210"/>
      <c r="Q136" s="210"/>
      <c r="R136" s="210"/>
      <c r="S136" s="38"/>
      <c r="T136" s="38"/>
      <c r="U136" s="38"/>
      <c r="V136" s="38"/>
      <c r="W136" s="38"/>
      <c r="X136" s="38"/>
      <c r="Y136" s="38"/>
      <c r="Z136" s="38"/>
    </row>
    <row r="137" spans="1:26" ht="14.25" customHeight="1" x14ac:dyDescent="0.15">
      <c r="A137" s="38"/>
      <c r="B137" s="210"/>
      <c r="C137" s="250"/>
      <c r="D137" s="250"/>
      <c r="E137" s="250"/>
      <c r="F137" s="251"/>
      <c r="G137" s="210"/>
      <c r="H137" s="210"/>
      <c r="I137" s="210"/>
      <c r="J137" s="210"/>
      <c r="K137" s="210"/>
      <c r="L137" s="250"/>
      <c r="M137" s="210"/>
      <c r="N137" s="210"/>
      <c r="O137" s="210"/>
      <c r="P137" s="210"/>
      <c r="Q137" s="210"/>
      <c r="R137" s="210"/>
      <c r="S137" s="38"/>
      <c r="T137" s="38"/>
      <c r="U137" s="38"/>
      <c r="V137" s="38"/>
      <c r="W137" s="38"/>
      <c r="X137" s="38"/>
      <c r="Y137" s="38"/>
      <c r="Z137" s="38"/>
    </row>
    <row r="138" spans="1:26" ht="14.25" customHeight="1" x14ac:dyDescent="0.15">
      <c r="A138" s="38"/>
      <c r="B138" s="210"/>
      <c r="C138" s="250"/>
      <c r="D138" s="250"/>
      <c r="E138" s="250"/>
      <c r="F138" s="251"/>
      <c r="G138" s="210"/>
      <c r="H138" s="210"/>
      <c r="I138" s="210"/>
      <c r="J138" s="210"/>
      <c r="K138" s="210"/>
      <c r="L138" s="250"/>
      <c r="M138" s="210"/>
      <c r="N138" s="210"/>
      <c r="O138" s="210"/>
      <c r="P138" s="210"/>
      <c r="Q138" s="210"/>
      <c r="R138" s="210"/>
      <c r="S138" s="38"/>
      <c r="T138" s="38"/>
      <c r="U138" s="38"/>
      <c r="V138" s="38"/>
      <c r="W138" s="38"/>
      <c r="X138" s="38"/>
      <c r="Y138" s="38"/>
      <c r="Z138" s="38"/>
    </row>
    <row r="139" spans="1:26" ht="14.25" customHeight="1" x14ac:dyDescent="0.15">
      <c r="A139" s="38"/>
      <c r="B139" s="210"/>
      <c r="C139" s="250"/>
      <c r="D139" s="250"/>
      <c r="E139" s="250"/>
      <c r="F139" s="251"/>
      <c r="G139" s="210"/>
      <c r="H139" s="210"/>
      <c r="I139" s="210"/>
      <c r="J139" s="210"/>
      <c r="K139" s="210"/>
      <c r="L139" s="250"/>
      <c r="M139" s="210"/>
      <c r="N139" s="210"/>
      <c r="O139" s="210"/>
      <c r="P139" s="210"/>
      <c r="Q139" s="210"/>
      <c r="R139" s="210"/>
      <c r="S139" s="38"/>
      <c r="T139" s="38"/>
      <c r="U139" s="38"/>
      <c r="V139" s="38"/>
      <c r="W139" s="38"/>
      <c r="X139" s="38"/>
      <c r="Y139" s="38"/>
      <c r="Z139" s="38"/>
    </row>
    <row r="140" spans="1:26" ht="14.25" customHeight="1" x14ac:dyDescent="0.15">
      <c r="A140" s="38"/>
      <c r="B140" s="210"/>
      <c r="C140" s="250"/>
      <c r="D140" s="250"/>
      <c r="E140" s="250"/>
      <c r="F140" s="251"/>
      <c r="G140" s="210"/>
      <c r="H140" s="210"/>
      <c r="I140" s="210"/>
      <c r="J140" s="210"/>
      <c r="K140" s="210"/>
      <c r="L140" s="250"/>
      <c r="M140" s="210"/>
      <c r="N140" s="210"/>
      <c r="O140" s="210"/>
      <c r="P140" s="210"/>
      <c r="Q140" s="210"/>
      <c r="R140" s="210"/>
      <c r="S140" s="38"/>
      <c r="T140" s="38"/>
      <c r="U140" s="38"/>
      <c r="V140" s="38"/>
      <c r="W140" s="38"/>
      <c r="X140" s="38"/>
      <c r="Y140" s="38"/>
      <c r="Z140" s="38"/>
    </row>
    <row r="141" spans="1:26" ht="14.25" customHeight="1" x14ac:dyDescent="0.15">
      <c r="A141" s="38"/>
      <c r="B141" s="210"/>
      <c r="C141" s="250"/>
      <c r="D141" s="250"/>
      <c r="E141" s="250"/>
      <c r="F141" s="251"/>
      <c r="G141" s="210"/>
      <c r="H141" s="210"/>
      <c r="I141" s="210"/>
      <c r="J141" s="210"/>
      <c r="K141" s="210"/>
      <c r="L141" s="250"/>
      <c r="M141" s="210"/>
      <c r="N141" s="210"/>
      <c r="O141" s="210"/>
      <c r="P141" s="210"/>
      <c r="Q141" s="210"/>
      <c r="R141" s="210"/>
      <c r="S141" s="38"/>
      <c r="T141" s="38"/>
      <c r="U141" s="38"/>
      <c r="V141" s="38"/>
      <c r="W141" s="38"/>
      <c r="X141" s="38"/>
      <c r="Y141" s="38"/>
      <c r="Z141" s="38"/>
    </row>
    <row r="142" spans="1:26" ht="14.25" customHeight="1" x14ac:dyDescent="0.15">
      <c r="A142" s="38"/>
      <c r="B142" s="210"/>
      <c r="C142" s="250"/>
      <c r="D142" s="250"/>
      <c r="E142" s="250"/>
      <c r="F142" s="251"/>
      <c r="G142" s="250"/>
      <c r="H142" s="250"/>
      <c r="I142" s="250"/>
      <c r="J142" s="250"/>
      <c r="K142" s="210"/>
      <c r="L142" s="250"/>
      <c r="M142" s="210"/>
      <c r="N142" s="210"/>
      <c r="O142" s="210"/>
      <c r="P142" s="210"/>
      <c r="Q142" s="210"/>
      <c r="R142" s="210"/>
      <c r="S142" s="38"/>
      <c r="T142" s="38"/>
      <c r="U142" s="38"/>
      <c r="V142" s="38"/>
      <c r="W142" s="38"/>
      <c r="X142" s="38"/>
      <c r="Y142" s="38"/>
      <c r="Z142" s="38"/>
    </row>
    <row r="143" spans="1:26" ht="14.25" customHeight="1" x14ac:dyDescent="0.15">
      <c r="A143" s="38"/>
      <c r="B143" s="210"/>
      <c r="C143" s="250"/>
      <c r="D143" s="250"/>
      <c r="E143" s="250"/>
      <c r="F143" s="251"/>
      <c r="G143" s="210"/>
      <c r="H143" s="210"/>
      <c r="I143" s="210"/>
      <c r="J143" s="210"/>
      <c r="K143" s="210"/>
      <c r="L143" s="250"/>
      <c r="M143" s="210"/>
      <c r="N143" s="210"/>
      <c r="O143" s="210"/>
      <c r="P143" s="210"/>
      <c r="Q143" s="210"/>
      <c r="R143" s="210"/>
      <c r="S143" s="38"/>
      <c r="T143" s="38"/>
      <c r="U143" s="38"/>
      <c r="V143" s="38"/>
      <c r="W143" s="38"/>
      <c r="X143" s="38"/>
      <c r="Y143" s="38"/>
      <c r="Z143" s="38"/>
    </row>
    <row r="144" spans="1:26" ht="14.25" customHeight="1" x14ac:dyDescent="0.15">
      <c r="A144" s="38"/>
      <c r="B144" s="210"/>
      <c r="C144" s="250"/>
      <c r="D144" s="250"/>
      <c r="E144" s="250"/>
      <c r="F144" s="251"/>
      <c r="G144" s="210"/>
      <c r="H144" s="210"/>
      <c r="I144" s="210"/>
      <c r="J144" s="210"/>
      <c r="K144" s="210"/>
      <c r="L144" s="250"/>
      <c r="M144" s="210"/>
      <c r="N144" s="210"/>
      <c r="O144" s="210"/>
      <c r="P144" s="210"/>
      <c r="Q144" s="210"/>
      <c r="R144" s="210"/>
      <c r="S144" s="38"/>
      <c r="T144" s="38"/>
      <c r="U144" s="38"/>
      <c r="V144" s="38"/>
      <c r="W144" s="38"/>
      <c r="X144" s="38"/>
      <c r="Y144" s="38"/>
      <c r="Z144" s="38"/>
    </row>
    <row r="145" spans="1:26" ht="14.25" customHeight="1" x14ac:dyDescent="0.15">
      <c r="A145" s="38"/>
      <c r="B145" s="210"/>
      <c r="C145" s="250"/>
      <c r="D145" s="250"/>
      <c r="E145" s="250"/>
      <c r="F145" s="251"/>
      <c r="G145" s="210"/>
      <c r="H145" s="210"/>
      <c r="I145" s="210"/>
      <c r="J145" s="210"/>
      <c r="K145" s="210"/>
      <c r="L145" s="250"/>
      <c r="M145" s="210"/>
      <c r="N145" s="210"/>
      <c r="O145" s="210"/>
      <c r="P145" s="210"/>
      <c r="Q145" s="210"/>
      <c r="R145" s="210"/>
      <c r="S145" s="38"/>
      <c r="T145" s="38"/>
      <c r="U145" s="38"/>
      <c r="V145" s="38"/>
      <c r="W145" s="38"/>
      <c r="X145" s="38"/>
      <c r="Y145" s="38"/>
      <c r="Z145" s="38"/>
    </row>
    <row r="146" spans="1:26" ht="14.25" customHeight="1" x14ac:dyDescent="0.15">
      <c r="A146" s="38"/>
      <c r="B146" s="210"/>
      <c r="C146" s="250"/>
      <c r="D146" s="250"/>
      <c r="E146" s="250"/>
      <c r="F146" s="251"/>
      <c r="G146" s="250"/>
      <c r="H146" s="250"/>
      <c r="I146" s="250"/>
      <c r="J146" s="250"/>
      <c r="K146" s="210"/>
      <c r="L146" s="210"/>
      <c r="M146" s="210"/>
      <c r="N146" s="210"/>
      <c r="O146" s="210"/>
      <c r="P146" s="210"/>
      <c r="Q146" s="210"/>
      <c r="R146" s="210"/>
      <c r="S146" s="38"/>
      <c r="T146" s="38"/>
      <c r="U146" s="38"/>
      <c r="V146" s="38"/>
      <c r="W146" s="38"/>
      <c r="X146" s="38"/>
      <c r="Y146" s="38"/>
      <c r="Z146" s="38"/>
    </row>
    <row r="147" spans="1:26" ht="14.25" customHeight="1" x14ac:dyDescent="0.15">
      <c r="A147" s="38"/>
      <c r="B147" s="210"/>
      <c r="C147" s="250"/>
      <c r="D147" s="250"/>
      <c r="E147" s="250"/>
      <c r="F147" s="251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38"/>
      <c r="T147" s="38"/>
      <c r="U147" s="38"/>
      <c r="V147" s="38"/>
      <c r="W147" s="38"/>
      <c r="X147" s="38"/>
      <c r="Y147" s="38"/>
      <c r="Z147" s="38"/>
    </row>
    <row r="148" spans="1:26" ht="14.25" customHeight="1" x14ac:dyDescent="0.15">
      <c r="A148" s="38"/>
      <c r="B148" s="210"/>
      <c r="C148" s="250"/>
      <c r="D148" s="250"/>
      <c r="E148" s="250"/>
      <c r="F148" s="251"/>
      <c r="G148" s="250"/>
      <c r="H148" s="250"/>
      <c r="I148" s="250"/>
      <c r="J148" s="250"/>
      <c r="K148" s="210"/>
      <c r="L148" s="210"/>
      <c r="M148" s="210"/>
      <c r="N148" s="210"/>
      <c r="O148" s="210"/>
      <c r="P148" s="210"/>
      <c r="Q148" s="210"/>
      <c r="R148" s="210"/>
      <c r="S148" s="38"/>
      <c r="T148" s="38"/>
      <c r="U148" s="38"/>
      <c r="V148" s="38"/>
      <c r="W148" s="38"/>
      <c r="X148" s="38"/>
      <c r="Y148" s="38"/>
      <c r="Z148" s="38"/>
    </row>
    <row r="149" spans="1:26" ht="14.25" customHeight="1" x14ac:dyDescent="0.15">
      <c r="A149" s="38"/>
      <c r="B149" s="210"/>
      <c r="C149" s="250"/>
      <c r="D149" s="250"/>
      <c r="E149" s="250"/>
      <c r="F149" s="251"/>
      <c r="G149" s="250"/>
      <c r="H149" s="250"/>
      <c r="I149" s="250"/>
      <c r="J149" s="250"/>
      <c r="K149" s="210"/>
      <c r="L149" s="210"/>
      <c r="M149" s="210"/>
      <c r="N149" s="210"/>
      <c r="O149" s="210"/>
      <c r="P149" s="210"/>
      <c r="Q149" s="210"/>
      <c r="R149" s="210"/>
      <c r="S149" s="38"/>
      <c r="T149" s="38"/>
      <c r="U149" s="38"/>
      <c r="V149" s="38"/>
      <c r="W149" s="38"/>
      <c r="X149" s="38"/>
      <c r="Y149" s="38"/>
      <c r="Z149" s="38"/>
    </row>
    <row r="150" spans="1:26" ht="14.25" customHeight="1" x14ac:dyDescent="0.15">
      <c r="A150" s="38"/>
      <c r="B150" s="210"/>
      <c r="C150" s="250"/>
      <c r="D150" s="250"/>
      <c r="E150" s="250"/>
      <c r="F150" s="251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38"/>
      <c r="T150" s="38"/>
      <c r="U150" s="38"/>
      <c r="V150" s="38"/>
      <c r="W150" s="38"/>
      <c r="X150" s="38"/>
      <c r="Y150" s="38"/>
      <c r="Z150" s="38"/>
    </row>
    <row r="151" spans="1:26" ht="14.25" customHeight="1" x14ac:dyDescent="0.15">
      <c r="A151" s="38"/>
      <c r="B151" s="210"/>
      <c r="C151" s="250"/>
      <c r="D151" s="250"/>
      <c r="E151" s="250"/>
      <c r="F151" s="251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38"/>
      <c r="T151" s="38"/>
      <c r="U151" s="38"/>
      <c r="V151" s="38"/>
      <c r="W151" s="38"/>
      <c r="X151" s="38"/>
      <c r="Y151" s="38"/>
      <c r="Z151" s="38"/>
    </row>
    <row r="152" spans="1:26" ht="14.25" customHeight="1" x14ac:dyDescent="0.15">
      <c r="A152" s="38"/>
      <c r="B152" s="210"/>
      <c r="C152" s="250"/>
      <c r="D152" s="250"/>
      <c r="E152" s="250"/>
      <c r="F152" s="251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38"/>
      <c r="T152" s="38"/>
      <c r="U152" s="38"/>
      <c r="V152" s="38"/>
      <c r="W152" s="38"/>
      <c r="X152" s="38"/>
      <c r="Y152" s="38"/>
      <c r="Z152" s="38"/>
    </row>
    <row r="153" spans="1:26" ht="14.25" customHeight="1" x14ac:dyDescent="0.15">
      <c r="A153" s="38"/>
      <c r="B153" s="210"/>
      <c r="C153" s="250"/>
      <c r="D153" s="250"/>
      <c r="E153" s="250"/>
      <c r="F153" s="251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38"/>
      <c r="T153" s="38"/>
      <c r="U153" s="38"/>
      <c r="V153" s="38"/>
      <c r="W153" s="38"/>
      <c r="X153" s="38"/>
      <c r="Y153" s="38"/>
      <c r="Z153" s="38"/>
    </row>
    <row r="154" spans="1:26" ht="14.25" customHeight="1" x14ac:dyDescent="0.15">
      <c r="A154" s="38"/>
      <c r="B154" s="210"/>
      <c r="C154" s="250"/>
      <c r="D154" s="250"/>
      <c r="E154" s="250"/>
      <c r="F154" s="251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38"/>
      <c r="T154" s="38"/>
      <c r="U154" s="38"/>
      <c r="V154" s="38"/>
      <c r="W154" s="38"/>
      <c r="X154" s="38"/>
      <c r="Y154" s="38"/>
      <c r="Z154" s="38"/>
    </row>
    <row r="155" spans="1:26" ht="14.25" customHeight="1" x14ac:dyDescent="0.15">
      <c r="A155" s="38"/>
      <c r="B155" s="210"/>
      <c r="C155" s="250"/>
      <c r="D155" s="250"/>
      <c r="E155" s="250"/>
      <c r="F155" s="251"/>
      <c r="G155" s="250"/>
      <c r="H155" s="250"/>
      <c r="I155" s="250"/>
      <c r="J155" s="250"/>
      <c r="K155" s="210"/>
      <c r="L155" s="210"/>
      <c r="M155" s="210"/>
      <c r="N155" s="210"/>
      <c r="O155" s="210"/>
      <c r="P155" s="210"/>
      <c r="Q155" s="210"/>
      <c r="R155" s="210"/>
      <c r="S155" s="38"/>
      <c r="T155" s="38"/>
      <c r="U155" s="38"/>
      <c r="V155" s="38"/>
      <c r="W155" s="38"/>
      <c r="X155" s="38"/>
      <c r="Y155" s="38"/>
      <c r="Z155" s="38"/>
    </row>
    <row r="156" spans="1:26" ht="14.25" customHeight="1" x14ac:dyDescent="0.15">
      <c r="A156" s="38"/>
      <c r="B156" s="210"/>
      <c r="C156" s="250"/>
      <c r="D156" s="250"/>
      <c r="E156" s="250"/>
      <c r="F156" s="251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38"/>
      <c r="T156" s="38"/>
      <c r="U156" s="38"/>
      <c r="V156" s="38"/>
      <c r="W156" s="38"/>
      <c r="X156" s="38"/>
      <c r="Y156" s="38"/>
      <c r="Z156" s="38"/>
    </row>
    <row r="157" spans="1:26" ht="14.25" customHeight="1" x14ac:dyDescent="0.15">
      <c r="A157" s="38"/>
      <c r="B157" s="210"/>
      <c r="C157" s="250"/>
      <c r="D157" s="250"/>
      <c r="E157" s="250"/>
      <c r="F157" s="251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38"/>
      <c r="T157" s="38"/>
      <c r="U157" s="38"/>
      <c r="V157" s="38"/>
      <c r="W157" s="38"/>
      <c r="X157" s="38"/>
      <c r="Y157" s="38"/>
      <c r="Z157" s="38"/>
    </row>
    <row r="158" spans="1:26" ht="14.25" customHeight="1" x14ac:dyDescent="0.15">
      <c r="A158" s="38"/>
      <c r="B158" s="210"/>
      <c r="C158" s="250"/>
      <c r="D158" s="250"/>
      <c r="E158" s="250"/>
      <c r="F158" s="251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38"/>
      <c r="T158" s="38"/>
      <c r="U158" s="38"/>
      <c r="V158" s="38"/>
      <c r="W158" s="38"/>
      <c r="X158" s="38"/>
      <c r="Y158" s="38"/>
      <c r="Z158" s="38"/>
    </row>
    <row r="159" spans="1:26" ht="14.25" customHeight="1" x14ac:dyDescent="0.15">
      <c r="A159" s="38"/>
      <c r="B159" s="210"/>
      <c r="C159" s="250"/>
      <c r="D159" s="250"/>
      <c r="E159" s="250"/>
      <c r="F159" s="251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38"/>
      <c r="T159" s="38"/>
      <c r="U159" s="38"/>
      <c r="V159" s="38"/>
      <c r="W159" s="38"/>
      <c r="X159" s="38"/>
      <c r="Y159" s="38"/>
      <c r="Z159" s="38"/>
    </row>
    <row r="160" spans="1:26" ht="14.25" customHeight="1" x14ac:dyDescent="0.15">
      <c r="A160" s="38"/>
      <c r="B160" s="210"/>
      <c r="C160" s="250"/>
      <c r="D160" s="250"/>
      <c r="E160" s="250"/>
      <c r="F160" s="251"/>
      <c r="G160" s="250"/>
      <c r="H160" s="250"/>
      <c r="I160" s="250"/>
      <c r="J160" s="250"/>
      <c r="K160" s="210"/>
      <c r="L160" s="210"/>
      <c r="M160" s="210"/>
      <c r="N160" s="210"/>
      <c r="O160" s="210"/>
      <c r="P160" s="210"/>
      <c r="Q160" s="210"/>
      <c r="R160" s="210"/>
      <c r="S160" s="38"/>
      <c r="T160" s="38"/>
      <c r="U160" s="38"/>
      <c r="V160" s="38"/>
      <c r="W160" s="38"/>
      <c r="X160" s="38"/>
      <c r="Y160" s="38"/>
      <c r="Z160" s="38"/>
    </row>
    <row r="161" spans="1:26" ht="14.25" customHeight="1" x14ac:dyDescent="0.15">
      <c r="A161" s="38"/>
      <c r="B161" s="210"/>
      <c r="C161" s="250"/>
      <c r="D161" s="250"/>
      <c r="E161" s="250"/>
      <c r="F161" s="251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38"/>
      <c r="T161" s="38"/>
      <c r="U161" s="38"/>
      <c r="V161" s="38"/>
      <c r="W161" s="38"/>
      <c r="X161" s="38"/>
      <c r="Y161" s="38"/>
      <c r="Z161" s="38"/>
    </row>
    <row r="162" spans="1:26" ht="14.25" customHeight="1" x14ac:dyDescent="0.15">
      <c r="A162" s="38"/>
      <c r="B162" s="210"/>
      <c r="C162" s="250"/>
      <c r="D162" s="250"/>
      <c r="E162" s="250"/>
      <c r="F162" s="251"/>
      <c r="G162" s="250"/>
      <c r="H162" s="250"/>
      <c r="I162" s="250"/>
      <c r="J162" s="250"/>
      <c r="K162" s="210"/>
      <c r="L162" s="210"/>
      <c r="M162" s="210"/>
      <c r="N162" s="210"/>
      <c r="O162" s="210"/>
      <c r="P162" s="210"/>
      <c r="Q162" s="210"/>
      <c r="R162" s="210"/>
      <c r="S162" s="38"/>
      <c r="T162" s="38"/>
      <c r="U162" s="38"/>
      <c r="V162" s="38"/>
      <c r="W162" s="38"/>
      <c r="X162" s="38"/>
      <c r="Y162" s="38"/>
      <c r="Z162" s="38"/>
    </row>
    <row r="163" spans="1:26" ht="14.25" customHeight="1" x14ac:dyDescent="0.15">
      <c r="A163" s="38"/>
      <c r="B163" s="210"/>
      <c r="C163" s="250"/>
      <c r="D163" s="250"/>
      <c r="E163" s="250"/>
      <c r="F163" s="251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38"/>
      <c r="T163" s="38"/>
      <c r="U163" s="38"/>
      <c r="V163" s="38"/>
      <c r="W163" s="38"/>
      <c r="X163" s="38"/>
      <c r="Y163" s="38"/>
      <c r="Z163" s="38"/>
    </row>
    <row r="164" spans="1:26" ht="14.25" customHeight="1" x14ac:dyDescent="0.15">
      <c r="A164" s="38"/>
      <c r="B164" s="210"/>
      <c r="C164" s="250"/>
      <c r="D164" s="250"/>
      <c r="E164" s="250"/>
      <c r="F164" s="251"/>
      <c r="G164" s="250"/>
      <c r="H164" s="250"/>
      <c r="I164" s="250"/>
      <c r="J164" s="250"/>
      <c r="K164" s="210"/>
      <c r="L164" s="210"/>
      <c r="M164" s="210"/>
      <c r="N164" s="210"/>
      <c r="O164" s="210"/>
      <c r="P164" s="210"/>
      <c r="Q164" s="210"/>
      <c r="R164" s="210"/>
      <c r="S164" s="38"/>
      <c r="T164" s="38"/>
      <c r="U164" s="38"/>
      <c r="V164" s="38"/>
      <c r="W164" s="38"/>
      <c r="X164" s="38"/>
      <c r="Y164" s="38"/>
      <c r="Z164" s="38"/>
    </row>
    <row r="165" spans="1:26" ht="14.25" customHeight="1" x14ac:dyDescent="0.15">
      <c r="A165" s="38"/>
      <c r="B165" s="210"/>
      <c r="C165" s="250"/>
      <c r="D165" s="250"/>
      <c r="E165" s="250"/>
      <c r="F165" s="251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38"/>
      <c r="T165" s="38"/>
      <c r="U165" s="38"/>
      <c r="V165" s="38"/>
      <c r="W165" s="38"/>
      <c r="X165" s="38"/>
      <c r="Y165" s="38"/>
      <c r="Z165" s="38"/>
    </row>
    <row r="166" spans="1:26" ht="14.25" customHeight="1" x14ac:dyDescent="0.15">
      <c r="A166" s="38"/>
      <c r="B166" s="210"/>
      <c r="C166" s="250"/>
      <c r="D166" s="250"/>
      <c r="E166" s="250"/>
      <c r="F166" s="251"/>
      <c r="G166" s="250"/>
      <c r="H166" s="250"/>
      <c r="I166" s="250"/>
      <c r="J166" s="250"/>
      <c r="K166" s="210"/>
      <c r="L166" s="210"/>
      <c r="M166" s="210"/>
      <c r="N166" s="210"/>
      <c r="O166" s="210"/>
      <c r="P166" s="210"/>
      <c r="Q166" s="210"/>
      <c r="R166" s="210"/>
      <c r="S166" s="38"/>
      <c r="T166" s="38"/>
      <c r="U166" s="38"/>
      <c r="V166" s="38"/>
      <c r="W166" s="38"/>
      <c r="X166" s="38"/>
      <c r="Y166" s="38"/>
      <c r="Z166" s="38"/>
    </row>
    <row r="167" spans="1:26" ht="14.25" customHeight="1" x14ac:dyDescent="0.15">
      <c r="A167" s="38"/>
      <c r="B167" s="210"/>
      <c r="C167" s="250"/>
      <c r="D167" s="250"/>
      <c r="E167" s="250"/>
      <c r="F167" s="251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38"/>
      <c r="T167" s="38"/>
      <c r="U167" s="38"/>
      <c r="V167" s="38"/>
      <c r="W167" s="38"/>
      <c r="X167" s="38"/>
      <c r="Y167" s="38"/>
      <c r="Z167" s="38"/>
    </row>
    <row r="168" spans="1:26" ht="14.25" customHeight="1" x14ac:dyDescent="0.15">
      <c r="A168" s="38"/>
      <c r="B168" s="210"/>
      <c r="C168" s="250"/>
      <c r="D168" s="250"/>
      <c r="E168" s="250"/>
      <c r="F168" s="251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38"/>
      <c r="T168" s="38"/>
      <c r="U168" s="38"/>
      <c r="V168" s="38"/>
      <c r="W168" s="38"/>
      <c r="X168" s="38"/>
      <c r="Y168" s="38"/>
      <c r="Z168" s="38"/>
    </row>
    <row r="169" spans="1:26" ht="14.25" customHeight="1" x14ac:dyDescent="0.15">
      <c r="A169" s="38"/>
      <c r="B169" s="210"/>
      <c r="C169" s="250"/>
      <c r="D169" s="250"/>
      <c r="E169" s="250"/>
      <c r="F169" s="251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38"/>
      <c r="T169" s="38"/>
      <c r="U169" s="38"/>
      <c r="V169" s="38"/>
      <c r="W169" s="38"/>
      <c r="X169" s="38"/>
      <c r="Y169" s="38"/>
      <c r="Z169" s="38"/>
    </row>
    <row r="170" spans="1:26" ht="14.25" customHeight="1" x14ac:dyDescent="0.15">
      <c r="A170" s="38"/>
      <c r="B170" s="210"/>
      <c r="C170" s="250"/>
      <c r="D170" s="250"/>
      <c r="E170" s="250"/>
      <c r="F170" s="251"/>
      <c r="G170" s="250"/>
      <c r="H170" s="250"/>
      <c r="I170" s="250"/>
      <c r="J170" s="250"/>
      <c r="K170" s="210"/>
      <c r="L170" s="210"/>
      <c r="M170" s="210"/>
      <c r="N170" s="210"/>
      <c r="O170" s="210"/>
      <c r="P170" s="210"/>
      <c r="Q170" s="210"/>
      <c r="R170" s="210"/>
      <c r="S170" s="38"/>
      <c r="T170" s="38"/>
      <c r="U170" s="38"/>
      <c r="V170" s="38"/>
      <c r="W170" s="38"/>
      <c r="X170" s="38"/>
      <c r="Y170" s="38"/>
      <c r="Z170" s="38"/>
    </row>
    <row r="171" spans="1:26" ht="14.25" customHeight="1" x14ac:dyDescent="0.15">
      <c r="A171" s="38"/>
      <c r="B171" s="210"/>
      <c r="C171" s="250"/>
      <c r="D171" s="250"/>
      <c r="E171" s="250"/>
      <c r="F171" s="251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38"/>
      <c r="T171" s="38"/>
      <c r="U171" s="38"/>
      <c r="V171" s="38"/>
      <c r="W171" s="38"/>
      <c r="X171" s="38"/>
      <c r="Y171" s="38"/>
      <c r="Z171" s="38"/>
    </row>
    <row r="172" spans="1:26" ht="14.25" customHeight="1" x14ac:dyDescent="0.15">
      <c r="A172" s="38"/>
      <c r="B172" s="210"/>
      <c r="C172" s="250"/>
      <c r="D172" s="250"/>
      <c r="E172" s="250"/>
      <c r="F172" s="251"/>
      <c r="G172" s="250"/>
      <c r="H172" s="250"/>
      <c r="I172" s="250"/>
      <c r="J172" s="250"/>
      <c r="K172" s="210"/>
      <c r="L172" s="210"/>
      <c r="M172" s="210"/>
      <c r="N172" s="210"/>
      <c r="O172" s="210"/>
      <c r="P172" s="210"/>
      <c r="Q172" s="210"/>
      <c r="R172" s="210"/>
      <c r="S172" s="38"/>
      <c r="T172" s="38"/>
      <c r="U172" s="38"/>
      <c r="V172" s="38"/>
      <c r="W172" s="38"/>
      <c r="X172" s="38"/>
      <c r="Y172" s="38"/>
      <c r="Z172" s="38"/>
    </row>
    <row r="173" spans="1:26" ht="14.25" customHeight="1" x14ac:dyDescent="0.15">
      <c r="A173" s="38"/>
      <c r="B173" s="210"/>
      <c r="C173" s="250"/>
      <c r="D173" s="250"/>
      <c r="E173" s="250"/>
      <c r="F173" s="251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38"/>
      <c r="T173" s="38"/>
      <c r="U173" s="38"/>
      <c r="V173" s="38"/>
      <c r="W173" s="38"/>
      <c r="X173" s="38"/>
      <c r="Y173" s="38"/>
      <c r="Z173" s="38"/>
    </row>
    <row r="174" spans="1:26" ht="14.25" customHeight="1" x14ac:dyDescent="0.15">
      <c r="A174" s="38"/>
      <c r="B174" s="210"/>
      <c r="C174" s="250"/>
      <c r="D174" s="250"/>
      <c r="E174" s="250"/>
      <c r="F174" s="251"/>
      <c r="G174" s="250"/>
      <c r="H174" s="250"/>
      <c r="I174" s="250"/>
      <c r="J174" s="250"/>
      <c r="K174" s="210"/>
      <c r="L174" s="210"/>
      <c r="M174" s="210"/>
      <c r="N174" s="210"/>
      <c r="O174" s="210"/>
      <c r="P174" s="210"/>
      <c r="Q174" s="210"/>
      <c r="R174" s="210"/>
      <c r="S174" s="38"/>
      <c r="T174" s="38"/>
      <c r="U174" s="38"/>
      <c r="V174" s="38"/>
      <c r="W174" s="38"/>
      <c r="X174" s="38"/>
      <c r="Y174" s="38"/>
      <c r="Z174" s="38"/>
    </row>
    <row r="175" spans="1:26" ht="14.25" customHeight="1" x14ac:dyDescent="0.15">
      <c r="A175" s="38"/>
      <c r="B175" s="210"/>
      <c r="C175" s="250"/>
      <c r="D175" s="250"/>
      <c r="E175" s="250"/>
      <c r="F175" s="251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38"/>
      <c r="T175" s="38"/>
      <c r="U175" s="38"/>
      <c r="V175" s="38"/>
      <c r="W175" s="38"/>
      <c r="X175" s="38"/>
      <c r="Y175" s="38"/>
      <c r="Z175" s="38"/>
    </row>
    <row r="176" spans="1:26" ht="14.25" customHeight="1" x14ac:dyDescent="0.15">
      <c r="A176" s="38"/>
      <c r="B176" s="210"/>
      <c r="C176" s="250"/>
      <c r="D176" s="250"/>
      <c r="E176" s="250"/>
      <c r="F176" s="251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38"/>
      <c r="T176" s="38"/>
      <c r="U176" s="38"/>
      <c r="V176" s="38"/>
      <c r="W176" s="38"/>
      <c r="X176" s="38"/>
      <c r="Y176" s="38"/>
      <c r="Z176" s="38"/>
    </row>
    <row r="177" spans="1:26" ht="14.25" customHeight="1" x14ac:dyDescent="0.15">
      <c r="A177" s="38"/>
      <c r="B177" s="210"/>
      <c r="C177" s="250"/>
      <c r="D177" s="250"/>
      <c r="E177" s="250"/>
      <c r="F177" s="251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38"/>
      <c r="T177" s="38"/>
      <c r="U177" s="38"/>
      <c r="V177" s="38"/>
      <c r="W177" s="38"/>
      <c r="X177" s="38"/>
      <c r="Y177" s="38"/>
      <c r="Z177" s="38"/>
    </row>
    <row r="178" spans="1:26" ht="14.25" customHeight="1" x14ac:dyDescent="0.15">
      <c r="A178" s="38"/>
      <c r="B178" s="210"/>
      <c r="C178" s="250"/>
      <c r="D178" s="250"/>
      <c r="E178" s="250"/>
      <c r="F178" s="251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38"/>
      <c r="T178" s="38"/>
      <c r="U178" s="38"/>
      <c r="V178" s="38"/>
      <c r="W178" s="38"/>
      <c r="X178" s="38"/>
      <c r="Y178" s="38"/>
      <c r="Z178" s="38"/>
    </row>
    <row r="179" spans="1:26" ht="14.25" customHeight="1" x14ac:dyDescent="0.15">
      <c r="A179" s="38"/>
      <c r="B179" s="210"/>
      <c r="C179" s="250"/>
      <c r="D179" s="250"/>
      <c r="E179" s="250"/>
      <c r="F179" s="251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38"/>
      <c r="T179" s="38"/>
      <c r="U179" s="38"/>
      <c r="V179" s="38"/>
      <c r="W179" s="38"/>
      <c r="X179" s="38"/>
      <c r="Y179" s="38"/>
      <c r="Z179" s="38"/>
    </row>
    <row r="180" spans="1:26" ht="14.25" customHeight="1" x14ac:dyDescent="0.15">
      <c r="A180" s="38"/>
      <c r="B180" s="210"/>
      <c r="C180" s="250"/>
      <c r="D180" s="250"/>
      <c r="E180" s="250"/>
      <c r="F180" s="251"/>
      <c r="G180" s="250"/>
      <c r="H180" s="250"/>
      <c r="I180" s="250"/>
      <c r="J180" s="250"/>
      <c r="K180" s="210"/>
      <c r="L180" s="210"/>
      <c r="M180" s="210"/>
      <c r="N180" s="210"/>
      <c r="O180" s="210"/>
      <c r="P180" s="210"/>
      <c r="Q180" s="210"/>
      <c r="R180" s="210"/>
      <c r="S180" s="38"/>
      <c r="T180" s="38"/>
      <c r="U180" s="38"/>
      <c r="V180" s="38"/>
      <c r="W180" s="38"/>
      <c r="X180" s="38"/>
      <c r="Y180" s="38"/>
      <c r="Z180" s="38"/>
    </row>
    <row r="181" spans="1:26" ht="14.25" customHeight="1" x14ac:dyDescent="0.15">
      <c r="A181" s="38"/>
      <c r="B181" s="210"/>
      <c r="C181" s="250"/>
      <c r="D181" s="250"/>
      <c r="E181" s="250"/>
      <c r="F181" s="251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38"/>
      <c r="T181" s="38"/>
      <c r="U181" s="38"/>
      <c r="V181" s="38"/>
      <c r="W181" s="38"/>
      <c r="X181" s="38"/>
      <c r="Y181" s="38"/>
      <c r="Z181" s="38"/>
    </row>
    <row r="182" spans="1:26" ht="14.25" customHeight="1" x14ac:dyDescent="0.15">
      <c r="A182" s="38"/>
      <c r="B182" s="210"/>
      <c r="C182" s="250"/>
      <c r="D182" s="250"/>
      <c r="E182" s="250"/>
      <c r="F182" s="251"/>
      <c r="G182" s="250"/>
      <c r="H182" s="250"/>
      <c r="I182" s="250"/>
      <c r="J182" s="250"/>
      <c r="K182" s="210"/>
      <c r="L182" s="210"/>
      <c r="M182" s="210"/>
      <c r="N182" s="210"/>
      <c r="O182" s="210"/>
      <c r="P182" s="210"/>
      <c r="Q182" s="210"/>
      <c r="R182" s="210"/>
      <c r="S182" s="38"/>
      <c r="T182" s="38"/>
      <c r="U182" s="38"/>
      <c r="V182" s="38"/>
      <c r="W182" s="38"/>
      <c r="X182" s="38"/>
      <c r="Y182" s="38"/>
      <c r="Z182" s="38"/>
    </row>
    <row r="183" spans="1:26" ht="14.25" customHeight="1" x14ac:dyDescent="0.15">
      <c r="A183" s="38"/>
      <c r="B183" s="210"/>
      <c r="C183" s="250"/>
      <c r="D183" s="250"/>
      <c r="E183" s="250"/>
      <c r="F183" s="251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38"/>
      <c r="T183" s="38"/>
      <c r="U183" s="38"/>
      <c r="V183" s="38"/>
      <c r="W183" s="38"/>
      <c r="X183" s="38"/>
      <c r="Y183" s="38"/>
      <c r="Z183" s="38"/>
    </row>
    <row r="184" spans="1:26" ht="14.25" customHeight="1" x14ac:dyDescent="0.15">
      <c r="A184" s="38"/>
      <c r="B184" s="210"/>
      <c r="C184" s="250"/>
      <c r="D184" s="250"/>
      <c r="E184" s="250"/>
      <c r="F184" s="251"/>
      <c r="G184" s="250"/>
      <c r="H184" s="250"/>
      <c r="I184" s="250"/>
      <c r="J184" s="250"/>
      <c r="K184" s="210"/>
      <c r="L184" s="210"/>
      <c r="M184" s="210"/>
      <c r="N184" s="210"/>
      <c r="O184" s="210"/>
      <c r="P184" s="210"/>
      <c r="Q184" s="210"/>
      <c r="R184" s="210"/>
      <c r="S184" s="38"/>
      <c r="T184" s="38"/>
      <c r="U184" s="38"/>
      <c r="V184" s="38"/>
      <c r="W184" s="38"/>
      <c r="X184" s="38"/>
      <c r="Y184" s="38"/>
      <c r="Z184" s="38"/>
    </row>
    <row r="185" spans="1:26" ht="14.25" customHeight="1" x14ac:dyDescent="0.15">
      <c r="A185" s="38"/>
      <c r="B185" s="210"/>
      <c r="C185" s="250"/>
      <c r="D185" s="250"/>
      <c r="E185" s="250"/>
      <c r="F185" s="251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38"/>
      <c r="T185" s="38"/>
      <c r="U185" s="38"/>
      <c r="V185" s="38"/>
      <c r="W185" s="38"/>
      <c r="X185" s="38"/>
      <c r="Y185" s="38"/>
      <c r="Z185" s="38"/>
    </row>
    <row r="186" spans="1:26" ht="14.25" customHeight="1" x14ac:dyDescent="0.15">
      <c r="A186" s="38"/>
      <c r="B186" s="210"/>
      <c r="C186" s="250"/>
      <c r="D186" s="250"/>
      <c r="E186" s="250"/>
      <c r="F186" s="251"/>
      <c r="G186" s="250"/>
      <c r="H186" s="250"/>
      <c r="I186" s="250"/>
      <c r="J186" s="250"/>
      <c r="K186" s="210"/>
      <c r="L186" s="210"/>
      <c r="M186" s="210"/>
      <c r="N186" s="210"/>
      <c r="O186" s="210"/>
      <c r="P186" s="210"/>
      <c r="Q186" s="210"/>
      <c r="R186" s="210"/>
      <c r="S186" s="38"/>
      <c r="T186" s="38"/>
      <c r="U186" s="38"/>
      <c r="V186" s="38"/>
      <c r="W186" s="38"/>
      <c r="X186" s="38"/>
      <c r="Y186" s="38"/>
      <c r="Z186" s="38"/>
    </row>
    <row r="187" spans="1:26" ht="14.25" customHeight="1" x14ac:dyDescent="0.15">
      <c r="A187" s="38"/>
      <c r="B187" s="210"/>
      <c r="C187" s="250"/>
      <c r="D187" s="250"/>
      <c r="E187" s="250"/>
      <c r="F187" s="251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38"/>
      <c r="T187" s="38"/>
      <c r="U187" s="38"/>
      <c r="V187" s="38"/>
      <c r="W187" s="38"/>
      <c r="X187" s="38"/>
      <c r="Y187" s="38"/>
      <c r="Z187" s="38"/>
    </row>
    <row r="188" spans="1:26" ht="14.25" customHeight="1" x14ac:dyDescent="0.15">
      <c r="A188" s="38"/>
      <c r="B188" s="210"/>
      <c r="C188" s="250"/>
      <c r="D188" s="250"/>
      <c r="E188" s="250"/>
      <c r="F188" s="251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38"/>
      <c r="T188" s="38"/>
      <c r="U188" s="38"/>
      <c r="V188" s="38"/>
      <c r="W188" s="38"/>
      <c r="X188" s="38"/>
      <c r="Y188" s="38"/>
      <c r="Z188" s="38"/>
    </row>
    <row r="189" spans="1:26" ht="14.25" customHeight="1" x14ac:dyDescent="0.15">
      <c r="A189" s="38"/>
      <c r="B189" s="210"/>
      <c r="C189" s="250"/>
      <c r="D189" s="250"/>
      <c r="E189" s="250"/>
      <c r="F189" s="251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38"/>
      <c r="T189" s="38"/>
      <c r="U189" s="38"/>
      <c r="V189" s="38"/>
      <c r="W189" s="38"/>
      <c r="X189" s="38"/>
      <c r="Y189" s="38"/>
      <c r="Z189" s="38"/>
    </row>
    <row r="190" spans="1:26" ht="14.25" customHeight="1" x14ac:dyDescent="0.15">
      <c r="A190" s="38"/>
      <c r="B190" s="210"/>
      <c r="C190" s="250"/>
      <c r="D190" s="250"/>
      <c r="E190" s="250"/>
      <c r="F190" s="251"/>
      <c r="G190" s="250"/>
      <c r="H190" s="250"/>
      <c r="I190" s="250"/>
      <c r="J190" s="250"/>
      <c r="K190" s="210"/>
      <c r="L190" s="210"/>
      <c r="M190" s="210"/>
      <c r="N190" s="210"/>
      <c r="O190" s="210"/>
      <c r="P190" s="210"/>
      <c r="Q190" s="210"/>
      <c r="R190" s="210"/>
      <c r="S190" s="38"/>
      <c r="T190" s="38"/>
      <c r="U190" s="38"/>
      <c r="V190" s="38"/>
      <c r="W190" s="38"/>
      <c r="X190" s="38"/>
      <c r="Y190" s="38"/>
      <c r="Z190" s="38"/>
    </row>
    <row r="191" spans="1:26" ht="14.25" customHeight="1" x14ac:dyDescent="0.15">
      <c r="A191" s="38"/>
      <c r="B191" s="210"/>
      <c r="C191" s="250"/>
      <c r="D191" s="250"/>
      <c r="E191" s="250"/>
      <c r="F191" s="251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38"/>
      <c r="T191" s="38"/>
      <c r="U191" s="38"/>
      <c r="V191" s="38"/>
      <c r="W191" s="38"/>
      <c r="X191" s="38"/>
      <c r="Y191" s="38"/>
      <c r="Z191" s="38"/>
    </row>
    <row r="192" spans="1:26" ht="14.25" customHeight="1" x14ac:dyDescent="0.15">
      <c r="A192" s="38"/>
      <c r="B192" s="210"/>
      <c r="C192" s="250"/>
      <c r="D192" s="250"/>
      <c r="E192" s="250"/>
      <c r="F192" s="251"/>
      <c r="G192" s="250"/>
      <c r="H192" s="250"/>
      <c r="I192" s="250"/>
      <c r="J192" s="250"/>
      <c r="K192" s="210"/>
      <c r="L192" s="210"/>
      <c r="M192" s="210"/>
      <c r="N192" s="210"/>
      <c r="O192" s="210"/>
      <c r="P192" s="210"/>
      <c r="Q192" s="210"/>
      <c r="R192" s="210"/>
      <c r="S192" s="38"/>
      <c r="T192" s="38"/>
      <c r="U192" s="38"/>
      <c r="V192" s="38"/>
      <c r="W192" s="38"/>
      <c r="X192" s="38"/>
      <c r="Y192" s="38"/>
      <c r="Z192" s="38"/>
    </row>
    <row r="193" spans="1:26" ht="14.25" customHeight="1" x14ac:dyDescent="0.15">
      <c r="A193" s="38"/>
      <c r="B193" s="210"/>
      <c r="C193" s="250"/>
      <c r="D193" s="250"/>
      <c r="E193" s="250"/>
      <c r="F193" s="251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38"/>
      <c r="T193" s="38"/>
      <c r="U193" s="38"/>
      <c r="V193" s="38"/>
      <c r="W193" s="38"/>
      <c r="X193" s="38"/>
      <c r="Y193" s="38"/>
      <c r="Z193" s="38"/>
    </row>
    <row r="194" spans="1:26" ht="14.25" customHeight="1" x14ac:dyDescent="0.15">
      <c r="A194" s="38"/>
      <c r="B194" s="210"/>
      <c r="C194" s="250"/>
      <c r="D194" s="250"/>
      <c r="E194" s="250"/>
      <c r="F194" s="251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38"/>
      <c r="T194" s="38"/>
      <c r="U194" s="38"/>
      <c r="V194" s="38"/>
      <c r="W194" s="38"/>
      <c r="X194" s="38"/>
      <c r="Y194" s="38"/>
      <c r="Z194" s="38"/>
    </row>
    <row r="195" spans="1:26" ht="14.25" customHeight="1" x14ac:dyDescent="0.15">
      <c r="A195" s="38"/>
      <c r="B195" s="210"/>
      <c r="C195" s="250"/>
      <c r="D195" s="250"/>
      <c r="E195" s="250"/>
      <c r="F195" s="251"/>
      <c r="G195" s="250"/>
      <c r="H195" s="250"/>
      <c r="I195" s="250"/>
      <c r="J195" s="250"/>
      <c r="K195" s="210"/>
      <c r="L195" s="210"/>
      <c r="M195" s="210"/>
      <c r="N195" s="210"/>
      <c r="O195" s="210"/>
      <c r="P195" s="210"/>
      <c r="Q195" s="210"/>
      <c r="R195" s="210"/>
      <c r="S195" s="38"/>
      <c r="T195" s="38"/>
      <c r="U195" s="38"/>
      <c r="V195" s="38"/>
      <c r="W195" s="38"/>
      <c r="X195" s="38"/>
      <c r="Y195" s="38"/>
      <c r="Z195" s="38"/>
    </row>
    <row r="196" spans="1:26" ht="14.25" customHeight="1" x14ac:dyDescent="0.15">
      <c r="A196" s="38"/>
      <c r="B196" s="210"/>
      <c r="C196" s="250"/>
      <c r="D196" s="250"/>
      <c r="E196" s="250"/>
      <c r="F196" s="251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38"/>
      <c r="T196" s="38"/>
      <c r="U196" s="38"/>
      <c r="V196" s="38"/>
      <c r="W196" s="38"/>
      <c r="X196" s="38"/>
      <c r="Y196" s="38"/>
      <c r="Z196" s="38"/>
    </row>
    <row r="197" spans="1:26" ht="14.25" customHeight="1" x14ac:dyDescent="0.15">
      <c r="A197" s="38"/>
      <c r="B197" s="210"/>
      <c r="C197" s="250"/>
      <c r="D197" s="250"/>
      <c r="E197" s="250"/>
      <c r="F197" s="251"/>
      <c r="G197" s="250"/>
      <c r="H197" s="250"/>
      <c r="I197" s="250"/>
      <c r="J197" s="250"/>
      <c r="K197" s="210"/>
      <c r="L197" s="210"/>
      <c r="M197" s="210"/>
      <c r="N197" s="210"/>
      <c r="O197" s="210"/>
      <c r="P197" s="210"/>
      <c r="Q197" s="210"/>
      <c r="R197" s="210"/>
      <c r="S197" s="38"/>
      <c r="T197" s="38"/>
      <c r="U197" s="38"/>
      <c r="V197" s="38"/>
      <c r="W197" s="38"/>
      <c r="X197" s="38"/>
      <c r="Y197" s="38"/>
      <c r="Z197" s="38"/>
    </row>
    <row r="198" spans="1:26" ht="14.25" customHeight="1" x14ac:dyDescent="0.15">
      <c r="A198" s="38"/>
      <c r="B198" s="210"/>
      <c r="C198" s="250"/>
      <c r="D198" s="250"/>
      <c r="E198" s="250"/>
      <c r="F198" s="251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38"/>
      <c r="T198" s="38"/>
      <c r="U198" s="38"/>
      <c r="V198" s="38"/>
      <c r="W198" s="38"/>
      <c r="X198" s="38"/>
      <c r="Y198" s="38"/>
      <c r="Z198" s="38"/>
    </row>
    <row r="199" spans="1:26" ht="14.25" customHeight="1" x14ac:dyDescent="0.15">
      <c r="A199" s="38"/>
      <c r="B199" s="210"/>
      <c r="C199" s="250"/>
      <c r="D199" s="250"/>
      <c r="E199" s="250"/>
      <c r="F199" s="251"/>
      <c r="G199" s="250"/>
      <c r="H199" s="250"/>
      <c r="I199" s="250"/>
      <c r="J199" s="250"/>
      <c r="K199" s="210"/>
      <c r="L199" s="210"/>
      <c r="M199" s="210"/>
      <c r="N199" s="210"/>
      <c r="O199" s="210"/>
      <c r="P199" s="210"/>
      <c r="Q199" s="210"/>
      <c r="R199" s="210"/>
      <c r="S199" s="38"/>
      <c r="T199" s="38"/>
      <c r="U199" s="38"/>
      <c r="V199" s="38"/>
      <c r="W199" s="38"/>
      <c r="X199" s="38"/>
      <c r="Y199" s="38"/>
      <c r="Z199" s="38"/>
    </row>
    <row r="200" spans="1:26" ht="14.25" customHeight="1" x14ac:dyDescent="0.15">
      <c r="A200" s="38"/>
      <c r="B200" s="210"/>
      <c r="C200" s="250"/>
      <c r="D200" s="250"/>
      <c r="E200" s="250"/>
      <c r="F200" s="251"/>
      <c r="G200" s="250"/>
      <c r="H200" s="250"/>
      <c r="I200" s="250"/>
      <c r="J200" s="250"/>
      <c r="K200" s="210"/>
      <c r="L200" s="210"/>
      <c r="M200" s="210"/>
      <c r="N200" s="210"/>
      <c r="O200" s="210"/>
      <c r="P200" s="210"/>
      <c r="Q200" s="210"/>
      <c r="R200" s="210"/>
      <c r="S200" s="38"/>
      <c r="T200" s="38"/>
      <c r="U200" s="38"/>
      <c r="V200" s="38"/>
      <c r="W200" s="38"/>
      <c r="X200" s="38"/>
      <c r="Y200" s="38"/>
      <c r="Z200" s="38"/>
    </row>
    <row r="201" spans="1:26" ht="14.25" customHeight="1" x14ac:dyDescent="0.15">
      <c r="A201" s="38"/>
      <c r="B201" s="210"/>
      <c r="C201" s="250"/>
      <c r="D201" s="250"/>
      <c r="E201" s="250"/>
      <c r="F201" s="251"/>
      <c r="G201" s="250"/>
      <c r="H201" s="250"/>
      <c r="I201" s="250"/>
      <c r="J201" s="250"/>
      <c r="K201" s="210"/>
      <c r="L201" s="210"/>
      <c r="M201" s="210"/>
      <c r="N201" s="210"/>
      <c r="O201" s="210"/>
      <c r="P201" s="210"/>
      <c r="Q201" s="210"/>
      <c r="R201" s="210"/>
      <c r="S201" s="38"/>
      <c r="T201" s="38"/>
      <c r="U201" s="38"/>
      <c r="V201" s="38"/>
      <c r="W201" s="38"/>
      <c r="X201" s="38"/>
      <c r="Y201" s="38"/>
      <c r="Z201" s="38"/>
    </row>
    <row r="202" spans="1:26" ht="14.25" customHeight="1" x14ac:dyDescent="0.15">
      <c r="A202" s="38"/>
      <c r="B202" s="210"/>
      <c r="C202" s="250"/>
      <c r="D202" s="250"/>
      <c r="E202" s="250"/>
      <c r="F202" s="251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38"/>
      <c r="T202" s="38"/>
      <c r="U202" s="38"/>
      <c r="V202" s="38"/>
      <c r="W202" s="38"/>
      <c r="X202" s="38"/>
      <c r="Y202" s="38"/>
      <c r="Z202" s="38"/>
    </row>
    <row r="203" spans="1:26" ht="14.25" customHeight="1" x14ac:dyDescent="0.15">
      <c r="A203" s="38"/>
      <c r="B203" s="210"/>
      <c r="C203" s="250"/>
      <c r="D203" s="250"/>
      <c r="E203" s="250"/>
      <c r="F203" s="251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38"/>
      <c r="T203" s="38"/>
      <c r="U203" s="38"/>
      <c r="V203" s="38"/>
      <c r="W203" s="38"/>
      <c r="X203" s="38"/>
      <c r="Y203" s="38"/>
      <c r="Z203" s="38"/>
    </row>
    <row r="204" spans="1:26" ht="14.25" customHeight="1" x14ac:dyDescent="0.15">
      <c r="A204" s="38"/>
      <c r="B204" s="210"/>
      <c r="C204" s="250"/>
      <c r="D204" s="250"/>
      <c r="E204" s="250"/>
      <c r="F204" s="251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38"/>
      <c r="T204" s="38"/>
      <c r="U204" s="38"/>
      <c r="V204" s="38"/>
      <c r="W204" s="38"/>
      <c r="X204" s="38"/>
      <c r="Y204" s="38"/>
      <c r="Z204" s="38"/>
    </row>
    <row r="205" spans="1:26" ht="14.25" customHeight="1" x14ac:dyDescent="0.15">
      <c r="A205" s="38"/>
      <c r="B205" s="210"/>
      <c r="C205" s="250"/>
      <c r="D205" s="250"/>
      <c r="E205" s="250"/>
      <c r="F205" s="251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38"/>
      <c r="T205" s="38"/>
      <c r="U205" s="38"/>
      <c r="V205" s="38"/>
      <c r="W205" s="38"/>
      <c r="X205" s="38"/>
      <c r="Y205" s="38"/>
      <c r="Z205" s="38"/>
    </row>
    <row r="206" spans="1:26" ht="14.25" customHeight="1" x14ac:dyDescent="0.15">
      <c r="A206" s="38"/>
      <c r="B206" s="210"/>
      <c r="C206" s="250"/>
      <c r="D206" s="250"/>
      <c r="E206" s="250"/>
      <c r="F206" s="251"/>
      <c r="G206" s="250"/>
      <c r="H206" s="250"/>
      <c r="I206" s="250"/>
      <c r="J206" s="250"/>
      <c r="K206" s="210"/>
      <c r="L206" s="210"/>
      <c r="M206" s="210"/>
      <c r="N206" s="210"/>
      <c r="O206" s="210"/>
      <c r="P206" s="210"/>
      <c r="Q206" s="210"/>
      <c r="R206" s="210"/>
      <c r="S206" s="38"/>
      <c r="T206" s="38"/>
      <c r="U206" s="38"/>
      <c r="V206" s="38"/>
      <c r="W206" s="38"/>
      <c r="X206" s="38"/>
      <c r="Y206" s="38"/>
      <c r="Z206" s="38"/>
    </row>
    <row r="207" spans="1:26" ht="14.25" customHeight="1" x14ac:dyDescent="0.15">
      <c r="A207" s="38"/>
      <c r="B207" s="210"/>
      <c r="C207" s="250"/>
      <c r="D207" s="250"/>
      <c r="E207" s="250"/>
      <c r="F207" s="251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38"/>
      <c r="T207" s="38"/>
      <c r="U207" s="38"/>
      <c r="V207" s="38"/>
      <c r="W207" s="38"/>
      <c r="X207" s="38"/>
      <c r="Y207" s="38"/>
      <c r="Z207" s="38"/>
    </row>
    <row r="208" spans="1:26" ht="14.25" customHeight="1" x14ac:dyDescent="0.15">
      <c r="A208" s="38"/>
      <c r="B208" s="210"/>
      <c r="C208" s="250"/>
      <c r="D208" s="250"/>
      <c r="E208" s="250"/>
      <c r="F208" s="251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38"/>
      <c r="T208" s="38"/>
      <c r="U208" s="38"/>
      <c r="V208" s="38"/>
      <c r="W208" s="38"/>
      <c r="X208" s="38"/>
      <c r="Y208" s="38"/>
      <c r="Z208" s="38"/>
    </row>
    <row r="209" spans="1:26" ht="14.25" customHeight="1" x14ac:dyDescent="0.15">
      <c r="A209" s="38"/>
      <c r="B209" s="210"/>
      <c r="C209" s="250"/>
      <c r="D209" s="250"/>
      <c r="E209" s="250"/>
      <c r="F209" s="251"/>
      <c r="G209" s="250"/>
      <c r="H209" s="250"/>
      <c r="I209" s="250"/>
      <c r="J209" s="250"/>
      <c r="K209" s="210"/>
      <c r="L209" s="210"/>
      <c r="M209" s="210"/>
      <c r="N209" s="210"/>
      <c r="O209" s="210"/>
      <c r="P209" s="210"/>
      <c r="Q209" s="210"/>
      <c r="R209" s="210"/>
      <c r="S209" s="38"/>
      <c r="T209" s="38"/>
      <c r="U209" s="38"/>
      <c r="V209" s="38"/>
      <c r="W209" s="38"/>
      <c r="X209" s="38"/>
      <c r="Y209" s="38"/>
      <c r="Z209" s="38"/>
    </row>
    <row r="210" spans="1:26" ht="14.25" customHeight="1" x14ac:dyDescent="0.15">
      <c r="A210" s="38"/>
      <c r="B210" s="210"/>
      <c r="C210" s="250"/>
      <c r="D210" s="250"/>
      <c r="E210" s="250"/>
      <c r="F210" s="251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38"/>
      <c r="T210" s="38"/>
      <c r="U210" s="38"/>
      <c r="V210" s="38"/>
      <c r="W210" s="38"/>
      <c r="X210" s="38"/>
      <c r="Y210" s="38"/>
      <c r="Z210" s="38"/>
    </row>
    <row r="211" spans="1:26" ht="14.25" customHeight="1" x14ac:dyDescent="0.15">
      <c r="A211" s="38"/>
      <c r="B211" s="210"/>
      <c r="C211" s="250"/>
      <c r="D211" s="250"/>
      <c r="E211" s="250"/>
      <c r="F211" s="251"/>
      <c r="G211" s="250"/>
      <c r="H211" s="250"/>
      <c r="I211" s="250"/>
      <c r="J211" s="250"/>
      <c r="K211" s="210"/>
      <c r="L211" s="210"/>
      <c r="M211" s="210"/>
      <c r="N211" s="210"/>
      <c r="O211" s="210"/>
      <c r="P211" s="210"/>
      <c r="Q211" s="210"/>
      <c r="R211" s="210"/>
      <c r="S211" s="38"/>
      <c r="T211" s="38"/>
      <c r="U211" s="38"/>
      <c r="V211" s="38"/>
      <c r="W211" s="38"/>
      <c r="X211" s="38"/>
      <c r="Y211" s="38"/>
      <c r="Z211" s="38"/>
    </row>
    <row r="212" spans="1:26" ht="14.25" customHeight="1" x14ac:dyDescent="0.15">
      <c r="A212" s="38"/>
      <c r="B212" s="252"/>
      <c r="C212" s="250"/>
      <c r="D212" s="250"/>
      <c r="E212" s="250"/>
      <c r="F212" s="251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38"/>
      <c r="T212" s="38"/>
      <c r="U212" s="38"/>
      <c r="V212" s="38"/>
      <c r="W212" s="38"/>
      <c r="X212" s="38"/>
      <c r="Y212" s="38"/>
      <c r="Z212" s="38"/>
    </row>
    <row r="213" spans="1:26" ht="14.25" customHeight="1" x14ac:dyDescent="0.15">
      <c r="A213" s="38"/>
      <c r="B213" s="210"/>
      <c r="C213" s="210"/>
      <c r="D213" s="210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38"/>
      <c r="T213" s="38"/>
      <c r="U213" s="38"/>
      <c r="V213" s="38"/>
      <c r="W213" s="38"/>
      <c r="X213" s="38"/>
      <c r="Y213" s="38"/>
      <c r="Z213" s="38"/>
    </row>
    <row r="214" spans="1:26" ht="14.25" customHeight="1" x14ac:dyDescent="0.15">
      <c r="A214" s="38"/>
      <c r="B214" s="210"/>
      <c r="C214" s="210"/>
      <c r="D214" s="210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38"/>
      <c r="T214" s="38"/>
      <c r="U214" s="38"/>
      <c r="V214" s="38"/>
      <c r="W214" s="38"/>
      <c r="X214" s="38"/>
      <c r="Y214" s="38"/>
      <c r="Z214" s="38"/>
    </row>
    <row r="215" spans="1:26" ht="14.25" customHeight="1" x14ac:dyDescent="0.15">
      <c r="A215" s="38"/>
      <c r="B215" s="210"/>
      <c r="C215" s="210"/>
      <c r="D215" s="210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38"/>
      <c r="T215" s="38"/>
      <c r="U215" s="38"/>
      <c r="V215" s="38"/>
      <c r="W215" s="38"/>
      <c r="X215" s="38"/>
      <c r="Y215" s="38"/>
      <c r="Z215" s="38"/>
    </row>
    <row r="216" spans="1:26" ht="14.25" customHeight="1" x14ac:dyDescent="0.15">
      <c r="A216" s="38"/>
      <c r="B216" s="210"/>
      <c r="C216" s="210"/>
      <c r="D216" s="210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38"/>
      <c r="T216" s="38"/>
      <c r="U216" s="38"/>
      <c r="V216" s="38"/>
      <c r="W216" s="38"/>
      <c r="X216" s="38"/>
      <c r="Y216" s="38"/>
      <c r="Z216" s="38"/>
    </row>
    <row r="217" spans="1:26" ht="14.25" customHeight="1" x14ac:dyDescent="0.15">
      <c r="A217" s="38"/>
      <c r="B217" s="210"/>
      <c r="C217" s="210"/>
      <c r="D217" s="210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38"/>
      <c r="T217" s="38"/>
      <c r="U217" s="38"/>
      <c r="V217" s="38"/>
      <c r="W217" s="38"/>
      <c r="X217" s="38"/>
      <c r="Y217" s="38"/>
      <c r="Z217" s="38"/>
    </row>
    <row r="218" spans="1:26" ht="14.25" customHeight="1" x14ac:dyDescent="0.15">
      <c r="A218" s="38"/>
      <c r="B218" s="210"/>
      <c r="C218" s="210"/>
      <c r="D218" s="210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38"/>
      <c r="T218" s="38"/>
      <c r="U218" s="38"/>
      <c r="V218" s="38"/>
      <c r="W218" s="38"/>
      <c r="X218" s="38"/>
      <c r="Y218" s="38"/>
      <c r="Z218" s="38"/>
    </row>
    <row r="219" spans="1:26" ht="14.25" customHeight="1" x14ac:dyDescent="0.15">
      <c r="A219" s="38"/>
      <c r="B219" s="210"/>
      <c r="C219" s="210"/>
      <c r="D219" s="210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38"/>
      <c r="T219" s="38"/>
      <c r="U219" s="38"/>
      <c r="V219" s="38"/>
      <c r="W219" s="38"/>
      <c r="X219" s="38"/>
      <c r="Y219" s="38"/>
      <c r="Z219" s="38"/>
    </row>
    <row r="220" spans="1:26" ht="14.25" customHeight="1" x14ac:dyDescent="0.15">
      <c r="A220" s="38"/>
      <c r="B220" s="210"/>
      <c r="C220" s="210"/>
      <c r="D220" s="210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38"/>
      <c r="T220" s="38"/>
      <c r="U220" s="38"/>
      <c r="V220" s="38"/>
      <c r="W220" s="38"/>
      <c r="X220" s="38"/>
      <c r="Y220" s="38"/>
      <c r="Z220" s="38"/>
    </row>
    <row r="221" spans="1:26" ht="14.25" customHeight="1" x14ac:dyDescent="0.15">
      <c r="A221" s="38"/>
      <c r="B221" s="210"/>
      <c r="C221" s="210"/>
      <c r="D221" s="210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38"/>
      <c r="T221" s="38"/>
      <c r="U221" s="38"/>
      <c r="V221" s="38"/>
      <c r="W221" s="38"/>
      <c r="X221" s="38"/>
      <c r="Y221" s="38"/>
      <c r="Z221" s="38"/>
    </row>
    <row r="222" spans="1:26" ht="14.25" customHeight="1" x14ac:dyDescent="0.15">
      <c r="A222" s="38"/>
      <c r="B222" s="210"/>
      <c r="C222" s="210"/>
      <c r="D222" s="210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38"/>
      <c r="T222" s="38"/>
      <c r="U222" s="38"/>
      <c r="V222" s="38"/>
      <c r="W222" s="38"/>
      <c r="X222" s="38"/>
      <c r="Y222" s="38"/>
      <c r="Z222" s="38"/>
    </row>
    <row r="223" spans="1:26" ht="14.25" customHeight="1" x14ac:dyDescent="0.15">
      <c r="A223" s="38"/>
      <c r="B223" s="210"/>
      <c r="C223" s="210"/>
      <c r="D223" s="210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38"/>
      <c r="T223" s="38"/>
      <c r="U223" s="38"/>
      <c r="V223" s="38"/>
      <c r="W223" s="38"/>
      <c r="X223" s="38"/>
      <c r="Y223" s="38"/>
      <c r="Z223" s="38"/>
    </row>
    <row r="224" spans="1:26" ht="14.25" customHeight="1" x14ac:dyDescent="0.15">
      <c r="A224" s="38"/>
      <c r="B224" s="210"/>
      <c r="C224" s="210"/>
      <c r="D224" s="210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38"/>
      <c r="T224" s="38"/>
      <c r="U224" s="38"/>
      <c r="V224" s="38"/>
      <c r="W224" s="38"/>
      <c r="X224" s="38"/>
      <c r="Y224" s="38"/>
      <c r="Z224" s="38"/>
    </row>
    <row r="225" spans="1:26" ht="14.25" customHeight="1" x14ac:dyDescent="0.15">
      <c r="A225" s="38"/>
      <c r="B225" s="210"/>
      <c r="C225" s="210"/>
      <c r="D225" s="210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38"/>
      <c r="T225" s="38"/>
      <c r="U225" s="38"/>
      <c r="V225" s="38"/>
      <c r="W225" s="38"/>
      <c r="X225" s="38"/>
      <c r="Y225" s="38"/>
      <c r="Z225" s="38"/>
    </row>
    <row r="226" spans="1:26" ht="14.25" customHeight="1" x14ac:dyDescent="0.15">
      <c r="A226" s="38"/>
      <c r="B226" s="210"/>
      <c r="C226" s="210"/>
      <c r="D226" s="210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38"/>
      <c r="T226" s="38"/>
      <c r="U226" s="38"/>
      <c r="V226" s="38"/>
      <c r="W226" s="38"/>
      <c r="X226" s="38"/>
      <c r="Y226" s="38"/>
      <c r="Z226" s="38"/>
    </row>
    <row r="227" spans="1:26" ht="14.25" customHeight="1" x14ac:dyDescent="0.15">
      <c r="A227" s="38"/>
      <c r="B227" s="210"/>
      <c r="C227" s="210"/>
      <c r="D227" s="210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38"/>
      <c r="T227" s="38"/>
      <c r="U227" s="38"/>
      <c r="V227" s="38"/>
      <c r="W227" s="38"/>
      <c r="X227" s="38"/>
      <c r="Y227" s="38"/>
      <c r="Z227" s="38"/>
    </row>
    <row r="228" spans="1:26" ht="14.25" customHeight="1" x14ac:dyDescent="0.15">
      <c r="A228" s="38"/>
      <c r="B228" s="210"/>
      <c r="C228" s="210"/>
      <c r="D228" s="210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38"/>
      <c r="T228" s="38"/>
      <c r="U228" s="38"/>
      <c r="V228" s="38"/>
      <c r="W228" s="38"/>
      <c r="X228" s="38"/>
      <c r="Y228" s="38"/>
      <c r="Z228" s="38"/>
    </row>
    <row r="229" spans="1:26" ht="14.25" customHeight="1" x14ac:dyDescent="0.15">
      <c r="A229" s="38"/>
      <c r="B229" s="210"/>
      <c r="C229" s="210"/>
      <c r="D229" s="210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38"/>
      <c r="T229" s="38"/>
      <c r="U229" s="38"/>
      <c r="V229" s="38"/>
      <c r="W229" s="38"/>
      <c r="X229" s="38"/>
      <c r="Y229" s="38"/>
      <c r="Z229" s="38"/>
    </row>
    <row r="230" spans="1:26" ht="14.25" customHeight="1" x14ac:dyDescent="0.15">
      <c r="A230" s="38"/>
      <c r="B230" s="210"/>
      <c r="C230" s="210"/>
      <c r="D230" s="210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38"/>
      <c r="T230" s="38"/>
      <c r="U230" s="38"/>
      <c r="V230" s="38"/>
      <c r="W230" s="38"/>
      <c r="X230" s="38"/>
      <c r="Y230" s="38"/>
      <c r="Z230" s="38"/>
    </row>
    <row r="231" spans="1:26" ht="14.25" customHeight="1" x14ac:dyDescent="0.15">
      <c r="A231" s="38"/>
      <c r="B231" s="210"/>
      <c r="C231" s="210"/>
      <c r="D231" s="210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38"/>
      <c r="T231" s="38"/>
      <c r="U231" s="38"/>
      <c r="V231" s="38"/>
      <c r="W231" s="38"/>
      <c r="X231" s="38"/>
      <c r="Y231" s="38"/>
      <c r="Z231" s="38"/>
    </row>
    <row r="232" spans="1:26" ht="14.25" customHeight="1" x14ac:dyDescent="0.15">
      <c r="A232" s="38"/>
      <c r="B232" s="210"/>
      <c r="C232" s="210"/>
      <c r="D232" s="210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38"/>
      <c r="T232" s="38"/>
      <c r="U232" s="38"/>
      <c r="V232" s="38"/>
      <c r="W232" s="38"/>
      <c r="X232" s="38"/>
      <c r="Y232" s="38"/>
      <c r="Z232" s="38"/>
    </row>
    <row r="233" spans="1:26" ht="14.25" customHeight="1" x14ac:dyDescent="0.15">
      <c r="A233" s="38"/>
      <c r="B233" s="210"/>
      <c r="C233" s="210"/>
      <c r="D233" s="210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38"/>
      <c r="T233" s="38"/>
      <c r="U233" s="38"/>
      <c r="V233" s="38"/>
      <c r="W233" s="38"/>
      <c r="X233" s="38"/>
      <c r="Y233" s="38"/>
      <c r="Z233" s="38"/>
    </row>
    <row r="234" spans="1:26" ht="14.25" customHeight="1" x14ac:dyDescent="0.15">
      <c r="A234" s="38"/>
      <c r="B234" s="210"/>
      <c r="C234" s="210"/>
      <c r="D234" s="210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38"/>
      <c r="T234" s="38"/>
      <c r="U234" s="38"/>
      <c r="V234" s="38"/>
      <c r="W234" s="38"/>
      <c r="X234" s="38"/>
      <c r="Y234" s="38"/>
      <c r="Z234" s="38"/>
    </row>
    <row r="235" spans="1:26" ht="14.25" customHeight="1" x14ac:dyDescent="0.15">
      <c r="A235" s="38"/>
      <c r="B235" s="210"/>
      <c r="C235" s="210"/>
      <c r="D235" s="210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38"/>
      <c r="T235" s="38"/>
      <c r="U235" s="38"/>
      <c r="V235" s="38"/>
      <c r="W235" s="38"/>
      <c r="X235" s="38"/>
      <c r="Y235" s="38"/>
      <c r="Z235" s="38"/>
    </row>
    <row r="236" spans="1:26" ht="14.25" customHeight="1" x14ac:dyDescent="0.15">
      <c r="A236" s="38"/>
      <c r="B236" s="210"/>
      <c r="C236" s="210"/>
      <c r="D236" s="210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38"/>
      <c r="T236" s="38"/>
      <c r="U236" s="38"/>
      <c r="V236" s="38"/>
      <c r="W236" s="38"/>
      <c r="X236" s="38"/>
      <c r="Y236" s="38"/>
      <c r="Z236" s="38"/>
    </row>
    <row r="237" spans="1:26" ht="14.25" customHeight="1" x14ac:dyDescent="0.15">
      <c r="A237" s="38"/>
      <c r="B237" s="210"/>
      <c r="C237" s="210"/>
      <c r="D237" s="210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38"/>
      <c r="T237" s="38"/>
      <c r="U237" s="38"/>
      <c r="V237" s="38"/>
      <c r="W237" s="38"/>
      <c r="X237" s="38"/>
      <c r="Y237" s="38"/>
      <c r="Z237" s="38"/>
    </row>
    <row r="238" spans="1:26" ht="14.25" customHeight="1" x14ac:dyDescent="0.15">
      <c r="A238" s="38"/>
      <c r="B238" s="210"/>
      <c r="C238" s="210"/>
      <c r="D238" s="210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38"/>
      <c r="T238" s="38"/>
      <c r="U238" s="38"/>
      <c r="V238" s="38"/>
      <c r="W238" s="38"/>
      <c r="X238" s="38"/>
      <c r="Y238" s="38"/>
      <c r="Z238" s="38"/>
    </row>
    <row r="239" spans="1:26" ht="14.25" customHeight="1" x14ac:dyDescent="0.15">
      <c r="A239" s="38"/>
      <c r="B239" s="210"/>
      <c r="C239" s="210"/>
      <c r="D239" s="210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38"/>
      <c r="T239" s="38"/>
      <c r="U239" s="38"/>
      <c r="V239" s="38"/>
      <c r="W239" s="38"/>
      <c r="X239" s="38"/>
      <c r="Y239" s="38"/>
      <c r="Z239" s="38"/>
    </row>
    <row r="240" spans="1:26" ht="14.25" customHeight="1" x14ac:dyDescent="0.15">
      <c r="A240" s="38"/>
      <c r="B240" s="210"/>
      <c r="C240" s="210"/>
      <c r="D240" s="210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38"/>
      <c r="T240" s="38"/>
      <c r="U240" s="38"/>
      <c r="V240" s="38"/>
      <c r="W240" s="38"/>
      <c r="X240" s="38"/>
      <c r="Y240" s="38"/>
      <c r="Z240" s="38"/>
    </row>
    <row r="241" spans="1:26" ht="14.25" customHeight="1" x14ac:dyDescent="0.15">
      <c r="A241" s="38"/>
      <c r="B241" s="210"/>
      <c r="C241" s="210"/>
      <c r="D241" s="210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38"/>
      <c r="T241" s="38"/>
      <c r="U241" s="38"/>
      <c r="V241" s="38"/>
      <c r="W241" s="38"/>
      <c r="X241" s="38"/>
      <c r="Y241" s="38"/>
      <c r="Z241" s="38"/>
    </row>
    <row r="242" spans="1:26" ht="14.25" customHeight="1" x14ac:dyDescent="0.15">
      <c r="A242" s="38"/>
      <c r="B242" s="210"/>
      <c r="C242" s="210"/>
      <c r="D242" s="210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38"/>
      <c r="T242" s="38"/>
      <c r="U242" s="38"/>
      <c r="V242" s="38"/>
      <c r="W242" s="38"/>
      <c r="X242" s="38"/>
      <c r="Y242" s="38"/>
      <c r="Z242" s="38"/>
    </row>
    <row r="243" spans="1:26" ht="14.25" customHeight="1" x14ac:dyDescent="0.15">
      <c r="A243" s="38"/>
      <c r="B243" s="210"/>
      <c r="C243" s="210"/>
      <c r="D243" s="210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38"/>
      <c r="T243" s="38"/>
      <c r="U243" s="38"/>
      <c r="V243" s="38"/>
      <c r="W243" s="38"/>
      <c r="X243" s="38"/>
      <c r="Y243" s="38"/>
      <c r="Z243" s="38"/>
    </row>
    <row r="244" spans="1:26" ht="14.25" customHeight="1" x14ac:dyDescent="0.15">
      <c r="A244" s="38"/>
      <c r="B244" s="210"/>
      <c r="C244" s="210"/>
      <c r="D244" s="210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38"/>
      <c r="T244" s="38"/>
      <c r="U244" s="38"/>
      <c r="V244" s="38"/>
      <c r="W244" s="38"/>
      <c r="X244" s="38"/>
      <c r="Y244" s="38"/>
      <c r="Z244" s="38"/>
    </row>
    <row r="245" spans="1:26" ht="14.25" customHeight="1" x14ac:dyDescent="0.15">
      <c r="A245" s="38"/>
      <c r="B245" s="210"/>
      <c r="C245" s="210"/>
      <c r="D245" s="210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38"/>
      <c r="T245" s="38"/>
      <c r="U245" s="38"/>
      <c r="V245" s="38"/>
      <c r="W245" s="38"/>
      <c r="X245" s="38"/>
      <c r="Y245" s="38"/>
      <c r="Z245" s="38"/>
    </row>
    <row r="246" spans="1:26" ht="14.25" customHeight="1" x14ac:dyDescent="0.15">
      <c r="A246" s="38"/>
      <c r="B246" s="210"/>
      <c r="C246" s="210"/>
      <c r="D246" s="210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38"/>
      <c r="T246" s="38"/>
      <c r="U246" s="38"/>
      <c r="V246" s="38"/>
      <c r="W246" s="38"/>
      <c r="X246" s="38"/>
      <c r="Y246" s="38"/>
      <c r="Z246" s="38"/>
    </row>
    <row r="247" spans="1:26" ht="14.25" customHeight="1" x14ac:dyDescent="0.15">
      <c r="A247" s="38"/>
      <c r="B247" s="210"/>
      <c r="C247" s="210"/>
      <c r="D247" s="210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38"/>
      <c r="T247" s="38"/>
      <c r="U247" s="38"/>
      <c r="V247" s="38"/>
      <c r="W247" s="38"/>
      <c r="X247" s="38"/>
      <c r="Y247" s="38"/>
      <c r="Z247" s="38"/>
    </row>
    <row r="248" spans="1:26" ht="14.25" customHeight="1" x14ac:dyDescent="0.15">
      <c r="A248" s="38"/>
      <c r="B248" s="210"/>
      <c r="C248" s="210"/>
      <c r="D248" s="210"/>
      <c r="E248" s="210"/>
      <c r="F248" s="210"/>
      <c r="G248" s="210"/>
      <c r="H248" s="210"/>
      <c r="I248" s="210"/>
      <c r="J248" s="210"/>
      <c r="K248" s="210"/>
      <c r="L248" s="210"/>
      <c r="M248" s="210"/>
      <c r="N248" s="210"/>
      <c r="O248" s="210"/>
      <c r="P248" s="210"/>
      <c r="Q248" s="210"/>
      <c r="R248" s="210"/>
      <c r="S248" s="38"/>
      <c r="T248" s="38"/>
      <c r="U248" s="38"/>
      <c r="V248" s="38"/>
      <c r="W248" s="38"/>
      <c r="X248" s="38"/>
      <c r="Y248" s="38"/>
      <c r="Z248" s="38"/>
    </row>
    <row r="249" spans="1:26" ht="14.25" customHeight="1" x14ac:dyDescent="0.15">
      <c r="A249" s="38"/>
      <c r="B249" s="210"/>
      <c r="C249" s="210"/>
      <c r="D249" s="210"/>
      <c r="E249" s="210"/>
      <c r="F249" s="210"/>
      <c r="G249" s="210"/>
      <c r="H249" s="210"/>
      <c r="I249" s="210"/>
      <c r="J249" s="210"/>
      <c r="K249" s="210"/>
      <c r="L249" s="210"/>
      <c r="M249" s="210"/>
      <c r="N249" s="210"/>
      <c r="O249" s="210"/>
      <c r="P249" s="210"/>
      <c r="Q249" s="210"/>
      <c r="R249" s="210"/>
      <c r="S249" s="38"/>
      <c r="T249" s="38"/>
      <c r="U249" s="38"/>
      <c r="V249" s="38"/>
      <c r="W249" s="38"/>
      <c r="X249" s="38"/>
      <c r="Y249" s="38"/>
      <c r="Z249" s="38"/>
    </row>
    <row r="250" spans="1:26" ht="14.25" customHeight="1" x14ac:dyDescent="0.15">
      <c r="A250" s="38"/>
      <c r="B250" s="210"/>
      <c r="C250" s="210"/>
      <c r="D250" s="210"/>
      <c r="E250" s="210"/>
      <c r="F250" s="210"/>
      <c r="G250" s="210"/>
      <c r="H250" s="210"/>
      <c r="I250" s="210"/>
      <c r="J250" s="210"/>
      <c r="K250" s="210"/>
      <c r="L250" s="210"/>
      <c r="M250" s="210"/>
      <c r="N250" s="210"/>
      <c r="O250" s="210"/>
      <c r="P250" s="210"/>
      <c r="Q250" s="210"/>
      <c r="R250" s="210"/>
      <c r="S250" s="38"/>
      <c r="T250" s="38"/>
      <c r="U250" s="38"/>
      <c r="V250" s="38"/>
      <c r="W250" s="38"/>
      <c r="X250" s="38"/>
      <c r="Y250" s="38"/>
      <c r="Z250" s="38"/>
    </row>
    <row r="251" spans="1:26" ht="14.25" customHeight="1" x14ac:dyDescent="0.15">
      <c r="A251" s="38"/>
      <c r="B251" s="210"/>
      <c r="C251" s="210"/>
      <c r="D251" s="210"/>
      <c r="E251" s="210"/>
      <c r="F251" s="210"/>
      <c r="G251" s="210"/>
      <c r="H251" s="210"/>
      <c r="I251" s="210"/>
      <c r="J251" s="210"/>
      <c r="K251" s="210"/>
      <c r="L251" s="210"/>
      <c r="M251" s="210"/>
      <c r="N251" s="210"/>
      <c r="O251" s="210"/>
      <c r="P251" s="210"/>
      <c r="Q251" s="210"/>
      <c r="R251" s="210"/>
      <c r="S251" s="38"/>
      <c r="T251" s="38"/>
      <c r="U251" s="38"/>
      <c r="V251" s="38"/>
      <c r="W251" s="38"/>
      <c r="X251" s="38"/>
      <c r="Y251" s="38"/>
      <c r="Z251" s="38"/>
    </row>
    <row r="252" spans="1:26" ht="14.25" customHeight="1" x14ac:dyDescent="0.15">
      <c r="A252" s="38"/>
      <c r="B252" s="210"/>
      <c r="C252" s="210"/>
      <c r="D252" s="210"/>
      <c r="E252" s="210"/>
      <c r="F252" s="210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38"/>
      <c r="T252" s="38"/>
      <c r="U252" s="38"/>
      <c r="V252" s="38"/>
      <c r="W252" s="38"/>
      <c r="X252" s="38"/>
      <c r="Y252" s="38"/>
      <c r="Z252" s="38"/>
    </row>
    <row r="253" spans="1:26" ht="14.25" customHeight="1" x14ac:dyDescent="0.15">
      <c r="A253" s="38"/>
      <c r="B253" s="210"/>
      <c r="C253" s="210"/>
      <c r="D253" s="210"/>
      <c r="E253" s="210"/>
      <c r="F253" s="210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38"/>
      <c r="T253" s="38"/>
      <c r="U253" s="38"/>
      <c r="V253" s="38"/>
      <c r="W253" s="38"/>
      <c r="X253" s="38"/>
      <c r="Y253" s="38"/>
      <c r="Z253" s="38"/>
    </row>
    <row r="254" spans="1:26" ht="14.25" customHeight="1" x14ac:dyDescent="0.15">
      <c r="A254" s="38"/>
      <c r="B254" s="210"/>
      <c r="C254" s="210"/>
      <c r="D254" s="210"/>
      <c r="E254" s="210"/>
      <c r="F254" s="210"/>
      <c r="G254" s="210"/>
      <c r="H254" s="210"/>
      <c r="I254" s="210"/>
      <c r="J254" s="210"/>
      <c r="K254" s="210"/>
      <c r="L254" s="210"/>
      <c r="M254" s="210"/>
      <c r="N254" s="210"/>
      <c r="O254" s="210"/>
      <c r="P254" s="210"/>
      <c r="Q254" s="210"/>
      <c r="R254" s="210"/>
      <c r="S254" s="38"/>
      <c r="T254" s="38"/>
      <c r="U254" s="38"/>
      <c r="V254" s="38"/>
      <c r="W254" s="38"/>
      <c r="X254" s="38"/>
      <c r="Y254" s="38"/>
      <c r="Z254" s="38"/>
    </row>
    <row r="255" spans="1:26" ht="14.25" customHeight="1" x14ac:dyDescent="0.15">
      <c r="A255" s="38"/>
      <c r="B255" s="210"/>
      <c r="C255" s="210"/>
      <c r="D255" s="210"/>
      <c r="E255" s="210"/>
      <c r="F255" s="210"/>
      <c r="G255" s="210"/>
      <c r="H255" s="210"/>
      <c r="I255" s="210"/>
      <c r="J255" s="210"/>
      <c r="K255" s="210"/>
      <c r="L255" s="210"/>
      <c r="M255" s="210"/>
      <c r="N255" s="210"/>
      <c r="O255" s="210"/>
      <c r="P255" s="210"/>
      <c r="Q255" s="210"/>
      <c r="R255" s="210"/>
      <c r="S255" s="38"/>
      <c r="T255" s="38"/>
      <c r="U255" s="38"/>
      <c r="V255" s="38"/>
      <c r="W255" s="38"/>
      <c r="X255" s="38"/>
      <c r="Y255" s="38"/>
      <c r="Z255" s="38"/>
    </row>
    <row r="256" spans="1:26" ht="14.25" customHeight="1" x14ac:dyDescent="0.15">
      <c r="A256" s="38"/>
      <c r="B256" s="210"/>
      <c r="C256" s="210"/>
      <c r="D256" s="210"/>
      <c r="E256" s="210"/>
      <c r="F256" s="210"/>
      <c r="G256" s="210"/>
      <c r="H256" s="210"/>
      <c r="I256" s="210"/>
      <c r="J256" s="210"/>
      <c r="K256" s="210"/>
      <c r="L256" s="210"/>
      <c r="M256" s="210"/>
      <c r="N256" s="210"/>
      <c r="O256" s="210"/>
      <c r="P256" s="210"/>
      <c r="Q256" s="210"/>
      <c r="R256" s="210"/>
      <c r="S256" s="38"/>
      <c r="T256" s="38"/>
      <c r="U256" s="38"/>
      <c r="V256" s="38"/>
      <c r="W256" s="38"/>
      <c r="X256" s="38"/>
      <c r="Y256" s="38"/>
      <c r="Z256" s="38"/>
    </row>
    <row r="257" spans="1:26" ht="14.25" customHeight="1" x14ac:dyDescent="0.15">
      <c r="A257" s="38"/>
      <c r="B257" s="210"/>
      <c r="C257" s="210"/>
      <c r="D257" s="210"/>
      <c r="E257" s="210"/>
      <c r="F257" s="210"/>
      <c r="G257" s="210"/>
      <c r="H257" s="210"/>
      <c r="I257" s="210"/>
      <c r="J257" s="210"/>
      <c r="K257" s="210"/>
      <c r="L257" s="210"/>
      <c r="M257" s="210"/>
      <c r="N257" s="210"/>
      <c r="O257" s="210"/>
      <c r="P257" s="210"/>
      <c r="Q257" s="210"/>
      <c r="R257" s="210"/>
      <c r="S257" s="38"/>
      <c r="T257" s="38"/>
      <c r="U257" s="38"/>
      <c r="V257" s="38"/>
      <c r="W257" s="38"/>
      <c r="X257" s="38"/>
      <c r="Y257" s="38"/>
      <c r="Z257" s="38"/>
    </row>
    <row r="258" spans="1:26" ht="14.25" customHeight="1" x14ac:dyDescent="0.15">
      <c r="A258" s="38"/>
      <c r="B258" s="210"/>
      <c r="C258" s="210"/>
      <c r="D258" s="210"/>
      <c r="E258" s="210"/>
      <c r="F258" s="210"/>
      <c r="G258" s="210"/>
      <c r="H258" s="210"/>
      <c r="I258" s="210"/>
      <c r="J258" s="210"/>
      <c r="K258" s="210"/>
      <c r="L258" s="210"/>
      <c r="M258" s="210"/>
      <c r="N258" s="210"/>
      <c r="O258" s="210"/>
      <c r="P258" s="210"/>
      <c r="Q258" s="210"/>
      <c r="R258" s="210"/>
      <c r="S258" s="38"/>
      <c r="T258" s="38"/>
      <c r="U258" s="38"/>
      <c r="V258" s="38"/>
      <c r="W258" s="38"/>
      <c r="X258" s="38"/>
      <c r="Y258" s="38"/>
      <c r="Z258" s="38"/>
    </row>
    <row r="259" spans="1:26" ht="14.25" customHeight="1" x14ac:dyDescent="0.15">
      <c r="A259" s="38"/>
      <c r="B259" s="210"/>
      <c r="C259" s="210"/>
      <c r="D259" s="210"/>
      <c r="E259" s="210"/>
      <c r="F259" s="210"/>
      <c r="G259" s="210"/>
      <c r="H259" s="210"/>
      <c r="I259" s="210"/>
      <c r="J259" s="210"/>
      <c r="K259" s="210"/>
      <c r="L259" s="210"/>
      <c r="M259" s="210"/>
      <c r="N259" s="210"/>
      <c r="O259" s="210"/>
      <c r="P259" s="210"/>
      <c r="Q259" s="210"/>
      <c r="R259" s="210"/>
      <c r="S259" s="38"/>
      <c r="T259" s="38"/>
      <c r="U259" s="38"/>
      <c r="V259" s="38"/>
      <c r="W259" s="38"/>
      <c r="X259" s="38"/>
      <c r="Y259" s="38"/>
      <c r="Z259" s="38"/>
    </row>
    <row r="260" spans="1:26" ht="14.25" customHeight="1" x14ac:dyDescent="0.15">
      <c r="A260" s="38"/>
      <c r="B260" s="210"/>
      <c r="C260" s="210"/>
      <c r="D260" s="210"/>
      <c r="E260" s="210"/>
      <c r="F260" s="210"/>
      <c r="G260" s="210"/>
      <c r="H260" s="210"/>
      <c r="I260" s="210"/>
      <c r="J260" s="210"/>
      <c r="K260" s="210"/>
      <c r="L260" s="210"/>
      <c r="M260" s="210"/>
      <c r="N260" s="210"/>
      <c r="O260" s="210"/>
      <c r="P260" s="210"/>
      <c r="Q260" s="210"/>
      <c r="R260" s="210"/>
      <c r="S260" s="38"/>
      <c r="T260" s="38"/>
      <c r="U260" s="38"/>
      <c r="V260" s="38"/>
      <c r="W260" s="38"/>
      <c r="X260" s="38"/>
      <c r="Y260" s="38"/>
      <c r="Z260" s="38"/>
    </row>
    <row r="261" spans="1:26" ht="14.25" customHeight="1" x14ac:dyDescent="0.15">
      <c r="A261" s="38"/>
      <c r="B261" s="210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0"/>
      <c r="O261" s="210"/>
      <c r="P261" s="210"/>
      <c r="Q261" s="210"/>
      <c r="R261" s="210"/>
      <c r="S261" s="38"/>
      <c r="T261" s="38"/>
      <c r="U261" s="38"/>
      <c r="V261" s="38"/>
      <c r="W261" s="38"/>
      <c r="X261" s="38"/>
      <c r="Y261" s="38"/>
      <c r="Z261" s="38"/>
    </row>
    <row r="262" spans="1:26" ht="14.25" customHeight="1" x14ac:dyDescent="0.15">
      <c r="A262" s="38"/>
      <c r="B262" s="210"/>
      <c r="C262" s="210"/>
      <c r="D262" s="210"/>
      <c r="E262" s="210"/>
      <c r="F262" s="210"/>
      <c r="G262" s="210"/>
      <c r="H262" s="210"/>
      <c r="I262" s="210"/>
      <c r="J262" s="210"/>
      <c r="K262" s="210"/>
      <c r="L262" s="210"/>
      <c r="M262" s="210"/>
      <c r="N262" s="210"/>
      <c r="O262" s="210"/>
      <c r="P262" s="210"/>
      <c r="Q262" s="210"/>
      <c r="R262" s="210"/>
      <c r="S262" s="38"/>
      <c r="T262" s="38"/>
      <c r="U262" s="38"/>
      <c r="V262" s="38"/>
      <c r="W262" s="38"/>
      <c r="X262" s="38"/>
      <c r="Y262" s="38"/>
      <c r="Z262" s="38"/>
    </row>
    <row r="263" spans="1:26" ht="14.25" customHeight="1" x14ac:dyDescent="0.15">
      <c r="A263" s="38"/>
      <c r="B263" s="210"/>
      <c r="C263" s="210"/>
      <c r="D263" s="210"/>
      <c r="E263" s="210"/>
      <c r="F263" s="210"/>
      <c r="G263" s="210"/>
      <c r="H263" s="210"/>
      <c r="I263" s="210"/>
      <c r="J263" s="210"/>
      <c r="K263" s="210"/>
      <c r="L263" s="210"/>
      <c r="M263" s="210"/>
      <c r="N263" s="210"/>
      <c r="O263" s="210"/>
      <c r="P263" s="210"/>
      <c r="Q263" s="210"/>
      <c r="R263" s="210"/>
      <c r="S263" s="38"/>
      <c r="T263" s="38"/>
      <c r="U263" s="38"/>
      <c r="V263" s="38"/>
      <c r="W263" s="38"/>
      <c r="X263" s="38"/>
      <c r="Y263" s="38"/>
      <c r="Z263" s="38"/>
    </row>
    <row r="264" spans="1:26" ht="14.25" customHeight="1" x14ac:dyDescent="0.15">
      <c r="A264" s="38"/>
      <c r="B264" s="210"/>
      <c r="C264" s="210"/>
      <c r="D264" s="210"/>
      <c r="E264" s="210"/>
      <c r="F264" s="210"/>
      <c r="G264" s="210"/>
      <c r="H264" s="210"/>
      <c r="I264" s="210"/>
      <c r="J264" s="210"/>
      <c r="K264" s="210"/>
      <c r="L264" s="210"/>
      <c r="M264" s="210"/>
      <c r="N264" s="210"/>
      <c r="O264" s="210"/>
      <c r="P264" s="210"/>
      <c r="Q264" s="210"/>
      <c r="R264" s="210"/>
      <c r="S264" s="38"/>
      <c r="T264" s="38"/>
      <c r="U264" s="38"/>
      <c r="V264" s="38"/>
      <c r="W264" s="38"/>
      <c r="X264" s="38"/>
      <c r="Y264" s="38"/>
      <c r="Z264" s="38"/>
    </row>
    <row r="265" spans="1:26" ht="14.25" customHeight="1" x14ac:dyDescent="0.15">
      <c r="A265" s="38"/>
      <c r="B265" s="210"/>
      <c r="C265" s="210"/>
      <c r="D265" s="210"/>
      <c r="E265" s="210"/>
      <c r="F265" s="210"/>
      <c r="G265" s="210"/>
      <c r="H265" s="210"/>
      <c r="I265" s="210"/>
      <c r="J265" s="210"/>
      <c r="K265" s="210"/>
      <c r="L265" s="210"/>
      <c r="M265" s="210"/>
      <c r="N265" s="210"/>
      <c r="O265" s="210"/>
      <c r="P265" s="210"/>
      <c r="Q265" s="210"/>
      <c r="R265" s="210"/>
      <c r="S265" s="38"/>
      <c r="T265" s="38"/>
      <c r="U265" s="38"/>
      <c r="V265" s="38"/>
      <c r="W265" s="38"/>
      <c r="X265" s="38"/>
      <c r="Y265" s="38"/>
      <c r="Z265" s="38"/>
    </row>
    <row r="266" spans="1:26" ht="14.25" customHeight="1" x14ac:dyDescent="0.15">
      <c r="A266" s="38"/>
      <c r="B266" s="210"/>
      <c r="C266" s="210"/>
      <c r="D266" s="210"/>
      <c r="E266" s="210"/>
      <c r="F266" s="210"/>
      <c r="G266" s="210"/>
      <c r="H266" s="210"/>
      <c r="I266" s="210"/>
      <c r="J266" s="210"/>
      <c r="K266" s="210"/>
      <c r="L266" s="210"/>
      <c r="M266" s="210"/>
      <c r="N266" s="210"/>
      <c r="O266" s="210"/>
      <c r="P266" s="210"/>
      <c r="Q266" s="210"/>
      <c r="R266" s="210"/>
      <c r="S266" s="38"/>
      <c r="T266" s="38"/>
      <c r="U266" s="38"/>
      <c r="V266" s="38"/>
      <c r="W266" s="38"/>
      <c r="X266" s="38"/>
      <c r="Y266" s="38"/>
      <c r="Z266" s="38"/>
    </row>
    <row r="267" spans="1:26" ht="14.25" customHeight="1" x14ac:dyDescent="0.15">
      <c r="A267" s="38"/>
      <c r="B267" s="210"/>
      <c r="C267" s="210"/>
      <c r="D267" s="210"/>
      <c r="E267" s="210"/>
      <c r="F267" s="210"/>
      <c r="G267" s="210"/>
      <c r="H267" s="210"/>
      <c r="I267" s="210"/>
      <c r="J267" s="210"/>
      <c r="K267" s="210"/>
      <c r="L267" s="210"/>
      <c r="M267" s="210"/>
      <c r="N267" s="210"/>
      <c r="O267" s="210"/>
      <c r="P267" s="210"/>
      <c r="Q267" s="210"/>
      <c r="R267" s="210"/>
      <c r="S267" s="38"/>
      <c r="T267" s="38"/>
      <c r="U267" s="38"/>
      <c r="V267" s="38"/>
      <c r="W267" s="38"/>
      <c r="X267" s="38"/>
      <c r="Y267" s="38"/>
      <c r="Z267" s="38"/>
    </row>
    <row r="268" spans="1:26" ht="14.25" customHeight="1" x14ac:dyDescent="0.15">
      <c r="A268" s="38"/>
      <c r="B268" s="210"/>
      <c r="C268" s="210"/>
      <c r="D268" s="210"/>
      <c r="E268" s="210"/>
      <c r="F268" s="210"/>
      <c r="G268" s="210"/>
      <c r="H268" s="210"/>
      <c r="I268" s="210"/>
      <c r="J268" s="210"/>
      <c r="K268" s="210"/>
      <c r="L268" s="210"/>
      <c r="M268" s="210"/>
      <c r="N268" s="210"/>
      <c r="O268" s="210"/>
      <c r="P268" s="210"/>
      <c r="Q268" s="210"/>
      <c r="R268" s="210"/>
      <c r="S268" s="38"/>
      <c r="T268" s="38"/>
      <c r="U268" s="38"/>
      <c r="V268" s="38"/>
      <c r="W268" s="38"/>
      <c r="X268" s="38"/>
      <c r="Y268" s="38"/>
      <c r="Z268" s="38"/>
    </row>
    <row r="269" spans="1:26" ht="14.25" customHeight="1" x14ac:dyDescent="0.15">
      <c r="A269" s="38"/>
      <c r="B269" s="210"/>
      <c r="C269" s="210"/>
      <c r="D269" s="210"/>
      <c r="E269" s="210"/>
      <c r="F269" s="210"/>
      <c r="G269" s="210"/>
      <c r="H269" s="210"/>
      <c r="I269" s="210"/>
      <c r="J269" s="210"/>
      <c r="K269" s="210"/>
      <c r="L269" s="210"/>
      <c r="M269" s="210"/>
      <c r="N269" s="210"/>
      <c r="O269" s="210"/>
      <c r="P269" s="210"/>
      <c r="Q269" s="210"/>
      <c r="R269" s="210"/>
      <c r="S269" s="38"/>
      <c r="T269" s="38"/>
      <c r="U269" s="38"/>
      <c r="V269" s="38"/>
      <c r="W269" s="38"/>
      <c r="X269" s="38"/>
      <c r="Y269" s="38"/>
      <c r="Z269" s="38"/>
    </row>
    <row r="270" spans="1:26" ht="14.25" customHeight="1" x14ac:dyDescent="0.15">
      <c r="A270" s="38"/>
      <c r="B270" s="210"/>
      <c r="C270" s="210"/>
      <c r="D270" s="210"/>
      <c r="E270" s="210"/>
      <c r="F270" s="210"/>
      <c r="G270" s="210"/>
      <c r="H270" s="210"/>
      <c r="I270" s="210"/>
      <c r="J270" s="210"/>
      <c r="K270" s="210"/>
      <c r="L270" s="210"/>
      <c r="M270" s="210"/>
      <c r="N270" s="210"/>
      <c r="O270" s="210"/>
      <c r="P270" s="210"/>
      <c r="Q270" s="210"/>
      <c r="R270" s="210"/>
      <c r="S270" s="38"/>
      <c r="T270" s="38"/>
      <c r="U270" s="38"/>
      <c r="V270" s="38"/>
      <c r="W270" s="38"/>
      <c r="X270" s="38"/>
      <c r="Y270" s="38"/>
      <c r="Z270" s="38"/>
    </row>
    <row r="271" spans="1:26" ht="14.25" customHeight="1" x14ac:dyDescent="0.15">
      <c r="A271" s="38"/>
      <c r="B271" s="210"/>
      <c r="C271" s="210"/>
      <c r="D271" s="210"/>
      <c r="E271" s="210"/>
      <c r="F271" s="210"/>
      <c r="G271" s="210"/>
      <c r="H271" s="210"/>
      <c r="I271" s="210"/>
      <c r="J271" s="210"/>
      <c r="K271" s="210"/>
      <c r="L271" s="210"/>
      <c r="M271" s="210"/>
      <c r="N271" s="210"/>
      <c r="O271" s="210"/>
      <c r="P271" s="210"/>
      <c r="Q271" s="210"/>
      <c r="R271" s="210"/>
      <c r="S271" s="38"/>
      <c r="T271" s="38"/>
      <c r="U271" s="38"/>
      <c r="V271" s="38"/>
      <c r="W271" s="38"/>
      <c r="X271" s="38"/>
      <c r="Y271" s="38"/>
      <c r="Z271" s="38"/>
    </row>
    <row r="272" spans="1:26" ht="14.25" customHeight="1" x14ac:dyDescent="0.15">
      <c r="A272" s="38"/>
      <c r="B272" s="210"/>
      <c r="C272" s="210"/>
      <c r="D272" s="210"/>
      <c r="E272" s="210"/>
      <c r="F272" s="210"/>
      <c r="G272" s="210"/>
      <c r="H272" s="210"/>
      <c r="I272" s="210"/>
      <c r="J272" s="210"/>
      <c r="K272" s="210"/>
      <c r="L272" s="210"/>
      <c r="M272" s="210"/>
      <c r="N272" s="210"/>
      <c r="O272" s="210"/>
      <c r="P272" s="210"/>
      <c r="Q272" s="210"/>
      <c r="R272" s="210"/>
      <c r="S272" s="38"/>
      <c r="T272" s="38"/>
      <c r="U272" s="38"/>
      <c r="V272" s="38"/>
      <c r="W272" s="38"/>
      <c r="X272" s="38"/>
      <c r="Y272" s="38"/>
      <c r="Z272" s="38"/>
    </row>
    <row r="273" spans="1:26" ht="14.25" customHeight="1" x14ac:dyDescent="0.15">
      <c r="A273" s="38"/>
      <c r="B273" s="210"/>
      <c r="C273" s="210"/>
      <c r="D273" s="210"/>
      <c r="E273" s="210"/>
      <c r="F273" s="210"/>
      <c r="G273" s="210"/>
      <c r="H273" s="210"/>
      <c r="I273" s="210"/>
      <c r="J273" s="210"/>
      <c r="K273" s="210"/>
      <c r="L273" s="210"/>
      <c r="M273" s="210"/>
      <c r="N273" s="210"/>
      <c r="O273" s="210"/>
      <c r="P273" s="210"/>
      <c r="Q273" s="210"/>
      <c r="R273" s="210"/>
      <c r="S273" s="38"/>
      <c r="T273" s="38"/>
      <c r="U273" s="38"/>
      <c r="V273" s="38"/>
      <c r="W273" s="38"/>
      <c r="X273" s="38"/>
      <c r="Y273" s="38"/>
      <c r="Z273" s="38"/>
    </row>
    <row r="274" spans="1:26" ht="14.25" customHeight="1" x14ac:dyDescent="0.15">
      <c r="A274" s="38"/>
      <c r="B274" s="210"/>
      <c r="C274" s="210"/>
      <c r="D274" s="210"/>
      <c r="E274" s="210"/>
      <c r="F274" s="210"/>
      <c r="G274" s="210"/>
      <c r="H274" s="210"/>
      <c r="I274" s="210"/>
      <c r="J274" s="210"/>
      <c r="K274" s="210"/>
      <c r="L274" s="210"/>
      <c r="M274" s="210"/>
      <c r="N274" s="210"/>
      <c r="O274" s="210"/>
      <c r="P274" s="210"/>
      <c r="Q274" s="210"/>
      <c r="R274" s="210"/>
      <c r="S274" s="38"/>
      <c r="T274" s="38"/>
      <c r="U274" s="38"/>
      <c r="V274" s="38"/>
      <c r="W274" s="38"/>
      <c r="X274" s="38"/>
      <c r="Y274" s="38"/>
      <c r="Z274" s="38"/>
    </row>
    <row r="275" spans="1:26" ht="14.25" customHeight="1" x14ac:dyDescent="0.15">
      <c r="A275" s="38"/>
      <c r="B275" s="210"/>
      <c r="C275" s="210"/>
      <c r="D275" s="210"/>
      <c r="E275" s="210"/>
      <c r="F275" s="210"/>
      <c r="G275" s="210"/>
      <c r="H275" s="210"/>
      <c r="I275" s="210"/>
      <c r="J275" s="210"/>
      <c r="K275" s="210"/>
      <c r="L275" s="210"/>
      <c r="M275" s="210"/>
      <c r="N275" s="210"/>
      <c r="O275" s="210"/>
      <c r="P275" s="210"/>
      <c r="Q275" s="210"/>
      <c r="R275" s="210"/>
      <c r="S275" s="38"/>
      <c r="T275" s="38"/>
      <c r="U275" s="38"/>
      <c r="V275" s="38"/>
      <c r="W275" s="38"/>
      <c r="X275" s="38"/>
      <c r="Y275" s="38"/>
      <c r="Z275" s="38"/>
    </row>
    <row r="276" spans="1:26" ht="14.25" customHeight="1" x14ac:dyDescent="0.15">
      <c r="A276" s="38"/>
      <c r="B276" s="210"/>
      <c r="C276" s="210"/>
      <c r="D276" s="210"/>
      <c r="E276" s="210"/>
      <c r="F276" s="210"/>
      <c r="G276" s="210"/>
      <c r="H276" s="210"/>
      <c r="I276" s="210"/>
      <c r="J276" s="210"/>
      <c r="K276" s="210"/>
      <c r="L276" s="210"/>
      <c r="M276" s="210"/>
      <c r="N276" s="210"/>
      <c r="O276" s="210"/>
      <c r="P276" s="210"/>
      <c r="Q276" s="210"/>
      <c r="R276" s="210"/>
      <c r="S276" s="38"/>
      <c r="T276" s="38"/>
      <c r="U276" s="38"/>
      <c r="V276" s="38"/>
      <c r="W276" s="38"/>
      <c r="X276" s="38"/>
      <c r="Y276" s="38"/>
      <c r="Z276" s="38"/>
    </row>
    <row r="277" spans="1:26" ht="14.25" customHeight="1" x14ac:dyDescent="0.15">
      <c r="A277" s="38"/>
      <c r="B277" s="210"/>
      <c r="C277" s="210"/>
      <c r="D277" s="210"/>
      <c r="E277" s="210"/>
      <c r="F277" s="210"/>
      <c r="G277" s="210"/>
      <c r="H277" s="210"/>
      <c r="I277" s="210"/>
      <c r="J277" s="210"/>
      <c r="K277" s="210"/>
      <c r="L277" s="210"/>
      <c r="M277" s="210"/>
      <c r="N277" s="210"/>
      <c r="O277" s="210"/>
      <c r="P277" s="210"/>
      <c r="Q277" s="210"/>
      <c r="R277" s="210"/>
      <c r="S277" s="38"/>
      <c r="T277" s="38"/>
      <c r="U277" s="38"/>
      <c r="V277" s="38"/>
      <c r="W277" s="38"/>
      <c r="X277" s="38"/>
      <c r="Y277" s="38"/>
      <c r="Z277" s="38"/>
    </row>
    <row r="278" spans="1:26" ht="14.25" customHeight="1" x14ac:dyDescent="0.15">
      <c r="A278" s="38"/>
      <c r="B278" s="210"/>
      <c r="C278" s="210"/>
      <c r="D278" s="210"/>
      <c r="E278" s="210"/>
      <c r="F278" s="210"/>
      <c r="G278" s="210"/>
      <c r="H278" s="210"/>
      <c r="I278" s="210"/>
      <c r="J278" s="210"/>
      <c r="K278" s="210"/>
      <c r="L278" s="210"/>
      <c r="M278" s="210"/>
      <c r="N278" s="210"/>
      <c r="O278" s="210"/>
      <c r="P278" s="210"/>
      <c r="Q278" s="210"/>
      <c r="R278" s="210"/>
      <c r="S278" s="38"/>
      <c r="T278" s="38"/>
      <c r="U278" s="38"/>
      <c r="V278" s="38"/>
      <c r="W278" s="38"/>
      <c r="X278" s="38"/>
      <c r="Y278" s="38"/>
      <c r="Z278" s="38"/>
    </row>
    <row r="279" spans="1:26" ht="14.25" customHeight="1" x14ac:dyDescent="0.15">
      <c r="A279" s="38"/>
      <c r="B279" s="210"/>
      <c r="C279" s="210"/>
      <c r="D279" s="210"/>
      <c r="E279" s="210"/>
      <c r="F279" s="210"/>
      <c r="G279" s="210"/>
      <c r="H279" s="210"/>
      <c r="I279" s="210"/>
      <c r="J279" s="210"/>
      <c r="K279" s="210"/>
      <c r="L279" s="210"/>
      <c r="M279" s="210"/>
      <c r="N279" s="210"/>
      <c r="O279" s="210"/>
      <c r="P279" s="210"/>
      <c r="Q279" s="210"/>
      <c r="R279" s="210"/>
      <c r="S279" s="38"/>
      <c r="T279" s="38"/>
      <c r="U279" s="38"/>
      <c r="V279" s="38"/>
      <c r="W279" s="38"/>
      <c r="X279" s="38"/>
      <c r="Y279" s="38"/>
      <c r="Z279" s="38"/>
    </row>
    <row r="280" spans="1:26" ht="14.25" customHeight="1" x14ac:dyDescent="0.15">
      <c r="A280" s="38"/>
      <c r="B280" s="210"/>
      <c r="C280" s="210"/>
      <c r="D280" s="210"/>
      <c r="E280" s="210"/>
      <c r="F280" s="210"/>
      <c r="G280" s="210"/>
      <c r="H280" s="210"/>
      <c r="I280" s="210"/>
      <c r="J280" s="210"/>
      <c r="K280" s="210"/>
      <c r="L280" s="210"/>
      <c r="M280" s="210"/>
      <c r="N280" s="210"/>
      <c r="O280" s="210"/>
      <c r="P280" s="210"/>
      <c r="Q280" s="210"/>
      <c r="R280" s="210"/>
      <c r="S280" s="38"/>
      <c r="T280" s="38"/>
      <c r="U280" s="38"/>
      <c r="V280" s="38"/>
      <c r="W280" s="38"/>
      <c r="X280" s="38"/>
      <c r="Y280" s="38"/>
      <c r="Z280" s="38"/>
    </row>
    <row r="281" spans="1:26" ht="14.25" customHeight="1" x14ac:dyDescent="0.15">
      <c r="A281" s="38"/>
      <c r="B281" s="210"/>
      <c r="C281" s="210"/>
      <c r="D281" s="210"/>
      <c r="E281" s="210"/>
      <c r="F281" s="210"/>
      <c r="G281" s="210"/>
      <c r="H281" s="210"/>
      <c r="I281" s="210"/>
      <c r="J281" s="210"/>
      <c r="K281" s="210"/>
      <c r="L281" s="210"/>
      <c r="M281" s="210"/>
      <c r="N281" s="210"/>
      <c r="O281" s="210"/>
      <c r="P281" s="210"/>
      <c r="Q281" s="210"/>
      <c r="R281" s="210"/>
      <c r="S281" s="38"/>
      <c r="T281" s="38"/>
      <c r="U281" s="38"/>
      <c r="V281" s="38"/>
      <c r="W281" s="38"/>
      <c r="X281" s="38"/>
      <c r="Y281" s="38"/>
      <c r="Z281" s="38"/>
    </row>
    <row r="282" spans="1:26" ht="14.25" customHeight="1" x14ac:dyDescent="0.15">
      <c r="A282" s="38"/>
      <c r="B282" s="210"/>
      <c r="C282" s="210"/>
      <c r="D282" s="210"/>
      <c r="E282" s="210"/>
      <c r="F282" s="210"/>
      <c r="G282" s="210"/>
      <c r="H282" s="210"/>
      <c r="I282" s="210"/>
      <c r="J282" s="210"/>
      <c r="K282" s="210"/>
      <c r="L282" s="210"/>
      <c r="M282" s="210"/>
      <c r="N282" s="210"/>
      <c r="O282" s="210"/>
      <c r="P282" s="210"/>
      <c r="Q282" s="210"/>
      <c r="R282" s="210"/>
      <c r="S282" s="38"/>
      <c r="T282" s="38"/>
      <c r="U282" s="38"/>
      <c r="V282" s="38"/>
      <c r="W282" s="38"/>
      <c r="X282" s="38"/>
      <c r="Y282" s="38"/>
      <c r="Z282" s="38"/>
    </row>
    <row r="283" spans="1:26" ht="14.25" customHeight="1" x14ac:dyDescent="0.15">
      <c r="A283" s="38"/>
      <c r="B283" s="210"/>
      <c r="C283" s="210"/>
      <c r="D283" s="210"/>
      <c r="E283" s="210"/>
      <c r="F283" s="210"/>
      <c r="G283" s="210"/>
      <c r="H283" s="210"/>
      <c r="I283" s="210"/>
      <c r="J283" s="210"/>
      <c r="K283" s="210"/>
      <c r="L283" s="210"/>
      <c r="M283" s="210"/>
      <c r="N283" s="210"/>
      <c r="O283" s="210"/>
      <c r="P283" s="210"/>
      <c r="Q283" s="210"/>
      <c r="R283" s="210"/>
      <c r="S283" s="38"/>
      <c r="T283" s="38"/>
      <c r="U283" s="38"/>
      <c r="V283" s="38"/>
      <c r="W283" s="38"/>
      <c r="X283" s="38"/>
      <c r="Y283" s="38"/>
      <c r="Z283" s="38"/>
    </row>
    <row r="284" spans="1:26" ht="14.25" customHeight="1" x14ac:dyDescent="0.15">
      <c r="A284" s="38"/>
      <c r="B284" s="210"/>
      <c r="C284" s="210"/>
      <c r="D284" s="210"/>
      <c r="E284" s="210"/>
      <c r="F284" s="210"/>
      <c r="G284" s="210"/>
      <c r="H284" s="210"/>
      <c r="I284" s="210"/>
      <c r="J284" s="210"/>
      <c r="K284" s="210"/>
      <c r="L284" s="210"/>
      <c r="M284" s="210"/>
      <c r="N284" s="210"/>
      <c r="O284" s="210"/>
      <c r="P284" s="210"/>
      <c r="Q284" s="210"/>
      <c r="R284" s="210"/>
      <c r="S284" s="38"/>
      <c r="T284" s="38"/>
      <c r="U284" s="38"/>
      <c r="V284" s="38"/>
      <c r="W284" s="38"/>
      <c r="X284" s="38"/>
      <c r="Y284" s="38"/>
      <c r="Z284" s="38"/>
    </row>
    <row r="285" spans="1:26" ht="14.25" customHeight="1" x14ac:dyDescent="0.15">
      <c r="A285" s="38"/>
      <c r="B285" s="210"/>
      <c r="C285" s="210"/>
      <c r="D285" s="210"/>
      <c r="E285" s="210"/>
      <c r="F285" s="210"/>
      <c r="G285" s="210"/>
      <c r="H285" s="210"/>
      <c r="I285" s="210"/>
      <c r="J285" s="210"/>
      <c r="K285" s="210"/>
      <c r="L285" s="210"/>
      <c r="M285" s="210"/>
      <c r="N285" s="210"/>
      <c r="O285" s="210"/>
      <c r="P285" s="210"/>
      <c r="Q285" s="210"/>
      <c r="R285" s="210"/>
      <c r="S285" s="38"/>
      <c r="T285" s="38"/>
      <c r="U285" s="38"/>
      <c r="V285" s="38"/>
      <c r="W285" s="38"/>
      <c r="X285" s="38"/>
      <c r="Y285" s="38"/>
      <c r="Z285" s="38"/>
    </row>
    <row r="286" spans="1:26" ht="14.25" customHeight="1" x14ac:dyDescent="0.15">
      <c r="A286" s="38"/>
      <c r="B286" s="210"/>
      <c r="C286" s="210"/>
      <c r="D286" s="210"/>
      <c r="E286" s="210"/>
      <c r="F286" s="210"/>
      <c r="G286" s="210"/>
      <c r="H286" s="210"/>
      <c r="I286" s="210"/>
      <c r="J286" s="210"/>
      <c r="K286" s="210"/>
      <c r="L286" s="210"/>
      <c r="M286" s="210"/>
      <c r="N286" s="210"/>
      <c r="O286" s="210"/>
      <c r="P286" s="210"/>
      <c r="Q286" s="210"/>
      <c r="R286" s="210"/>
      <c r="S286" s="38"/>
      <c r="T286" s="38"/>
      <c r="U286" s="38"/>
      <c r="V286" s="38"/>
      <c r="W286" s="38"/>
      <c r="X286" s="38"/>
      <c r="Y286" s="38"/>
      <c r="Z286" s="38"/>
    </row>
    <row r="287" spans="1:26" ht="14.25" customHeight="1" x14ac:dyDescent="0.15">
      <c r="A287" s="38"/>
      <c r="B287" s="210"/>
      <c r="C287" s="210"/>
      <c r="D287" s="210"/>
      <c r="E287" s="210"/>
      <c r="F287" s="210"/>
      <c r="G287" s="210"/>
      <c r="H287" s="210"/>
      <c r="I287" s="210"/>
      <c r="J287" s="210"/>
      <c r="K287" s="210"/>
      <c r="L287" s="210"/>
      <c r="M287" s="210"/>
      <c r="N287" s="210"/>
      <c r="O287" s="210"/>
      <c r="P287" s="210"/>
      <c r="Q287" s="210"/>
      <c r="R287" s="210"/>
      <c r="S287" s="38"/>
      <c r="T287" s="38"/>
      <c r="U287" s="38"/>
      <c r="V287" s="38"/>
      <c r="W287" s="38"/>
      <c r="X287" s="38"/>
      <c r="Y287" s="38"/>
      <c r="Z287" s="38"/>
    </row>
    <row r="288" spans="1:26" ht="14.25" customHeight="1" x14ac:dyDescent="0.15">
      <c r="A288" s="38"/>
      <c r="B288" s="210"/>
      <c r="C288" s="210"/>
      <c r="D288" s="210"/>
      <c r="E288" s="210"/>
      <c r="F288" s="210"/>
      <c r="G288" s="210"/>
      <c r="H288" s="210"/>
      <c r="I288" s="210"/>
      <c r="J288" s="210"/>
      <c r="K288" s="210"/>
      <c r="L288" s="210"/>
      <c r="M288" s="210"/>
      <c r="N288" s="210"/>
      <c r="O288" s="210"/>
      <c r="P288" s="210"/>
      <c r="Q288" s="210"/>
      <c r="R288" s="210"/>
      <c r="S288" s="38"/>
      <c r="T288" s="38"/>
      <c r="U288" s="38"/>
      <c r="V288" s="38"/>
      <c r="W288" s="38"/>
      <c r="X288" s="38"/>
      <c r="Y288" s="38"/>
      <c r="Z288" s="38"/>
    </row>
    <row r="289" spans="1:26" ht="14.25" customHeight="1" x14ac:dyDescent="0.15">
      <c r="A289" s="38"/>
      <c r="B289" s="210"/>
      <c r="C289" s="210"/>
      <c r="D289" s="210"/>
      <c r="E289" s="210"/>
      <c r="F289" s="210"/>
      <c r="G289" s="210"/>
      <c r="H289" s="210"/>
      <c r="I289" s="210"/>
      <c r="J289" s="210"/>
      <c r="K289" s="210"/>
      <c r="L289" s="210"/>
      <c r="M289" s="210"/>
      <c r="N289" s="210"/>
      <c r="O289" s="210"/>
      <c r="P289" s="210"/>
      <c r="Q289" s="210"/>
      <c r="R289" s="210"/>
      <c r="S289" s="38"/>
      <c r="T289" s="38"/>
      <c r="U289" s="38"/>
      <c r="V289" s="38"/>
      <c r="W289" s="38"/>
      <c r="X289" s="38"/>
      <c r="Y289" s="38"/>
      <c r="Z289" s="38"/>
    </row>
    <row r="290" spans="1:26" ht="14.25" customHeight="1" x14ac:dyDescent="0.15">
      <c r="A290" s="38"/>
      <c r="B290" s="210"/>
      <c r="C290" s="210"/>
      <c r="D290" s="210"/>
      <c r="E290" s="210"/>
      <c r="F290" s="210"/>
      <c r="G290" s="210"/>
      <c r="H290" s="210"/>
      <c r="I290" s="210"/>
      <c r="J290" s="210"/>
      <c r="K290" s="210"/>
      <c r="L290" s="210"/>
      <c r="M290" s="210"/>
      <c r="N290" s="210"/>
      <c r="O290" s="210"/>
      <c r="P290" s="210"/>
      <c r="Q290" s="210"/>
      <c r="R290" s="210"/>
      <c r="S290" s="38"/>
      <c r="T290" s="38"/>
      <c r="U290" s="38"/>
      <c r="V290" s="38"/>
      <c r="W290" s="38"/>
      <c r="X290" s="38"/>
      <c r="Y290" s="38"/>
      <c r="Z290" s="38"/>
    </row>
    <row r="291" spans="1:26" ht="14.25" customHeight="1" x14ac:dyDescent="0.15">
      <c r="A291" s="38"/>
      <c r="B291" s="210"/>
      <c r="C291" s="210"/>
      <c r="D291" s="210"/>
      <c r="E291" s="210"/>
      <c r="F291" s="210"/>
      <c r="G291" s="210"/>
      <c r="H291" s="210"/>
      <c r="I291" s="210"/>
      <c r="J291" s="210"/>
      <c r="K291" s="210"/>
      <c r="L291" s="210"/>
      <c r="M291" s="210"/>
      <c r="N291" s="210"/>
      <c r="O291" s="210"/>
      <c r="P291" s="210"/>
      <c r="Q291" s="210"/>
      <c r="R291" s="210"/>
      <c r="S291" s="38"/>
      <c r="T291" s="38"/>
      <c r="U291" s="38"/>
      <c r="V291" s="38"/>
      <c r="W291" s="38"/>
      <c r="X291" s="38"/>
      <c r="Y291" s="38"/>
      <c r="Z291" s="38"/>
    </row>
    <row r="292" spans="1:26" ht="14.25" customHeight="1" x14ac:dyDescent="0.15">
      <c r="A292" s="38"/>
      <c r="B292" s="210"/>
      <c r="C292" s="210"/>
      <c r="D292" s="210"/>
      <c r="E292" s="210"/>
      <c r="F292" s="210"/>
      <c r="G292" s="210"/>
      <c r="H292" s="210"/>
      <c r="I292" s="210"/>
      <c r="J292" s="210"/>
      <c r="K292" s="210"/>
      <c r="L292" s="210"/>
      <c r="M292" s="210"/>
      <c r="N292" s="210"/>
      <c r="O292" s="210"/>
      <c r="P292" s="210"/>
      <c r="Q292" s="210"/>
      <c r="R292" s="210"/>
      <c r="S292" s="38"/>
      <c r="T292" s="38"/>
      <c r="U292" s="38"/>
      <c r="V292" s="38"/>
      <c r="W292" s="38"/>
      <c r="X292" s="38"/>
      <c r="Y292" s="38"/>
      <c r="Z292" s="38"/>
    </row>
    <row r="293" spans="1:26" ht="14.25" customHeight="1" x14ac:dyDescent="0.15">
      <c r="A293" s="38"/>
      <c r="B293" s="210"/>
      <c r="C293" s="210"/>
      <c r="D293" s="210"/>
      <c r="E293" s="210"/>
      <c r="F293" s="210"/>
      <c r="G293" s="210"/>
      <c r="H293" s="210"/>
      <c r="I293" s="210"/>
      <c r="J293" s="210"/>
      <c r="K293" s="210"/>
      <c r="L293" s="210"/>
      <c r="M293" s="210"/>
      <c r="N293" s="210"/>
      <c r="O293" s="210"/>
      <c r="P293" s="210"/>
      <c r="Q293" s="210"/>
      <c r="R293" s="210"/>
      <c r="S293" s="38"/>
      <c r="T293" s="38"/>
      <c r="U293" s="38"/>
      <c r="V293" s="38"/>
      <c r="W293" s="38"/>
      <c r="X293" s="38"/>
      <c r="Y293" s="38"/>
      <c r="Z293" s="38"/>
    </row>
    <row r="294" spans="1:26" ht="14.25" customHeight="1" x14ac:dyDescent="0.15">
      <c r="A294" s="38"/>
      <c r="B294" s="210"/>
      <c r="C294" s="210"/>
      <c r="D294" s="210"/>
      <c r="E294" s="210"/>
      <c r="F294" s="210"/>
      <c r="G294" s="210"/>
      <c r="H294" s="210"/>
      <c r="I294" s="210"/>
      <c r="J294" s="210"/>
      <c r="K294" s="210"/>
      <c r="L294" s="210"/>
      <c r="M294" s="210"/>
      <c r="N294" s="210"/>
      <c r="O294" s="210"/>
      <c r="P294" s="210"/>
      <c r="Q294" s="210"/>
      <c r="R294" s="210"/>
      <c r="S294" s="38"/>
      <c r="T294" s="38"/>
      <c r="U294" s="38"/>
      <c r="V294" s="38"/>
      <c r="W294" s="38"/>
      <c r="X294" s="38"/>
      <c r="Y294" s="38"/>
      <c r="Z294" s="38"/>
    </row>
    <row r="295" spans="1:26" ht="14.25" customHeight="1" x14ac:dyDescent="0.15">
      <c r="A295" s="38"/>
      <c r="B295" s="210"/>
      <c r="C295" s="210"/>
      <c r="D295" s="210"/>
      <c r="E295" s="210"/>
      <c r="F295" s="210"/>
      <c r="G295" s="210"/>
      <c r="H295" s="210"/>
      <c r="I295" s="210"/>
      <c r="J295" s="210"/>
      <c r="K295" s="210"/>
      <c r="L295" s="210"/>
      <c r="M295" s="210"/>
      <c r="N295" s="210"/>
      <c r="O295" s="210"/>
      <c r="P295" s="210"/>
      <c r="Q295" s="210"/>
      <c r="R295" s="210"/>
      <c r="S295" s="38"/>
      <c r="T295" s="38"/>
      <c r="U295" s="38"/>
      <c r="V295" s="38"/>
      <c r="W295" s="38"/>
      <c r="X295" s="38"/>
      <c r="Y295" s="38"/>
      <c r="Z295" s="38"/>
    </row>
    <row r="296" spans="1:26" ht="14.25" customHeight="1" x14ac:dyDescent="0.15">
      <c r="A296" s="38"/>
      <c r="B296" s="210"/>
      <c r="C296" s="210"/>
      <c r="D296" s="210"/>
      <c r="E296" s="210"/>
      <c r="F296" s="210"/>
      <c r="G296" s="210"/>
      <c r="H296" s="210"/>
      <c r="I296" s="210"/>
      <c r="J296" s="210"/>
      <c r="K296" s="210"/>
      <c r="L296" s="210"/>
      <c r="M296" s="210"/>
      <c r="N296" s="210"/>
      <c r="O296" s="210"/>
      <c r="P296" s="210"/>
      <c r="Q296" s="210"/>
      <c r="R296" s="210"/>
      <c r="S296" s="38"/>
      <c r="T296" s="38"/>
      <c r="U296" s="38"/>
      <c r="V296" s="38"/>
      <c r="W296" s="38"/>
      <c r="X296" s="38"/>
      <c r="Y296" s="38"/>
      <c r="Z296" s="38"/>
    </row>
    <row r="297" spans="1:26" ht="14.25" customHeight="1" x14ac:dyDescent="0.15">
      <c r="A297" s="38"/>
      <c r="B297" s="210"/>
      <c r="C297" s="210"/>
      <c r="D297" s="210"/>
      <c r="E297" s="210"/>
      <c r="F297" s="210"/>
      <c r="G297" s="210"/>
      <c r="H297" s="210"/>
      <c r="I297" s="210"/>
      <c r="J297" s="210"/>
      <c r="K297" s="210"/>
      <c r="L297" s="210"/>
      <c r="M297" s="210"/>
      <c r="N297" s="210"/>
      <c r="O297" s="210"/>
      <c r="P297" s="210"/>
      <c r="Q297" s="210"/>
      <c r="R297" s="210"/>
      <c r="S297" s="38"/>
      <c r="T297" s="38"/>
      <c r="U297" s="38"/>
      <c r="V297" s="38"/>
      <c r="W297" s="38"/>
      <c r="X297" s="38"/>
      <c r="Y297" s="38"/>
      <c r="Z297" s="38"/>
    </row>
    <row r="298" spans="1:26" ht="14.25" customHeight="1" x14ac:dyDescent="0.15">
      <c r="A298" s="38"/>
      <c r="B298" s="210"/>
      <c r="C298" s="210"/>
      <c r="D298" s="210"/>
      <c r="E298" s="210"/>
      <c r="F298" s="210"/>
      <c r="G298" s="210"/>
      <c r="H298" s="210"/>
      <c r="I298" s="210"/>
      <c r="J298" s="210"/>
      <c r="K298" s="210"/>
      <c r="L298" s="210"/>
      <c r="M298" s="210"/>
      <c r="N298" s="210"/>
      <c r="O298" s="210"/>
      <c r="P298" s="210"/>
      <c r="Q298" s="210"/>
      <c r="R298" s="210"/>
      <c r="S298" s="38"/>
      <c r="T298" s="38"/>
      <c r="U298" s="38"/>
      <c r="V298" s="38"/>
      <c r="W298" s="38"/>
      <c r="X298" s="38"/>
      <c r="Y298" s="38"/>
      <c r="Z298" s="38"/>
    </row>
    <row r="299" spans="1:26" ht="14.25" customHeight="1" x14ac:dyDescent="0.15">
      <c r="A299" s="38"/>
      <c r="B299" s="210"/>
      <c r="C299" s="210"/>
      <c r="D299" s="210"/>
      <c r="E299" s="210"/>
      <c r="F299" s="210"/>
      <c r="G299" s="210"/>
      <c r="H299" s="210"/>
      <c r="I299" s="210"/>
      <c r="J299" s="210"/>
      <c r="K299" s="210"/>
      <c r="L299" s="210"/>
      <c r="M299" s="210"/>
      <c r="N299" s="210"/>
      <c r="O299" s="210"/>
      <c r="P299" s="210"/>
      <c r="Q299" s="210"/>
      <c r="R299" s="210"/>
      <c r="S299" s="38"/>
      <c r="T299" s="38"/>
      <c r="U299" s="38"/>
      <c r="V299" s="38"/>
      <c r="W299" s="38"/>
      <c r="X299" s="38"/>
      <c r="Y299" s="38"/>
      <c r="Z299" s="38"/>
    </row>
    <row r="300" spans="1:26" ht="14.25" customHeight="1" x14ac:dyDescent="0.15">
      <c r="A300" s="38"/>
      <c r="B300" s="210"/>
      <c r="C300" s="210"/>
      <c r="D300" s="210"/>
      <c r="E300" s="210"/>
      <c r="F300" s="210"/>
      <c r="G300" s="210"/>
      <c r="H300" s="210"/>
      <c r="I300" s="210"/>
      <c r="J300" s="210"/>
      <c r="K300" s="210"/>
      <c r="L300" s="210"/>
      <c r="M300" s="210"/>
      <c r="N300" s="210"/>
      <c r="O300" s="210"/>
      <c r="P300" s="210"/>
      <c r="Q300" s="210"/>
      <c r="R300" s="210"/>
      <c r="S300" s="38"/>
      <c r="T300" s="38"/>
      <c r="U300" s="38"/>
      <c r="V300" s="38"/>
      <c r="W300" s="38"/>
      <c r="X300" s="38"/>
      <c r="Y300" s="38"/>
      <c r="Z300" s="38"/>
    </row>
    <row r="301" spans="1:26" ht="14.25" customHeight="1" x14ac:dyDescent="0.15">
      <c r="A301" s="38"/>
      <c r="B301" s="210"/>
      <c r="C301" s="210"/>
      <c r="D301" s="210"/>
      <c r="E301" s="210"/>
      <c r="F301" s="210"/>
      <c r="G301" s="210"/>
      <c r="H301" s="210"/>
      <c r="I301" s="210"/>
      <c r="J301" s="210"/>
      <c r="K301" s="210"/>
      <c r="L301" s="210"/>
      <c r="M301" s="210"/>
      <c r="N301" s="210"/>
      <c r="O301" s="210"/>
      <c r="P301" s="210"/>
      <c r="Q301" s="210"/>
      <c r="R301" s="210"/>
      <c r="S301" s="38"/>
      <c r="T301" s="38"/>
      <c r="U301" s="38"/>
      <c r="V301" s="38"/>
      <c r="W301" s="38"/>
      <c r="X301" s="38"/>
      <c r="Y301" s="38"/>
      <c r="Z301" s="38"/>
    </row>
    <row r="302" spans="1:26" ht="14.25" customHeight="1" x14ac:dyDescent="0.15">
      <c r="A302" s="38"/>
      <c r="B302" s="210"/>
      <c r="C302" s="210"/>
      <c r="D302" s="210"/>
      <c r="E302" s="210"/>
      <c r="F302" s="210"/>
      <c r="G302" s="210"/>
      <c r="H302" s="210"/>
      <c r="I302" s="210"/>
      <c r="J302" s="210"/>
      <c r="K302" s="210"/>
      <c r="L302" s="210"/>
      <c r="M302" s="210"/>
      <c r="N302" s="210"/>
      <c r="O302" s="210"/>
      <c r="P302" s="210"/>
      <c r="Q302" s="210"/>
      <c r="R302" s="210"/>
      <c r="S302" s="38"/>
      <c r="T302" s="38"/>
      <c r="U302" s="38"/>
      <c r="V302" s="38"/>
      <c r="W302" s="38"/>
      <c r="X302" s="38"/>
      <c r="Y302" s="38"/>
      <c r="Z302" s="38"/>
    </row>
    <row r="303" spans="1:26" ht="14.25" customHeight="1" x14ac:dyDescent="0.15">
      <c r="A303" s="38"/>
      <c r="B303" s="210"/>
      <c r="C303" s="210"/>
      <c r="D303" s="210"/>
      <c r="E303" s="210"/>
      <c r="F303" s="210"/>
      <c r="G303" s="210"/>
      <c r="H303" s="210"/>
      <c r="I303" s="210"/>
      <c r="J303" s="210"/>
      <c r="K303" s="210"/>
      <c r="L303" s="210"/>
      <c r="M303" s="210"/>
      <c r="N303" s="210"/>
      <c r="O303" s="210"/>
      <c r="P303" s="210"/>
      <c r="Q303" s="210"/>
      <c r="R303" s="210"/>
      <c r="S303" s="38"/>
      <c r="T303" s="38"/>
      <c r="U303" s="38"/>
      <c r="V303" s="38"/>
      <c r="W303" s="38"/>
      <c r="X303" s="38"/>
      <c r="Y303" s="38"/>
      <c r="Z303" s="38"/>
    </row>
    <row r="304" spans="1:26" ht="14.25" customHeight="1" x14ac:dyDescent="0.15">
      <c r="A304" s="38"/>
      <c r="B304" s="210"/>
      <c r="C304" s="210"/>
      <c r="D304" s="210"/>
      <c r="E304" s="210"/>
      <c r="F304" s="210"/>
      <c r="G304" s="210"/>
      <c r="H304" s="210"/>
      <c r="I304" s="210"/>
      <c r="J304" s="210"/>
      <c r="K304" s="210"/>
      <c r="L304" s="210"/>
      <c r="M304" s="210"/>
      <c r="N304" s="210"/>
      <c r="O304" s="210"/>
      <c r="P304" s="210"/>
      <c r="Q304" s="210"/>
      <c r="R304" s="210"/>
      <c r="S304" s="38"/>
      <c r="T304" s="38"/>
      <c r="U304" s="38"/>
      <c r="V304" s="38"/>
      <c r="W304" s="38"/>
      <c r="X304" s="38"/>
      <c r="Y304" s="38"/>
      <c r="Z304" s="38"/>
    </row>
    <row r="305" spans="1:26" ht="14.25" customHeight="1" x14ac:dyDescent="0.15">
      <c r="A305" s="38"/>
      <c r="B305" s="210"/>
      <c r="C305" s="210"/>
      <c r="D305" s="210"/>
      <c r="E305" s="210"/>
      <c r="F305" s="210"/>
      <c r="G305" s="210"/>
      <c r="H305" s="210"/>
      <c r="I305" s="210"/>
      <c r="J305" s="210"/>
      <c r="K305" s="210"/>
      <c r="L305" s="210"/>
      <c r="M305" s="210"/>
      <c r="N305" s="210"/>
      <c r="O305" s="210"/>
      <c r="P305" s="210"/>
      <c r="Q305" s="210"/>
      <c r="R305" s="210"/>
      <c r="S305" s="38"/>
      <c r="T305" s="38"/>
      <c r="U305" s="38"/>
      <c r="V305" s="38"/>
      <c r="W305" s="38"/>
      <c r="X305" s="38"/>
      <c r="Y305" s="38"/>
      <c r="Z305" s="38"/>
    </row>
    <row r="306" spans="1:26" ht="14.25" customHeight="1" x14ac:dyDescent="0.15">
      <c r="A306" s="38"/>
      <c r="B306" s="210"/>
      <c r="C306" s="210"/>
      <c r="D306" s="210"/>
      <c r="E306" s="210"/>
      <c r="F306" s="210"/>
      <c r="G306" s="210"/>
      <c r="H306" s="210"/>
      <c r="I306" s="210"/>
      <c r="J306" s="210"/>
      <c r="K306" s="210"/>
      <c r="L306" s="210"/>
      <c r="M306" s="210"/>
      <c r="N306" s="210"/>
      <c r="O306" s="210"/>
      <c r="P306" s="210"/>
      <c r="Q306" s="210"/>
      <c r="R306" s="210"/>
      <c r="S306" s="38"/>
      <c r="T306" s="38"/>
      <c r="U306" s="38"/>
      <c r="V306" s="38"/>
      <c r="W306" s="38"/>
      <c r="X306" s="38"/>
      <c r="Y306" s="38"/>
      <c r="Z306" s="38"/>
    </row>
    <row r="307" spans="1:26" ht="14.25" customHeight="1" x14ac:dyDescent="0.15">
      <c r="A307" s="38"/>
      <c r="B307" s="210"/>
      <c r="C307" s="210"/>
      <c r="D307" s="210"/>
      <c r="E307" s="210"/>
      <c r="F307" s="210"/>
      <c r="G307" s="210"/>
      <c r="H307" s="210"/>
      <c r="I307" s="210"/>
      <c r="J307" s="210"/>
      <c r="K307" s="210"/>
      <c r="L307" s="210"/>
      <c r="M307" s="210"/>
      <c r="N307" s="210"/>
      <c r="O307" s="210"/>
      <c r="P307" s="210"/>
      <c r="Q307" s="210"/>
      <c r="R307" s="210"/>
      <c r="S307" s="38"/>
      <c r="T307" s="38"/>
      <c r="U307" s="38"/>
      <c r="V307" s="38"/>
      <c r="W307" s="38"/>
      <c r="X307" s="38"/>
      <c r="Y307" s="38"/>
      <c r="Z307" s="38"/>
    </row>
    <row r="308" spans="1:26" ht="14.25" customHeight="1" x14ac:dyDescent="0.15">
      <c r="A308" s="38"/>
      <c r="B308" s="210"/>
      <c r="C308" s="210"/>
      <c r="D308" s="210"/>
      <c r="E308" s="210"/>
      <c r="F308" s="210"/>
      <c r="G308" s="210"/>
      <c r="H308" s="210"/>
      <c r="I308" s="210"/>
      <c r="J308" s="210"/>
      <c r="K308" s="210"/>
      <c r="L308" s="210"/>
      <c r="M308" s="210"/>
      <c r="N308" s="210"/>
      <c r="O308" s="210"/>
      <c r="P308" s="210"/>
      <c r="Q308" s="210"/>
      <c r="R308" s="210"/>
      <c r="S308" s="38"/>
      <c r="T308" s="38"/>
      <c r="U308" s="38"/>
      <c r="V308" s="38"/>
      <c r="W308" s="38"/>
      <c r="X308" s="38"/>
      <c r="Y308" s="38"/>
      <c r="Z308" s="38"/>
    </row>
    <row r="309" spans="1:26" ht="14.25" customHeight="1" x14ac:dyDescent="0.15">
      <c r="A309" s="38"/>
      <c r="B309" s="210"/>
      <c r="C309" s="210"/>
      <c r="D309" s="210"/>
      <c r="E309" s="210"/>
      <c r="F309" s="210"/>
      <c r="G309" s="210"/>
      <c r="H309" s="210"/>
      <c r="I309" s="210"/>
      <c r="J309" s="210"/>
      <c r="K309" s="210"/>
      <c r="L309" s="210"/>
      <c r="M309" s="210"/>
      <c r="N309" s="210"/>
      <c r="O309" s="210"/>
      <c r="P309" s="210"/>
      <c r="Q309" s="210"/>
      <c r="R309" s="210"/>
      <c r="S309" s="38"/>
      <c r="T309" s="38"/>
      <c r="U309" s="38"/>
      <c r="V309" s="38"/>
      <c r="W309" s="38"/>
      <c r="X309" s="38"/>
      <c r="Y309" s="38"/>
      <c r="Z309" s="38"/>
    </row>
    <row r="310" spans="1:26" ht="14.25" customHeight="1" x14ac:dyDescent="0.15">
      <c r="A310" s="38"/>
      <c r="B310" s="210"/>
      <c r="C310" s="210"/>
      <c r="D310" s="210"/>
      <c r="E310" s="210"/>
      <c r="F310" s="210"/>
      <c r="G310" s="210"/>
      <c r="H310" s="210"/>
      <c r="I310" s="210"/>
      <c r="J310" s="210"/>
      <c r="K310" s="210"/>
      <c r="L310" s="210"/>
      <c r="M310" s="210"/>
      <c r="N310" s="210"/>
      <c r="O310" s="210"/>
      <c r="P310" s="210"/>
      <c r="Q310" s="210"/>
      <c r="R310" s="210"/>
      <c r="S310" s="38"/>
      <c r="T310" s="38"/>
      <c r="U310" s="38"/>
      <c r="V310" s="38"/>
      <c r="W310" s="38"/>
      <c r="X310" s="38"/>
      <c r="Y310" s="38"/>
      <c r="Z310" s="38"/>
    </row>
    <row r="311" spans="1:26" ht="14.25" customHeight="1" x14ac:dyDescent="0.15">
      <c r="A311" s="38"/>
      <c r="B311" s="210"/>
      <c r="C311" s="210"/>
      <c r="D311" s="210"/>
      <c r="E311" s="210"/>
      <c r="F311" s="210"/>
      <c r="G311" s="210"/>
      <c r="H311" s="210"/>
      <c r="I311" s="210"/>
      <c r="J311" s="210"/>
      <c r="K311" s="210"/>
      <c r="L311" s="210"/>
      <c r="M311" s="210"/>
      <c r="N311" s="210"/>
      <c r="O311" s="210"/>
      <c r="P311" s="210"/>
      <c r="Q311" s="210"/>
      <c r="R311" s="210"/>
      <c r="S311" s="38"/>
      <c r="T311" s="38"/>
      <c r="U311" s="38"/>
      <c r="V311" s="38"/>
      <c r="W311" s="38"/>
      <c r="X311" s="38"/>
      <c r="Y311" s="38"/>
      <c r="Z311" s="38"/>
    </row>
    <row r="312" spans="1:26" ht="14.25" customHeight="1" x14ac:dyDescent="0.15">
      <c r="A312" s="38"/>
      <c r="B312" s="210"/>
      <c r="C312" s="210"/>
      <c r="D312" s="210"/>
      <c r="E312" s="210"/>
      <c r="F312" s="210"/>
      <c r="G312" s="210"/>
      <c r="H312" s="210"/>
      <c r="I312" s="210"/>
      <c r="J312" s="210"/>
      <c r="K312" s="210"/>
      <c r="L312" s="210"/>
      <c r="M312" s="210"/>
      <c r="N312" s="210"/>
      <c r="O312" s="210"/>
      <c r="P312" s="210"/>
      <c r="Q312" s="210"/>
      <c r="R312" s="210"/>
      <c r="S312" s="38"/>
      <c r="T312" s="38"/>
      <c r="U312" s="38"/>
      <c r="V312" s="38"/>
      <c r="W312" s="38"/>
      <c r="X312" s="38"/>
      <c r="Y312" s="38"/>
      <c r="Z312" s="38"/>
    </row>
    <row r="313" spans="1:26" ht="14.25" customHeight="1" x14ac:dyDescent="0.15">
      <c r="A313" s="38"/>
      <c r="B313" s="210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0"/>
      <c r="O313" s="210"/>
      <c r="P313" s="210"/>
      <c r="Q313" s="210"/>
      <c r="R313" s="210"/>
      <c r="S313" s="38"/>
      <c r="T313" s="38"/>
      <c r="U313" s="38"/>
      <c r="V313" s="38"/>
      <c r="W313" s="38"/>
      <c r="X313" s="38"/>
      <c r="Y313" s="38"/>
      <c r="Z313" s="38"/>
    </row>
    <row r="314" spans="1:26" ht="14.25" customHeight="1" x14ac:dyDescent="0.15">
      <c r="A314" s="38"/>
      <c r="B314" s="210"/>
      <c r="C314" s="210"/>
      <c r="D314" s="210"/>
      <c r="E314" s="210"/>
      <c r="F314" s="210"/>
      <c r="G314" s="210"/>
      <c r="H314" s="210"/>
      <c r="I314" s="210"/>
      <c r="J314" s="210"/>
      <c r="K314" s="210"/>
      <c r="L314" s="210"/>
      <c r="M314" s="210"/>
      <c r="N314" s="210"/>
      <c r="O314" s="210"/>
      <c r="P314" s="210"/>
      <c r="Q314" s="210"/>
      <c r="R314" s="210"/>
      <c r="S314" s="38"/>
      <c r="T314" s="38"/>
      <c r="U314" s="38"/>
      <c r="V314" s="38"/>
      <c r="W314" s="38"/>
      <c r="X314" s="38"/>
      <c r="Y314" s="38"/>
      <c r="Z314" s="38"/>
    </row>
    <row r="315" spans="1:26" ht="14.25" customHeight="1" x14ac:dyDescent="0.15">
      <c r="A315" s="38"/>
      <c r="B315" s="210"/>
      <c r="C315" s="210"/>
      <c r="D315" s="210"/>
      <c r="E315" s="210"/>
      <c r="F315" s="210"/>
      <c r="G315" s="210"/>
      <c r="H315" s="210"/>
      <c r="I315" s="210"/>
      <c r="J315" s="210"/>
      <c r="K315" s="210"/>
      <c r="L315" s="210"/>
      <c r="M315" s="210"/>
      <c r="N315" s="210"/>
      <c r="O315" s="210"/>
      <c r="P315" s="210"/>
      <c r="Q315" s="210"/>
      <c r="R315" s="210"/>
      <c r="S315" s="38"/>
      <c r="T315" s="38"/>
      <c r="U315" s="38"/>
      <c r="V315" s="38"/>
      <c r="W315" s="38"/>
      <c r="X315" s="38"/>
      <c r="Y315" s="38"/>
      <c r="Z315" s="38"/>
    </row>
    <row r="316" spans="1:26" ht="14.25" customHeight="1" x14ac:dyDescent="0.15">
      <c r="A316" s="38"/>
      <c r="B316" s="210"/>
      <c r="C316" s="210"/>
      <c r="D316" s="210"/>
      <c r="E316" s="210"/>
      <c r="F316" s="210"/>
      <c r="G316" s="210"/>
      <c r="H316" s="210"/>
      <c r="I316" s="210"/>
      <c r="J316" s="210"/>
      <c r="K316" s="210"/>
      <c r="L316" s="210"/>
      <c r="M316" s="210"/>
      <c r="N316" s="210"/>
      <c r="O316" s="210"/>
      <c r="P316" s="210"/>
      <c r="Q316" s="210"/>
      <c r="R316" s="210"/>
      <c r="S316" s="38"/>
      <c r="T316" s="38"/>
      <c r="U316" s="38"/>
      <c r="V316" s="38"/>
      <c r="W316" s="38"/>
      <c r="X316" s="38"/>
      <c r="Y316" s="38"/>
      <c r="Z316" s="38"/>
    </row>
    <row r="317" spans="1:26" ht="14.25" customHeight="1" x14ac:dyDescent="0.15">
      <c r="A317" s="38"/>
      <c r="B317" s="210"/>
      <c r="C317" s="210"/>
      <c r="D317" s="210"/>
      <c r="E317" s="210"/>
      <c r="F317" s="210"/>
      <c r="G317" s="210"/>
      <c r="H317" s="210"/>
      <c r="I317" s="210"/>
      <c r="J317" s="210"/>
      <c r="K317" s="210"/>
      <c r="L317" s="210"/>
      <c r="M317" s="210"/>
      <c r="N317" s="210"/>
      <c r="O317" s="210"/>
      <c r="P317" s="210"/>
      <c r="Q317" s="210"/>
      <c r="R317" s="210"/>
      <c r="S317" s="38"/>
      <c r="T317" s="38"/>
      <c r="U317" s="38"/>
      <c r="V317" s="38"/>
      <c r="W317" s="38"/>
      <c r="X317" s="38"/>
      <c r="Y317" s="38"/>
      <c r="Z317" s="38"/>
    </row>
    <row r="318" spans="1:26" ht="14.25" customHeight="1" x14ac:dyDescent="0.15">
      <c r="A318" s="38"/>
      <c r="B318" s="210"/>
      <c r="C318" s="210"/>
      <c r="D318" s="210"/>
      <c r="E318" s="210"/>
      <c r="F318" s="210"/>
      <c r="G318" s="210"/>
      <c r="H318" s="210"/>
      <c r="I318" s="210"/>
      <c r="J318" s="210"/>
      <c r="K318" s="210"/>
      <c r="L318" s="210"/>
      <c r="M318" s="210"/>
      <c r="N318" s="210"/>
      <c r="O318" s="210"/>
      <c r="P318" s="210"/>
      <c r="Q318" s="210"/>
      <c r="R318" s="210"/>
      <c r="S318" s="38"/>
      <c r="T318" s="38"/>
      <c r="U318" s="38"/>
      <c r="V318" s="38"/>
      <c r="W318" s="38"/>
      <c r="X318" s="38"/>
      <c r="Y318" s="38"/>
      <c r="Z318" s="38"/>
    </row>
    <row r="319" spans="1:26" ht="14.25" customHeight="1" x14ac:dyDescent="0.15">
      <c r="A319" s="38"/>
      <c r="B319" s="210"/>
      <c r="C319" s="210"/>
      <c r="D319" s="210"/>
      <c r="E319" s="210"/>
      <c r="F319" s="210"/>
      <c r="G319" s="210"/>
      <c r="H319" s="210"/>
      <c r="I319" s="210"/>
      <c r="J319" s="210"/>
      <c r="K319" s="210"/>
      <c r="L319" s="210"/>
      <c r="M319" s="210"/>
      <c r="N319" s="210"/>
      <c r="O319" s="210"/>
      <c r="P319" s="210"/>
      <c r="Q319" s="210"/>
      <c r="R319" s="210"/>
      <c r="S319" s="38"/>
      <c r="T319" s="38"/>
      <c r="U319" s="38"/>
      <c r="V319" s="38"/>
      <c r="W319" s="38"/>
      <c r="X319" s="38"/>
      <c r="Y319" s="38"/>
      <c r="Z319" s="38"/>
    </row>
    <row r="320" spans="1:26" ht="14.25" customHeight="1" x14ac:dyDescent="0.15">
      <c r="A320" s="38"/>
      <c r="B320" s="210"/>
      <c r="C320" s="210"/>
      <c r="D320" s="210"/>
      <c r="E320" s="210"/>
      <c r="F320" s="210"/>
      <c r="G320" s="210"/>
      <c r="H320" s="210"/>
      <c r="I320" s="210"/>
      <c r="J320" s="210"/>
      <c r="K320" s="210"/>
      <c r="L320" s="210"/>
      <c r="M320" s="210"/>
      <c r="N320" s="210"/>
      <c r="O320" s="210"/>
      <c r="P320" s="210"/>
      <c r="Q320" s="210"/>
      <c r="R320" s="210"/>
      <c r="S320" s="38"/>
      <c r="T320" s="38"/>
      <c r="U320" s="38"/>
      <c r="V320" s="38"/>
      <c r="W320" s="38"/>
      <c r="X320" s="38"/>
      <c r="Y320" s="38"/>
      <c r="Z320" s="38"/>
    </row>
    <row r="321" spans="1:26" ht="14.25" customHeight="1" x14ac:dyDescent="0.15">
      <c r="A321" s="38"/>
      <c r="B321" s="210"/>
      <c r="C321" s="210"/>
      <c r="D321" s="210"/>
      <c r="E321" s="210"/>
      <c r="F321" s="210"/>
      <c r="G321" s="210"/>
      <c r="H321" s="210"/>
      <c r="I321" s="210"/>
      <c r="J321" s="210"/>
      <c r="K321" s="210"/>
      <c r="L321" s="210"/>
      <c r="M321" s="210"/>
      <c r="N321" s="210"/>
      <c r="O321" s="210"/>
      <c r="P321" s="210"/>
      <c r="Q321" s="210"/>
      <c r="R321" s="210"/>
      <c r="S321" s="38"/>
      <c r="T321" s="38"/>
      <c r="U321" s="38"/>
      <c r="V321" s="38"/>
      <c r="W321" s="38"/>
      <c r="X321" s="38"/>
      <c r="Y321" s="38"/>
      <c r="Z321" s="38"/>
    </row>
    <row r="322" spans="1:26" ht="14.25" customHeight="1" x14ac:dyDescent="0.15">
      <c r="A322" s="38"/>
      <c r="B322" s="210"/>
      <c r="C322" s="210"/>
      <c r="D322" s="210"/>
      <c r="E322" s="210"/>
      <c r="F322" s="210"/>
      <c r="G322" s="210"/>
      <c r="H322" s="210"/>
      <c r="I322" s="210"/>
      <c r="J322" s="210"/>
      <c r="K322" s="210"/>
      <c r="L322" s="210"/>
      <c r="M322" s="210"/>
      <c r="N322" s="210"/>
      <c r="O322" s="210"/>
      <c r="P322" s="210"/>
      <c r="Q322" s="210"/>
      <c r="R322" s="210"/>
      <c r="S322" s="38"/>
      <c r="T322" s="38"/>
      <c r="U322" s="38"/>
      <c r="V322" s="38"/>
      <c r="W322" s="38"/>
      <c r="X322" s="38"/>
      <c r="Y322" s="38"/>
      <c r="Z322" s="38"/>
    </row>
    <row r="323" spans="1:26" ht="14.25" customHeight="1" x14ac:dyDescent="0.15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4.25" customHeight="1" x14ac:dyDescent="0.15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4.25" customHeight="1" x14ac:dyDescent="0.1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4.25" customHeight="1" x14ac:dyDescent="0.15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4.25" customHeight="1" x14ac:dyDescent="0.15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4.25" customHeight="1" x14ac:dyDescent="0.15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4.25" customHeight="1" x14ac:dyDescent="0.15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4.25" customHeight="1" x14ac:dyDescent="0.15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4.25" customHeight="1" x14ac:dyDescent="0.15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4.25" customHeight="1" x14ac:dyDescent="0.15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4.25" customHeight="1" x14ac:dyDescent="0.15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4.25" customHeight="1" x14ac:dyDescent="0.15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4.25" customHeight="1" x14ac:dyDescent="0.1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4.25" customHeight="1" x14ac:dyDescent="0.15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4.25" customHeight="1" x14ac:dyDescent="0.15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4.25" customHeight="1" x14ac:dyDescent="0.15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4.25" customHeight="1" x14ac:dyDescent="0.15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4.25" customHeight="1" x14ac:dyDescent="0.15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4.25" customHeight="1" x14ac:dyDescent="0.15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4.25" customHeight="1" x14ac:dyDescent="0.15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4.25" customHeight="1" x14ac:dyDescent="0.15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4.25" customHeight="1" x14ac:dyDescent="0.15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4.25" customHeight="1" x14ac:dyDescent="0.1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4.25" customHeight="1" x14ac:dyDescent="0.15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4.25" customHeight="1" x14ac:dyDescent="0.15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4.25" customHeight="1" x14ac:dyDescent="0.15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4.25" customHeight="1" x14ac:dyDescent="0.15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4.25" customHeight="1" x14ac:dyDescent="0.15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4.25" customHeight="1" x14ac:dyDescent="0.15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4.25" customHeight="1" x14ac:dyDescent="0.15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4.25" customHeight="1" x14ac:dyDescent="0.15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4.25" customHeight="1" x14ac:dyDescent="0.15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4.25" customHeight="1" x14ac:dyDescent="0.1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4.25" customHeight="1" x14ac:dyDescent="0.15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4.25" customHeight="1" x14ac:dyDescent="0.15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4.25" customHeight="1" x14ac:dyDescent="0.15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4.25" customHeight="1" x14ac:dyDescent="0.15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4.25" customHeight="1" x14ac:dyDescent="0.15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4.25" customHeight="1" x14ac:dyDescent="0.15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4.25" customHeight="1" x14ac:dyDescent="0.15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4.25" customHeight="1" x14ac:dyDescent="0.15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4.25" customHeight="1" x14ac:dyDescent="0.15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4.25" customHeight="1" x14ac:dyDescent="0.1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4.25" customHeight="1" x14ac:dyDescent="0.15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4.25" customHeight="1" x14ac:dyDescent="0.15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4.25" customHeight="1" x14ac:dyDescent="0.15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4.25" customHeight="1" x14ac:dyDescent="0.15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4.25" customHeight="1" x14ac:dyDescent="0.15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4.25" customHeight="1" x14ac:dyDescent="0.15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4.25" customHeight="1" x14ac:dyDescent="0.15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4.25" customHeight="1" x14ac:dyDescent="0.15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4.25" customHeight="1" x14ac:dyDescent="0.15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4.25" customHeight="1" x14ac:dyDescent="0.1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4.25" customHeight="1" x14ac:dyDescent="0.15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4.25" customHeight="1" x14ac:dyDescent="0.15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4.25" customHeight="1" x14ac:dyDescent="0.15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4.25" customHeight="1" x14ac:dyDescent="0.15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4.25" customHeight="1" x14ac:dyDescent="0.15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4.25" customHeight="1" x14ac:dyDescent="0.15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4.25" customHeight="1" x14ac:dyDescent="0.15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4.25" customHeight="1" x14ac:dyDescent="0.15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4.25" customHeight="1" x14ac:dyDescent="0.15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4.25" customHeight="1" x14ac:dyDescent="0.1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4.25" customHeight="1" x14ac:dyDescent="0.15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4.25" customHeight="1" x14ac:dyDescent="0.15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4.25" customHeight="1" x14ac:dyDescent="0.15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4.25" customHeight="1" x14ac:dyDescent="0.15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4.25" customHeight="1" x14ac:dyDescent="0.15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4.25" customHeight="1" x14ac:dyDescent="0.15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4.25" customHeight="1" x14ac:dyDescent="0.15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4.25" customHeight="1" x14ac:dyDescent="0.15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4.25" customHeight="1" x14ac:dyDescent="0.15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4.25" customHeight="1" x14ac:dyDescent="0.1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4.25" customHeight="1" x14ac:dyDescent="0.15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4.25" customHeight="1" x14ac:dyDescent="0.15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4.25" customHeight="1" x14ac:dyDescent="0.15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4.25" customHeight="1" x14ac:dyDescent="0.15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4.25" customHeight="1" x14ac:dyDescent="0.15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4.25" customHeight="1" x14ac:dyDescent="0.15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4.25" customHeight="1" x14ac:dyDescent="0.15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4.25" customHeight="1" x14ac:dyDescent="0.15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4.25" customHeight="1" x14ac:dyDescent="0.15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4.25" customHeight="1" x14ac:dyDescent="0.1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4.25" customHeight="1" x14ac:dyDescent="0.15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4.25" customHeight="1" x14ac:dyDescent="0.15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4.25" customHeight="1" x14ac:dyDescent="0.15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4.25" customHeight="1" x14ac:dyDescent="0.15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4.25" customHeight="1" x14ac:dyDescent="0.15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4.25" customHeight="1" x14ac:dyDescent="0.15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4.25" customHeight="1" x14ac:dyDescent="0.15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4.25" customHeight="1" x14ac:dyDescent="0.15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4.25" customHeight="1" x14ac:dyDescent="0.15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4.25" customHeight="1" x14ac:dyDescent="0.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4.25" customHeight="1" x14ac:dyDescent="0.15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4.25" customHeight="1" x14ac:dyDescent="0.15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4.25" customHeight="1" x14ac:dyDescent="0.15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4.25" customHeight="1" x14ac:dyDescent="0.15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4.25" customHeight="1" x14ac:dyDescent="0.15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4.25" customHeight="1" x14ac:dyDescent="0.15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4.25" customHeight="1" x14ac:dyDescent="0.15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4.25" customHeight="1" x14ac:dyDescent="0.15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4.25" customHeight="1" x14ac:dyDescent="0.15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4.25" customHeight="1" x14ac:dyDescent="0.1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4.25" customHeight="1" x14ac:dyDescent="0.15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4.25" customHeight="1" x14ac:dyDescent="0.15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4.25" customHeight="1" x14ac:dyDescent="0.15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4.25" customHeight="1" x14ac:dyDescent="0.15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4.25" customHeight="1" x14ac:dyDescent="0.15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4.25" customHeight="1" x14ac:dyDescent="0.15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4.25" customHeight="1" x14ac:dyDescent="0.15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4.25" customHeight="1" x14ac:dyDescent="0.15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4.25" customHeight="1" x14ac:dyDescent="0.15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4.25" customHeight="1" x14ac:dyDescent="0.1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4.25" customHeight="1" x14ac:dyDescent="0.15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4.25" customHeight="1" x14ac:dyDescent="0.15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4.25" customHeight="1" x14ac:dyDescent="0.15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4.25" customHeight="1" x14ac:dyDescent="0.15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4.25" customHeight="1" x14ac:dyDescent="0.15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4.25" customHeight="1" x14ac:dyDescent="0.15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4.25" customHeight="1" x14ac:dyDescent="0.15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4.25" customHeight="1" x14ac:dyDescent="0.15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4.25" customHeight="1" x14ac:dyDescent="0.15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4.25" customHeight="1" x14ac:dyDescent="0.1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4.25" customHeight="1" x14ac:dyDescent="0.15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4.25" customHeight="1" x14ac:dyDescent="0.15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4.25" customHeight="1" x14ac:dyDescent="0.15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4.25" customHeight="1" x14ac:dyDescent="0.15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4.25" customHeight="1" x14ac:dyDescent="0.15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4.25" customHeight="1" x14ac:dyDescent="0.15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4.25" customHeight="1" x14ac:dyDescent="0.15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4.25" customHeight="1" x14ac:dyDescent="0.15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4.25" customHeight="1" x14ac:dyDescent="0.15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4.25" customHeight="1" x14ac:dyDescent="0.1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4.25" customHeight="1" x14ac:dyDescent="0.15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4.25" customHeight="1" x14ac:dyDescent="0.15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4.25" customHeight="1" x14ac:dyDescent="0.15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4.25" customHeight="1" x14ac:dyDescent="0.15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4.25" customHeight="1" x14ac:dyDescent="0.15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4.25" customHeight="1" x14ac:dyDescent="0.15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4.25" customHeight="1" x14ac:dyDescent="0.15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4.25" customHeight="1" x14ac:dyDescent="0.15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4.25" customHeight="1" x14ac:dyDescent="0.15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4.25" customHeight="1" x14ac:dyDescent="0.1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4.25" customHeight="1" x14ac:dyDescent="0.15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4.25" customHeight="1" x14ac:dyDescent="0.15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4.25" customHeight="1" x14ac:dyDescent="0.15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4.25" customHeight="1" x14ac:dyDescent="0.15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4.25" customHeight="1" x14ac:dyDescent="0.15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4.25" customHeight="1" x14ac:dyDescent="0.15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4.25" customHeight="1" x14ac:dyDescent="0.15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4.25" customHeight="1" x14ac:dyDescent="0.15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4.25" customHeight="1" x14ac:dyDescent="0.15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4.25" customHeight="1" x14ac:dyDescent="0.1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4.25" customHeight="1" x14ac:dyDescent="0.15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4.25" customHeight="1" x14ac:dyDescent="0.15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4.25" customHeight="1" x14ac:dyDescent="0.15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4.25" customHeight="1" x14ac:dyDescent="0.15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4.25" customHeight="1" x14ac:dyDescent="0.15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4.25" customHeight="1" x14ac:dyDescent="0.15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4.25" customHeight="1" x14ac:dyDescent="0.15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4.25" customHeight="1" x14ac:dyDescent="0.15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4.25" customHeight="1" x14ac:dyDescent="0.15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4.25" customHeight="1" x14ac:dyDescent="0.1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4.25" customHeight="1" x14ac:dyDescent="0.15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4.25" customHeight="1" x14ac:dyDescent="0.15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4.25" customHeight="1" x14ac:dyDescent="0.15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4.25" customHeight="1" x14ac:dyDescent="0.15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4.25" customHeight="1" x14ac:dyDescent="0.15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4.25" customHeight="1" x14ac:dyDescent="0.15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4.25" customHeight="1" x14ac:dyDescent="0.15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4.25" customHeight="1" x14ac:dyDescent="0.15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4.25" customHeight="1" x14ac:dyDescent="0.15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4.25" customHeight="1" x14ac:dyDescent="0.1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4.25" customHeight="1" x14ac:dyDescent="0.15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4.25" customHeight="1" x14ac:dyDescent="0.15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4.25" customHeight="1" x14ac:dyDescent="0.15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4.25" customHeight="1" x14ac:dyDescent="0.15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4.25" customHeight="1" x14ac:dyDescent="0.15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4.25" customHeight="1" x14ac:dyDescent="0.15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4.25" customHeight="1" x14ac:dyDescent="0.15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4.25" customHeight="1" x14ac:dyDescent="0.15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4.25" customHeight="1" x14ac:dyDescent="0.15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4.25" customHeight="1" x14ac:dyDescent="0.1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4.25" customHeight="1" x14ac:dyDescent="0.15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4.25" customHeight="1" x14ac:dyDescent="0.15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4.25" customHeight="1" x14ac:dyDescent="0.15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4.25" customHeight="1" x14ac:dyDescent="0.15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4.25" customHeight="1" x14ac:dyDescent="0.15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4.25" customHeight="1" x14ac:dyDescent="0.15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4.25" customHeight="1" x14ac:dyDescent="0.15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4.25" customHeight="1" x14ac:dyDescent="0.15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4.25" customHeight="1" x14ac:dyDescent="0.15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4.25" customHeight="1" x14ac:dyDescent="0.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4.25" customHeight="1" x14ac:dyDescent="0.15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4.25" customHeight="1" x14ac:dyDescent="0.15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4.25" customHeight="1" x14ac:dyDescent="0.15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4.25" customHeight="1" x14ac:dyDescent="0.15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4.25" customHeight="1" x14ac:dyDescent="0.15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4.25" customHeight="1" x14ac:dyDescent="0.15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4.25" customHeight="1" x14ac:dyDescent="0.15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4.25" customHeight="1" x14ac:dyDescent="0.15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4.25" customHeight="1" x14ac:dyDescent="0.15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4.25" customHeight="1" x14ac:dyDescent="0.1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4.25" customHeight="1" x14ac:dyDescent="0.15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4.25" customHeight="1" x14ac:dyDescent="0.15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4.25" customHeight="1" x14ac:dyDescent="0.15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4.25" customHeight="1" x14ac:dyDescent="0.15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4.25" customHeight="1" x14ac:dyDescent="0.15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4.25" customHeight="1" x14ac:dyDescent="0.15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4.25" customHeight="1" x14ac:dyDescent="0.15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4.25" customHeight="1" x14ac:dyDescent="0.15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4.25" customHeight="1" x14ac:dyDescent="0.15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4.25" customHeight="1" x14ac:dyDescent="0.1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4.25" customHeight="1" x14ac:dyDescent="0.15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4.25" customHeight="1" x14ac:dyDescent="0.15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4.25" customHeight="1" x14ac:dyDescent="0.15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4.25" customHeight="1" x14ac:dyDescent="0.15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4.25" customHeight="1" x14ac:dyDescent="0.15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4.25" customHeight="1" x14ac:dyDescent="0.15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4.25" customHeight="1" x14ac:dyDescent="0.15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4.25" customHeight="1" x14ac:dyDescent="0.15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4.25" customHeight="1" x14ac:dyDescent="0.15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4.25" customHeight="1" x14ac:dyDescent="0.1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4.25" customHeight="1" x14ac:dyDescent="0.15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4.25" customHeight="1" x14ac:dyDescent="0.15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4.25" customHeight="1" x14ac:dyDescent="0.15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4.25" customHeight="1" x14ac:dyDescent="0.15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4.25" customHeight="1" x14ac:dyDescent="0.15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4.25" customHeight="1" x14ac:dyDescent="0.15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4.25" customHeight="1" x14ac:dyDescent="0.15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4.25" customHeight="1" x14ac:dyDescent="0.15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4.25" customHeight="1" x14ac:dyDescent="0.15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4.25" customHeight="1" x14ac:dyDescent="0.1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4.25" customHeight="1" x14ac:dyDescent="0.15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4.25" customHeight="1" x14ac:dyDescent="0.15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4.25" customHeight="1" x14ac:dyDescent="0.15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4.25" customHeight="1" x14ac:dyDescent="0.15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4.25" customHeight="1" x14ac:dyDescent="0.15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4.25" customHeight="1" x14ac:dyDescent="0.15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4.25" customHeight="1" x14ac:dyDescent="0.15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4.25" customHeight="1" x14ac:dyDescent="0.15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4.25" customHeight="1" x14ac:dyDescent="0.1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4.25" customHeight="1" x14ac:dyDescent="0.1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4.25" customHeight="1" x14ac:dyDescent="0.1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4.25" customHeight="1" x14ac:dyDescent="0.1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4.25" customHeight="1" x14ac:dyDescent="0.1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4.25" customHeight="1" x14ac:dyDescent="0.1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4.25" customHeight="1" x14ac:dyDescent="0.1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4.25" customHeight="1" x14ac:dyDescent="0.1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4.25" customHeight="1" x14ac:dyDescent="0.1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4.25" customHeight="1" x14ac:dyDescent="0.1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4.25" customHeight="1" x14ac:dyDescent="0.1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4.25" customHeight="1" x14ac:dyDescent="0.1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4.25" customHeight="1" x14ac:dyDescent="0.1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4.25" customHeight="1" x14ac:dyDescent="0.1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4.25" customHeight="1" x14ac:dyDescent="0.1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4.25" customHeight="1" x14ac:dyDescent="0.1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4.25" customHeight="1" x14ac:dyDescent="0.1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4.25" customHeight="1" x14ac:dyDescent="0.1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4.25" customHeight="1" x14ac:dyDescent="0.1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4.25" customHeight="1" x14ac:dyDescent="0.1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4.25" customHeight="1" x14ac:dyDescent="0.1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4.25" customHeight="1" x14ac:dyDescent="0.1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4.25" customHeight="1" x14ac:dyDescent="0.1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4.25" customHeight="1" x14ac:dyDescent="0.1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4.25" customHeight="1" x14ac:dyDescent="0.1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4.25" customHeight="1" x14ac:dyDescent="0.1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4.25" customHeight="1" x14ac:dyDescent="0.1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4.25" customHeight="1" x14ac:dyDescent="0.1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4.25" customHeight="1" x14ac:dyDescent="0.1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4.25" customHeight="1" x14ac:dyDescent="0.1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4.25" customHeight="1" x14ac:dyDescent="0.1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4.25" customHeight="1" x14ac:dyDescent="0.1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4.25" customHeight="1" x14ac:dyDescent="0.1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4.25" customHeight="1" x14ac:dyDescent="0.1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4.25" customHeight="1" x14ac:dyDescent="0.1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4.25" customHeight="1" x14ac:dyDescent="0.1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4.25" customHeight="1" x14ac:dyDescent="0.1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4.25" customHeight="1" x14ac:dyDescent="0.1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4.25" customHeight="1" x14ac:dyDescent="0.1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4.25" customHeight="1" x14ac:dyDescent="0.1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4.25" customHeight="1" x14ac:dyDescent="0.1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4.25" customHeight="1" x14ac:dyDescent="0.1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4.25" customHeight="1" x14ac:dyDescent="0.1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4.25" customHeight="1" x14ac:dyDescent="0.1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4.25" customHeight="1" x14ac:dyDescent="0.1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4.25" customHeight="1" x14ac:dyDescent="0.1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4.25" customHeight="1" x14ac:dyDescent="0.1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4.25" customHeight="1" x14ac:dyDescent="0.1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4.25" customHeight="1" x14ac:dyDescent="0.1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4.25" customHeight="1" x14ac:dyDescent="0.1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4.25" customHeight="1" x14ac:dyDescent="0.1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4.25" customHeight="1" x14ac:dyDescent="0.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4.25" customHeight="1" x14ac:dyDescent="0.1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4.25" customHeight="1" x14ac:dyDescent="0.1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4.25" customHeight="1" x14ac:dyDescent="0.1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4.25" customHeight="1" x14ac:dyDescent="0.1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4.25" customHeight="1" x14ac:dyDescent="0.1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4.25" customHeight="1" x14ac:dyDescent="0.1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4.25" customHeight="1" x14ac:dyDescent="0.1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4.25" customHeight="1" x14ac:dyDescent="0.1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4.25" customHeight="1" x14ac:dyDescent="0.1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4.25" customHeight="1" x14ac:dyDescent="0.1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4.25" customHeight="1" x14ac:dyDescent="0.1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4.25" customHeight="1" x14ac:dyDescent="0.1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4.25" customHeight="1" x14ac:dyDescent="0.1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4.25" customHeight="1" x14ac:dyDescent="0.1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4.25" customHeight="1" x14ac:dyDescent="0.1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4.25" customHeight="1" x14ac:dyDescent="0.1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4.25" customHeight="1" x14ac:dyDescent="0.1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4.25" customHeight="1" x14ac:dyDescent="0.1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4.25" customHeight="1" x14ac:dyDescent="0.1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4.25" customHeight="1" x14ac:dyDescent="0.1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4.25" customHeight="1" x14ac:dyDescent="0.1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4.25" customHeight="1" x14ac:dyDescent="0.1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4.25" customHeight="1" x14ac:dyDescent="0.1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4.25" customHeight="1" x14ac:dyDescent="0.1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4.25" customHeight="1" x14ac:dyDescent="0.1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4.25" customHeight="1" x14ac:dyDescent="0.1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4.25" customHeight="1" x14ac:dyDescent="0.1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4.25" customHeight="1" x14ac:dyDescent="0.1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4.25" customHeight="1" x14ac:dyDescent="0.1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4.25" customHeight="1" x14ac:dyDescent="0.1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4.25" customHeight="1" x14ac:dyDescent="0.1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4.25" customHeight="1" x14ac:dyDescent="0.1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4.25" customHeight="1" x14ac:dyDescent="0.1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4.25" customHeight="1" x14ac:dyDescent="0.1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4.25" customHeight="1" x14ac:dyDescent="0.1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4.25" customHeight="1" x14ac:dyDescent="0.1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4.25" customHeight="1" x14ac:dyDescent="0.1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4.25" customHeight="1" x14ac:dyDescent="0.1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4.25" customHeight="1" x14ac:dyDescent="0.1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4.25" customHeight="1" x14ac:dyDescent="0.1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4.25" customHeight="1" x14ac:dyDescent="0.1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4.25" customHeight="1" x14ac:dyDescent="0.1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4.25" customHeight="1" x14ac:dyDescent="0.1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4.25" customHeight="1" x14ac:dyDescent="0.1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4.25" customHeight="1" x14ac:dyDescent="0.1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4.25" customHeight="1" x14ac:dyDescent="0.1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4.25" customHeight="1" x14ac:dyDescent="0.1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4.25" customHeight="1" x14ac:dyDescent="0.1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4.25" customHeight="1" x14ac:dyDescent="0.1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4.25" customHeight="1" x14ac:dyDescent="0.1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4.25" customHeight="1" x14ac:dyDescent="0.1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4.25" customHeight="1" x14ac:dyDescent="0.1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4.25" customHeight="1" x14ac:dyDescent="0.1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4.25" customHeight="1" x14ac:dyDescent="0.1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4.25" customHeight="1" x14ac:dyDescent="0.1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4.25" customHeight="1" x14ac:dyDescent="0.1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4.25" customHeight="1" x14ac:dyDescent="0.1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4.25" customHeight="1" x14ac:dyDescent="0.1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4.25" customHeight="1" x14ac:dyDescent="0.1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4.25" customHeight="1" x14ac:dyDescent="0.1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4.25" customHeight="1" x14ac:dyDescent="0.1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4.25" customHeight="1" x14ac:dyDescent="0.1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4.25" customHeight="1" x14ac:dyDescent="0.1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4.25" customHeight="1" x14ac:dyDescent="0.1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4.25" customHeight="1" x14ac:dyDescent="0.1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4.25" customHeight="1" x14ac:dyDescent="0.1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4.25" customHeight="1" x14ac:dyDescent="0.1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4.25" customHeight="1" x14ac:dyDescent="0.1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4.25" customHeight="1" x14ac:dyDescent="0.1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4.25" customHeight="1" x14ac:dyDescent="0.1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4.25" customHeight="1" x14ac:dyDescent="0.1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4.25" customHeight="1" x14ac:dyDescent="0.1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4.25" customHeight="1" x14ac:dyDescent="0.1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4.25" customHeight="1" x14ac:dyDescent="0.1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4.25" customHeight="1" x14ac:dyDescent="0.1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4.25" customHeight="1" x14ac:dyDescent="0.1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4.25" customHeight="1" x14ac:dyDescent="0.1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4.25" customHeight="1" x14ac:dyDescent="0.1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4.25" customHeight="1" x14ac:dyDescent="0.1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4.25" customHeight="1" x14ac:dyDescent="0.1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4.25" customHeight="1" x14ac:dyDescent="0.1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4.25" customHeight="1" x14ac:dyDescent="0.1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4.25" customHeight="1" x14ac:dyDescent="0.1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4.25" customHeight="1" x14ac:dyDescent="0.1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4.25" customHeight="1" x14ac:dyDescent="0.1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4.25" customHeight="1" x14ac:dyDescent="0.1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4.25" customHeight="1" x14ac:dyDescent="0.1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4.25" customHeight="1" x14ac:dyDescent="0.1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4.25" customHeight="1" x14ac:dyDescent="0.1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4.25" customHeight="1" x14ac:dyDescent="0.1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4.25" customHeight="1" x14ac:dyDescent="0.1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4.25" customHeight="1" x14ac:dyDescent="0.1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4.25" customHeight="1" x14ac:dyDescent="0.1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4.25" customHeight="1" x14ac:dyDescent="0.1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4.25" customHeight="1" x14ac:dyDescent="0.1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4.25" customHeight="1" x14ac:dyDescent="0.1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4.25" customHeight="1" x14ac:dyDescent="0.1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4.25" customHeight="1" x14ac:dyDescent="0.1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4.25" customHeight="1" x14ac:dyDescent="0.1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4.25" customHeight="1" x14ac:dyDescent="0.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4.25" customHeight="1" x14ac:dyDescent="0.1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4.25" customHeight="1" x14ac:dyDescent="0.1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4.25" customHeight="1" x14ac:dyDescent="0.1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4.25" customHeight="1" x14ac:dyDescent="0.1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4.25" customHeight="1" x14ac:dyDescent="0.1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4.25" customHeight="1" x14ac:dyDescent="0.1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4.25" customHeight="1" x14ac:dyDescent="0.1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4.25" customHeight="1" x14ac:dyDescent="0.1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4.25" customHeight="1" x14ac:dyDescent="0.1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4.25" customHeight="1" x14ac:dyDescent="0.1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4.25" customHeight="1" x14ac:dyDescent="0.1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4.25" customHeight="1" x14ac:dyDescent="0.1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4.25" customHeight="1" x14ac:dyDescent="0.1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4.25" customHeight="1" x14ac:dyDescent="0.1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4.25" customHeight="1" x14ac:dyDescent="0.1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4.25" customHeight="1" x14ac:dyDescent="0.1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4.25" customHeight="1" x14ac:dyDescent="0.1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4.25" customHeight="1" x14ac:dyDescent="0.1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4.25" customHeight="1" x14ac:dyDescent="0.1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4.25" customHeight="1" x14ac:dyDescent="0.1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4.25" customHeight="1" x14ac:dyDescent="0.1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4.25" customHeight="1" x14ac:dyDescent="0.1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4.25" customHeight="1" x14ac:dyDescent="0.1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4.25" customHeight="1" x14ac:dyDescent="0.1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4.25" customHeight="1" x14ac:dyDescent="0.1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4.25" customHeight="1" x14ac:dyDescent="0.1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4.25" customHeight="1" x14ac:dyDescent="0.1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4.25" customHeight="1" x14ac:dyDescent="0.1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4.25" customHeight="1" x14ac:dyDescent="0.1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4.25" customHeight="1" x14ac:dyDescent="0.1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4.25" customHeight="1" x14ac:dyDescent="0.1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4.25" customHeight="1" x14ac:dyDescent="0.1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4.25" customHeight="1" x14ac:dyDescent="0.1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4.25" customHeight="1" x14ac:dyDescent="0.1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4.25" customHeight="1" x14ac:dyDescent="0.1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4.25" customHeight="1" x14ac:dyDescent="0.1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4.25" customHeight="1" x14ac:dyDescent="0.1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4.25" customHeight="1" x14ac:dyDescent="0.1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4.25" customHeight="1" x14ac:dyDescent="0.1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4.25" customHeight="1" x14ac:dyDescent="0.1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4.25" customHeight="1" x14ac:dyDescent="0.1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4.25" customHeight="1" x14ac:dyDescent="0.1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4.25" customHeight="1" x14ac:dyDescent="0.1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4.25" customHeight="1" x14ac:dyDescent="0.1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4.25" customHeight="1" x14ac:dyDescent="0.1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4.25" customHeight="1" x14ac:dyDescent="0.1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4.25" customHeight="1" x14ac:dyDescent="0.1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4.25" customHeight="1" x14ac:dyDescent="0.1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4.25" customHeight="1" x14ac:dyDescent="0.1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4.25" customHeight="1" x14ac:dyDescent="0.1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4.25" customHeight="1" x14ac:dyDescent="0.1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4.25" customHeight="1" x14ac:dyDescent="0.1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4.25" customHeight="1" x14ac:dyDescent="0.1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4.25" customHeight="1" x14ac:dyDescent="0.1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4.25" customHeight="1" x14ac:dyDescent="0.1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4.25" customHeight="1" x14ac:dyDescent="0.1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4.25" customHeight="1" x14ac:dyDescent="0.1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4.25" customHeight="1" x14ac:dyDescent="0.1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4.25" customHeight="1" x14ac:dyDescent="0.1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4.25" customHeight="1" x14ac:dyDescent="0.1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4.25" customHeight="1" x14ac:dyDescent="0.1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4.25" customHeight="1" x14ac:dyDescent="0.1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4.25" customHeight="1" x14ac:dyDescent="0.1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4.25" customHeight="1" x14ac:dyDescent="0.1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4.25" customHeight="1" x14ac:dyDescent="0.1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4.25" customHeight="1" x14ac:dyDescent="0.1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4.25" customHeight="1" x14ac:dyDescent="0.1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4.25" customHeight="1" x14ac:dyDescent="0.1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4.25" customHeight="1" x14ac:dyDescent="0.1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4.25" customHeight="1" x14ac:dyDescent="0.1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4.25" customHeight="1" x14ac:dyDescent="0.1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4.25" customHeight="1" x14ac:dyDescent="0.1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4.25" customHeight="1" x14ac:dyDescent="0.1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4.25" customHeight="1" x14ac:dyDescent="0.1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4.25" customHeight="1" x14ac:dyDescent="0.1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4.25" customHeight="1" x14ac:dyDescent="0.1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4.25" customHeight="1" x14ac:dyDescent="0.1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4.25" customHeight="1" x14ac:dyDescent="0.1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4.25" customHeight="1" x14ac:dyDescent="0.1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4.25" customHeight="1" x14ac:dyDescent="0.1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4.25" customHeight="1" x14ac:dyDescent="0.1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4.25" customHeight="1" x14ac:dyDescent="0.1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4.25" customHeight="1" x14ac:dyDescent="0.1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4.25" customHeight="1" x14ac:dyDescent="0.1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4.25" customHeight="1" x14ac:dyDescent="0.1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4.25" customHeight="1" x14ac:dyDescent="0.1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4.25" customHeight="1" x14ac:dyDescent="0.1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4.25" customHeight="1" x14ac:dyDescent="0.1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4.25" customHeight="1" x14ac:dyDescent="0.1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4.25" customHeight="1" x14ac:dyDescent="0.1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4.25" customHeight="1" x14ac:dyDescent="0.1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4.25" customHeight="1" x14ac:dyDescent="0.1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4.25" customHeight="1" x14ac:dyDescent="0.1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4.25" customHeight="1" x14ac:dyDescent="0.1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4.25" customHeight="1" x14ac:dyDescent="0.1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4.25" customHeight="1" x14ac:dyDescent="0.1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4.25" customHeight="1" x14ac:dyDescent="0.1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4.25" customHeight="1" x14ac:dyDescent="0.1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4.25" customHeight="1" x14ac:dyDescent="0.1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4.25" customHeight="1" x14ac:dyDescent="0.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4.25" customHeight="1" x14ac:dyDescent="0.1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4.25" customHeight="1" x14ac:dyDescent="0.1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4.25" customHeight="1" x14ac:dyDescent="0.1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4.25" customHeight="1" x14ac:dyDescent="0.1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4.25" customHeight="1" x14ac:dyDescent="0.1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4.25" customHeight="1" x14ac:dyDescent="0.1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4.25" customHeight="1" x14ac:dyDescent="0.1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4.25" customHeight="1" x14ac:dyDescent="0.1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4.25" customHeight="1" x14ac:dyDescent="0.1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4.25" customHeight="1" x14ac:dyDescent="0.1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4.25" customHeight="1" x14ac:dyDescent="0.1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4.25" customHeight="1" x14ac:dyDescent="0.1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4.25" customHeight="1" x14ac:dyDescent="0.1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4.25" customHeight="1" x14ac:dyDescent="0.1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4.25" customHeight="1" x14ac:dyDescent="0.1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4.25" customHeight="1" x14ac:dyDescent="0.1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4.25" customHeight="1" x14ac:dyDescent="0.1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4.25" customHeight="1" x14ac:dyDescent="0.1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4.25" customHeight="1" x14ac:dyDescent="0.1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4.25" customHeight="1" x14ac:dyDescent="0.1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4.25" customHeight="1" x14ac:dyDescent="0.1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4.25" customHeight="1" x14ac:dyDescent="0.1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4.25" customHeight="1" x14ac:dyDescent="0.1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4.25" customHeight="1" x14ac:dyDescent="0.1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4.25" customHeight="1" x14ac:dyDescent="0.1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4.25" customHeight="1" x14ac:dyDescent="0.1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4.25" customHeight="1" x14ac:dyDescent="0.1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4.25" customHeight="1" x14ac:dyDescent="0.1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4.25" customHeight="1" x14ac:dyDescent="0.1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4.25" customHeight="1" x14ac:dyDescent="0.1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4.25" customHeight="1" x14ac:dyDescent="0.1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4.25" customHeight="1" x14ac:dyDescent="0.1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4.25" customHeight="1" x14ac:dyDescent="0.1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4.25" customHeight="1" x14ac:dyDescent="0.1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4.25" customHeight="1" x14ac:dyDescent="0.1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4.25" customHeight="1" x14ac:dyDescent="0.1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4.25" customHeight="1" x14ac:dyDescent="0.1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4.25" customHeight="1" x14ac:dyDescent="0.1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4.25" customHeight="1" x14ac:dyDescent="0.1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4.25" customHeight="1" x14ac:dyDescent="0.1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4.25" customHeight="1" x14ac:dyDescent="0.1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4.25" customHeight="1" x14ac:dyDescent="0.1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4.25" customHeight="1" x14ac:dyDescent="0.1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4.25" customHeight="1" x14ac:dyDescent="0.1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4.25" customHeight="1" x14ac:dyDescent="0.1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4.25" customHeight="1" x14ac:dyDescent="0.1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4.25" customHeight="1" x14ac:dyDescent="0.1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4.25" customHeight="1" x14ac:dyDescent="0.1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4.25" customHeight="1" x14ac:dyDescent="0.1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4.25" customHeight="1" x14ac:dyDescent="0.1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4.25" customHeight="1" x14ac:dyDescent="0.1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4.25" customHeight="1" x14ac:dyDescent="0.1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4.25" customHeight="1" x14ac:dyDescent="0.1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4.25" customHeight="1" x14ac:dyDescent="0.1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4.25" customHeight="1" x14ac:dyDescent="0.1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4.25" customHeight="1" x14ac:dyDescent="0.1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4.25" customHeight="1" x14ac:dyDescent="0.1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4.25" customHeight="1" x14ac:dyDescent="0.1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4.25" customHeight="1" x14ac:dyDescent="0.1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4.25" customHeight="1" x14ac:dyDescent="0.1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4.25" customHeight="1" x14ac:dyDescent="0.1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4.25" customHeight="1" x14ac:dyDescent="0.1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4.25" customHeight="1" x14ac:dyDescent="0.1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4.25" customHeight="1" x14ac:dyDescent="0.1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4.25" customHeight="1" x14ac:dyDescent="0.1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4.25" customHeight="1" x14ac:dyDescent="0.1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4.25" customHeight="1" x14ac:dyDescent="0.1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4.25" customHeight="1" x14ac:dyDescent="0.1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4.25" customHeight="1" x14ac:dyDescent="0.1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4.25" customHeight="1" x14ac:dyDescent="0.1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4.25" customHeight="1" x14ac:dyDescent="0.1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4.25" customHeight="1" x14ac:dyDescent="0.1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4.25" customHeight="1" x14ac:dyDescent="0.1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4.25" customHeight="1" x14ac:dyDescent="0.1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4.25" customHeight="1" x14ac:dyDescent="0.1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4.25" customHeight="1" x14ac:dyDescent="0.1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4.25" customHeight="1" x14ac:dyDescent="0.15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4.25" customHeight="1" x14ac:dyDescent="0.15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4.25" customHeight="1" x14ac:dyDescent="0.15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4.25" customHeight="1" x14ac:dyDescent="0.1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4.25" customHeight="1" x14ac:dyDescent="0.15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4.25" customHeight="1" x14ac:dyDescent="0.15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4.25" customHeight="1" x14ac:dyDescent="0.15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4.25" customHeight="1" x14ac:dyDescent="0.15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4.25" customHeight="1" x14ac:dyDescent="0.15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4.25" customHeight="1" x14ac:dyDescent="0.15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4.25" customHeight="1" x14ac:dyDescent="0.15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4.25" customHeight="1" x14ac:dyDescent="0.15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4.25" customHeight="1" x14ac:dyDescent="0.1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4.25" customHeight="1" x14ac:dyDescent="0.1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4.25" customHeight="1" x14ac:dyDescent="0.1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4.25" customHeight="1" x14ac:dyDescent="0.1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4.25" customHeight="1" x14ac:dyDescent="0.1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4.25" customHeight="1" x14ac:dyDescent="0.1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4.25" customHeight="1" x14ac:dyDescent="0.1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4.25" customHeight="1" x14ac:dyDescent="0.1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4.25" customHeight="1" x14ac:dyDescent="0.1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4.25" customHeight="1" x14ac:dyDescent="0.1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4.25" customHeight="1" x14ac:dyDescent="0.1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4.25" customHeight="1" x14ac:dyDescent="0.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4.25" customHeight="1" x14ac:dyDescent="0.1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4.25" customHeight="1" x14ac:dyDescent="0.1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4.25" customHeight="1" x14ac:dyDescent="0.1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4.25" customHeight="1" x14ac:dyDescent="0.1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4.25" customHeight="1" x14ac:dyDescent="0.1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4.25" customHeight="1" x14ac:dyDescent="0.1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4.25" customHeight="1" x14ac:dyDescent="0.1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4.25" customHeight="1" x14ac:dyDescent="0.1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4.25" customHeight="1" x14ac:dyDescent="0.1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4.25" customHeight="1" x14ac:dyDescent="0.1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4.25" customHeight="1" x14ac:dyDescent="0.1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4.25" customHeight="1" x14ac:dyDescent="0.1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4.25" customHeight="1" x14ac:dyDescent="0.1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4.25" customHeight="1" x14ac:dyDescent="0.1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4.25" customHeight="1" x14ac:dyDescent="0.1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4.25" customHeight="1" x14ac:dyDescent="0.1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4.25" customHeight="1" x14ac:dyDescent="0.1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4.25" customHeight="1" x14ac:dyDescent="0.1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4.25" customHeight="1" x14ac:dyDescent="0.1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4.25" customHeight="1" x14ac:dyDescent="0.1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4.25" customHeight="1" x14ac:dyDescent="0.1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4.25" customHeight="1" x14ac:dyDescent="0.1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4.25" customHeight="1" x14ac:dyDescent="0.1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4.25" customHeight="1" x14ac:dyDescent="0.1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4.25" customHeight="1" x14ac:dyDescent="0.1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4.25" customHeight="1" x14ac:dyDescent="0.1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4.25" customHeight="1" x14ac:dyDescent="0.1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4.25" customHeight="1" x14ac:dyDescent="0.1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4.25" customHeight="1" x14ac:dyDescent="0.1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4.25" customHeight="1" x14ac:dyDescent="0.1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4.25" customHeight="1" x14ac:dyDescent="0.1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4.25" customHeight="1" x14ac:dyDescent="0.1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4.25" customHeight="1" x14ac:dyDescent="0.1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4.25" customHeight="1" x14ac:dyDescent="0.1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4.25" customHeight="1" x14ac:dyDescent="0.1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4.25" customHeight="1" x14ac:dyDescent="0.1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4.25" customHeight="1" x14ac:dyDescent="0.1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4.25" customHeight="1" x14ac:dyDescent="0.1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4.25" customHeight="1" x14ac:dyDescent="0.1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4.25" customHeight="1" x14ac:dyDescent="0.1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4.25" customHeight="1" x14ac:dyDescent="0.1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4.25" customHeight="1" x14ac:dyDescent="0.1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4.25" customHeight="1" x14ac:dyDescent="0.1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4.25" customHeight="1" x14ac:dyDescent="0.1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4.25" customHeight="1" x14ac:dyDescent="0.1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4.25" customHeight="1" x14ac:dyDescent="0.1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4.25" customHeight="1" x14ac:dyDescent="0.1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4.25" customHeight="1" x14ac:dyDescent="0.1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4.25" customHeight="1" x14ac:dyDescent="0.1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4.25" customHeight="1" x14ac:dyDescent="0.1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4.25" customHeight="1" x14ac:dyDescent="0.1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4.25" customHeight="1" x14ac:dyDescent="0.1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4.25" customHeight="1" x14ac:dyDescent="0.1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4.25" customHeight="1" x14ac:dyDescent="0.1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4.25" customHeight="1" x14ac:dyDescent="0.1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4.25" customHeight="1" x14ac:dyDescent="0.1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4.25" customHeight="1" x14ac:dyDescent="0.1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4.25" customHeight="1" x14ac:dyDescent="0.1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4.25" customHeight="1" x14ac:dyDescent="0.1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4.25" customHeight="1" x14ac:dyDescent="0.1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14.25" customHeight="1" x14ac:dyDescent="0.1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14.25" customHeight="1" x14ac:dyDescent="0.1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14.25" customHeight="1" x14ac:dyDescent="0.1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14.25" customHeight="1" x14ac:dyDescent="0.1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14.25" customHeight="1" x14ac:dyDescent="0.1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14.25" customHeight="1" x14ac:dyDescent="0.1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14.25" customHeight="1" x14ac:dyDescent="0.1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14.25" customHeight="1" x14ac:dyDescent="0.1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14.25" customHeight="1" x14ac:dyDescent="0.1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14.25" customHeight="1" x14ac:dyDescent="0.1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14.25" customHeight="1" x14ac:dyDescent="0.1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14.25" customHeight="1" x14ac:dyDescent="0.1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14.25" customHeight="1" x14ac:dyDescent="0.1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14.25" customHeight="1" x14ac:dyDescent="0.1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14.25" customHeight="1" x14ac:dyDescent="0.1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14.25" customHeight="1" x14ac:dyDescent="0.1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14.25" customHeight="1" x14ac:dyDescent="0.1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14.25" customHeight="1" x14ac:dyDescent="0.1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ht="14.25" customHeight="1" x14ac:dyDescent="0.1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ht="14.25" customHeight="1" x14ac:dyDescent="0.1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ht="14.25" customHeight="1" x14ac:dyDescent="0.15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ht="14.25" customHeight="1" x14ac:dyDescent="0.15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ht="14.25" customHeight="1" x14ac:dyDescent="0.15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ht="14.25" customHeight="1" x14ac:dyDescent="0.15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ht="14.25" customHeight="1" x14ac:dyDescent="0.15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1">
    <mergeCell ref="G3:J3"/>
  </mergeCells>
  <pageMargins left="0.7" right="0.7" top="0.75" bottom="0.75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0"/>
  <sheetViews>
    <sheetView showGridLines="0" topLeftCell="H10" zoomScale="80" zoomScaleNormal="80" workbookViewId="0">
      <selection activeCell="E26" sqref="E26"/>
    </sheetView>
  </sheetViews>
  <sheetFormatPr baseColWidth="10" defaultColWidth="12.6640625" defaultRowHeight="15" customHeight="1" x14ac:dyDescent="0.15"/>
  <cols>
    <col min="1" max="1" width="18.1640625" customWidth="1"/>
    <col min="2" max="2" width="12.1640625" customWidth="1"/>
    <col min="3" max="3" width="11.1640625" customWidth="1"/>
    <col min="4" max="4" width="12.1640625" customWidth="1"/>
    <col min="5" max="5" width="17.5" customWidth="1"/>
    <col min="6" max="6" width="11.1640625" customWidth="1"/>
    <col min="7" max="7" width="21.33203125" customWidth="1"/>
    <col min="8" max="8" width="18.33203125" bestFit="1" customWidth="1"/>
    <col min="9" max="10" width="11.33203125" customWidth="1"/>
    <col min="11" max="11" width="11.5" customWidth="1"/>
    <col min="12" max="16" width="11.1640625" customWidth="1"/>
    <col min="17" max="17" width="31" customWidth="1"/>
    <col min="18" max="18" width="21.6640625" customWidth="1"/>
    <col min="19" max="19" width="21.83203125" customWidth="1"/>
    <col min="20" max="20" width="14.1640625" customWidth="1"/>
    <col min="21" max="25" width="11.1640625" customWidth="1"/>
  </cols>
  <sheetData>
    <row r="1" spans="1:25" x14ac:dyDescent="0.2">
      <c r="A1" s="1"/>
      <c r="B1" s="1"/>
      <c r="C1" s="1"/>
      <c r="D1" s="1"/>
      <c r="E1" s="1"/>
      <c r="F1" s="1"/>
      <c r="G1" s="83"/>
      <c r="H1" s="1"/>
      <c r="I1" s="1"/>
      <c r="J1" s="1"/>
      <c r="K1" s="1"/>
      <c r="L1" s="1"/>
      <c r="M1" s="1"/>
      <c r="N1" s="1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</row>
    <row r="2" spans="1:25" ht="15" customHeight="1" x14ac:dyDescent="0.2">
      <c r="A2" s="361" t="s">
        <v>4</v>
      </c>
      <c r="B2" s="381" t="s">
        <v>125</v>
      </c>
      <c r="C2" s="382"/>
      <c r="D2" s="383"/>
      <c r="E2" s="389" t="s">
        <v>126</v>
      </c>
      <c r="F2" s="361" t="s">
        <v>24</v>
      </c>
      <c r="G2" s="371" t="s">
        <v>127</v>
      </c>
      <c r="H2" s="359" t="s">
        <v>128</v>
      </c>
      <c r="I2" s="360"/>
      <c r="J2" s="361" t="s">
        <v>129</v>
      </c>
      <c r="K2" s="363" t="s">
        <v>130</v>
      </c>
      <c r="L2" s="359" t="s">
        <v>131</v>
      </c>
      <c r="M2" s="365"/>
      <c r="N2" s="360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</row>
    <row r="3" spans="1:25" ht="30" customHeight="1" x14ac:dyDescent="0.2">
      <c r="A3" s="380"/>
      <c r="B3" s="384"/>
      <c r="C3" s="385"/>
      <c r="D3" s="386"/>
      <c r="E3" s="390"/>
      <c r="F3" s="362"/>
      <c r="G3" s="362"/>
      <c r="H3" s="5" t="s">
        <v>132</v>
      </c>
      <c r="I3" s="5" t="s">
        <v>133</v>
      </c>
      <c r="J3" s="362"/>
      <c r="K3" s="362"/>
      <c r="L3" s="65" t="s">
        <v>134</v>
      </c>
      <c r="M3" s="5" t="s">
        <v>135</v>
      </c>
      <c r="N3" s="65" t="s">
        <v>136</v>
      </c>
      <c r="O3" s="84"/>
      <c r="P3" s="84"/>
      <c r="Q3" s="84"/>
      <c r="R3" s="84"/>
      <c r="S3" s="84"/>
      <c r="T3" s="84"/>
      <c r="U3" s="83"/>
      <c r="V3" s="84"/>
      <c r="W3" s="84"/>
      <c r="X3" s="84"/>
      <c r="Y3" s="84"/>
    </row>
    <row r="4" spans="1:25" x14ac:dyDescent="0.2">
      <c r="A4" s="85" t="s">
        <v>137</v>
      </c>
      <c r="B4" s="86"/>
      <c r="C4" s="86"/>
      <c r="D4" s="86"/>
      <c r="E4" s="87"/>
      <c r="F4" s="34">
        <f>AH!W6</f>
        <v>0</v>
      </c>
      <c r="G4" s="88">
        <f>IF(F4&lt;=AV!$T$6,AV!$C$5,IF(RASANTE!F4&lt;=AV!$T$8,AV!$C$7,IF(RASANTE!F4&lt;=AV!$T$10,AV!$C$9,IF(RASANTE!F4&lt;=AV!$T$12,AV!#REF!,IF(RASANTE!F4&lt;=AV!$T$14,AV!$C$11,IF(RASANTE!F4&lt;=AV!$T$16,AV!$C$13, IF(RASANTE!F4&lt;=AV!$T$18,AV!$C$15,IF(RASANTE!F4&lt;=AV!$T$20,AV!$C$19,IF(RASANTE!F4&lt;=AV!$T$22,AV!$C$21,IF(RASANTE!F4&lt;=AV!$T$24,AV!$C$23,AV!$C$25))))))))))</f>
        <v>3.1419999999999999</v>
      </c>
      <c r="H4" s="28">
        <f>+IF(AND(AH!$H$8="Izquierda",RASANTE!F4&lt;=PERALTE!$AB$6),IF(RASANTE!F4&lt;=PERALTE!$S$6,-2,IF(RASANTE!F4&lt;=PERALTE!$U$6,(-6/(PERALTE!$U$6-PERALTE!$S$6)*(RASANTE!F4-PERALTE!$S$6)-2),IF(RASANTE!F4&lt;=PERALTE!$X$6,-8,IF(RASANTE!F4&lt;=PERALTE!$Z$6,(-6/(PERALTE!$X$6-PERALTE!$Z$6)*(RASANTE!F4-PERALTE!$Z$6)-2),IF(RASANTE!F4&lt;=PERALTE!$AB$6,-2))))),IF(AND(AH!$H$8="Derecha",RASANTE!F4&lt;=PERALTE!$AB$6),IF(RASANTE!F4&lt;=PERALTE!$Q$6,-2,IF(RASANTE!F4&lt;=PERALTE!$U$6,(10/(PERALTE!$U$6-PERALTE!$Q$6)*(RASANTE!F4-PERALTE!$Q$6)-2),IF(RASANTE!F4&lt;=PERALTE!$X$6,8,IF(RASANTE!F4&lt;=PERALTE!$AB$6,(10/(PERALTE!$X$6-PERALTE!$AB$6)*(RASANTE!F4-PERALTE!$AB$6)-2))))),IF(AND(AH!$H$10="Izquierda",RASANTE!F4&lt;=PERALTE!$AB$8),IF(RASANTE!F4&lt;=PERALTE!$S$8,-2,IF(RASANTE!F4&lt;=PERALTE!$U$8,(-6/(PERALTE!$U$8-PERALTE!$S$8)*(RASANTE!F4-PERALTE!$S$8)-2),IF(RASANTE!F4&lt;=PERALTE!$X$8,-8,IF(RASANTE!F4&lt;=PERALTE!$Z$8,(-6/(PERALTE!$X$8-PERALTE!$Z$8)*(RASANTE!F4-PERALTE!$Z$8)-2),IF(RASANTE!F4&lt;=PERALTE!$AB$8,-2))))),IF(AND(AH!$H$10="Derecha",RASANTE!F4&lt;=PERALTE!$AB$8),IF(RASANTE!F4&lt;=PERALTE!$Q$8,-2,IF(RASANTE!F4&lt;=PERALTE!$U$8,(10/(PERALTE!$U$8-PERALTE!$Q$8)*(RASANTE!F4-PERALTE!$Q$8)-2),IF(RASANTE!F4&lt;=PERALTE!$X$8,8,IF(RASANTE!F4&lt;=PERALTE!$AB$8,(10/(PERALTE!$X$8-PERALTE!$AB$8)*(RASANTE!F4-PERALTE!$AB$8)-2))))),IF(AND(AH!$H$12="Izquierda",RASANTE!F4&lt;=PERALTE!$AB$10),IF(RASANTE!F4&lt;=PERALTE!$S$10,-2,IF(RASANTE!F4&lt;=PERALTE!$U$10,(-6/(PERALTE!$U$10-PERALTE!$S$10)*(RASANTE!F4-PERALTE!$S$10)-2),IF(RASANTE!F4&lt;=PERALTE!$X$10,-8,IF(RASANTE!F4&lt;=PERALTE!$Z$10,(-6/(PERALTE!$X$10-PERALTE!$Z$10)*(RASANTE!F4-PERALTE!$Z$10)-2),IF(RASANTE!F4&lt;=PERALTE!$AB$10,-2))))),IF(AND(AH!$H$12="Derecha",RASANTE!F4&lt;=PERALTE!$AB$10),IF(RASANTE!F4&lt;=PERALTE!$Q$10,-2,IF(RASANTE!F4&lt;=PERALTE!$U$10,(10/(PERALTE!$U$10-PERALTE!$Q$10)*(RASANTE!F4-PERALTE!$Q$10)-2),IF(RASANTE!F4&lt;=PERALTE!$X$10,8,IF(RASANTE!F4&lt;=PERALTE!$AB$10,(10/(PERALTE!$X$10-PERALTE!$AB$10)*(RASANTE!F4-PERALTE!$AB$10)-2))))),IF(AND(AH!$H$14="Izquierda",RASANTE!F4&lt;=PERALTE!$AB$12),IF(RASANTE!F4&lt;=PERALTE!$S$12,-2,IF(RASANTE!F4&lt;=PERALTE!$U$12,(-6/(PERALTE!$U$12-PERALTE!$S$12)*(RASANTE!F4-PERALTE!$S$12)-2),IF(RASANTE!F4&lt;=PERALTE!$X$12,-8,IF(RASANTE!F4&lt;=PERALTE!$Z$12,(-6/(PERALTE!$X$12-PERALTE!$Z$12)*(RASANTE!F4-PERALTE!$Z$12)-2),IF(RASANTE!F4&lt;=PERALTE!$AB$12,-2))))),IF(AND(AH!$H$14="Derecha",RASANTE!F4&lt;=PERALTE!$AB$12),IF(RASANTE!F4&lt;=PERALTE!$Q$12,-2,IF(RASANTE!F4&lt;=PERALTE!$U$12,(10/(PERALTE!$U$12-PERALTE!$Q$12)*(RASANTE!F4-PERALTE!$Q$12)-2),IF(RASANTE!F4&lt;=PERALTE!$X$12,8,IF(RASANTE!F4&lt;=PERALTE!$AB$12,(10/(PERALTE!$X$12-PERALTE!$AB$12)*(RASANTE!F4-PERALTE!$AB$12)-2))))),IF(AND(AH!$H$16="Izquierda",RASANTE!F4&lt;=PERALTE!$AB$14),IF(RASANTE!F4&lt;=PERALTE!$S$14,-2,IF(RASANTE!F4&lt;=PERALTE!$U$14,(-6/(PERALTE!$U$14-PERALTE!$S$14)*(RASANTE!F4-PERALTE!$S$14)-2),IF(RASANTE!F4&lt;=PERALTE!$X$14,-8,IF(RASANTE!F4&lt;=PERALTE!$Z$14,(-6/(PERALTE!$X$14-PERALTE!$Z$14)*(RASANTE!F4-PERALTE!$Z$14)-2),IF(RASANTE!F4&lt;=PERALTE!$AB$14,-2))))),IF(AND(AH!$H$16="Derecha",RASANTE!F4&lt;=PERALTE!$AB$14),IF(RASANTE!F4&lt;=PERALTE!$Q$14,-2,IF(RASANTE!F4&lt;=PERALTE!$U$14,(10/(PERALTE!$U$14-PERALTE!$Q$14)*(RASANTE!F4-PERALTE!$Q$14)-2),IF(RASANTE!F4&lt;=PERALTE!$X$14,8,IF(RASANTE!F4&lt;=PERALTE!$AB$14,(10/(PERALTE!$X$14-PERALTE!$AB$14)*(RASANTE!F4-PERALTE!$AB$14)-2))))),IF(AND(AH!$H$18="Izquierda",RASANTE!F4&lt;=PERALTE!$AB$16),IF(RASANTE!F4&lt;=PERALTE!$S$16,-2,IF(RASANTE!F4&lt;=PERALTE!$U$16,(-6/(PERALTE!$U$16-PERALTE!$S$16)*(RASANTE!F4-PERALTE!$S$16)-2),IF(RASANTE!F4&lt;=PERALTE!$X$16,-8,IF(RASANTE!F4&lt;=PERALTE!$Z$16,(-6/(PERALTE!$X$16-PERALTE!$Z$16)*(RASANTE!F4-PERALTE!$Z$16)-2),IF(RASANTE!F4&lt;=PERALTE!$AB$16,-2))))),IF(AND(AH!$H$18="Derecha",RASANTE!F4&lt;=PERALTE!$AB$16),IF(RASANTE!F4&lt;=PERALTE!$Q$16,-2,IF(RASANTE!F4&lt;=PERALTE!$U$16,(10/(PERALTE!$U$16-PERALTE!$Q$16)*(RASANTE!F4-PERALTE!$Q$16)-2),IF(RASANTE!F4&lt;=PERALTE!$X$16,8,IF(RASANTE!F4&lt;=PERALTE!$AB$16,(10/(PERALTE!$X$16-PERALTE!$AB$16)*(RASANTE!F4-PERALTE!$AB$16)-2))))),IF(AND(AH!$H$20="Izquierda",RASANTE!F4&lt;=PERALTE!$AB$18),IF(RASANTE!F4&lt;=PERALTE!$S$18,-2,IF(RASANTE!F4&lt;=PERALTE!$U$18,(-6/(PERALTE!$U$18-PERALTE!$S$18)*(RASANTE!F4-PERALTE!$S$18)-2),IF(RASANTE!F4&lt;=PERALTE!$X$18,-8,IF(RASANTE!F4&lt;=PERALTE!$Z$18,(-6/(PERALTE!$X$18-PERALTE!$Z$18)*(RASANTE!F4-PERALTE!$Z$18)-2),IF(RASANTE!F4&lt;=PERALTE!$AB$18,-2))))),IF(AND(AH!$H$20="Derecha",RASANTE!F4&lt;=PERALTE!$AB$18),IF(RASANTE!F4&lt;=PERALTE!$Q$18,-2,IF(RASANTE!F4&lt;=PERALTE!$U$18,(10/(PERALTE!$U$18-PERALTE!$Q$18)*(RASANTE!F4-PERALTE!$Q$18)-2),IF(RASANTE!F4&lt;=PERALTE!$X$18,8,IF(RASANTE!F4&lt;=PERALTE!$AB$18,(10/(PERALTE!$X$18-PERALTE!$AB$18)*(RASANTE!F4-PERALTE!$AB$18)-2))))),IF(AND(AH!$H$24="Izquierda",RASANTE!F4&lt;=PERALTE!$AB$22),IF(RASANTE!F4&lt;=PERALTE!$S$22,-2,IF(RASANTE!F4&lt;=PERALTE!$U$22,(-6/(PERALTE!$U$22-PERALTE!$S$22)*(RASANTE!F4-PERALTE!$S$22)-2),IF(RASANTE!F4&lt;=PERALTE!$X$22,-8,IF(RASANTE!F4&lt;=PERALTE!$Z$22,(-6/(PERALTE!$X$22-PERALTE!$Z$22)*(RASANTE!F4-PERALTE!$Z$22)-2),IF(RASANTE!F4&lt;=PERALTE!$AB$22,-2))))),IF(AND(AH!$H$24="Derecha",RASANTE!F4&lt;=PERALTE!$AB$22),IF(RASANTE!F4&lt;=PERALTE!$Q$22,-2,IF(RASANTE!F4&lt;=PERALTE!$U$22,(10/(PERALTE!$U$22-PERALTE!$Q$22)*(RASANTE!F4-PERALTE!$Q$22)-2),IF(RASANTE!F4&lt;=PERALTE!$X$22,8,IF(RASANTE!F4&lt;=PERALTE!$AB$22,(10/(PERALTE!$X$22-PERALTE!$AB$22)*(RASANTE!F4-PERALTE!$AB$22)-2))))),IF(AND(AH!#REF!="Izquierda",RASANTE!F4&lt;=PERALTE!#REF!),IF(RASANTE!F4&lt;=PERALTE!#REF!,-2,IF(RASANTE!F4&lt;=PERALTE!#REF!,(-6/(PERALTE!#REF!-PERALTE!#REF!)*(RASANTE!F4-PERALTE!#REF!)-2),IF(RASANTE!F4&lt;=PERALTE!#REF!,-8,IF(RASANTE!F4&lt;=PERALTE!#REF!,(-6/(PERALTE!#REF!-PERALTE!#REF!)*(RASANTE!F4-PERALTE!#REF!)-2),IF(RASANTE!F4&lt;=PERALTE!#REF!,-2))))),IF(AND(AH!#REF!="Derecha",RASANTE!F4&lt;=PERALTE!#REF!),IF(RASANTE!F4&lt;=PERALTE!#REF!,-2,IF(RASANTE!F4&lt;=PERALTE!#REF!,(10/(PERALTE!#REF!-PERALTE!#REF!)*(RASANTE!F4-PERALTE!#REF!)-2),IF(RASANTE!F4&lt;=PERALTE!#REF!,8,IF(RASANTE!F4&lt;=PERALTE!#REF!,(10/(PERALTE!#REF!-PERALTE!#REF!)*(RASANTE!F4-PERALTE!#REF!)-2))))),IF(AND(AH!#REF!="Izquierda",RASANTE!F4&lt;=PERALTE!$AB$26),IF(RASANTE!F4&lt;=PERALTE!$S$26,-2,IF(RASANTE!F4&lt;=PERALTE!$U$26,(-6/(PERALTE!$U$26-PERALTE!$S$26)*(RASANTE!F4-PERALTE!$S$26)-2),IF(RASANTE!F4&lt;=PERALTE!$X$26,-8,IF(RASANTE!F4&lt;=PERALTE!$Z$26,(-6/(PERALTE!$X$26-PERALTE!$Z$26)*(RASANTE!F4-PERALTE!$Z$26)-2),IF(RASANTE!F4&lt;=PERALTE!$AB$26,-2))))),IF(AND(AH!#REF!="Derecha",RASANTE!F4&lt;=PERALTE!$AB$26),IF(RASANTE!F4&lt;=PERALTE!$Q$26,-2,IF(RASANTE!F4&lt;=PERALTE!$U$26,(10/(PERALTE!$U$26-PERALTE!$Q$26)*(RASANTE!F4-PERALTE!$Q$26)-2),IF(RASANTE!F4&lt;=PERALTE!$X$26,8,IF(RASANTE!F4&lt;=PERALTE!$AB$26,(10/(PERALTE!$X$26-PERALTE!$AB$26)*(RASANTE!F4-PERALTE!$AB$26)-2))))),IF(F4&lt;=PERALTE!#REF!,-2,"Abscisa fuera de la vía")))))))))))))))))))))</f>
        <v>-2</v>
      </c>
      <c r="I4" s="28">
        <f>+IF(AND(AH!$H$8="Derecha",RASANTE!F4&lt;=PERALTE!$AB$6),IF(RASANTE!F4&lt;=PERALTE!$S$6,-2,IF(RASANTE!F4&lt;=PERALTE!$U$6,(-6/(PERALTE!$U$6-PERALTE!$S$6)*(RASANTE!F4-PERALTE!$S$6)-2),IF(RASANTE!F4&lt;=PERALTE!$X$6,-8,IF(RASANTE!F4&lt;=PERALTE!$Z$6,(-6/(PERALTE!$X$6-PERALTE!$Z$6)*(RASANTE!F4-PERALTE!$Z$6)-2),IF(RASANTE!F4&lt;=PERALTE!$AB$6,-2))))),IF(AND(AH!$H$8="Izquierda",RASANTE!F4&lt;=PERALTE!$AB$6),IF(RASANTE!F4&lt;=PERALTE!$Q$6,-2,IF(RASANTE!F4&lt;=PERALTE!$U$6,(10/(PERALTE!$U$6-PERALTE!$Q$6)*(RASANTE!F4-PERALTE!$Q$6)-2),IF(RASANTE!F4&lt;=PERALTE!$X$6,8,IF(RASANTE!F4&lt;=PERALTE!$AB$6,(10/(PERALTE!$X$6-PERALTE!$AB$6)*(RASANTE!F4-PERALTE!$AB$6)-2))))),IF(AND(AH!$H$10="Derecha",RASANTE!F4&lt;=PERALTE!$AB$8),IF(RASANTE!F4&lt;=PERALTE!$S$8,-2,IF(RASANTE!F4&lt;=PERALTE!$U$8,(-6/(PERALTE!$U$8-PERALTE!$S$8)*(RASANTE!F4-PERALTE!$S$8)-2),IF(RASANTE!F4&lt;=PERALTE!$X$8,-8,IF(RASANTE!F4&lt;=PERALTE!$Z$8,(-6/(PERALTE!$X$8-PERALTE!$Z$8)*(RASANTE!F4-PERALTE!$Z$8)-2),IF(RASANTE!F4&lt;=PERALTE!$AB$8,-2))))),IF(AND(AH!$H$10="Izquierda",RASANTE!F4&lt;=PERALTE!$AB$8),IF(RASANTE!F4&lt;=PERALTE!$Q$8,-2,IF(RASANTE!F4&lt;=PERALTE!$U$8,(10/(PERALTE!$U$8-PERALTE!$Q$8)*(RASANTE!F4-PERALTE!$Q$8)-2),IF(RASANTE!F4&lt;=PERALTE!$X$8,8,IF(RASANTE!F4&lt;=PERALTE!$AB$8,(10/(PERALTE!$X$8-PERALTE!$AB$8)*(RASANTE!F4-PERALTE!$AB$8)-2))))),IF(AND(AH!$H$12="Derecha",RASANTE!F4&lt;=PERALTE!$AB$10),IF(RASANTE!F4&lt;=PERALTE!$S$10,-2,IF(RASANTE!F4&lt;=PERALTE!$U$10,(-6/(PERALTE!$U$10-PERALTE!$S$10)*(RASANTE!F4-PERALTE!$S$10)-2),IF(RASANTE!F4&lt;=PERALTE!$X$10,-8,IF(RASANTE!F4&lt;=PERALTE!$Z$10,(-6/(PERALTE!$X$10-PERALTE!$Z$10)*(RASANTE!F4-PERALTE!$Z$10)-2),IF(RASANTE!F4&lt;=PERALTE!$AB$10,-2))))),IF(AND(AH!$H$12="Izquierda",RASANTE!F4&lt;=PERALTE!$AB$10),IF(RASANTE!F4&lt;=PERALTE!$Q$10,-2,IF(RASANTE!F4&lt;=PERALTE!$U$10,(10/(PERALTE!$U$10-PERALTE!$Q$10)*(RASANTE!F4-PERALTE!$Q$10)-2),IF(RASANTE!F4&lt;=PERALTE!$X$10,8,IF(RASANTE!F4&lt;=PERALTE!$AB$10,(10/(PERALTE!$X$10-PERALTE!$AB$10)*(RASANTE!F4-PERALTE!$AB$10)-2))))),IF(AND(AH!$H$14="Derecha",RASANTE!F4&lt;=PERALTE!$AB$12),IF(RASANTE!F4&lt;=PERALTE!$S$12,-2,IF(RASANTE!F4&lt;=PERALTE!$U$12,(-6/(PERALTE!$U$12-PERALTE!$S$12)*(RASANTE!F4-PERALTE!$S$12)-2),IF(RASANTE!F4&lt;=PERALTE!$X$12,-8,IF(RASANTE!F4&lt;=PERALTE!$Z$12,(-6/(PERALTE!$X$12-PERALTE!$Z$12)*(RASANTE!F4-PERALTE!$Z$12)-2),IF(RASANTE!F4&lt;=PERALTE!$AB$12,-2))))),IF(AND(AH!$H$14="Izquierda",RASANTE!F4&lt;=PERALTE!$AB$12),IF(RASANTE!F4&lt;=PERALTE!$Q$12,-2,IF(RASANTE!F4&lt;=PERALTE!$U$12,(10/(PERALTE!$U$12-PERALTE!$Q$12)*(RASANTE!F4-PERALTE!$Q$12)-2),IF(RASANTE!F4&lt;=PERALTE!$X$12,8,IF(RASANTE!F4&lt;=PERALTE!$AB$12,(10/(PERALTE!$X$12-PERALTE!$AB$12)*(RASANTE!F4-PERALTE!$AB$12)-2))))),IF(AND(AH!$H$16="Derecha",RASANTE!F4&lt;=PERALTE!$AB$14),IF(RASANTE!F4&lt;=PERALTE!$S$14,-2,IF(RASANTE!F4&lt;=PERALTE!$U$14,(-6/(PERALTE!$U$14-PERALTE!$S$14)*(RASANTE!F4-PERALTE!$S$14)-2),IF(RASANTE!F4&lt;=PERALTE!$X$14,-8,IF(RASANTE!F4&lt;=PERALTE!$Z$14,(-6/(PERALTE!$X$14-PERALTE!$Z$14)*(RASANTE!F4-PERALTE!$Z$14)-2),IF(RASANTE!F4&lt;=PERALTE!$AB$14,-2))))),IF(AND(AH!$H$16="Izquierda",RASANTE!F4&lt;=PERALTE!$AB$14),IF(RASANTE!F4&lt;=PERALTE!$Q$14,-2,IF(RASANTE!F4&lt;=PERALTE!$U$14,(10/(PERALTE!$U$14-PERALTE!$Q$14)*(RASANTE!F4-PERALTE!$Q$14)-2),IF(RASANTE!F4&lt;=PERALTE!$X$14,8,IF(RASANTE!F4&lt;=PERALTE!$AB$14,(10/(PERALTE!$X$14-PERALTE!$AB$14)*(RASANTE!F4-PERALTE!$AB$14)-2))))),IF(AND(AH!$H$18="Derecha",RASANTE!F4&lt;=PERALTE!$AB$16),IF(RASANTE!F4&lt;=PERALTE!$S$16,-2,IF(RASANTE!F4&lt;=PERALTE!$U$16,(-6/(PERALTE!$U$16-PERALTE!$S$16)*(RASANTE!F4-PERALTE!$S$16)-2),IF(RASANTE!F4&lt;=PERALTE!$X$16,-8,IF(RASANTE!F4&lt;=PERALTE!$Z$16,(-6/(PERALTE!$X$16-PERALTE!$Z$16)*(RASANTE!F4-PERALTE!$Z$16)-2),IF(RASANTE!F4&lt;=PERALTE!$AB$16,-2))))),IF(AND(AH!$H$18="Izquierda",RASANTE!F4&lt;=PERALTE!$AB$16),IF(RASANTE!F4&lt;=PERALTE!$Q$16,-2,IF(RASANTE!F4&lt;=PERALTE!$U$16,(10/(PERALTE!$U$16-PERALTE!$Q$16)*(RASANTE!F4-PERALTE!$Q$16)-2),IF(RASANTE!F4&lt;=PERALTE!$X$16,8,IF(RASANTE!F4&lt;=PERALTE!$AB$16,(10/(PERALTE!$X$16-PERALTE!$AB$16)*(RASANTE!F4-PERALTE!$AB$16)-2))))),IF(AND(AH!$H$20="Derecha",RASANTE!F4&lt;=PERALTE!$AB$18),IF(RASANTE!F4&lt;=PERALTE!$S$18,-2,IF(RASANTE!F4&lt;=PERALTE!$U$18,(-6/(PERALTE!$U$18-PERALTE!$S$18)*(RASANTE!F4-PERALTE!$S$18)-2),IF(RASANTE!F4&lt;=PERALTE!$X$18,-8,IF(RASANTE!F4&lt;=PERALTE!$Z$18,(-6/(PERALTE!$X$18-PERALTE!$Z$18)*(RASANTE!F4-PERALTE!$Z$18)-2),IF(RASANTE!F4&lt;=PERALTE!$AB$18,-2))))),IF(AND(AH!$H$20="Izquierda",RASANTE!F4&lt;=PERALTE!$AB$18),IF(RASANTE!F4&lt;=PERALTE!$Q$18,-2,IF(RASANTE!F4&lt;=PERALTE!$U$18,(10/(PERALTE!$U$18-PERALTE!$Q$18)*(RASANTE!F4-PERALTE!$Q$18)-2),IF(RASANTE!F4&lt;=PERALTE!$X$18,8,IF(RASANTE!F4&lt;=PERALTE!$AB$18,(10/(PERALTE!$X$18-PERALTE!$AB$18)*(RASANTE!F4-PERALTE!$AB$18)-2))))),IF(AND(AH!$H$24="Derecha",RASANTE!F4&lt;=PERALTE!$AB$22),IF(RASANTE!F4&lt;=PERALTE!$S$22,-2,IF(RASANTE!F4&lt;=PERALTE!$U$22,(-6/(PERALTE!$U$22-PERALTE!$S$22)*(RASANTE!F4-PERALTE!$S$22)-2),IF(RASANTE!F4&lt;=PERALTE!$X$22,-8,IF(RASANTE!F4&lt;=PERALTE!$Z$22,(-6/(PERALTE!$X$22-PERALTE!$Z$22)*(RASANTE!F4-PERALTE!$Z$22)-2),IF(RASANTE!F4&lt;=PERALTE!$AB$22,-2))))),IF(AND(AH!$H$24="Izquierda",RASANTE!F4&lt;=PERALTE!$AB$22),IF(RASANTE!F4&lt;=PERALTE!$Q$22,-2,IF(RASANTE!F4&lt;=PERALTE!$U$22,(10/(PERALTE!$U$22-PERALTE!$Q$22)*(RASANTE!F4-PERALTE!$Q$22)-2),IF(RASANTE!F4&lt;=PERALTE!$X$22,8,IF(RASANTE!F4&lt;=PERALTE!$AB$22,(10/(PERALTE!$X$22-PERALTE!$AB$22)*(RASANTE!F4-PERALTE!$AB$22)-2))))),IF(AND(AH!#REF!="Derecha",RASANTE!F4&lt;=PERALTE!#REF!),IF(RASANTE!F4&lt;=PERALTE!#REF!,-2,IF(RASANTE!F4&lt;=PERALTE!#REF!,(-6/(PERALTE!#REF!-PERALTE!#REF!)*(RASANTE!F4-PERALTE!#REF!)-2),IF(RASANTE!F4&lt;=PERALTE!#REF!,-8,IF(RASANTE!F4&lt;=PERALTE!#REF!,(-6/(PERALTE!#REF!-PERALTE!#REF!)*(RASANTE!F4-PERALTE!#REF!)-2),IF(RASANTE!F4&lt;=PERALTE!#REF!,-2))))),IF(AND(AH!#REF!="Izquierda",RASANTE!F4&lt;=PERALTE!#REF!),IF(RASANTE!F4&lt;=PERALTE!#REF!,-2,IF(RASANTE!F4&lt;=PERALTE!#REF!,(10/(PERALTE!#REF!-PERALTE!#REF!)*(RASANTE!F4-PERALTE!#REF!)-2),IF(RASANTE!F4&lt;=PERALTE!#REF!,8,IF(RASANTE!F4&lt;=PERALTE!#REF!,(10/(PERALTE!#REF!-PERALTE!#REF!)*(RASANTE!F4-PERALTE!#REF!)-2))))),IF(AND(AH!#REF!="Derecha",RASANTE!F4&lt;=PERALTE!$AB$26),IF(RASANTE!F4&lt;=PERALTE!$S$26,-2,IF(RASANTE!F4&lt;=PERALTE!$U$26,(-6/(PERALTE!$U$26-PERALTE!$S$26)*(RASANTE!F4-PERALTE!$S$26)-2),IF(RASANTE!F4&lt;=PERALTE!$X$26,-8,IF(RASANTE!F4&lt;=PERALTE!$Z$26,(-6/(PERALTE!$X$26-PERALTE!$Z$26)*(RASANTE!F4-PERALTE!$Z$26)-2),IF(RASANTE!F4&lt;=PERALTE!$AB$26,-2))))),IF(AND(AH!#REF!="Izquierda",RASANTE!F4&lt;=PERALTE!$AB$26),IF(RASANTE!F4&lt;=PERALTE!$Q$26,-2,IF(RASANTE!F4&lt;=PERALTE!$U$26,(10/(PERALTE!$U$26-PERALTE!$Q$26)*(RASANTE!F4-PERALTE!$Q$26)-2),IF(RASANTE!F4&lt;=PERALTE!$X$26,8,IF(RASANTE!F4&lt;=PERALTE!$AB$26,(10/(PERALTE!$X$26-PERALTE!$AB$26)*(RASANTE!F4-PERALTE!$AB$26)-2))))),IF(F4&lt;=PERALTE!#REF!,-2,"Abscisa fuera de la vía")))))))))))))))))))))</f>
        <v>-2</v>
      </c>
      <c r="J4" s="83">
        <f>AV!W4</f>
        <v>1644</v>
      </c>
      <c r="K4" s="28">
        <f>+IF(AND(AV!$S$6&lt;F4,F4&lt;=AV!$T$6),AV!$P$6*((AV!$S$6-RASANTE!F4)/(AV!$N$6))^2,IF(AND(AV!$T$6&lt;RASANTE!F4,F4&lt;AV!$U$6),AV!$P$6*((AV!$U$6-RASANTE!F4)/(AV!$O$6))^2,IF(AND(AV!$S$8&lt;F4,F4&lt;=AV!$T$8),AV!$P$8*((AV!$S$8-RASANTE!F4)/(AV!$N$8))^2,IF(AND(AV!$T$8&lt;RASANTE!F4,F4&lt;AV!$U$8),AV!$P$8*((AV!$U$8-RASANTE!F4)/(AV!$O$8))^2,IF(AND(AV!$S$10&lt;F4,F4&lt;=AV!$T$10),AV!$P$10*((AV!$S$10-RASANTE!F4)/(AV!$N$10))^2,IF(AND(AV!$T$10&lt;RASANTE!F4,F4&lt;AV!$U$10),AV!$P$10*((AV!$U$10-RASANTE!F4)/(AV!$O$10))^2,IF(AND(AV!$S$12&lt;F4,F4&lt;=AV!$T$12),AV!$P$12*((AV!$S$12-RASANTE!F4)/(AV!$N$12))^2,IF(AND(AV!$T$12&lt;RASANTE!F4,F4&lt;AV!$U$12),AV!$P$12*((AV!$U$12-RASANTE!F4)/(AV!$O$12))^2,IF(AND(AV!$S$14&lt;F4,F4&lt;=AV!$T$14),AV!$P$14*((AV!$S$14-RASANTE!F4)/(AV!$N$14))^2,IF(AND(AV!$T$14&lt;RASANTE!F4,F4&lt;AV!$U$14),AV!$P$14*((AV!$U$14-RASANTE!F4)/(AV!$O$14))^2,IF(AND(AV!$S$16&lt;F4,F4&lt;=AV!$T$16),AV!$P$16*((AV!$S$16-RASANTE!F4)/(AV!$N$16))^2,IF(AND(AV!$T$16&lt;RASANTE!F4,F4&lt;AV!$U$16),AV!$P$16*((AV!$U$16-RASANTE!F4)/(AV!$O$16))^2,IF(AND(AV!$S$18&lt;F4,F4&lt;=AV!$T$18),AV!$P$18*((AV!$S$18-RASANTE!F4)/(AV!$N$18))^2,IF(AND(AV!$T$18&lt;RASANTE!F4,F4&lt;AV!$U$18),AV!$P$18*((AV!$U$18-RASANTE!F4)/(AV!$O$18))^2,IF(AND(AV!$S$20&lt;F4,F4&lt;=AV!$T$20),AV!$P$20*((AV!$S$20-RASANTE!F4)/(AV!$N$20))^2,IF(AND(AV!$T$20&lt;RASANTE!F4,F4&lt;AV!$U$20),AV!$P$20*((AV!$U$20-RASANTE!F4)/(AV!$O$20))^2,IF(AND(AV!$S$22&lt;F4,F4&lt;=AV!$T$22),AV!$P$22*((AV!$S$22-RASANTE!F4)/(AV!$N$22))^2,IF(AND(AV!$T$22&lt;RASANTE!F4,F4&lt;AV!$U$22),AV!$P$22*((AV!$U$22-RASANTE!F4)/(AV!$O$22))^2,IF(AND(AV!$S$24&lt;F4,F4&lt;=AV!$T$24),AV!$P$24*((AV!$S$24-RASANTE!F4)/(AV!$N$24))^2,IF(AND(AV!$T$24&lt;RASANTE!F4,F4&lt;AV!$U$24),AV!$P$24*((AV!$U$24-RASANTE!F4)/(AV!$O$24))^2,0))))))))))))))))))))</f>
        <v>0</v>
      </c>
      <c r="L4" s="28">
        <f>+M4+H4%*PERALTE!$C$32</f>
        <v>1643.93</v>
      </c>
      <c r="M4" s="28">
        <f t="shared" ref="M4:M41" si="0">J4+K4</f>
        <v>1644</v>
      </c>
      <c r="N4" s="28">
        <f>+M4+I4%*PERALTE!$C$32</f>
        <v>1643.93</v>
      </c>
      <c r="O4" s="1"/>
      <c r="P4" s="89"/>
      <c r="Q4" s="84"/>
      <c r="R4" s="84"/>
      <c r="S4" s="84"/>
      <c r="T4" s="84"/>
      <c r="U4" s="84"/>
      <c r="V4" s="84"/>
      <c r="W4" s="84"/>
      <c r="X4" s="84"/>
      <c r="Y4" s="84"/>
    </row>
    <row r="5" spans="1:25" x14ac:dyDescent="0.2">
      <c r="A5" s="90"/>
      <c r="B5" s="86"/>
      <c r="C5" s="86"/>
      <c r="D5" s="86"/>
      <c r="E5" s="91"/>
      <c r="F5" s="34">
        <v>10</v>
      </c>
      <c r="G5" s="88">
        <f>IF(F5&lt;=AV!$T$6,AV!$C$5,IF(RASANTE!F5&lt;=AV!$T$8,AV!$C$7,IF(RASANTE!F5&lt;=AV!$T$10,AV!$C$9,IF(RASANTE!F5&lt;=AV!$T$12,AV!$C$11,IF(RASANTE!F5&lt;=AV!$T$14,AV!$C$13,IF(RASANTE!F5&lt;=AV!$T$16,AV!$C$15, IF(RASANTE!F5&lt;=AV!$T$18,AV!$C$17,IF(RASANTE!F5&lt;=AV!$T$20,AV!$C$19,IF(RASANTE!F5&lt;=AV!$T$22,AV!$C$21,IF(RASANTE!F5&lt;=AV!$T$24,AV!$C$23,AV!$C$25))))))))))</f>
        <v>3.1419999999999999</v>
      </c>
      <c r="H5" s="28">
        <f>+IF(AND(AH!$H$8="Izquierda",RASANTE!F5&lt;=PERALTE!$AB$6),IF(RASANTE!F5&lt;=PERALTE!$S$6,-2,IF(RASANTE!F5&lt;=PERALTE!$U$6,(-6/(PERALTE!$U$6-PERALTE!$S$6)*(RASANTE!F5-PERALTE!$S$6)-2),IF(RASANTE!F5&lt;=PERALTE!$X$6,-8,IF(RASANTE!F5&lt;=PERALTE!$Z$6,(-6/(PERALTE!$X$6-PERALTE!$Z$6)*(RASANTE!F5-PERALTE!$Z$6)-2),IF(RASANTE!F5&lt;=PERALTE!$AB$6,-2))))),IF(AND(AH!$H$8="Derecha",RASANTE!F5&lt;=PERALTE!$AB$6),IF(RASANTE!F5&lt;=PERALTE!$Q$6,-2,IF(RASANTE!F5&lt;=PERALTE!$U$6,(10/(PERALTE!$U$6-PERALTE!$Q$6)*(RASANTE!F5-PERALTE!$Q$6)-2),IF(RASANTE!F5&lt;=PERALTE!$X$6,8,IF(RASANTE!F5&lt;=PERALTE!$AB$6,(10/(PERALTE!$X$6-PERALTE!$AB$6)*(RASANTE!F5-PERALTE!$AB$6)-2))))),IF(AND(AH!$H$10="Izquierda",RASANTE!F5&lt;=PERALTE!$AB$8),IF(RASANTE!F5&lt;=PERALTE!$S$8,-2,IF(RASANTE!F5&lt;=PERALTE!$U$8,(-6/(PERALTE!$U$8-PERALTE!$S$8)*(RASANTE!F5-PERALTE!$S$8)-2),IF(RASANTE!F5&lt;=PERALTE!$X$8,-8,IF(RASANTE!F5&lt;=PERALTE!$Z$8,(-6/(PERALTE!$X$8-PERALTE!$Z$8)*(RASANTE!F5-PERALTE!$Z$8)-2),IF(RASANTE!F5&lt;=PERALTE!$AB$8,-2))))),IF(AND(AH!$H$10="Derecha",RASANTE!F5&lt;=PERALTE!$AB$8),IF(RASANTE!F5&lt;=PERALTE!$Q$8,-2,IF(RASANTE!F5&lt;=PERALTE!$U$8,(10/(PERALTE!$U$8-PERALTE!$Q$8)*(RASANTE!F5-PERALTE!$Q$8)-2),IF(RASANTE!F5&lt;=PERALTE!$X$8,8,IF(RASANTE!F5&lt;=PERALTE!$AB$8,(10/(PERALTE!$X$8-PERALTE!$AB$8)*(RASANTE!F5-PERALTE!$AB$8)-2))))),IF(AND(AH!$H$12="Izquierda",RASANTE!F5&lt;=PERALTE!$AB$10),IF(RASANTE!F5&lt;=PERALTE!$S$10,-2,IF(RASANTE!F5&lt;=PERALTE!$U$10,(-6/(PERALTE!$U$10-PERALTE!$S$10)*(RASANTE!F5-PERALTE!$S$10)-2),IF(RASANTE!F5&lt;=PERALTE!$X$10,-8,IF(RASANTE!F5&lt;=PERALTE!$Z$10,(-6/(PERALTE!$X$10-PERALTE!$Z$10)*(RASANTE!F5-PERALTE!$Z$10)-2),IF(RASANTE!F5&lt;=PERALTE!$AB$10,-2))))),IF(AND(AH!$H$12="Derecha",RASANTE!F5&lt;=PERALTE!$AB$10),IF(RASANTE!F5&lt;=PERALTE!$Q$10,-2,IF(RASANTE!F5&lt;=PERALTE!$U$10,(10/(PERALTE!$U$10-PERALTE!$Q$10)*(RASANTE!F5-PERALTE!$Q$10)-2),IF(RASANTE!F5&lt;=PERALTE!$X$10,8,IF(RASANTE!F5&lt;=PERALTE!$AB$10,(10/(PERALTE!$X$10-PERALTE!$AB$10)*(RASANTE!F5-PERALTE!$AB$10)-2))))),IF(AND(AH!$H$14="Izquierda",RASANTE!F5&lt;=PERALTE!$AB$12),IF(RASANTE!F5&lt;=PERALTE!$S$12,-2,IF(RASANTE!F5&lt;=PERALTE!$U$12,(-6/(PERALTE!$U$12-PERALTE!$S$12)*(RASANTE!F5-PERALTE!$S$12)-2),IF(RASANTE!F5&lt;=PERALTE!$X$12,-8,IF(RASANTE!F5&lt;=PERALTE!$Z$12,(-6/(PERALTE!$X$12-PERALTE!$Z$12)*(RASANTE!F5-PERALTE!$Z$12)-2),IF(RASANTE!F5&lt;=PERALTE!$AB$12,-2))))),IF(AND(AH!$H$14="Derecha",RASANTE!F5&lt;=PERALTE!$AB$12),IF(RASANTE!F5&lt;=PERALTE!$Q$12,-2,IF(RASANTE!F5&lt;=PERALTE!$U$12,(10/(PERALTE!$U$12-PERALTE!$Q$12)*(RASANTE!F5-PERALTE!$Q$12)-2),IF(RASANTE!F5&lt;=PERALTE!$X$12,8,IF(RASANTE!F5&lt;=PERALTE!$AB$12,(10/(PERALTE!$X$12-PERALTE!$AB$12)*(RASANTE!F5-PERALTE!$AB$12)-2))))),IF(AND(AH!$H$16="Izquierda",RASANTE!F5&lt;=PERALTE!$AB$14),IF(RASANTE!F5&lt;=PERALTE!$S$14,-2,IF(RASANTE!F5&lt;=PERALTE!$U$14,(-6/(PERALTE!$U$14-PERALTE!$S$14)*(RASANTE!F5-PERALTE!$S$14)-2),IF(RASANTE!F5&lt;=PERALTE!$X$14,-8,IF(RASANTE!F5&lt;=PERALTE!$Z$14,(-6/(PERALTE!$X$14-PERALTE!$Z$14)*(RASANTE!F5-PERALTE!$Z$14)-2),IF(RASANTE!F5&lt;=PERALTE!$AB$14,-2))))),IF(AND(AH!$H$16="Derecha",RASANTE!F5&lt;=PERALTE!$AB$14),IF(RASANTE!F5&lt;=PERALTE!$Q$14,-2,IF(RASANTE!F5&lt;=PERALTE!$U$14,(10/(PERALTE!$U$14-PERALTE!$Q$14)*(RASANTE!F5-PERALTE!$Q$14)-2),IF(RASANTE!F5&lt;=PERALTE!$X$14,8,IF(RASANTE!F5&lt;=PERALTE!$AB$14,(10/(PERALTE!$X$14-PERALTE!$AB$14)*(RASANTE!F5-PERALTE!$AB$14)-2))))),IF(AND(AH!$H$18="Izquierda",RASANTE!F5&lt;=PERALTE!$AB$16),IF(RASANTE!F5&lt;=PERALTE!$S$16,-2,IF(RASANTE!F5&lt;=PERALTE!$U$16,(-6/(PERALTE!$U$16-PERALTE!$S$16)*(RASANTE!F5-PERALTE!$S$16)-2),IF(RASANTE!F5&lt;=PERALTE!$X$16,-8,IF(RASANTE!F5&lt;=PERALTE!$Z$16,(-6/(PERALTE!$X$16-PERALTE!$Z$16)*(RASANTE!F5-PERALTE!$Z$16)-2),IF(RASANTE!F5&lt;=PERALTE!$AB$16,-2))))),IF(AND(AH!$H$18="Derecha",RASANTE!F5&lt;=PERALTE!$AB$16),IF(RASANTE!F5&lt;=PERALTE!$Q$16,-2,IF(RASANTE!F5&lt;=PERALTE!$U$16,(10/(PERALTE!$U$16-PERALTE!$Q$16)*(RASANTE!F5-PERALTE!$Q$16)-2),IF(RASANTE!F5&lt;=PERALTE!$X$16,8,IF(RASANTE!F5&lt;=PERALTE!$AB$16,(10/(PERALTE!$X$16-PERALTE!$AB$16)*(RASANTE!F5-PERALTE!$AB$16)-2))))),IF(AND(AH!$H$20="Izquierda",RASANTE!F5&lt;=PERALTE!$AB$18),IF(RASANTE!F5&lt;=PERALTE!$S$18,-2,IF(RASANTE!F5&lt;=PERALTE!$U$18,(-6/(PERALTE!$U$18-PERALTE!$S$18)*(RASANTE!F5-PERALTE!$S$18)-2),IF(RASANTE!F5&lt;=PERALTE!$X$18,-8,IF(RASANTE!F5&lt;=PERALTE!$Z$18,(-6/(PERALTE!$X$18-PERALTE!$Z$18)*(RASANTE!F5-PERALTE!$Z$18)-2),IF(RASANTE!F5&lt;=PERALTE!$AB$18,-2))))),IF(AND(AH!$H$20="Derecha",RASANTE!F5&lt;=PERALTE!$AB$18),IF(RASANTE!F5&lt;=PERALTE!$Q$18,-2,IF(RASANTE!F5&lt;=PERALTE!$U$18,(10/(PERALTE!$U$18-PERALTE!$Q$18)*(RASANTE!F5-PERALTE!$Q$18)-2),IF(RASANTE!F5&lt;=PERALTE!$X$18,8,IF(RASANTE!F5&lt;=PERALTE!$AB$18,(10/(PERALTE!$X$18-PERALTE!$AB$18)*(RASANTE!F5-PERALTE!$AB$18)-2))))),IF(AND(AH!$H$24="Izquierda",RASANTE!F5&lt;=PERALTE!$AB$22),IF(RASANTE!F5&lt;=PERALTE!$S$22,-2,IF(RASANTE!F5&lt;=PERALTE!$U$22,(-6/(PERALTE!$U$22-PERALTE!$S$22)*(RASANTE!F5-PERALTE!$S$22)-2),IF(RASANTE!F5&lt;=PERALTE!$X$22,-8,IF(RASANTE!F5&lt;=PERALTE!$Z$22,(-6/(PERALTE!$X$22-PERALTE!$Z$22)*(RASANTE!F5-PERALTE!$Z$22)-2),IF(RASANTE!F5&lt;=PERALTE!$AB$22,-2))))),IF(AND(AH!$H$24="Derecha",RASANTE!F5&lt;=PERALTE!$AB$22),IF(RASANTE!F5&lt;=PERALTE!$Q$22,-2,IF(RASANTE!F5&lt;=PERALTE!$U$22,(10/(PERALTE!$U$22-PERALTE!$Q$22)*(RASANTE!F5-PERALTE!$Q$22)-2),IF(RASANTE!F5&lt;=PERALTE!$X$22,8,IF(RASANTE!F5&lt;=PERALTE!$AB$22,(10/(PERALTE!$X$22-PERALTE!$AB$22)*(RASANTE!F5-PERALTE!$AB$22)-2))))),IF(AND(AH!#REF!="Izquierda",RASANTE!F5&lt;=PERALTE!#REF!),IF(RASANTE!F5&lt;=PERALTE!#REF!,-2,IF(RASANTE!F5&lt;=PERALTE!#REF!,(-6/(PERALTE!#REF!-PERALTE!#REF!)*(RASANTE!F5-PERALTE!#REF!)-2),IF(RASANTE!F5&lt;=PERALTE!#REF!,-8,IF(RASANTE!F5&lt;=PERALTE!#REF!,(-6/(PERALTE!#REF!-PERALTE!#REF!)*(RASANTE!F5-PERALTE!#REF!)-2),IF(RASANTE!F5&lt;=PERALTE!#REF!,-2))))),IF(AND(AH!#REF!="Derecha",RASANTE!F5&lt;=PERALTE!#REF!),IF(RASANTE!F5&lt;=PERALTE!#REF!,-2,IF(RASANTE!F5&lt;=PERALTE!#REF!,(10/(PERALTE!#REF!-PERALTE!#REF!)*(RASANTE!F5-PERALTE!#REF!)-2),IF(RASANTE!F5&lt;=PERALTE!#REF!,8,IF(RASANTE!F5&lt;=PERALTE!#REF!,(10/(PERALTE!#REF!-PERALTE!#REF!)*(RASANTE!F5-PERALTE!#REF!)-2))))),IF(AND(AH!#REF!="Izquierda",RASANTE!F5&lt;=PERALTE!$AB$26),IF(RASANTE!F5&lt;=PERALTE!$S$26,-2,IF(RASANTE!F5&lt;=PERALTE!$U$26,(-6/(PERALTE!$U$26-PERALTE!$S$26)*(RASANTE!F5-PERALTE!$S$26)-2),IF(RASANTE!F5&lt;=PERALTE!$X$26,-8,IF(RASANTE!F5&lt;=PERALTE!$Z$26,(-6/(PERALTE!$X$26-PERALTE!$Z$26)*(RASANTE!F5-PERALTE!$Z$26)-2),IF(RASANTE!F5&lt;=PERALTE!$AB$26,-2))))),IF(AND(AH!#REF!="Derecha",RASANTE!F5&lt;=PERALTE!$AB$26),IF(RASANTE!F5&lt;=PERALTE!$Q$26,-2,IF(RASANTE!F5&lt;=PERALTE!$U$26,(10/(PERALTE!$U$26-PERALTE!$Q$26)*(RASANTE!F5-PERALTE!$Q$26)-2),IF(RASANTE!F5&lt;=PERALTE!$X$26,8,IF(RASANTE!F5&lt;=PERALTE!$AB$26,(10/(PERALTE!$X$26-PERALTE!$AB$26)*(RASANTE!F5-PERALTE!$AB$26)-2))))),IF(F5&lt;=PERALTE!#REF!,-2,"Abscisa fuera de la vía")))))))))))))))))))))</f>
        <v>-2</v>
      </c>
      <c r="I5" s="28">
        <f>+IF(AND(AH!$H$8="Derecha",RASANTE!F5&lt;=PERALTE!$AB$6),IF(RASANTE!F5&lt;=PERALTE!$S$6,-2,IF(RASANTE!F5&lt;=PERALTE!$U$6,(-6/(PERALTE!$U$6-PERALTE!$S$6)*(RASANTE!F5-PERALTE!$S$6)-2),IF(RASANTE!F5&lt;=PERALTE!$X$6,-8,IF(RASANTE!F5&lt;=PERALTE!$Z$6,(-6/(PERALTE!$X$6-PERALTE!$Z$6)*(RASANTE!F5-PERALTE!$Z$6)-2),IF(RASANTE!F5&lt;=PERALTE!$AB$6,-2))))),IF(AND(AH!$H$8="Izquierda",RASANTE!F5&lt;=PERALTE!$AB$6),IF(RASANTE!F5&lt;=PERALTE!$Q$6,-2,IF(RASANTE!F5&lt;=PERALTE!$U$6,(10/(PERALTE!$U$6-PERALTE!$Q$6)*(RASANTE!F5-PERALTE!$Q$6)-2),IF(RASANTE!F5&lt;=PERALTE!$X$6,8,IF(RASANTE!F5&lt;=PERALTE!$AB$6,(10/(PERALTE!$X$6-PERALTE!$AB$6)*(RASANTE!F5-PERALTE!$AB$6)-2))))),IF(AND(AH!$H$10="Derecha",RASANTE!F5&lt;=PERALTE!$AB$8),IF(RASANTE!F5&lt;=PERALTE!$S$8,-2,IF(RASANTE!F5&lt;=PERALTE!$U$8,(-6/(PERALTE!$U$8-PERALTE!$S$8)*(RASANTE!F5-PERALTE!$S$8)-2),IF(RASANTE!F5&lt;=PERALTE!$X$8,-8,IF(RASANTE!F5&lt;=PERALTE!$Z$8,(-6/(PERALTE!$X$8-PERALTE!$Z$8)*(RASANTE!F5-PERALTE!$Z$8)-2),IF(RASANTE!F5&lt;=PERALTE!$AB$8,-2))))),IF(AND(AH!$H$10="Izquierda",RASANTE!F5&lt;=PERALTE!$AB$8),IF(RASANTE!F5&lt;=PERALTE!$Q$8,-2,IF(RASANTE!F5&lt;=PERALTE!$U$8,(10/(PERALTE!$U$8-PERALTE!$Q$8)*(RASANTE!F5-PERALTE!$Q$8)-2),IF(RASANTE!F5&lt;=PERALTE!$X$8,8,IF(RASANTE!F5&lt;=PERALTE!$AB$8,(10/(PERALTE!$X$8-PERALTE!$AB$8)*(RASANTE!F5-PERALTE!$AB$8)-2))))),IF(AND(AH!$H$12="Derecha",RASANTE!F5&lt;=PERALTE!$AB$10),IF(RASANTE!F5&lt;=PERALTE!$S$10,-2,IF(RASANTE!F5&lt;=PERALTE!$U$10,(-6/(PERALTE!$U$10-PERALTE!$S$10)*(RASANTE!F5-PERALTE!$S$10)-2),IF(RASANTE!F5&lt;=PERALTE!$X$10,-8,IF(RASANTE!F5&lt;=PERALTE!$Z$10,(-6/(PERALTE!$X$10-PERALTE!$Z$10)*(RASANTE!F5-PERALTE!$Z$10)-2),IF(RASANTE!F5&lt;=PERALTE!$AB$10,-2))))),IF(AND(AH!$H$12="Izquierda",RASANTE!F5&lt;=PERALTE!$AB$10),IF(RASANTE!F5&lt;=PERALTE!$Q$10,-2,IF(RASANTE!F5&lt;=PERALTE!$U$10,(10/(PERALTE!$U$10-PERALTE!$Q$10)*(RASANTE!F5-PERALTE!$Q$10)-2),IF(RASANTE!F5&lt;=PERALTE!$X$10,8,IF(RASANTE!F5&lt;=PERALTE!$AB$10,(10/(PERALTE!$X$10-PERALTE!$AB$10)*(RASANTE!F5-PERALTE!$AB$10)-2))))),IF(AND(AH!$H$14="Derecha",RASANTE!F5&lt;=PERALTE!$AB$12),IF(RASANTE!F5&lt;=PERALTE!$S$12,-2,IF(RASANTE!F5&lt;=PERALTE!$U$12,(-6/(PERALTE!$U$12-PERALTE!$S$12)*(RASANTE!F5-PERALTE!$S$12)-2),IF(RASANTE!F5&lt;=PERALTE!$X$12,-8,IF(RASANTE!F5&lt;=PERALTE!$Z$12,(-6/(PERALTE!$X$12-PERALTE!$Z$12)*(RASANTE!F5-PERALTE!$Z$12)-2),IF(RASANTE!F5&lt;=PERALTE!$AB$12,-2))))),IF(AND(AH!$H$14="Izquierda",RASANTE!F5&lt;=PERALTE!$AB$12),IF(RASANTE!F5&lt;=PERALTE!$Q$12,-2,IF(RASANTE!F5&lt;=PERALTE!$U$12,(10/(PERALTE!$U$12-PERALTE!$Q$12)*(RASANTE!F5-PERALTE!$Q$12)-2),IF(RASANTE!F5&lt;=PERALTE!$X$12,8,IF(RASANTE!F5&lt;=PERALTE!$AB$12,(10/(PERALTE!$X$12-PERALTE!$AB$12)*(RASANTE!F5-PERALTE!$AB$12)-2))))),IF(AND(AH!$H$16="Derecha",RASANTE!F5&lt;=PERALTE!$AB$14),IF(RASANTE!F5&lt;=PERALTE!$S$14,-2,IF(RASANTE!F5&lt;=PERALTE!$U$14,(-6/(PERALTE!$U$14-PERALTE!$S$14)*(RASANTE!F5-PERALTE!$S$14)-2),IF(RASANTE!F5&lt;=PERALTE!$X$14,-8,IF(RASANTE!F5&lt;=PERALTE!$Z$14,(-6/(PERALTE!$X$14-PERALTE!$Z$14)*(RASANTE!F5-PERALTE!$Z$14)-2),IF(RASANTE!F5&lt;=PERALTE!$AB$14,-2))))),IF(AND(AH!$H$16="Izquierda",RASANTE!F5&lt;=PERALTE!$AB$14),IF(RASANTE!F5&lt;=PERALTE!$Q$14,-2,IF(RASANTE!F5&lt;=PERALTE!$U$14,(10/(PERALTE!$U$14-PERALTE!$Q$14)*(RASANTE!F5-PERALTE!$Q$14)-2),IF(RASANTE!F5&lt;=PERALTE!$X$14,8,IF(RASANTE!F5&lt;=PERALTE!$AB$14,(10/(PERALTE!$X$14-PERALTE!$AB$14)*(RASANTE!F5-PERALTE!$AB$14)-2))))),IF(AND(AH!$H$18="Derecha",RASANTE!F5&lt;=PERALTE!$AB$16),IF(RASANTE!F5&lt;=PERALTE!$S$16,-2,IF(RASANTE!F5&lt;=PERALTE!$U$16,(-6/(PERALTE!$U$16-PERALTE!$S$16)*(RASANTE!F5-PERALTE!$S$16)-2),IF(RASANTE!F5&lt;=PERALTE!$X$16,-8,IF(RASANTE!F5&lt;=PERALTE!$Z$16,(-6/(PERALTE!$X$16-PERALTE!$Z$16)*(RASANTE!F5-PERALTE!$Z$16)-2),IF(RASANTE!F5&lt;=PERALTE!$AB$16,-2))))),IF(AND(AH!$H$18="Izquierda",RASANTE!F5&lt;=PERALTE!$AB$16),IF(RASANTE!F5&lt;=PERALTE!$Q$16,-2,IF(RASANTE!F5&lt;=PERALTE!$U$16,(10/(PERALTE!$U$16-PERALTE!$Q$16)*(RASANTE!F5-PERALTE!$Q$16)-2),IF(RASANTE!F5&lt;=PERALTE!$X$16,8,IF(RASANTE!F5&lt;=PERALTE!$AB$16,(10/(PERALTE!$X$16-PERALTE!$AB$16)*(RASANTE!F5-PERALTE!$AB$16)-2))))),IF(AND(AH!$H$20="Derecha",RASANTE!F5&lt;=PERALTE!$AB$18),IF(RASANTE!F5&lt;=PERALTE!$S$18,-2,IF(RASANTE!F5&lt;=PERALTE!$U$18,(-6/(PERALTE!$U$18-PERALTE!$S$18)*(RASANTE!F5-PERALTE!$S$18)-2),IF(RASANTE!F5&lt;=PERALTE!$X$18,-8,IF(RASANTE!F5&lt;=PERALTE!$Z$18,(-6/(PERALTE!$X$18-PERALTE!$Z$18)*(RASANTE!F5-PERALTE!$Z$18)-2),IF(RASANTE!F5&lt;=PERALTE!$AB$18,-2))))),IF(AND(AH!$H$20="Izquierda",RASANTE!F5&lt;=PERALTE!$AB$18),IF(RASANTE!F5&lt;=PERALTE!$Q$18,-2,IF(RASANTE!F5&lt;=PERALTE!$U$18,(10/(PERALTE!$U$18-PERALTE!$Q$18)*(RASANTE!F5-PERALTE!$Q$18)-2),IF(RASANTE!F5&lt;=PERALTE!$X$18,8,IF(RASANTE!F5&lt;=PERALTE!$AB$18,(10/(PERALTE!$X$18-PERALTE!$AB$18)*(RASANTE!F5-PERALTE!$AB$18)-2))))),IF(AND(AH!$H$24="Derecha",RASANTE!F5&lt;=PERALTE!$AB$22),IF(RASANTE!F5&lt;=PERALTE!$S$22,-2,IF(RASANTE!F5&lt;=PERALTE!$U$22,(-6/(PERALTE!$U$22-PERALTE!$S$22)*(RASANTE!F5-PERALTE!$S$22)-2),IF(RASANTE!F5&lt;=PERALTE!$X$22,-8,IF(RASANTE!F5&lt;=PERALTE!$Z$22,(-6/(PERALTE!$X$22-PERALTE!$Z$22)*(RASANTE!F5-PERALTE!$Z$22)-2),IF(RASANTE!F5&lt;=PERALTE!$AB$22,-2))))),IF(AND(AH!$H$24="Izquierda",RASANTE!F5&lt;=PERALTE!$AB$22),IF(RASANTE!F5&lt;=PERALTE!$Q$22,-2,IF(RASANTE!F5&lt;=PERALTE!$U$22,(10/(PERALTE!$U$22-PERALTE!$Q$22)*(RASANTE!F5-PERALTE!$Q$22)-2),IF(RASANTE!F5&lt;=PERALTE!$X$22,8,IF(RASANTE!F5&lt;=PERALTE!$AB$22,(10/(PERALTE!$X$22-PERALTE!$AB$22)*(RASANTE!F5-PERALTE!$AB$22)-2))))),IF(AND(AH!#REF!="Derecha",RASANTE!F5&lt;=PERALTE!#REF!),IF(RASANTE!F5&lt;=PERALTE!#REF!,-2,IF(RASANTE!F5&lt;=PERALTE!#REF!,(-6/(PERALTE!#REF!-PERALTE!#REF!)*(RASANTE!F5-PERALTE!#REF!)-2),IF(RASANTE!F5&lt;=PERALTE!#REF!,-8,IF(RASANTE!F5&lt;=PERALTE!#REF!,(-6/(PERALTE!#REF!-PERALTE!#REF!)*(RASANTE!F5-PERALTE!#REF!)-2),IF(RASANTE!F5&lt;=PERALTE!#REF!,-2))))),IF(AND(AH!#REF!="Izquierda",RASANTE!F5&lt;=PERALTE!#REF!),IF(RASANTE!F5&lt;=PERALTE!#REF!,-2,IF(RASANTE!F5&lt;=PERALTE!#REF!,(10/(PERALTE!#REF!-PERALTE!#REF!)*(RASANTE!F5-PERALTE!#REF!)-2),IF(RASANTE!F5&lt;=PERALTE!#REF!,8,IF(RASANTE!F5&lt;=PERALTE!#REF!,(10/(PERALTE!#REF!-PERALTE!#REF!)*(RASANTE!F5-PERALTE!#REF!)-2))))),IF(AND(AH!#REF!="Derecha",RASANTE!F5&lt;=PERALTE!$AB$26),IF(RASANTE!F5&lt;=PERALTE!$S$26,-2,IF(RASANTE!F5&lt;=PERALTE!$U$26,(-6/(PERALTE!$U$26-PERALTE!$S$26)*(RASANTE!F5-PERALTE!$S$26)-2),IF(RASANTE!F5&lt;=PERALTE!$X$26,-8,IF(RASANTE!F5&lt;=PERALTE!$Z$26,(-6/(PERALTE!$X$26-PERALTE!$Z$26)*(RASANTE!F5-PERALTE!$Z$26)-2),IF(RASANTE!F5&lt;=PERALTE!$AB$26,-2))))),IF(AND(AH!#REF!="Izquierda",RASANTE!F5&lt;=PERALTE!$AB$26),IF(RASANTE!F5&lt;=PERALTE!$Q$26,-2,IF(RASANTE!F5&lt;=PERALTE!$U$26,(10/(PERALTE!$U$26-PERALTE!$Q$26)*(RASANTE!F5-PERALTE!$Q$26)-2),IF(RASANTE!F5&lt;=PERALTE!$X$26,8,IF(RASANTE!F5&lt;=PERALTE!$AB$26,(10/(PERALTE!$X$26-PERALTE!$AB$26)*(RASANTE!F5-PERALTE!$AB$26)-2))))),IF(F5&lt;=PERALTE!#REF!,-2,"Abscisa fuera de la vía")))))))))))))))))))))</f>
        <v>-2</v>
      </c>
      <c r="J5" s="28">
        <f>J4+((F5-F4)*G4/100)</f>
        <v>1644.3142</v>
      </c>
      <c r="K5" s="356">
        <f>+IF(AND(AV!$S$6&lt;F180,F180&lt;=AV!$T$6),AV!$P$6*((AV!$S$6-RASANTE!F180)/(AV!$N$6))^2,IF(AND(AV!$T$6&lt;RASANTE!F180,F180&lt;AV!$U$6),AV!$P$6*((AV!$U$6-RASANTE!F180)/(AV!$O$6))^2,IF(AND(AV!$S$8&lt;F180,F180&lt;=AV!$T$8),AV!$P$8*((AV!$S$8-RASANTE!F180)/(AV!$N$8))^2,IF(AND(AV!$T$8&lt;RASANTE!F180,F180&lt;AV!$U$8),AV!$P$8*((AV!$U$8-RASANTE!F180)/(AV!$O$8))^2,IF(AND(AV!$S$10&lt;F180,F180&lt;=AV!$T$10),AV!$P$10*((AV!$S$10-RASANTE!F180)/(AV!$N$10))^2,IF(AND(AV!$T$10&lt;RASANTE!F180,F180&lt;AV!$U$10),AV!$P$10*((AV!$U$10-RASANTE!F180)/(AV!$O$10))^2,IF(AND(AV!$S$12&lt;F180,F180&lt;=AV!$T$12),AV!$P$12*((AV!$S$12-RASANTE!F180)/(AV!$N$12))^2,IF(AND(AV!$T$12&lt;RASANTE!F180,F180&lt;AV!$U$12),AV!$P$12*((AV!$U$12-RASANTE!F180)/(AV!$O$12))^2,IF(AND(AV!$S$14&lt;F180,F180&lt;=AV!$T$14),AV!$P$14*((AV!$S$14-RASANTE!F180)/(AV!$N$14))^2,IF(AND(AV!$T$14&lt;RASANTE!F180,F180&lt;AV!$U$14),AV!$P$14*((AV!$U$14-RASANTE!F180)/(AV!$O$14))^2,IF(AND(AV!$S$16&lt;F180,F180&lt;=AV!$T$16),AV!$P$16*((AV!$S$16-RASANTE!F180)/(AV!$N$16))^2,IF(AND(AV!$T$16&lt;RASANTE!F180,F180&lt;AV!$U$16),AV!$P$16*((AV!$U$16-RASANTE!F180)/(AV!$O$16))^2,IF(AND(AV!$S$18&lt;F180,F180&lt;=AV!$T$18),AV!$P$18*((AV!$S$18-RASANTE!F180)/(AV!$N$18))^2,IF(AND(AV!$T$18&lt;RASANTE!F180,F180&lt;AV!$U$18),AV!$P$18*((AV!$U$18-RASANTE!F180)/(AV!$O$18))^2,IF(AND(AV!$S$20&lt;F180,F180&lt;=AV!$T$20),AV!$P$20*((AV!$S$20-RASANTE!F180)/(AV!$N$20))^2,IF(AND(AV!$T$20&lt;RASANTE!F180,F180&lt;AV!$U$20),AV!$P$20*((AV!$U$20-RASANTE!F180)/(AV!$O$20))^2,IF(AND(AV!$S$22&lt;F180,F180&lt;=AV!$T$22),AV!$P$22*((AV!$S$22-RASANTE!F180)/(AV!$N$22))^2,IF(AND(AV!$T$22&lt;RASANTE!F180,F180&lt;AV!$U$22),AV!$P$22*((AV!$U$22-RASANTE!F180)/(AV!$O$22))^2,IF(AND(AV!$S$24&lt;F180,F180&lt;=AV!$T$24),AV!$P$24*((AV!$S$24-RASANTE!F180)/(AV!$N$24))^2,IF(AND(AV!$T$24&lt;RASANTE!F180,F180&lt;AV!$U$24),AV!$P$24*((AV!$U$24-RASANTE!F180)/(AV!$O$24))^2,0))))))))))))))))))))</f>
        <v>0</v>
      </c>
      <c r="L5" s="28">
        <f>+M5+H5%*PERALTE!$C$32</f>
        <v>1644.2442000000001</v>
      </c>
      <c r="M5" s="28">
        <f t="shared" si="0"/>
        <v>1644.3142</v>
      </c>
      <c r="N5" s="28">
        <f>+M5+I5%*PERALTE!$C$32</f>
        <v>1644.2442000000001</v>
      </c>
      <c r="O5" s="92"/>
      <c r="P5" s="89"/>
      <c r="Q5" s="84"/>
      <c r="R5" s="84"/>
      <c r="S5" s="84"/>
      <c r="T5" s="84"/>
      <c r="U5" s="84"/>
      <c r="V5" s="84"/>
      <c r="W5" s="84"/>
      <c r="X5" s="84"/>
      <c r="Y5" s="84"/>
    </row>
    <row r="6" spans="1:25" x14ac:dyDescent="0.2">
      <c r="A6" s="90"/>
      <c r="B6" s="86"/>
      <c r="C6" s="86"/>
      <c r="D6" s="86"/>
      <c r="E6" s="91"/>
      <c r="F6" s="34">
        <v>20</v>
      </c>
      <c r="G6" s="88">
        <f>IF(F6&lt;=AV!$T$6,AV!$C$5,IF(RASANTE!F6&lt;=AV!$T$8,AV!$C$7,IF(RASANTE!F6&lt;=AV!$T$10,AV!$C$9,IF(RASANTE!F6&lt;=AV!$T$12,AV!#REF!,IF(RASANTE!F6&lt;=AV!$T$14,AV!$C$11,IF(RASANTE!F6&lt;=AV!$T$16,AV!$C$13, IF(RASANTE!F6&lt;=AV!$T$18,AV!$C$15,IF(RASANTE!F6&lt;=AV!$T$20,AV!$C$19,IF(RASANTE!F6&lt;=AV!$T$22,AV!$C$21,IF(RASANTE!F6&lt;=AV!$T$24,AV!$C$23,AV!$C$25))))))))))</f>
        <v>3.1419999999999999</v>
      </c>
      <c r="H6" s="28">
        <f>+IF(AND(AH!$H$8="Izquierda",RASANTE!F6&lt;=PERALTE!$AB$6),IF(RASANTE!F6&lt;=PERALTE!$S$6,-2,IF(RASANTE!F6&lt;=PERALTE!$U$6,(-6/(PERALTE!$U$6-PERALTE!$S$6)*(RASANTE!F6-PERALTE!$S$6)-2),IF(RASANTE!F6&lt;=PERALTE!$X$6,-8,IF(RASANTE!F6&lt;=PERALTE!$Z$6,(-6/(PERALTE!$X$6-PERALTE!$Z$6)*(RASANTE!F6-PERALTE!$Z$6)-2),IF(RASANTE!F6&lt;=PERALTE!$AB$6,-2))))),IF(AND(AH!$H$8="Derecha",RASANTE!F6&lt;=PERALTE!$AB$6),IF(RASANTE!F6&lt;=PERALTE!$Q$6,-2,IF(RASANTE!F6&lt;=PERALTE!$U$6,(10/(PERALTE!$U$6-PERALTE!$Q$6)*(RASANTE!F6-PERALTE!$Q$6)-2),IF(RASANTE!F6&lt;=PERALTE!$X$6,8,IF(RASANTE!F6&lt;=PERALTE!$AB$6,(10/(PERALTE!$X$6-PERALTE!$AB$6)*(RASANTE!F6-PERALTE!$AB$6)-2))))),IF(AND(AH!$H$10="Izquierda",RASANTE!F6&lt;=PERALTE!$AB$8),IF(RASANTE!F6&lt;=PERALTE!$S$8,-2,IF(RASANTE!F6&lt;=PERALTE!$U$8,(-6/(PERALTE!$U$8-PERALTE!$S$8)*(RASANTE!F6-PERALTE!$S$8)-2),IF(RASANTE!F6&lt;=PERALTE!$X$8,-8,IF(RASANTE!F6&lt;=PERALTE!$Z$8,(-6/(PERALTE!$X$8-PERALTE!$Z$8)*(RASANTE!F6-PERALTE!$Z$8)-2),IF(RASANTE!F6&lt;=PERALTE!$AB$8,-2))))),IF(AND(AH!$H$10="Derecha",RASANTE!F6&lt;=PERALTE!$AB$8),IF(RASANTE!F6&lt;=PERALTE!$Q$8,-2,IF(RASANTE!F6&lt;=PERALTE!$U$8,(10/(PERALTE!$U$8-PERALTE!$Q$8)*(RASANTE!F6-PERALTE!$Q$8)-2),IF(RASANTE!F6&lt;=PERALTE!$X$8,8,IF(RASANTE!F6&lt;=PERALTE!$AB$8,(10/(PERALTE!$X$8-PERALTE!$AB$8)*(RASANTE!F6-PERALTE!$AB$8)-2))))),IF(AND(AH!$H$12="Izquierda",RASANTE!F6&lt;=PERALTE!$AB$10),IF(RASANTE!F6&lt;=PERALTE!$S$10,-2,IF(RASANTE!F6&lt;=PERALTE!$U$10,(-6/(PERALTE!$U$10-PERALTE!$S$10)*(RASANTE!F6-PERALTE!$S$10)-2),IF(RASANTE!F6&lt;=PERALTE!$X$10,-8,IF(RASANTE!F6&lt;=PERALTE!$Z$10,(-6/(PERALTE!$X$10-PERALTE!$Z$10)*(RASANTE!F6-PERALTE!$Z$10)-2),IF(RASANTE!F6&lt;=PERALTE!$AB$10,-2))))),IF(AND(AH!$H$12="Derecha",RASANTE!F6&lt;=PERALTE!$AB$10),IF(RASANTE!F6&lt;=PERALTE!$Q$10,-2,IF(RASANTE!F6&lt;=PERALTE!$U$10,(10/(PERALTE!$U$10-PERALTE!$Q$10)*(RASANTE!F6-PERALTE!$Q$10)-2),IF(RASANTE!F6&lt;=PERALTE!$X$10,8,IF(RASANTE!F6&lt;=PERALTE!$AB$10,(10/(PERALTE!$X$10-PERALTE!$AB$10)*(RASANTE!F6-PERALTE!$AB$10)-2))))),IF(AND(AH!$H$14="Izquierda",RASANTE!F6&lt;=PERALTE!$AB$12),IF(RASANTE!F6&lt;=PERALTE!$S$12,-2,IF(RASANTE!F6&lt;=PERALTE!$U$12,(-6/(PERALTE!$U$12-PERALTE!$S$12)*(RASANTE!F6-PERALTE!$S$12)-2),IF(RASANTE!F6&lt;=PERALTE!$X$12,-8,IF(RASANTE!F6&lt;=PERALTE!$Z$12,(-6/(PERALTE!$X$12-PERALTE!$Z$12)*(RASANTE!F6-PERALTE!$Z$12)-2),IF(RASANTE!F6&lt;=PERALTE!$AB$12,-2))))),IF(AND(AH!$H$14="Derecha",RASANTE!F6&lt;=PERALTE!$AB$12),IF(RASANTE!F6&lt;=PERALTE!$Q$12,-2,IF(RASANTE!F6&lt;=PERALTE!$U$12,(10/(PERALTE!$U$12-PERALTE!$Q$12)*(RASANTE!F6-PERALTE!$Q$12)-2),IF(RASANTE!F6&lt;=PERALTE!$X$12,8,IF(RASANTE!F6&lt;=PERALTE!$AB$12,(10/(PERALTE!$X$12-PERALTE!$AB$12)*(RASANTE!F6-PERALTE!$AB$12)-2))))),IF(AND(AH!$H$16="Izquierda",RASANTE!F6&lt;=PERALTE!$AB$14),IF(RASANTE!F6&lt;=PERALTE!$S$14,-2,IF(RASANTE!F6&lt;=PERALTE!$U$14,(-6/(PERALTE!$U$14-PERALTE!$S$14)*(RASANTE!F6-PERALTE!$S$14)-2),IF(RASANTE!F6&lt;=PERALTE!$X$14,-8,IF(RASANTE!F6&lt;=PERALTE!$Z$14,(-6/(PERALTE!$X$14-PERALTE!$Z$14)*(RASANTE!F6-PERALTE!$Z$14)-2),IF(RASANTE!F6&lt;=PERALTE!$AB$14,-2))))),IF(AND(AH!$H$16="Derecha",RASANTE!F6&lt;=PERALTE!$AB$14),IF(RASANTE!F6&lt;=PERALTE!$Q$14,-2,IF(RASANTE!F6&lt;=PERALTE!$U$14,(10/(PERALTE!$U$14-PERALTE!$Q$14)*(RASANTE!F6-PERALTE!$Q$14)-2),IF(RASANTE!F6&lt;=PERALTE!$X$14,8,IF(RASANTE!F6&lt;=PERALTE!$AB$14,(10/(PERALTE!$X$14-PERALTE!$AB$14)*(RASANTE!F6-PERALTE!$AB$14)-2))))),IF(AND(AH!$H$18="Izquierda",RASANTE!F6&lt;=PERALTE!$AB$16),IF(RASANTE!F6&lt;=PERALTE!$S$16,-2,IF(RASANTE!F6&lt;=PERALTE!$U$16,(-6/(PERALTE!$U$16-PERALTE!$S$16)*(RASANTE!F6-PERALTE!$S$16)-2),IF(RASANTE!F6&lt;=PERALTE!$X$16,-8,IF(RASANTE!F6&lt;=PERALTE!$Z$16,(-6/(PERALTE!$X$16-PERALTE!$Z$16)*(RASANTE!F6-PERALTE!$Z$16)-2),IF(RASANTE!F6&lt;=PERALTE!$AB$16,-2))))),IF(AND(AH!$H$18="Derecha",RASANTE!F6&lt;=PERALTE!$AB$16),IF(RASANTE!F6&lt;=PERALTE!$Q$16,-2,IF(RASANTE!F6&lt;=PERALTE!$U$16,(10/(PERALTE!$U$16-PERALTE!$Q$16)*(RASANTE!F6-PERALTE!$Q$16)-2),IF(RASANTE!F6&lt;=PERALTE!$X$16,8,IF(RASANTE!F6&lt;=PERALTE!$AB$16,(10/(PERALTE!$X$16-PERALTE!$AB$16)*(RASANTE!F6-PERALTE!$AB$16)-2))))),IF(AND(AH!$H$20="Izquierda",RASANTE!F6&lt;=PERALTE!$AB$18),IF(RASANTE!F6&lt;=PERALTE!$S$18,-2,IF(RASANTE!F6&lt;=PERALTE!$U$18,(-6/(PERALTE!$U$18-PERALTE!$S$18)*(RASANTE!F6-PERALTE!$S$18)-2),IF(RASANTE!F6&lt;=PERALTE!$X$18,-8,IF(RASANTE!F6&lt;=PERALTE!$Z$18,(-6/(PERALTE!$X$18-PERALTE!$Z$18)*(RASANTE!F6-PERALTE!$Z$18)-2),IF(RASANTE!F6&lt;=PERALTE!$AB$18,-2))))),IF(AND(AH!$H$20="Derecha",RASANTE!F6&lt;=PERALTE!$AB$18),IF(RASANTE!F6&lt;=PERALTE!$Q$18,-2,IF(RASANTE!F6&lt;=PERALTE!$U$18,(10/(PERALTE!$U$18-PERALTE!$Q$18)*(RASANTE!F6-PERALTE!$Q$18)-2),IF(RASANTE!F6&lt;=PERALTE!$X$18,8,IF(RASANTE!F6&lt;=PERALTE!$AB$18,(10/(PERALTE!$X$18-PERALTE!$AB$18)*(RASANTE!F6-PERALTE!$AB$18)-2))))),IF(AND(AH!$H$24="Izquierda",RASANTE!F6&lt;=PERALTE!$AB$22),IF(RASANTE!F6&lt;=PERALTE!$S$22,-2,IF(RASANTE!F6&lt;=PERALTE!$U$22,(-6/(PERALTE!$U$22-PERALTE!$S$22)*(RASANTE!F6-PERALTE!$S$22)-2),IF(RASANTE!F6&lt;=PERALTE!$X$22,-8,IF(RASANTE!F6&lt;=PERALTE!$Z$22,(-6/(PERALTE!$X$22-PERALTE!$Z$22)*(RASANTE!F6-PERALTE!$Z$22)-2),IF(RASANTE!F6&lt;=PERALTE!$AB$22,-2))))),IF(AND(AH!$H$24="Derecha",RASANTE!F6&lt;=PERALTE!$AB$22),IF(RASANTE!F6&lt;=PERALTE!$Q$22,-2,IF(RASANTE!F6&lt;=PERALTE!$U$22,(10/(PERALTE!$U$22-PERALTE!$Q$22)*(RASANTE!F6-PERALTE!$Q$22)-2),IF(RASANTE!F6&lt;=PERALTE!$X$22,8,IF(RASANTE!F6&lt;=PERALTE!$AB$22,(10/(PERALTE!$X$22-PERALTE!$AB$22)*(RASANTE!F6-PERALTE!$AB$22)-2))))),IF(AND(AH!#REF!="Izquierda",RASANTE!F6&lt;=PERALTE!#REF!),IF(RASANTE!F6&lt;=PERALTE!#REF!,-2,IF(RASANTE!F6&lt;=PERALTE!#REF!,(-6/(PERALTE!#REF!-PERALTE!#REF!)*(RASANTE!F6-PERALTE!#REF!)-2),IF(RASANTE!F6&lt;=PERALTE!#REF!,-8,IF(RASANTE!F6&lt;=PERALTE!#REF!,(-6/(PERALTE!#REF!-PERALTE!#REF!)*(RASANTE!F6-PERALTE!#REF!)-2),IF(RASANTE!F6&lt;=PERALTE!#REF!,-2))))),IF(AND(AH!#REF!="Derecha",RASANTE!F6&lt;=PERALTE!#REF!),IF(RASANTE!F6&lt;=PERALTE!#REF!,-2,IF(RASANTE!F6&lt;=PERALTE!#REF!,(10/(PERALTE!#REF!-PERALTE!#REF!)*(RASANTE!F6-PERALTE!#REF!)-2),IF(RASANTE!F6&lt;=PERALTE!#REF!,8,IF(RASANTE!F6&lt;=PERALTE!#REF!,(10/(PERALTE!#REF!-PERALTE!#REF!)*(RASANTE!F6-PERALTE!#REF!)-2))))),IF(AND(AH!#REF!="Izquierda",RASANTE!F6&lt;=PERALTE!$AB$26),IF(RASANTE!F6&lt;=PERALTE!$S$26,-2,IF(RASANTE!F6&lt;=PERALTE!$U$26,(-6/(PERALTE!$U$26-PERALTE!$S$26)*(RASANTE!F6-PERALTE!$S$26)-2),IF(RASANTE!F6&lt;=PERALTE!$X$26,-8,IF(RASANTE!F6&lt;=PERALTE!$Z$26,(-6/(PERALTE!$X$26-PERALTE!$Z$26)*(RASANTE!F6-PERALTE!$Z$26)-2),IF(RASANTE!F6&lt;=PERALTE!$AB$26,-2))))),IF(AND(AH!#REF!="Derecha",RASANTE!F6&lt;=PERALTE!$AB$26),IF(RASANTE!F6&lt;=PERALTE!$Q$26,-2,IF(RASANTE!F6&lt;=PERALTE!$U$26,(10/(PERALTE!$U$26-PERALTE!$Q$26)*(RASANTE!F6-PERALTE!$Q$26)-2),IF(RASANTE!F6&lt;=PERALTE!$X$26,8,IF(RASANTE!F6&lt;=PERALTE!$AB$26,(10/(PERALTE!$X$26-PERALTE!$AB$26)*(RASANTE!F6-PERALTE!$AB$26)-2))))),IF(F6&lt;=PERALTE!#REF!,-2,"Abscisa fuera de la vía")))))))))))))))))))))</f>
        <v>-2</v>
      </c>
      <c r="I6" s="28">
        <f>+IF(AND(AH!$H$8="Derecha",RASANTE!F6&lt;=PERALTE!$AB$6),IF(RASANTE!F6&lt;=PERALTE!$S$6,-2,IF(RASANTE!F6&lt;=PERALTE!$U$6,(-6/(PERALTE!$U$6-PERALTE!$S$6)*(RASANTE!F6-PERALTE!$S$6)-2),IF(RASANTE!F6&lt;=PERALTE!$X$6,-8,IF(RASANTE!F6&lt;=PERALTE!$Z$6,(-6/(PERALTE!$X$6-PERALTE!$Z$6)*(RASANTE!F6-PERALTE!$Z$6)-2),IF(RASANTE!F6&lt;=PERALTE!$AB$6,-2))))),IF(AND(AH!$H$8="Izquierda",RASANTE!F6&lt;=PERALTE!$AB$6),IF(RASANTE!F6&lt;=PERALTE!$Q$6,-2,IF(RASANTE!F6&lt;=PERALTE!$U$6,(10/(PERALTE!$U$6-PERALTE!$Q$6)*(RASANTE!F6-PERALTE!$Q$6)-2),IF(RASANTE!F6&lt;=PERALTE!$X$6,8,IF(RASANTE!F6&lt;=PERALTE!$AB$6,(10/(PERALTE!$X$6-PERALTE!$AB$6)*(RASANTE!F6-PERALTE!$AB$6)-2))))),IF(AND(AH!$H$10="Derecha",RASANTE!F6&lt;=PERALTE!$AB$8),IF(RASANTE!F6&lt;=PERALTE!$S$8,-2,IF(RASANTE!F6&lt;=PERALTE!$U$8,(-6/(PERALTE!$U$8-PERALTE!$S$8)*(RASANTE!F6-PERALTE!$S$8)-2),IF(RASANTE!F6&lt;=PERALTE!$X$8,-8,IF(RASANTE!F6&lt;=PERALTE!$Z$8,(-6/(PERALTE!$X$8-PERALTE!$Z$8)*(RASANTE!F6-PERALTE!$Z$8)-2),IF(RASANTE!F6&lt;=PERALTE!$AB$8,-2))))),IF(AND(AH!$H$10="Izquierda",RASANTE!F6&lt;=PERALTE!$AB$8),IF(RASANTE!F6&lt;=PERALTE!$Q$8,-2,IF(RASANTE!F6&lt;=PERALTE!$U$8,(10/(PERALTE!$U$8-PERALTE!$Q$8)*(RASANTE!F6-PERALTE!$Q$8)-2),IF(RASANTE!F6&lt;=PERALTE!$X$8,8,IF(RASANTE!F6&lt;=PERALTE!$AB$8,(10/(PERALTE!$X$8-PERALTE!$AB$8)*(RASANTE!F6-PERALTE!$AB$8)-2))))),IF(AND(AH!$H$12="Derecha",RASANTE!F6&lt;=PERALTE!$AB$10),IF(RASANTE!F6&lt;=PERALTE!$S$10,-2,IF(RASANTE!F6&lt;=PERALTE!$U$10,(-6/(PERALTE!$U$10-PERALTE!$S$10)*(RASANTE!F6-PERALTE!$S$10)-2),IF(RASANTE!F6&lt;=PERALTE!$X$10,-8,IF(RASANTE!F6&lt;=PERALTE!$Z$10,(-6/(PERALTE!$X$10-PERALTE!$Z$10)*(RASANTE!F6-PERALTE!$Z$10)-2),IF(RASANTE!F6&lt;=PERALTE!$AB$10,-2))))),IF(AND(AH!$H$12="Izquierda",RASANTE!F6&lt;=PERALTE!$AB$10),IF(RASANTE!F6&lt;=PERALTE!$Q$10,-2,IF(RASANTE!F6&lt;=PERALTE!$U$10,(10/(PERALTE!$U$10-PERALTE!$Q$10)*(RASANTE!F6-PERALTE!$Q$10)-2),IF(RASANTE!F6&lt;=PERALTE!$X$10,8,IF(RASANTE!F6&lt;=PERALTE!$AB$10,(10/(PERALTE!$X$10-PERALTE!$AB$10)*(RASANTE!F6-PERALTE!$AB$10)-2))))),IF(AND(AH!$H$14="Derecha",RASANTE!F6&lt;=PERALTE!$AB$12),IF(RASANTE!F6&lt;=PERALTE!$S$12,-2,IF(RASANTE!F6&lt;=PERALTE!$U$12,(-6/(PERALTE!$U$12-PERALTE!$S$12)*(RASANTE!F6-PERALTE!$S$12)-2),IF(RASANTE!F6&lt;=PERALTE!$X$12,-8,IF(RASANTE!F6&lt;=PERALTE!$Z$12,(-6/(PERALTE!$X$12-PERALTE!$Z$12)*(RASANTE!F6-PERALTE!$Z$12)-2),IF(RASANTE!F6&lt;=PERALTE!$AB$12,-2))))),IF(AND(AH!$H$14="Izquierda",RASANTE!F6&lt;=PERALTE!$AB$12),IF(RASANTE!F6&lt;=PERALTE!$Q$12,-2,IF(RASANTE!F6&lt;=PERALTE!$U$12,(10/(PERALTE!$U$12-PERALTE!$Q$12)*(RASANTE!F6-PERALTE!$Q$12)-2),IF(RASANTE!F6&lt;=PERALTE!$X$12,8,IF(RASANTE!F6&lt;=PERALTE!$AB$12,(10/(PERALTE!$X$12-PERALTE!$AB$12)*(RASANTE!F6-PERALTE!$AB$12)-2))))),IF(AND(AH!$H$16="Derecha",RASANTE!F6&lt;=PERALTE!$AB$14),IF(RASANTE!F6&lt;=PERALTE!$S$14,-2,IF(RASANTE!F6&lt;=PERALTE!$U$14,(-6/(PERALTE!$U$14-PERALTE!$S$14)*(RASANTE!F6-PERALTE!$S$14)-2),IF(RASANTE!F6&lt;=PERALTE!$X$14,-8,IF(RASANTE!F6&lt;=PERALTE!$Z$14,(-6/(PERALTE!$X$14-PERALTE!$Z$14)*(RASANTE!F6-PERALTE!$Z$14)-2),IF(RASANTE!F6&lt;=PERALTE!$AB$14,-2))))),IF(AND(AH!$H$16="Izquierda",RASANTE!F6&lt;=PERALTE!$AB$14),IF(RASANTE!F6&lt;=PERALTE!$Q$14,-2,IF(RASANTE!F6&lt;=PERALTE!$U$14,(10/(PERALTE!$U$14-PERALTE!$Q$14)*(RASANTE!F6-PERALTE!$Q$14)-2),IF(RASANTE!F6&lt;=PERALTE!$X$14,8,IF(RASANTE!F6&lt;=PERALTE!$AB$14,(10/(PERALTE!$X$14-PERALTE!$AB$14)*(RASANTE!F6-PERALTE!$AB$14)-2))))),IF(AND(AH!$H$18="Derecha",RASANTE!F6&lt;=PERALTE!$AB$16),IF(RASANTE!F6&lt;=PERALTE!$S$16,-2,IF(RASANTE!F6&lt;=PERALTE!$U$16,(-6/(PERALTE!$U$16-PERALTE!$S$16)*(RASANTE!F6-PERALTE!$S$16)-2),IF(RASANTE!F6&lt;=PERALTE!$X$16,-8,IF(RASANTE!F6&lt;=PERALTE!$Z$16,(-6/(PERALTE!$X$16-PERALTE!$Z$16)*(RASANTE!F6-PERALTE!$Z$16)-2),IF(RASANTE!F6&lt;=PERALTE!$AB$16,-2))))),IF(AND(AH!$H$18="Izquierda",RASANTE!F6&lt;=PERALTE!$AB$16),IF(RASANTE!F6&lt;=PERALTE!$Q$16,-2,IF(RASANTE!F6&lt;=PERALTE!$U$16,(10/(PERALTE!$U$16-PERALTE!$Q$16)*(RASANTE!F6-PERALTE!$Q$16)-2),IF(RASANTE!F6&lt;=PERALTE!$X$16,8,IF(RASANTE!F6&lt;=PERALTE!$AB$16,(10/(PERALTE!$X$16-PERALTE!$AB$16)*(RASANTE!F6-PERALTE!$AB$16)-2))))),IF(AND(AH!$H$20="Derecha",RASANTE!F6&lt;=PERALTE!$AB$18),IF(RASANTE!F6&lt;=PERALTE!$S$18,-2,IF(RASANTE!F6&lt;=PERALTE!$U$18,(-6/(PERALTE!$U$18-PERALTE!$S$18)*(RASANTE!F6-PERALTE!$S$18)-2),IF(RASANTE!F6&lt;=PERALTE!$X$18,-8,IF(RASANTE!F6&lt;=PERALTE!$Z$18,(-6/(PERALTE!$X$18-PERALTE!$Z$18)*(RASANTE!F6-PERALTE!$Z$18)-2),IF(RASANTE!F6&lt;=PERALTE!$AB$18,-2))))),IF(AND(AH!$H$20="Izquierda",RASANTE!F6&lt;=PERALTE!$AB$18),IF(RASANTE!F6&lt;=PERALTE!$Q$18,-2,IF(RASANTE!F6&lt;=PERALTE!$U$18,(10/(PERALTE!$U$18-PERALTE!$Q$18)*(RASANTE!F6-PERALTE!$Q$18)-2),IF(RASANTE!F6&lt;=PERALTE!$X$18,8,IF(RASANTE!F6&lt;=PERALTE!$AB$18,(10/(PERALTE!$X$18-PERALTE!$AB$18)*(RASANTE!F6-PERALTE!$AB$18)-2))))),IF(AND(AH!$H$24="Derecha",RASANTE!F6&lt;=PERALTE!$AB$22),IF(RASANTE!F6&lt;=PERALTE!$S$22,-2,IF(RASANTE!F6&lt;=PERALTE!$U$22,(-6/(PERALTE!$U$22-PERALTE!$S$22)*(RASANTE!F6-PERALTE!$S$22)-2),IF(RASANTE!F6&lt;=PERALTE!$X$22,-8,IF(RASANTE!F6&lt;=PERALTE!$Z$22,(-6/(PERALTE!$X$22-PERALTE!$Z$22)*(RASANTE!F6-PERALTE!$Z$22)-2),IF(RASANTE!F6&lt;=PERALTE!$AB$22,-2))))),IF(AND(AH!$H$24="Izquierda",RASANTE!F6&lt;=PERALTE!$AB$22),IF(RASANTE!F6&lt;=PERALTE!$Q$22,-2,IF(RASANTE!F6&lt;=PERALTE!$U$22,(10/(PERALTE!$U$22-PERALTE!$Q$22)*(RASANTE!F6-PERALTE!$Q$22)-2),IF(RASANTE!F6&lt;=PERALTE!$X$22,8,IF(RASANTE!F6&lt;=PERALTE!$AB$22,(10/(PERALTE!$X$22-PERALTE!$AB$22)*(RASANTE!F6-PERALTE!$AB$22)-2))))),IF(AND(AH!#REF!="Derecha",RASANTE!F6&lt;=PERALTE!#REF!),IF(RASANTE!F6&lt;=PERALTE!#REF!,-2,IF(RASANTE!F6&lt;=PERALTE!#REF!,(-6/(PERALTE!#REF!-PERALTE!#REF!)*(RASANTE!F6-PERALTE!#REF!)-2),IF(RASANTE!F6&lt;=PERALTE!#REF!,-8,IF(RASANTE!F6&lt;=PERALTE!#REF!,(-6/(PERALTE!#REF!-PERALTE!#REF!)*(RASANTE!F6-PERALTE!#REF!)-2),IF(RASANTE!F6&lt;=PERALTE!#REF!,-2))))),IF(AND(AH!#REF!="Izquierda",RASANTE!F6&lt;=PERALTE!#REF!),IF(RASANTE!F6&lt;=PERALTE!#REF!,-2,IF(RASANTE!F6&lt;=PERALTE!#REF!,(10/(PERALTE!#REF!-PERALTE!#REF!)*(RASANTE!F6-PERALTE!#REF!)-2),IF(RASANTE!F6&lt;=PERALTE!#REF!,8,IF(RASANTE!F6&lt;=PERALTE!#REF!,(10/(PERALTE!#REF!-PERALTE!#REF!)*(RASANTE!F6-PERALTE!#REF!)-2))))),IF(AND(AH!#REF!="Derecha",RASANTE!F6&lt;=PERALTE!$AB$26),IF(RASANTE!F6&lt;=PERALTE!$S$26,-2,IF(RASANTE!F6&lt;=PERALTE!$U$26,(-6/(PERALTE!$U$26-PERALTE!$S$26)*(RASANTE!F6-PERALTE!$S$26)-2),IF(RASANTE!F6&lt;=PERALTE!$X$26,-8,IF(RASANTE!F6&lt;=PERALTE!$Z$26,(-6/(PERALTE!$X$26-PERALTE!$Z$26)*(RASANTE!F6-PERALTE!$Z$26)-2),IF(RASANTE!F6&lt;=PERALTE!$AB$26,-2))))),IF(AND(AH!#REF!="Izquierda",RASANTE!F6&lt;=PERALTE!$AB$26),IF(RASANTE!F6&lt;=PERALTE!$Q$26,-2,IF(RASANTE!F6&lt;=PERALTE!$U$26,(10/(PERALTE!$U$26-PERALTE!$Q$26)*(RASANTE!F6-PERALTE!$Q$26)-2),IF(RASANTE!F6&lt;=PERALTE!$X$26,8,IF(RASANTE!F6&lt;=PERALTE!$AB$26,(10/(PERALTE!$X$26-PERALTE!$AB$26)*(RASANTE!F6-PERALTE!$AB$26)-2))))),IF(F6&lt;=PERALTE!#REF!,-2,"Abscisa fuera de la vía")))))))))))))))))))))</f>
        <v>-2</v>
      </c>
      <c r="J6" s="28">
        <f>J5+((F6-F5)*G5/100)</f>
        <v>1644.6284000000001</v>
      </c>
      <c r="K6" s="356">
        <f>+IF(AND(AV!$S$6&lt;F181,F181&lt;=AV!$T$6),AV!$P$6*((AV!$S$6-RASANTE!F181)/(AV!$N$6))^2,IF(AND(AV!$T$6&lt;RASANTE!F181,F181&lt;AV!$U$6),AV!$P$6*((AV!$U$6-RASANTE!F181)/(AV!$O$6))^2,IF(AND(AV!$S$8&lt;F181,F181&lt;=AV!$T$8),AV!$P$8*((AV!$S$8-RASANTE!F181)/(AV!$N$8))^2,IF(AND(AV!$T$8&lt;RASANTE!F181,F181&lt;AV!$U$8),AV!$P$8*((AV!$U$8-RASANTE!F181)/(AV!$O$8))^2,IF(AND(AV!$S$10&lt;F181,F181&lt;=AV!$T$10),AV!$P$10*((AV!$S$10-RASANTE!F181)/(AV!$N$10))^2,IF(AND(AV!$T$10&lt;RASANTE!F181,F181&lt;AV!$U$10),AV!$P$10*((AV!$U$10-RASANTE!F181)/(AV!$O$10))^2,IF(AND(AV!$S$12&lt;F181,F181&lt;=AV!$T$12),AV!$P$12*((AV!$S$12-RASANTE!F181)/(AV!$N$12))^2,IF(AND(AV!$T$12&lt;RASANTE!F181,F181&lt;AV!$U$12),AV!$P$12*((AV!$U$12-RASANTE!F181)/(AV!$O$12))^2,IF(AND(AV!$S$14&lt;F181,F181&lt;=AV!$T$14),AV!$P$14*((AV!$S$14-RASANTE!F181)/(AV!$N$14))^2,IF(AND(AV!$T$14&lt;RASANTE!F181,F181&lt;AV!$U$14),AV!$P$14*((AV!$U$14-RASANTE!F181)/(AV!$O$14))^2,IF(AND(AV!$S$16&lt;F181,F181&lt;=AV!$T$16),AV!$P$16*((AV!$S$16-RASANTE!F181)/(AV!$N$16))^2,IF(AND(AV!$T$16&lt;RASANTE!F181,F181&lt;AV!$U$16),AV!$P$16*((AV!$U$16-RASANTE!F181)/(AV!$O$16))^2,IF(AND(AV!$S$18&lt;F181,F181&lt;=AV!$T$18),AV!$P$18*((AV!$S$18-RASANTE!F181)/(AV!$N$18))^2,IF(AND(AV!$T$18&lt;RASANTE!F181,F181&lt;AV!$U$18),AV!$P$18*((AV!$U$18-RASANTE!F181)/(AV!$O$18))^2,IF(AND(AV!$S$20&lt;F181,F181&lt;=AV!$T$20),AV!$P$20*((AV!$S$20-RASANTE!F181)/(AV!$N$20))^2,IF(AND(AV!$T$20&lt;RASANTE!F181,F181&lt;AV!$U$20),AV!$P$20*((AV!$U$20-RASANTE!F181)/(AV!$O$20))^2,IF(AND(AV!$S$22&lt;F181,F181&lt;=AV!$T$22),AV!$P$22*((AV!$S$22-RASANTE!F181)/(AV!$N$22))^2,IF(AND(AV!$T$22&lt;RASANTE!F181,F181&lt;AV!$U$22),AV!$P$22*((AV!$U$22-RASANTE!F181)/(AV!$O$22))^2,IF(AND(AV!$S$24&lt;F181,F181&lt;=AV!$T$24),AV!$P$24*((AV!$S$24-RASANTE!F181)/(AV!$N$24))^2,IF(AND(AV!$T$24&lt;RASANTE!F181,F181&lt;AV!$U$24),AV!$P$24*((AV!$U$24-RASANTE!F181)/(AV!$O$24))^2,0))))))))))))))))))))</f>
        <v>0</v>
      </c>
      <c r="L6" s="28">
        <f>+M6+H6%*PERALTE!$C$32</f>
        <v>1644.5584000000001</v>
      </c>
      <c r="M6" s="28">
        <f t="shared" si="0"/>
        <v>1644.6284000000001</v>
      </c>
      <c r="N6" s="28">
        <f>+M6+I6%*PERALTE!$C$32</f>
        <v>1644.5584000000001</v>
      </c>
      <c r="O6" s="92"/>
      <c r="P6" s="89"/>
      <c r="Q6" s="391" t="s">
        <v>138</v>
      </c>
      <c r="R6" s="360"/>
      <c r="S6" s="84"/>
      <c r="T6" s="84"/>
      <c r="U6" s="84"/>
      <c r="V6" s="84"/>
      <c r="W6" s="84"/>
      <c r="X6" s="84"/>
      <c r="Y6" s="84"/>
    </row>
    <row r="7" spans="1:25" ht="16" x14ac:dyDescent="0.2">
      <c r="A7" s="90"/>
      <c r="B7" s="93"/>
      <c r="C7" s="93"/>
      <c r="D7" s="93"/>
      <c r="E7" s="91"/>
      <c r="F7" s="34">
        <v>30</v>
      </c>
      <c r="G7" s="88">
        <f>IF(F7&lt;=AV!$T$6,AV!$C$5,IF(RASANTE!F7&lt;=AV!$T$8,AV!$C$7,IF(RASANTE!F7&lt;=AV!$T$10,AV!$C$9,IF(RASANTE!F7&lt;=AV!$T$12,AV!#REF!,IF(RASANTE!F7&lt;=AV!$T$14,AV!$C$11,IF(RASANTE!F7&lt;=AV!$T$16,AV!$C$13, IF(RASANTE!F7&lt;=AV!$T$18,AV!$C$15,IF(RASANTE!F7&lt;=AV!$T$20,AV!$C$19,IF(RASANTE!F7&lt;=AV!$T$22,AV!$C$21,IF(RASANTE!F7&lt;=AV!$T$24,AV!$C$23,AV!$C$25))))))))))</f>
        <v>3.1419999999999999</v>
      </c>
      <c r="H7" s="28">
        <f>+IF(AND(AH!$H$8="Izquierda",RASANTE!F7&lt;=PERALTE!$AB$6),IF(RASANTE!F7&lt;=PERALTE!$S$6,-2,IF(RASANTE!F7&lt;=PERALTE!$U$6,(-6/(PERALTE!$U$6-PERALTE!$S$6)*(RASANTE!F7-PERALTE!$S$6)-2),IF(RASANTE!F7&lt;=PERALTE!$X$6,-8,IF(RASANTE!F7&lt;=PERALTE!$Z$6,(-6/(PERALTE!$X$6-PERALTE!$Z$6)*(RASANTE!F7-PERALTE!$Z$6)-2),IF(RASANTE!F7&lt;=PERALTE!$AB$6,-2))))),IF(AND(AH!$H$8="Derecha",RASANTE!F7&lt;=PERALTE!$AB$6),IF(RASANTE!F7&lt;=PERALTE!$Q$6,-2,IF(RASANTE!F7&lt;=PERALTE!$U$6,(10/(PERALTE!$U$6-PERALTE!$Q$6)*(RASANTE!F7-PERALTE!$Q$6)-2),IF(RASANTE!F7&lt;=PERALTE!$X$6,8,IF(RASANTE!F7&lt;=PERALTE!$AB$6,(10/(PERALTE!$X$6-PERALTE!$AB$6)*(RASANTE!F7-PERALTE!$AB$6)-2))))),IF(AND(AH!$H$10="Izquierda",RASANTE!F7&lt;=PERALTE!$AB$8),IF(RASANTE!F7&lt;=PERALTE!$S$8,-2,IF(RASANTE!F7&lt;=PERALTE!$U$8,(-6/(PERALTE!$U$8-PERALTE!$S$8)*(RASANTE!F7-PERALTE!$S$8)-2),IF(RASANTE!F7&lt;=PERALTE!$X$8,-8,IF(RASANTE!F7&lt;=PERALTE!$Z$8,(-6/(PERALTE!$X$8-PERALTE!$Z$8)*(RASANTE!F7-PERALTE!$Z$8)-2),IF(RASANTE!F7&lt;=PERALTE!$AB$8,-2))))),IF(AND(AH!$H$10="Derecha",RASANTE!F7&lt;=PERALTE!$AB$8),IF(RASANTE!F7&lt;=PERALTE!$Q$8,-2,IF(RASANTE!F7&lt;=PERALTE!$U$8,(10/(PERALTE!$U$8-PERALTE!$Q$8)*(RASANTE!F7-PERALTE!$Q$8)-2),IF(RASANTE!F7&lt;=PERALTE!$X$8,8,IF(RASANTE!F7&lt;=PERALTE!$AB$8,(10/(PERALTE!$X$8-PERALTE!$AB$8)*(RASANTE!F7-PERALTE!$AB$8)-2))))),IF(AND(AH!$H$12="Izquierda",RASANTE!F7&lt;=PERALTE!$AB$10),IF(RASANTE!F7&lt;=PERALTE!$S$10,-2,IF(RASANTE!F7&lt;=PERALTE!$U$10,(-6/(PERALTE!$U$10-PERALTE!$S$10)*(RASANTE!F7-PERALTE!$S$10)-2),IF(RASANTE!F7&lt;=PERALTE!$X$10,-8,IF(RASANTE!F7&lt;=PERALTE!$Z$10,(-6/(PERALTE!$X$10-PERALTE!$Z$10)*(RASANTE!F7-PERALTE!$Z$10)-2),IF(RASANTE!F7&lt;=PERALTE!$AB$10,-2))))),IF(AND(AH!$H$12="Derecha",RASANTE!F7&lt;=PERALTE!$AB$10),IF(RASANTE!F7&lt;=PERALTE!$Q$10,-2,IF(RASANTE!F7&lt;=PERALTE!$U$10,(10/(PERALTE!$U$10-PERALTE!$Q$10)*(RASANTE!F7-PERALTE!$Q$10)-2),IF(RASANTE!F7&lt;=PERALTE!$X$10,8,IF(RASANTE!F7&lt;=PERALTE!$AB$10,(10/(PERALTE!$X$10-PERALTE!$AB$10)*(RASANTE!F7-PERALTE!$AB$10)-2))))),IF(AND(AH!$H$14="Izquierda",RASANTE!F7&lt;=PERALTE!$AB$12),IF(RASANTE!F7&lt;=PERALTE!$S$12,-2,IF(RASANTE!F7&lt;=PERALTE!$U$12,(-6/(PERALTE!$U$12-PERALTE!$S$12)*(RASANTE!F7-PERALTE!$S$12)-2),IF(RASANTE!F7&lt;=PERALTE!$X$12,-8,IF(RASANTE!F7&lt;=PERALTE!$Z$12,(-6/(PERALTE!$X$12-PERALTE!$Z$12)*(RASANTE!F7-PERALTE!$Z$12)-2),IF(RASANTE!F7&lt;=PERALTE!$AB$12,-2))))),IF(AND(AH!$H$14="Derecha",RASANTE!F7&lt;=PERALTE!$AB$12),IF(RASANTE!F7&lt;=PERALTE!$Q$12,-2,IF(RASANTE!F7&lt;=PERALTE!$U$12,(10/(PERALTE!$U$12-PERALTE!$Q$12)*(RASANTE!F7-PERALTE!$Q$12)-2),IF(RASANTE!F7&lt;=PERALTE!$X$12,8,IF(RASANTE!F7&lt;=PERALTE!$AB$12,(10/(PERALTE!$X$12-PERALTE!$AB$12)*(RASANTE!F7-PERALTE!$AB$12)-2))))),IF(AND(AH!$H$16="Izquierda",RASANTE!F7&lt;=PERALTE!$AB$14),IF(RASANTE!F7&lt;=PERALTE!$S$14,-2,IF(RASANTE!F7&lt;=PERALTE!$U$14,(-6/(PERALTE!$U$14-PERALTE!$S$14)*(RASANTE!F7-PERALTE!$S$14)-2),IF(RASANTE!F7&lt;=PERALTE!$X$14,-8,IF(RASANTE!F7&lt;=PERALTE!$Z$14,(-6/(PERALTE!$X$14-PERALTE!$Z$14)*(RASANTE!F7-PERALTE!$Z$14)-2),IF(RASANTE!F7&lt;=PERALTE!$AB$14,-2))))),IF(AND(AH!$H$16="Derecha",RASANTE!F7&lt;=PERALTE!$AB$14),IF(RASANTE!F7&lt;=PERALTE!$Q$14,-2,IF(RASANTE!F7&lt;=PERALTE!$U$14,(10/(PERALTE!$U$14-PERALTE!$Q$14)*(RASANTE!F7-PERALTE!$Q$14)-2),IF(RASANTE!F7&lt;=PERALTE!$X$14,8,IF(RASANTE!F7&lt;=PERALTE!$AB$14,(10/(PERALTE!$X$14-PERALTE!$AB$14)*(RASANTE!F7-PERALTE!$AB$14)-2))))),IF(AND(AH!$H$18="Izquierda",RASANTE!F7&lt;=PERALTE!$AB$16),IF(RASANTE!F7&lt;=PERALTE!$S$16,-2,IF(RASANTE!F7&lt;=PERALTE!$U$16,(-6/(PERALTE!$U$16-PERALTE!$S$16)*(RASANTE!F7-PERALTE!$S$16)-2),IF(RASANTE!F7&lt;=PERALTE!$X$16,-8,IF(RASANTE!F7&lt;=PERALTE!$Z$16,(-6/(PERALTE!$X$16-PERALTE!$Z$16)*(RASANTE!F7-PERALTE!$Z$16)-2),IF(RASANTE!F7&lt;=PERALTE!$AB$16,-2))))),IF(AND(AH!$H$18="Derecha",RASANTE!F7&lt;=PERALTE!$AB$16),IF(RASANTE!F7&lt;=PERALTE!$Q$16,-2,IF(RASANTE!F7&lt;=PERALTE!$U$16,(10/(PERALTE!$U$16-PERALTE!$Q$16)*(RASANTE!F7-PERALTE!$Q$16)-2),IF(RASANTE!F7&lt;=PERALTE!$X$16,8,IF(RASANTE!F7&lt;=PERALTE!$AB$16,(10/(PERALTE!$X$16-PERALTE!$AB$16)*(RASANTE!F7-PERALTE!$AB$16)-2))))),IF(AND(AH!$H$20="Izquierda",RASANTE!F7&lt;=PERALTE!$AB$18),IF(RASANTE!F7&lt;=PERALTE!$S$18,-2,IF(RASANTE!F7&lt;=PERALTE!$U$18,(-6/(PERALTE!$U$18-PERALTE!$S$18)*(RASANTE!F7-PERALTE!$S$18)-2),IF(RASANTE!F7&lt;=PERALTE!$X$18,-8,IF(RASANTE!F7&lt;=PERALTE!$Z$18,(-6/(PERALTE!$X$18-PERALTE!$Z$18)*(RASANTE!F7-PERALTE!$Z$18)-2),IF(RASANTE!F7&lt;=PERALTE!$AB$18,-2))))),IF(AND(AH!$H$20="Derecha",RASANTE!F7&lt;=PERALTE!$AB$18),IF(RASANTE!F7&lt;=PERALTE!$Q$18,-2,IF(RASANTE!F7&lt;=PERALTE!$U$18,(10/(PERALTE!$U$18-PERALTE!$Q$18)*(RASANTE!F7-PERALTE!$Q$18)-2),IF(RASANTE!F7&lt;=PERALTE!$X$18,8,IF(RASANTE!F7&lt;=PERALTE!$AB$18,(10/(PERALTE!$X$18-PERALTE!$AB$18)*(RASANTE!F7-PERALTE!$AB$18)-2))))),IF(AND(AH!$H$24="Izquierda",RASANTE!F7&lt;=PERALTE!$AB$22),IF(RASANTE!F7&lt;=PERALTE!$S$22,-2,IF(RASANTE!F7&lt;=PERALTE!$U$22,(-6/(PERALTE!$U$22-PERALTE!$S$22)*(RASANTE!F7-PERALTE!$S$22)-2),IF(RASANTE!F7&lt;=PERALTE!$X$22,-8,IF(RASANTE!F7&lt;=PERALTE!$Z$22,(-6/(PERALTE!$X$22-PERALTE!$Z$22)*(RASANTE!F7-PERALTE!$Z$22)-2),IF(RASANTE!F7&lt;=PERALTE!$AB$22,-2))))),IF(AND(AH!$H$24="Derecha",RASANTE!F7&lt;=PERALTE!$AB$22),IF(RASANTE!F7&lt;=PERALTE!$Q$22,-2,IF(RASANTE!F7&lt;=PERALTE!$U$22,(10/(PERALTE!$U$22-PERALTE!$Q$22)*(RASANTE!F7-PERALTE!$Q$22)-2),IF(RASANTE!F7&lt;=PERALTE!$X$22,8,IF(RASANTE!F7&lt;=PERALTE!$AB$22,(10/(PERALTE!$X$22-PERALTE!$AB$22)*(RASANTE!F7-PERALTE!$AB$22)-2))))),IF(AND(AH!#REF!="Izquierda",RASANTE!F7&lt;=PERALTE!#REF!),IF(RASANTE!F7&lt;=PERALTE!#REF!,-2,IF(RASANTE!F7&lt;=PERALTE!#REF!,(-6/(PERALTE!#REF!-PERALTE!#REF!)*(RASANTE!F7-PERALTE!#REF!)-2),IF(RASANTE!F7&lt;=PERALTE!#REF!,-8,IF(RASANTE!F7&lt;=PERALTE!#REF!,(-6/(PERALTE!#REF!-PERALTE!#REF!)*(RASANTE!F7-PERALTE!#REF!)-2),IF(RASANTE!F7&lt;=PERALTE!#REF!,-2))))),IF(AND(AH!#REF!="Derecha",RASANTE!F7&lt;=PERALTE!#REF!),IF(RASANTE!F7&lt;=PERALTE!#REF!,-2,IF(RASANTE!F7&lt;=PERALTE!#REF!,(10/(PERALTE!#REF!-PERALTE!#REF!)*(RASANTE!F7-PERALTE!#REF!)-2),IF(RASANTE!F7&lt;=PERALTE!#REF!,8,IF(RASANTE!F7&lt;=PERALTE!#REF!,(10/(PERALTE!#REF!-PERALTE!#REF!)*(RASANTE!F7-PERALTE!#REF!)-2))))),IF(AND(AH!#REF!="Izquierda",RASANTE!F7&lt;=PERALTE!$AB$26),IF(RASANTE!F7&lt;=PERALTE!$S$26,-2,IF(RASANTE!F7&lt;=PERALTE!$U$26,(-6/(PERALTE!$U$26-PERALTE!$S$26)*(RASANTE!F7-PERALTE!$S$26)-2),IF(RASANTE!F7&lt;=PERALTE!$X$26,-8,IF(RASANTE!F7&lt;=PERALTE!$Z$26,(-6/(PERALTE!$X$26-PERALTE!$Z$26)*(RASANTE!F7-PERALTE!$Z$26)-2),IF(RASANTE!F7&lt;=PERALTE!$AB$26,-2))))),IF(AND(AH!#REF!="Derecha",RASANTE!F7&lt;=PERALTE!$AB$26),IF(RASANTE!F7&lt;=PERALTE!$Q$26,-2,IF(RASANTE!F7&lt;=PERALTE!$U$26,(10/(PERALTE!$U$26-PERALTE!$Q$26)*(RASANTE!F7-PERALTE!$Q$26)-2),IF(RASANTE!F7&lt;=PERALTE!$X$26,8,IF(RASANTE!F7&lt;=PERALTE!$AB$26,(10/(PERALTE!$X$26-PERALTE!$AB$26)*(RASANTE!F7-PERALTE!$AB$26)-2))))),IF(F7&lt;=PERALTE!#REF!,-2,"Abscisa fuera de la vía")))))))))))))))))))))</f>
        <v>-2</v>
      </c>
      <c r="I7" s="28">
        <f>+IF(AND(AH!$H$8="Derecha",RASANTE!F7&lt;=PERALTE!$AB$6),IF(RASANTE!F7&lt;=PERALTE!$S$6,-2,IF(RASANTE!F7&lt;=PERALTE!$U$6,(-6/(PERALTE!$U$6-PERALTE!$S$6)*(RASANTE!F7-PERALTE!$S$6)-2),IF(RASANTE!F7&lt;=PERALTE!$X$6,-8,IF(RASANTE!F7&lt;=PERALTE!$Z$6,(-6/(PERALTE!$X$6-PERALTE!$Z$6)*(RASANTE!F7-PERALTE!$Z$6)-2),IF(RASANTE!F7&lt;=PERALTE!$AB$6,-2))))),IF(AND(AH!$H$8="Izquierda",RASANTE!F7&lt;=PERALTE!$AB$6),IF(RASANTE!F7&lt;=PERALTE!$Q$6,-2,IF(RASANTE!F7&lt;=PERALTE!$U$6,(10/(PERALTE!$U$6-PERALTE!$Q$6)*(RASANTE!F7-PERALTE!$Q$6)-2),IF(RASANTE!F7&lt;=PERALTE!$X$6,8,IF(RASANTE!F7&lt;=PERALTE!$AB$6,(10/(PERALTE!$X$6-PERALTE!$AB$6)*(RASANTE!F7-PERALTE!$AB$6)-2))))),IF(AND(AH!$H$10="Derecha",RASANTE!F7&lt;=PERALTE!$AB$8),IF(RASANTE!F7&lt;=PERALTE!$S$8,-2,IF(RASANTE!F7&lt;=PERALTE!$U$8,(-6/(PERALTE!$U$8-PERALTE!$S$8)*(RASANTE!F7-PERALTE!$S$8)-2),IF(RASANTE!F7&lt;=PERALTE!$X$8,-8,IF(RASANTE!F7&lt;=PERALTE!$Z$8,(-6/(PERALTE!$X$8-PERALTE!$Z$8)*(RASANTE!F7-PERALTE!$Z$8)-2),IF(RASANTE!F7&lt;=PERALTE!$AB$8,-2))))),IF(AND(AH!$H$10="Izquierda",RASANTE!F7&lt;=PERALTE!$AB$8),IF(RASANTE!F7&lt;=PERALTE!$Q$8,-2,IF(RASANTE!F7&lt;=PERALTE!$U$8,(10/(PERALTE!$U$8-PERALTE!$Q$8)*(RASANTE!F7-PERALTE!$Q$8)-2),IF(RASANTE!F7&lt;=PERALTE!$X$8,8,IF(RASANTE!F7&lt;=PERALTE!$AB$8,(10/(PERALTE!$X$8-PERALTE!$AB$8)*(RASANTE!F7-PERALTE!$AB$8)-2))))),IF(AND(AH!$H$12="Derecha",RASANTE!F7&lt;=PERALTE!$AB$10),IF(RASANTE!F7&lt;=PERALTE!$S$10,-2,IF(RASANTE!F7&lt;=PERALTE!$U$10,(-6/(PERALTE!$U$10-PERALTE!$S$10)*(RASANTE!F7-PERALTE!$S$10)-2),IF(RASANTE!F7&lt;=PERALTE!$X$10,-8,IF(RASANTE!F7&lt;=PERALTE!$Z$10,(-6/(PERALTE!$X$10-PERALTE!$Z$10)*(RASANTE!F7-PERALTE!$Z$10)-2),IF(RASANTE!F7&lt;=PERALTE!$AB$10,-2))))),IF(AND(AH!$H$12="Izquierda",RASANTE!F7&lt;=PERALTE!$AB$10),IF(RASANTE!F7&lt;=PERALTE!$Q$10,-2,IF(RASANTE!F7&lt;=PERALTE!$U$10,(10/(PERALTE!$U$10-PERALTE!$Q$10)*(RASANTE!F7-PERALTE!$Q$10)-2),IF(RASANTE!F7&lt;=PERALTE!$X$10,8,IF(RASANTE!F7&lt;=PERALTE!$AB$10,(10/(PERALTE!$X$10-PERALTE!$AB$10)*(RASANTE!F7-PERALTE!$AB$10)-2))))),IF(AND(AH!$H$14="Derecha",RASANTE!F7&lt;=PERALTE!$AB$12),IF(RASANTE!F7&lt;=PERALTE!$S$12,-2,IF(RASANTE!F7&lt;=PERALTE!$U$12,(-6/(PERALTE!$U$12-PERALTE!$S$12)*(RASANTE!F7-PERALTE!$S$12)-2),IF(RASANTE!F7&lt;=PERALTE!$X$12,-8,IF(RASANTE!F7&lt;=PERALTE!$Z$12,(-6/(PERALTE!$X$12-PERALTE!$Z$12)*(RASANTE!F7-PERALTE!$Z$12)-2),IF(RASANTE!F7&lt;=PERALTE!$AB$12,-2))))),IF(AND(AH!$H$14="Izquierda",RASANTE!F7&lt;=PERALTE!$AB$12),IF(RASANTE!F7&lt;=PERALTE!$Q$12,-2,IF(RASANTE!F7&lt;=PERALTE!$U$12,(10/(PERALTE!$U$12-PERALTE!$Q$12)*(RASANTE!F7-PERALTE!$Q$12)-2),IF(RASANTE!F7&lt;=PERALTE!$X$12,8,IF(RASANTE!F7&lt;=PERALTE!$AB$12,(10/(PERALTE!$X$12-PERALTE!$AB$12)*(RASANTE!F7-PERALTE!$AB$12)-2))))),IF(AND(AH!$H$16="Derecha",RASANTE!F7&lt;=PERALTE!$AB$14),IF(RASANTE!F7&lt;=PERALTE!$S$14,-2,IF(RASANTE!F7&lt;=PERALTE!$U$14,(-6/(PERALTE!$U$14-PERALTE!$S$14)*(RASANTE!F7-PERALTE!$S$14)-2),IF(RASANTE!F7&lt;=PERALTE!$X$14,-8,IF(RASANTE!F7&lt;=PERALTE!$Z$14,(-6/(PERALTE!$X$14-PERALTE!$Z$14)*(RASANTE!F7-PERALTE!$Z$14)-2),IF(RASANTE!F7&lt;=PERALTE!$AB$14,-2))))),IF(AND(AH!$H$16="Izquierda",RASANTE!F7&lt;=PERALTE!$AB$14),IF(RASANTE!F7&lt;=PERALTE!$Q$14,-2,IF(RASANTE!F7&lt;=PERALTE!$U$14,(10/(PERALTE!$U$14-PERALTE!$Q$14)*(RASANTE!F7-PERALTE!$Q$14)-2),IF(RASANTE!F7&lt;=PERALTE!$X$14,8,IF(RASANTE!F7&lt;=PERALTE!$AB$14,(10/(PERALTE!$X$14-PERALTE!$AB$14)*(RASANTE!F7-PERALTE!$AB$14)-2))))),IF(AND(AH!$H$18="Derecha",RASANTE!F7&lt;=PERALTE!$AB$16),IF(RASANTE!F7&lt;=PERALTE!$S$16,-2,IF(RASANTE!F7&lt;=PERALTE!$U$16,(-6/(PERALTE!$U$16-PERALTE!$S$16)*(RASANTE!F7-PERALTE!$S$16)-2),IF(RASANTE!F7&lt;=PERALTE!$X$16,-8,IF(RASANTE!F7&lt;=PERALTE!$Z$16,(-6/(PERALTE!$X$16-PERALTE!$Z$16)*(RASANTE!F7-PERALTE!$Z$16)-2),IF(RASANTE!F7&lt;=PERALTE!$AB$16,-2))))),IF(AND(AH!$H$18="Izquierda",RASANTE!F7&lt;=PERALTE!$AB$16),IF(RASANTE!F7&lt;=PERALTE!$Q$16,-2,IF(RASANTE!F7&lt;=PERALTE!$U$16,(10/(PERALTE!$U$16-PERALTE!$Q$16)*(RASANTE!F7-PERALTE!$Q$16)-2),IF(RASANTE!F7&lt;=PERALTE!$X$16,8,IF(RASANTE!F7&lt;=PERALTE!$AB$16,(10/(PERALTE!$X$16-PERALTE!$AB$16)*(RASANTE!F7-PERALTE!$AB$16)-2))))),IF(AND(AH!$H$20="Derecha",RASANTE!F7&lt;=PERALTE!$AB$18),IF(RASANTE!F7&lt;=PERALTE!$S$18,-2,IF(RASANTE!F7&lt;=PERALTE!$U$18,(-6/(PERALTE!$U$18-PERALTE!$S$18)*(RASANTE!F7-PERALTE!$S$18)-2),IF(RASANTE!F7&lt;=PERALTE!$X$18,-8,IF(RASANTE!F7&lt;=PERALTE!$Z$18,(-6/(PERALTE!$X$18-PERALTE!$Z$18)*(RASANTE!F7-PERALTE!$Z$18)-2),IF(RASANTE!F7&lt;=PERALTE!$AB$18,-2))))),IF(AND(AH!$H$20="Izquierda",RASANTE!F7&lt;=PERALTE!$AB$18),IF(RASANTE!F7&lt;=PERALTE!$Q$18,-2,IF(RASANTE!F7&lt;=PERALTE!$U$18,(10/(PERALTE!$U$18-PERALTE!$Q$18)*(RASANTE!F7-PERALTE!$Q$18)-2),IF(RASANTE!F7&lt;=PERALTE!$X$18,8,IF(RASANTE!F7&lt;=PERALTE!$AB$18,(10/(PERALTE!$X$18-PERALTE!$AB$18)*(RASANTE!F7-PERALTE!$AB$18)-2))))),IF(AND(AH!$H$24="Derecha",RASANTE!F7&lt;=PERALTE!$AB$22),IF(RASANTE!F7&lt;=PERALTE!$S$22,-2,IF(RASANTE!F7&lt;=PERALTE!$U$22,(-6/(PERALTE!$U$22-PERALTE!$S$22)*(RASANTE!F7-PERALTE!$S$22)-2),IF(RASANTE!F7&lt;=PERALTE!$X$22,-8,IF(RASANTE!F7&lt;=PERALTE!$Z$22,(-6/(PERALTE!$X$22-PERALTE!$Z$22)*(RASANTE!F7-PERALTE!$Z$22)-2),IF(RASANTE!F7&lt;=PERALTE!$AB$22,-2))))),IF(AND(AH!$H$24="Izquierda",RASANTE!F7&lt;=PERALTE!$AB$22),IF(RASANTE!F7&lt;=PERALTE!$Q$22,-2,IF(RASANTE!F7&lt;=PERALTE!$U$22,(10/(PERALTE!$U$22-PERALTE!$Q$22)*(RASANTE!F7-PERALTE!$Q$22)-2),IF(RASANTE!F7&lt;=PERALTE!$X$22,8,IF(RASANTE!F7&lt;=PERALTE!$AB$22,(10/(PERALTE!$X$22-PERALTE!$AB$22)*(RASANTE!F7-PERALTE!$AB$22)-2))))),IF(AND(AH!#REF!="Derecha",RASANTE!F7&lt;=PERALTE!#REF!),IF(RASANTE!F7&lt;=PERALTE!#REF!,-2,IF(RASANTE!F7&lt;=PERALTE!#REF!,(-6/(PERALTE!#REF!-PERALTE!#REF!)*(RASANTE!F7-PERALTE!#REF!)-2),IF(RASANTE!F7&lt;=PERALTE!#REF!,-8,IF(RASANTE!F7&lt;=PERALTE!#REF!,(-6/(PERALTE!#REF!-PERALTE!#REF!)*(RASANTE!F7-PERALTE!#REF!)-2),IF(RASANTE!F7&lt;=PERALTE!#REF!,-2))))),IF(AND(AH!#REF!="Izquierda",RASANTE!F7&lt;=PERALTE!#REF!),IF(RASANTE!F7&lt;=PERALTE!#REF!,-2,IF(RASANTE!F7&lt;=PERALTE!#REF!,(10/(PERALTE!#REF!-PERALTE!#REF!)*(RASANTE!F7-PERALTE!#REF!)-2),IF(RASANTE!F7&lt;=PERALTE!#REF!,8,IF(RASANTE!F7&lt;=PERALTE!#REF!,(10/(PERALTE!#REF!-PERALTE!#REF!)*(RASANTE!F7-PERALTE!#REF!)-2))))),IF(AND(AH!#REF!="Derecha",RASANTE!F7&lt;=PERALTE!$AB$26),IF(RASANTE!F7&lt;=PERALTE!$S$26,-2,IF(RASANTE!F7&lt;=PERALTE!$U$26,(-6/(PERALTE!$U$26-PERALTE!$S$26)*(RASANTE!F7-PERALTE!$S$26)-2),IF(RASANTE!F7&lt;=PERALTE!$X$26,-8,IF(RASANTE!F7&lt;=PERALTE!$Z$26,(-6/(PERALTE!$X$26-PERALTE!$Z$26)*(RASANTE!F7-PERALTE!$Z$26)-2),IF(RASANTE!F7&lt;=PERALTE!$AB$26,-2))))),IF(AND(AH!#REF!="Izquierda",RASANTE!F7&lt;=PERALTE!$AB$26),IF(RASANTE!F7&lt;=PERALTE!$Q$26,-2,IF(RASANTE!F7&lt;=PERALTE!$U$26,(10/(PERALTE!$U$26-PERALTE!$Q$26)*(RASANTE!F7-PERALTE!$Q$26)-2),IF(RASANTE!F7&lt;=PERALTE!$X$26,8,IF(RASANTE!F7&lt;=PERALTE!$AB$26,(10/(PERALTE!$X$26-PERALTE!$AB$26)*(RASANTE!F7-PERALTE!$AB$26)-2))))),IF(F7&lt;=PERALTE!#REF!,-2,"Abscisa fuera de la vía")))))))))))))))))))))</f>
        <v>-2</v>
      </c>
      <c r="J7" s="28">
        <f>J6+((F7-F6)*G6/100)</f>
        <v>1644.9426000000001</v>
      </c>
      <c r="K7" s="356">
        <f>+IF(AND(AV!$S$6&lt;F182,F182&lt;=AV!$T$6),AV!$P$6*((AV!$S$6-RASANTE!F182)/(AV!$N$6))^2,IF(AND(AV!$T$6&lt;RASANTE!F182,F182&lt;AV!$U$6),AV!$P$6*((AV!$U$6-RASANTE!F182)/(AV!$O$6))^2,IF(AND(AV!$S$8&lt;F182,F182&lt;=AV!$T$8),AV!$P$8*((AV!$S$8-RASANTE!F182)/(AV!$N$8))^2,IF(AND(AV!$T$8&lt;RASANTE!F182,F182&lt;AV!$U$8),AV!$P$8*((AV!$U$8-RASANTE!F182)/(AV!$O$8))^2,IF(AND(AV!$S$10&lt;F182,F182&lt;=AV!$T$10),AV!$P$10*((AV!$S$10-RASANTE!F182)/(AV!$N$10))^2,IF(AND(AV!$T$10&lt;RASANTE!F182,F182&lt;AV!$U$10),AV!$P$10*((AV!$U$10-RASANTE!F182)/(AV!$O$10))^2,IF(AND(AV!$S$12&lt;F182,F182&lt;=AV!$T$12),AV!$P$12*((AV!$S$12-RASANTE!F182)/(AV!$N$12))^2,IF(AND(AV!$T$12&lt;RASANTE!F182,F182&lt;AV!$U$12),AV!$P$12*((AV!$U$12-RASANTE!F182)/(AV!$O$12))^2,IF(AND(AV!$S$14&lt;F182,F182&lt;=AV!$T$14),AV!$P$14*((AV!$S$14-RASANTE!F182)/(AV!$N$14))^2,IF(AND(AV!$T$14&lt;RASANTE!F182,F182&lt;AV!$U$14),AV!$P$14*((AV!$U$14-RASANTE!F182)/(AV!$O$14))^2,IF(AND(AV!$S$16&lt;F182,F182&lt;=AV!$T$16),AV!$P$16*((AV!$S$16-RASANTE!F182)/(AV!$N$16))^2,IF(AND(AV!$T$16&lt;RASANTE!F182,F182&lt;AV!$U$16),AV!$P$16*((AV!$U$16-RASANTE!F182)/(AV!$O$16))^2,IF(AND(AV!$S$18&lt;F182,F182&lt;=AV!$T$18),AV!$P$18*((AV!$S$18-RASANTE!F182)/(AV!$N$18))^2,IF(AND(AV!$T$18&lt;RASANTE!F182,F182&lt;AV!$U$18),AV!$P$18*((AV!$U$18-RASANTE!F182)/(AV!$O$18))^2,IF(AND(AV!$S$20&lt;F182,F182&lt;=AV!$T$20),AV!$P$20*((AV!$S$20-RASANTE!F182)/(AV!$N$20))^2,IF(AND(AV!$T$20&lt;RASANTE!F182,F182&lt;AV!$U$20),AV!$P$20*((AV!$U$20-RASANTE!F182)/(AV!$O$20))^2,IF(AND(AV!$S$22&lt;F182,F182&lt;=AV!$T$22),AV!$P$22*((AV!$S$22-RASANTE!F182)/(AV!$N$22))^2,IF(AND(AV!$T$22&lt;RASANTE!F182,F182&lt;AV!$U$22),AV!$P$22*((AV!$U$22-RASANTE!F182)/(AV!$O$22))^2,IF(AND(AV!$S$24&lt;F182,F182&lt;=AV!$T$24),AV!$P$24*((AV!$S$24-RASANTE!F182)/(AV!$N$24))^2,IF(AND(AV!$T$24&lt;RASANTE!F182,F182&lt;AV!$U$24),AV!$P$24*((AV!$U$24-RASANTE!F182)/(AV!$O$24))^2,0))))))))))))))))))))</f>
        <v>0</v>
      </c>
      <c r="L7" s="28">
        <f>+M7+H7%*PERALTE!$C$32</f>
        <v>1644.8726000000001</v>
      </c>
      <c r="M7" s="28">
        <f t="shared" si="0"/>
        <v>1644.9426000000001</v>
      </c>
      <c r="N7" s="28">
        <f>+M7+I7%*PERALTE!$C$32</f>
        <v>1644.8726000000001</v>
      </c>
      <c r="O7" s="92"/>
      <c r="P7" s="89"/>
      <c r="Q7" s="94" t="s">
        <v>139</v>
      </c>
      <c r="R7" s="95"/>
      <c r="S7" s="84"/>
      <c r="T7" s="84"/>
      <c r="U7" s="84"/>
      <c r="V7" s="84"/>
      <c r="W7" s="84"/>
      <c r="X7" s="84"/>
      <c r="Y7" s="84"/>
    </row>
    <row r="8" spans="1:25" ht="16" x14ac:dyDescent="0.2">
      <c r="A8" s="90"/>
      <c r="B8" s="86"/>
      <c r="C8" s="86"/>
      <c r="D8" s="86"/>
      <c r="E8" s="91"/>
      <c r="F8" s="34">
        <v>40</v>
      </c>
      <c r="G8" s="88">
        <f>IF(F8&lt;=AV!$T$6,AV!$C$5,IF(RASANTE!F8&lt;=AV!$T$8,AV!$C$7,IF(RASANTE!F8&lt;=AV!$T$10,AV!$C$9,IF(RASANTE!F8&lt;=AV!$T$12,AV!#REF!,IF(RASANTE!F8&lt;=AV!$T$14,AV!$C$11,IF(RASANTE!F8&lt;=AV!$T$16,AV!$C$13, IF(RASANTE!F8&lt;=AV!$T$18,AV!$C$15,IF(RASANTE!F8&lt;=AV!$T$20,AV!$C$19,IF(RASANTE!F8&lt;=AV!$T$22,AV!$C$21,IF(RASANTE!F8&lt;=AV!$T$24,AV!$C$23,AV!$C$25))))))))))</f>
        <v>3.1419999999999999</v>
      </c>
      <c r="H8" s="28">
        <f>+IF(AND(AH!$H$8="Izquierda",RASANTE!F8&lt;=PERALTE!$AB$6),IF(RASANTE!F8&lt;=PERALTE!$S$6,-2,IF(RASANTE!F8&lt;=PERALTE!$U$6,(-6/(PERALTE!$U$6-PERALTE!$S$6)*(RASANTE!F8-PERALTE!$S$6)-2),IF(RASANTE!F8&lt;=PERALTE!$X$6,-8,IF(RASANTE!F8&lt;=PERALTE!$Z$6,(-6/(PERALTE!$X$6-PERALTE!$Z$6)*(RASANTE!F8-PERALTE!$Z$6)-2),IF(RASANTE!F8&lt;=PERALTE!$AB$6,-2))))),IF(AND(AH!$H$8="Derecha",RASANTE!F8&lt;=PERALTE!$AB$6),IF(RASANTE!F8&lt;=PERALTE!$Q$6,-2,IF(RASANTE!F8&lt;=PERALTE!$U$6,(10/(PERALTE!$U$6-PERALTE!$Q$6)*(RASANTE!F8-PERALTE!$Q$6)-2),IF(RASANTE!F8&lt;=PERALTE!$X$6,8,IF(RASANTE!F8&lt;=PERALTE!$AB$6,(10/(PERALTE!$X$6-PERALTE!$AB$6)*(RASANTE!F8-PERALTE!$AB$6)-2))))),IF(AND(AH!$H$10="Izquierda",RASANTE!F8&lt;=PERALTE!$AB$8),IF(RASANTE!F8&lt;=PERALTE!$S$8,-2,IF(RASANTE!F8&lt;=PERALTE!$U$8,(-6/(PERALTE!$U$8-PERALTE!$S$8)*(RASANTE!F8-PERALTE!$S$8)-2),IF(RASANTE!F8&lt;=PERALTE!$X$8,-8,IF(RASANTE!F8&lt;=PERALTE!$Z$8,(-6/(PERALTE!$X$8-PERALTE!$Z$8)*(RASANTE!F8-PERALTE!$Z$8)-2),IF(RASANTE!F8&lt;=PERALTE!$AB$8,-2))))),IF(AND(AH!$H$10="Derecha",RASANTE!F8&lt;=PERALTE!$AB$8),IF(RASANTE!F8&lt;=PERALTE!$Q$8,-2,IF(RASANTE!F8&lt;=PERALTE!$U$8,(10/(PERALTE!$U$8-PERALTE!$Q$8)*(RASANTE!F8-PERALTE!$Q$8)-2),IF(RASANTE!F8&lt;=PERALTE!$X$8,8,IF(RASANTE!F8&lt;=PERALTE!$AB$8,(10/(PERALTE!$X$8-PERALTE!$AB$8)*(RASANTE!F8-PERALTE!$AB$8)-2))))),IF(AND(AH!$H$12="Izquierda",RASANTE!F8&lt;=PERALTE!$AB$10),IF(RASANTE!F8&lt;=PERALTE!$S$10,-2,IF(RASANTE!F8&lt;=PERALTE!$U$10,(-6/(PERALTE!$U$10-PERALTE!$S$10)*(RASANTE!F8-PERALTE!$S$10)-2),IF(RASANTE!F8&lt;=PERALTE!$X$10,-8,IF(RASANTE!F8&lt;=PERALTE!$Z$10,(-6/(PERALTE!$X$10-PERALTE!$Z$10)*(RASANTE!F8-PERALTE!$Z$10)-2),IF(RASANTE!F8&lt;=PERALTE!$AB$10,-2))))),IF(AND(AH!$H$12="Derecha",RASANTE!F8&lt;=PERALTE!$AB$10),IF(RASANTE!F8&lt;=PERALTE!$Q$10,-2,IF(RASANTE!F8&lt;=PERALTE!$U$10,(10/(PERALTE!$U$10-PERALTE!$Q$10)*(RASANTE!F8-PERALTE!$Q$10)-2),IF(RASANTE!F8&lt;=PERALTE!$X$10,8,IF(RASANTE!F8&lt;=PERALTE!$AB$10,(10/(PERALTE!$X$10-PERALTE!$AB$10)*(RASANTE!F8-PERALTE!$AB$10)-2))))),IF(AND(AH!$H$14="Izquierda",RASANTE!F8&lt;=PERALTE!$AB$12),IF(RASANTE!F8&lt;=PERALTE!$S$12,-2,IF(RASANTE!F8&lt;=PERALTE!$U$12,(-6/(PERALTE!$U$12-PERALTE!$S$12)*(RASANTE!F8-PERALTE!$S$12)-2),IF(RASANTE!F8&lt;=PERALTE!$X$12,-8,IF(RASANTE!F8&lt;=PERALTE!$Z$12,(-6/(PERALTE!$X$12-PERALTE!$Z$12)*(RASANTE!F8-PERALTE!$Z$12)-2),IF(RASANTE!F8&lt;=PERALTE!$AB$12,-2))))),IF(AND(AH!$H$14="Derecha",RASANTE!F8&lt;=PERALTE!$AB$12),IF(RASANTE!F8&lt;=PERALTE!$Q$12,-2,IF(RASANTE!F8&lt;=PERALTE!$U$12,(10/(PERALTE!$U$12-PERALTE!$Q$12)*(RASANTE!F8-PERALTE!$Q$12)-2),IF(RASANTE!F8&lt;=PERALTE!$X$12,8,IF(RASANTE!F8&lt;=PERALTE!$AB$12,(10/(PERALTE!$X$12-PERALTE!$AB$12)*(RASANTE!F8-PERALTE!$AB$12)-2))))),IF(AND(AH!$H$16="Izquierda",RASANTE!F8&lt;=PERALTE!$AB$14),IF(RASANTE!F8&lt;=PERALTE!$S$14,-2,IF(RASANTE!F8&lt;=PERALTE!$U$14,(-6/(PERALTE!$U$14-PERALTE!$S$14)*(RASANTE!F8-PERALTE!$S$14)-2),IF(RASANTE!F8&lt;=PERALTE!$X$14,-8,IF(RASANTE!F8&lt;=PERALTE!$Z$14,(-6/(PERALTE!$X$14-PERALTE!$Z$14)*(RASANTE!F8-PERALTE!$Z$14)-2),IF(RASANTE!F8&lt;=PERALTE!$AB$14,-2))))),IF(AND(AH!$H$16="Derecha",RASANTE!F8&lt;=PERALTE!$AB$14),IF(RASANTE!F8&lt;=PERALTE!$Q$14,-2,IF(RASANTE!F8&lt;=PERALTE!$U$14,(10/(PERALTE!$U$14-PERALTE!$Q$14)*(RASANTE!F8-PERALTE!$Q$14)-2),IF(RASANTE!F8&lt;=PERALTE!$X$14,8,IF(RASANTE!F8&lt;=PERALTE!$AB$14,(10/(PERALTE!$X$14-PERALTE!$AB$14)*(RASANTE!F8-PERALTE!$AB$14)-2))))),IF(AND(AH!$H$18="Izquierda",RASANTE!F8&lt;=PERALTE!$AB$16),IF(RASANTE!F8&lt;=PERALTE!$S$16,-2,IF(RASANTE!F8&lt;=PERALTE!$U$16,(-6/(PERALTE!$U$16-PERALTE!$S$16)*(RASANTE!F8-PERALTE!$S$16)-2),IF(RASANTE!F8&lt;=PERALTE!$X$16,-8,IF(RASANTE!F8&lt;=PERALTE!$Z$16,(-6/(PERALTE!$X$16-PERALTE!$Z$16)*(RASANTE!F8-PERALTE!$Z$16)-2),IF(RASANTE!F8&lt;=PERALTE!$AB$16,-2))))),IF(AND(AH!$H$18="Derecha",RASANTE!F8&lt;=PERALTE!$AB$16),IF(RASANTE!F8&lt;=PERALTE!$Q$16,-2,IF(RASANTE!F8&lt;=PERALTE!$U$16,(10/(PERALTE!$U$16-PERALTE!$Q$16)*(RASANTE!F8-PERALTE!$Q$16)-2),IF(RASANTE!F8&lt;=PERALTE!$X$16,8,IF(RASANTE!F8&lt;=PERALTE!$AB$16,(10/(PERALTE!$X$16-PERALTE!$AB$16)*(RASANTE!F8-PERALTE!$AB$16)-2))))),IF(AND(AH!$H$20="Izquierda",RASANTE!F8&lt;=PERALTE!$AB$18),IF(RASANTE!F8&lt;=PERALTE!$S$18,-2,IF(RASANTE!F8&lt;=PERALTE!$U$18,(-6/(PERALTE!$U$18-PERALTE!$S$18)*(RASANTE!F8-PERALTE!$S$18)-2),IF(RASANTE!F8&lt;=PERALTE!$X$18,-8,IF(RASANTE!F8&lt;=PERALTE!$Z$18,(-6/(PERALTE!$X$18-PERALTE!$Z$18)*(RASANTE!F8-PERALTE!$Z$18)-2),IF(RASANTE!F8&lt;=PERALTE!$AB$18,-2))))),IF(AND(AH!$H$20="Derecha",RASANTE!F8&lt;=PERALTE!$AB$18),IF(RASANTE!F8&lt;=PERALTE!$Q$18,-2,IF(RASANTE!F8&lt;=PERALTE!$U$18,(10/(PERALTE!$U$18-PERALTE!$Q$18)*(RASANTE!F8-PERALTE!$Q$18)-2),IF(RASANTE!F8&lt;=PERALTE!$X$18,8,IF(RASANTE!F8&lt;=PERALTE!$AB$18,(10/(PERALTE!$X$18-PERALTE!$AB$18)*(RASANTE!F8-PERALTE!$AB$18)-2))))),IF(AND(AH!$H$24="Izquierda",RASANTE!F8&lt;=PERALTE!$AB$22),IF(RASANTE!F8&lt;=PERALTE!$S$22,-2,IF(RASANTE!F8&lt;=PERALTE!$U$22,(-6/(PERALTE!$U$22-PERALTE!$S$22)*(RASANTE!F8-PERALTE!$S$22)-2),IF(RASANTE!F8&lt;=PERALTE!$X$22,-8,IF(RASANTE!F8&lt;=PERALTE!$Z$22,(-6/(PERALTE!$X$22-PERALTE!$Z$22)*(RASANTE!F8-PERALTE!$Z$22)-2),IF(RASANTE!F8&lt;=PERALTE!$AB$22,-2))))),IF(AND(AH!$H$24="Derecha",RASANTE!F8&lt;=PERALTE!$AB$22),IF(RASANTE!F8&lt;=PERALTE!$Q$22,-2,IF(RASANTE!F8&lt;=PERALTE!$U$22,(10/(PERALTE!$U$22-PERALTE!$Q$22)*(RASANTE!F8-PERALTE!$Q$22)-2),IF(RASANTE!F8&lt;=PERALTE!$X$22,8,IF(RASANTE!F8&lt;=PERALTE!$AB$22,(10/(PERALTE!$X$22-PERALTE!$AB$22)*(RASANTE!F8-PERALTE!$AB$22)-2))))),IF(AND(AH!#REF!="Izquierda",RASANTE!F8&lt;=PERALTE!#REF!),IF(RASANTE!F8&lt;=PERALTE!#REF!,-2,IF(RASANTE!F8&lt;=PERALTE!#REF!,(-6/(PERALTE!#REF!-PERALTE!#REF!)*(RASANTE!F8-PERALTE!#REF!)-2),IF(RASANTE!F8&lt;=PERALTE!#REF!,-8,IF(RASANTE!F8&lt;=PERALTE!#REF!,(-6/(PERALTE!#REF!-PERALTE!#REF!)*(RASANTE!F8-PERALTE!#REF!)-2),IF(RASANTE!F8&lt;=PERALTE!#REF!,-2))))),IF(AND(AH!#REF!="Derecha",RASANTE!F8&lt;=PERALTE!#REF!),IF(RASANTE!F8&lt;=PERALTE!#REF!,-2,IF(RASANTE!F8&lt;=PERALTE!#REF!,(10/(PERALTE!#REF!-PERALTE!#REF!)*(RASANTE!F8-PERALTE!#REF!)-2),IF(RASANTE!F8&lt;=PERALTE!#REF!,8,IF(RASANTE!F8&lt;=PERALTE!#REF!,(10/(PERALTE!#REF!-PERALTE!#REF!)*(RASANTE!F8-PERALTE!#REF!)-2))))),IF(AND(AH!#REF!="Izquierda",RASANTE!F8&lt;=PERALTE!$AB$26),IF(RASANTE!F8&lt;=PERALTE!$S$26,-2,IF(RASANTE!F8&lt;=PERALTE!$U$26,(-6/(PERALTE!$U$26-PERALTE!$S$26)*(RASANTE!F8-PERALTE!$S$26)-2),IF(RASANTE!F8&lt;=PERALTE!$X$26,-8,IF(RASANTE!F8&lt;=PERALTE!$Z$26,(-6/(PERALTE!$X$26-PERALTE!$Z$26)*(RASANTE!F8-PERALTE!$Z$26)-2),IF(RASANTE!F8&lt;=PERALTE!$AB$26,-2))))),IF(AND(AH!#REF!="Derecha",RASANTE!F8&lt;=PERALTE!$AB$26),IF(RASANTE!F8&lt;=PERALTE!$Q$26,-2,IF(RASANTE!F8&lt;=PERALTE!$U$26,(10/(PERALTE!$U$26-PERALTE!$Q$26)*(RASANTE!F8-PERALTE!$Q$26)-2),IF(RASANTE!F8&lt;=PERALTE!$X$26,8,IF(RASANTE!F8&lt;=PERALTE!$AB$26,(10/(PERALTE!$X$26-PERALTE!$AB$26)*(RASANTE!F8-PERALTE!$AB$26)-2))))),IF(F8&lt;=PERALTE!#REF!,-2,"Abscisa fuera de la vía")))))))))))))))))))))</f>
        <v>-2</v>
      </c>
      <c r="I8" s="28">
        <f>+IF(AND(AH!$H$8="Derecha",RASANTE!F8&lt;=PERALTE!$AB$6),IF(RASANTE!F8&lt;=PERALTE!$S$6,-2,IF(RASANTE!F8&lt;=PERALTE!$U$6,(-6/(PERALTE!$U$6-PERALTE!$S$6)*(RASANTE!F8-PERALTE!$S$6)-2),IF(RASANTE!F8&lt;=PERALTE!$X$6,-8,IF(RASANTE!F8&lt;=PERALTE!$Z$6,(-6/(PERALTE!$X$6-PERALTE!$Z$6)*(RASANTE!F8-PERALTE!$Z$6)-2),IF(RASANTE!F8&lt;=PERALTE!$AB$6,-2))))),IF(AND(AH!$H$8="Izquierda",RASANTE!F8&lt;=PERALTE!$AB$6),IF(RASANTE!F8&lt;=PERALTE!$Q$6,-2,IF(RASANTE!F8&lt;=PERALTE!$U$6,(10/(PERALTE!$U$6-PERALTE!$Q$6)*(RASANTE!F8-PERALTE!$Q$6)-2),IF(RASANTE!F8&lt;=PERALTE!$X$6,8,IF(RASANTE!F8&lt;=PERALTE!$AB$6,(10/(PERALTE!$X$6-PERALTE!$AB$6)*(RASANTE!F8-PERALTE!$AB$6)-2))))),IF(AND(AH!$H$10="Derecha",RASANTE!F8&lt;=PERALTE!$AB$8),IF(RASANTE!F8&lt;=PERALTE!$S$8,-2,IF(RASANTE!F8&lt;=PERALTE!$U$8,(-6/(PERALTE!$U$8-PERALTE!$S$8)*(RASANTE!F8-PERALTE!$S$8)-2),IF(RASANTE!F8&lt;=PERALTE!$X$8,-8,IF(RASANTE!F8&lt;=PERALTE!$Z$8,(-6/(PERALTE!$X$8-PERALTE!$Z$8)*(RASANTE!F8-PERALTE!$Z$8)-2),IF(RASANTE!F8&lt;=PERALTE!$AB$8,-2))))),IF(AND(AH!$H$10="Izquierda",RASANTE!F8&lt;=PERALTE!$AB$8),IF(RASANTE!F8&lt;=PERALTE!$Q$8,-2,IF(RASANTE!F8&lt;=PERALTE!$U$8,(10/(PERALTE!$U$8-PERALTE!$Q$8)*(RASANTE!F8-PERALTE!$Q$8)-2),IF(RASANTE!F8&lt;=PERALTE!$X$8,8,IF(RASANTE!F8&lt;=PERALTE!$AB$8,(10/(PERALTE!$X$8-PERALTE!$AB$8)*(RASANTE!F8-PERALTE!$AB$8)-2))))),IF(AND(AH!$H$12="Derecha",RASANTE!F8&lt;=PERALTE!$AB$10),IF(RASANTE!F8&lt;=PERALTE!$S$10,-2,IF(RASANTE!F8&lt;=PERALTE!$U$10,(-6/(PERALTE!$U$10-PERALTE!$S$10)*(RASANTE!F8-PERALTE!$S$10)-2),IF(RASANTE!F8&lt;=PERALTE!$X$10,-8,IF(RASANTE!F8&lt;=PERALTE!$Z$10,(-6/(PERALTE!$X$10-PERALTE!$Z$10)*(RASANTE!F8-PERALTE!$Z$10)-2),IF(RASANTE!F8&lt;=PERALTE!$AB$10,-2))))),IF(AND(AH!$H$12="Izquierda",RASANTE!F8&lt;=PERALTE!$AB$10),IF(RASANTE!F8&lt;=PERALTE!$Q$10,-2,IF(RASANTE!F8&lt;=PERALTE!$U$10,(10/(PERALTE!$U$10-PERALTE!$Q$10)*(RASANTE!F8-PERALTE!$Q$10)-2),IF(RASANTE!F8&lt;=PERALTE!$X$10,8,IF(RASANTE!F8&lt;=PERALTE!$AB$10,(10/(PERALTE!$X$10-PERALTE!$AB$10)*(RASANTE!F8-PERALTE!$AB$10)-2))))),IF(AND(AH!$H$14="Derecha",RASANTE!F8&lt;=PERALTE!$AB$12),IF(RASANTE!F8&lt;=PERALTE!$S$12,-2,IF(RASANTE!F8&lt;=PERALTE!$U$12,(-6/(PERALTE!$U$12-PERALTE!$S$12)*(RASANTE!F8-PERALTE!$S$12)-2),IF(RASANTE!F8&lt;=PERALTE!$X$12,-8,IF(RASANTE!F8&lt;=PERALTE!$Z$12,(-6/(PERALTE!$X$12-PERALTE!$Z$12)*(RASANTE!F8-PERALTE!$Z$12)-2),IF(RASANTE!F8&lt;=PERALTE!$AB$12,-2))))),IF(AND(AH!$H$14="Izquierda",RASANTE!F8&lt;=PERALTE!$AB$12),IF(RASANTE!F8&lt;=PERALTE!$Q$12,-2,IF(RASANTE!F8&lt;=PERALTE!$U$12,(10/(PERALTE!$U$12-PERALTE!$Q$12)*(RASANTE!F8-PERALTE!$Q$12)-2),IF(RASANTE!F8&lt;=PERALTE!$X$12,8,IF(RASANTE!F8&lt;=PERALTE!$AB$12,(10/(PERALTE!$X$12-PERALTE!$AB$12)*(RASANTE!F8-PERALTE!$AB$12)-2))))),IF(AND(AH!$H$16="Derecha",RASANTE!F8&lt;=PERALTE!$AB$14),IF(RASANTE!F8&lt;=PERALTE!$S$14,-2,IF(RASANTE!F8&lt;=PERALTE!$U$14,(-6/(PERALTE!$U$14-PERALTE!$S$14)*(RASANTE!F8-PERALTE!$S$14)-2),IF(RASANTE!F8&lt;=PERALTE!$X$14,-8,IF(RASANTE!F8&lt;=PERALTE!$Z$14,(-6/(PERALTE!$X$14-PERALTE!$Z$14)*(RASANTE!F8-PERALTE!$Z$14)-2),IF(RASANTE!F8&lt;=PERALTE!$AB$14,-2))))),IF(AND(AH!$H$16="Izquierda",RASANTE!F8&lt;=PERALTE!$AB$14),IF(RASANTE!F8&lt;=PERALTE!$Q$14,-2,IF(RASANTE!F8&lt;=PERALTE!$U$14,(10/(PERALTE!$U$14-PERALTE!$Q$14)*(RASANTE!F8-PERALTE!$Q$14)-2),IF(RASANTE!F8&lt;=PERALTE!$X$14,8,IF(RASANTE!F8&lt;=PERALTE!$AB$14,(10/(PERALTE!$X$14-PERALTE!$AB$14)*(RASANTE!F8-PERALTE!$AB$14)-2))))),IF(AND(AH!$H$18="Derecha",RASANTE!F8&lt;=PERALTE!$AB$16),IF(RASANTE!F8&lt;=PERALTE!$S$16,-2,IF(RASANTE!F8&lt;=PERALTE!$U$16,(-6/(PERALTE!$U$16-PERALTE!$S$16)*(RASANTE!F8-PERALTE!$S$16)-2),IF(RASANTE!F8&lt;=PERALTE!$X$16,-8,IF(RASANTE!F8&lt;=PERALTE!$Z$16,(-6/(PERALTE!$X$16-PERALTE!$Z$16)*(RASANTE!F8-PERALTE!$Z$16)-2),IF(RASANTE!F8&lt;=PERALTE!$AB$16,-2))))),IF(AND(AH!$H$18="Izquierda",RASANTE!F8&lt;=PERALTE!$AB$16),IF(RASANTE!F8&lt;=PERALTE!$Q$16,-2,IF(RASANTE!F8&lt;=PERALTE!$U$16,(10/(PERALTE!$U$16-PERALTE!$Q$16)*(RASANTE!F8-PERALTE!$Q$16)-2),IF(RASANTE!F8&lt;=PERALTE!$X$16,8,IF(RASANTE!F8&lt;=PERALTE!$AB$16,(10/(PERALTE!$X$16-PERALTE!$AB$16)*(RASANTE!F8-PERALTE!$AB$16)-2))))),IF(AND(AH!$H$20="Derecha",RASANTE!F8&lt;=PERALTE!$AB$18),IF(RASANTE!F8&lt;=PERALTE!$S$18,-2,IF(RASANTE!F8&lt;=PERALTE!$U$18,(-6/(PERALTE!$U$18-PERALTE!$S$18)*(RASANTE!F8-PERALTE!$S$18)-2),IF(RASANTE!F8&lt;=PERALTE!$X$18,-8,IF(RASANTE!F8&lt;=PERALTE!$Z$18,(-6/(PERALTE!$X$18-PERALTE!$Z$18)*(RASANTE!F8-PERALTE!$Z$18)-2),IF(RASANTE!F8&lt;=PERALTE!$AB$18,-2))))),IF(AND(AH!$H$20="Izquierda",RASANTE!F8&lt;=PERALTE!$AB$18),IF(RASANTE!F8&lt;=PERALTE!$Q$18,-2,IF(RASANTE!F8&lt;=PERALTE!$U$18,(10/(PERALTE!$U$18-PERALTE!$Q$18)*(RASANTE!F8-PERALTE!$Q$18)-2),IF(RASANTE!F8&lt;=PERALTE!$X$18,8,IF(RASANTE!F8&lt;=PERALTE!$AB$18,(10/(PERALTE!$X$18-PERALTE!$AB$18)*(RASANTE!F8-PERALTE!$AB$18)-2))))),IF(AND(AH!$H$24="Derecha",RASANTE!F8&lt;=PERALTE!$AB$22),IF(RASANTE!F8&lt;=PERALTE!$S$22,-2,IF(RASANTE!F8&lt;=PERALTE!$U$22,(-6/(PERALTE!$U$22-PERALTE!$S$22)*(RASANTE!F8-PERALTE!$S$22)-2),IF(RASANTE!F8&lt;=PERALTE!$X$22,-8,IF(RASANTE!F8&lt;=PERALTE!$Z$22,(-6/(PERALTE!$X$22-PERALTE!$Z$22)*(RASANTE!F8-PERALTE!$Z$22)-2),IF(RASANTE!F8&lt;=PERALTE!$AB$22,-2))))),IF(AND(AH!$H$24="Izquierda",RASANTE!F8&lt;=PERALTE!$AB$22),IF(RASANTE!F8&lt;=PERALTE!$Q$22,-2,IF(RASANTE!F8&lt;=PERALTE!$U$22,(10/(PERALTE!$U$22-PERALTE!$Q$22)*(RASANTE!F8-PERALTE!$Q$22)-2),IF(RASANTE!F8&lt;=PERALTE!$X$22,8,IF(RASANTE!F8&lt;=PERALTE!$AB$22,(10/(PERALTE!$X$22-PERALTE!$AB$22)*(RASANTE!F8-PERALTE!$AB$22)-2))))),IF(AND(AH!#REF!="Derecha",RASANTE!F8&lt;=PERALTE!#REF!),IF(RASANTE!F8&lt;=PERALTE!#REF!,-2,IF(RASANTE!F8&lt;=PERALTE!#REF!,(-6/(PERALTE!#REF!-PERALTE!#REF!)*(RASANTE!F8-PERALTE!#REF!)-2),IF(RASANTE!F8&lt;=PERALTE!#REF!,-8,IF(RASANTE!F8&lt;=PERALTE!#REF!,(-6/(PERALTE!#REF!-PERALTE!#REF!)*(RASANTE!F8-PERALTE!#REF!)-2),IF(RASANTE!F8&lt;=PERALTE!#REF!,-2))))),IF(AND(AH!#REF!="Izquierda",RASANTE!F8&lt;=PERALTE!#REF!),IF(RASANTE!F8&lt;=PERALTE!#REF!,-2,IF(RASANTE!F8&lt;=PERALTE!#REF!,(10/(PERALTE!#REF!-PERALTE!#REF!)*(RASANTE!F8-PERALTE!#REF!)-2),IF(RASANTE!F8&lt;=PERALTE!#REF!,8,IF(RASANTE!F8&lt;=PERALTE!#REF!,(10/(PERALTE!#REF!-PERALTE!#REF!)*(RASANTE!F8-PERALTE!#REF!)-2))))),IF(AND(AH!#REF!="Derecha",RASANTE!F8&lt;=PERALTE!$AB$26),IF(RASANTE!F8&lt;=PERALTE!$S$26,-2,IF(RASANTE!F8&lt;=PERALTE!$U$26,(-6/(PERALTE!$U$26-PERALTE!$S$26)*(RASANTE!F8-PERALTE!$S$26)-2),IF(RASANTE!F8&lt;=PERALTE!$X$26,-8,IF(RASANTE!F8&lt;=PERALTE!$Z$26,(-6/(PERALTE!$X$26-PERALTE!$Z$26)*(RASANTE!F8-PERALTE!$Z$26)-2),IF(RASANTE!F8&lt;=PERALTE!$AB$26,-2))))),IF(AND(AH!#REF!="Izquierda",RASANTE!F8&lt;=PERALTE!$AB$26),IF(RASANTE!F8&lt;=PERALTE!$Q$26,-2,IF(RASANTE!F8&lt;=PERALTE!$U$26,(10/(PERALTE!$U$26-PERALTE!$Q$26)*(RASANTE!F8-PERALTE!$Q$26)-2),IF(RASANTE!F8&lt;=PERALTE!$X$26,8,IF(RASANTE!F8&lt;=PERALTE!$AB$26,(10/(PERALTE!$X$26-PERALTE!$AB$26)*(RASANTE!F8-PERALTE!$AB$26)-2))))),IF(F8&lt;=PERALTE!#REF!,-2,"Abscisa fuera de la vía")))))))))))))))))))))</f>
        <v>-2</v>
      </c>
      <c r="J8" s="28">
        <f t="shared" ref="J8:J71" si="1">J7+((F8-F7)*G7/100)</f>
        <v>1645.2568000000001</v>
      </c>
      <c r="K8" s="356">
        <f>+IF(AND(AV!$S$6&lt;F183,F183&lt;=AV!$T$6),AV!$P$6*((AV!$S$6-RASANTE!F183)/(AV!$N$6))^2,IF(AND(AV!$T$6&lt;RASANTE!F183,F183&lt;AV!$U$6),AV!$P$6*((AV!$U$6-RASANTE!F183)/(AV!$O$6))^2,IF(AND(AV!$S$8&lt;F183,F183&lt;=AV!$T$8),AV!$P$8*((AV!$S$8-RASANTE!F183)/(AV!$N$8))^2,IF(AND(AV!$T$8&lt;RASANTE!F183,F183&lt;AV!$U$8),AV!$P$8*((AV!$U$8-RASANTE!F183)/(AV!$O$8))^2,IF(AND(AV!$S$10&lt;F183,F183&lt;=AV!$T$10),AV!$P$10*((AV!$S$10-RASANTE!F183)/(AV!$N$10))^2,IF(AND(AV!$T$10&lt;RASANTE!F183,F183&lt;AV!$U$10),AV!$P$10*((AV!$U$10-RASANTE!F183)/(AV!$O$10))^2,IF(AND(AV!$S$12&lt;F183,F183&lt;=AV!$T$12),AV!$P$12*((AV!$S$12-RASANTE!F183)/(AV!$N$12))^2,IF(AND(AV!$T$12&lt;RASANTE!F183,F183&lt;AV!$U$12),AV!$P$12*((AV!$U$12-RASANTE!F183)/(AV!$O$12))^2,IF(AND(AV!$S$14&lt;F183,F183&lt;=AV!$T$14),AV!$P$14*((AV!$S$14-RASANTE!F183)/(AV!$N$14))^2,IF(AND(AV!$T$14&lt;RASANTE!F183,F183&lt;AV!$U$14),AV!$P$14*((AV!$U$14-RASANTE!F183)/(AV!$O$14))^2,IF(AND(AV!$S$16&lt;F183,F183&lt;=AV!$T$16),AV!$P$16*((AV!$S$16-RASANTE!F183)/(AV!$N$16))^2,IF(AND(AV!$T$16&lt;RASANTE!F183,F183&lt;AV!$U$16),AV!$P$16*((AV!$U$16-RASANTE!F183)/(AV!$O$16))^2,IF(AND(AV!$S$18&lt;F183,F183&lt;=AV!$T$18),AV!$P$18*((AV!$S$18-RASANTE!F183)/(AV!$N$18))^2,IF(AND(AV!$T$18&lt;RASANTE!F183,F183&lt;AV!$U$18),AV!$P$18*((AV!$U$18-RASANTE!F183)/(AV!$O$18))^2,IF(AND(AV!$S$20&lt;F183,F183&lt;=AV!$T$20),AV!$P$20*((AV!$S$20-RASANTE!F183)/(AV!$N$20))^2,IF(AND(AV!$T$20&lt;RASANTE!F183,F183&lt;AV!$U$20),AV!$P$20*((AV!$U$20-RASANTE!F183)/(AV!$O$20))^2,IF(AND(AV!$S$22&lt;F183,F183&lt;=AV!$T$22),AV!$P$22*((AV!$S$22-RASANTE!F183)/(AV!$N$22))^2,IF(AND(AV!$T$22&lt;RASANTE!F183,F183&lt;AV!$U$22),AV!$P$22*((AV!$U$22-RASANTE!F183)/(AV!$O$22))^2,IF(AND(AV!$S$24&lt;F183,F183&lt;=AV!$T$24),AV!$P$24*((AV!$S$24-RASANTE!F183)/(AV!$N$24))^2,IF(AND(AV!$T$24&lt;RASANTE!F183,F183&lt;AV!$U$24),AV!$P$24*((AV!$U$24-RASANTE!F183)/(AV!$O$24))^2,0))))))))))))))))))))</f>
        <v>0</v>
      </c>
      <c r="L8" s="28">
        <f>+M8+H8%*PERALTE!$C$32</f>
        <v>1645.1868000000002</v>
      </c>
      <c r="M8" s="28">
        <f t="shared" si="0"/>
        <v>1645.2568000000001</v>
      </c>
      <c r="N8" s="28">
        <f>+M8+I8%*PERALTE!$C$32</f>
        <v>1645.1868000000002</v>
      </c>
      <c r="O8" s="92"/>
      <c r="P8" s="84"/>
      <c r="Q8" s="94" t="s">
        <v>140</v>
      </c>
      <c r="R8" s="96"/>
      <c r="S8" s="84"/>
      <c r="T8" s="84"/>
      <c r="U8" s="84"/>
      <c r="V8" s="84"/>
      <c r="W8" s="84"/>
      <c r="X8" s="84"/>
      <c r="Y8" s="84"/>
    </row>
    <row r="9" spans="1:25" ht="16" x14ac:dyDescent="0.2">
      <c r="A9" s="90"/>
      <c r="B9" s="97"/>
      <c r="C9" s="97"/>
      <c r="D9" s="97"/>
      <c r="E9" s="91"/>
      <c r="F9" s="34">
        <v>50</v>
      </c>
      <c r="G9" s="88">
        <f>IF(F9&lt;=AV!$T$6,AV!$C$5,IF(RASANTE!F9&lt;=AV!$T$8,AV!$C$7,IF(RASANTE!F9&lt;=AV!$T$10,AV!$C$9,IF(RASANTE!F9&lt;=AV!$T$12,AV!#REF!,IF(RASANTE!F9&lt;=AV!$T$14,AV!$C$11,IF(RASANTE!F9&lt;=AV!$T$16,AV!$C$13, IF(RASANTE!F9&lt;=AV!$T$18,AV!$C$15,IF(RASANTE!F9&lt;=AV!$T$20,AV!$C$19,IF(RASANTE!F9&lt;=AV!$T$22,AV!$C$21,IF(RASANTE!F9&lt;=AV!$T$24,AV!$C$23,AV!$C$25))))))))))</f>
        <v>3.1419999999999999</v>
      </c>
      <c r="H9" s="28">
        <f>+IF(AND(AH!$H$8="Izquierda",RASANTE!F9&lt;=PERALTE!$AB$6),IF(RASANTE!F9&lt;=PERALTE!$S$6,-2,IF(RASANTE!F9&lt;=PERALTE!$U$6,(-6/(PERALTE!$U$6-PERALTE!$S$6)*(RASANTE!F9-PERALTE!$S$6)-2),IF(RASANTE!F9&lt;=PERALTE!$X$6,-8,IF(RASANTE!F9&lt;=PERALTE!$Z$6,(-6/(PERALTE!$X$6-PERALTE!$Z$6)*(RASANTE!F9-PERALTE!$Z$6)-2),IF(RASANTE!F9&lt;=PERALTE!$AB$6,-2))))),IF(AND(AH!$H$8="Derecha",RASANTE!F9&lt;=PERALTE!$AB$6),IF(RASANTE!F9&lt;=PERALTE!$Q$6,-2,IF(RASANTE!F9&lt;=PERALTE!$U$6,(10/(PERALTE!$U$6-PERALTE!$Q$6)*(RASANTE!F9-PERALTE!$Q$6)-2),IF(RASANTE!F9&lt;=PERALTE!$X$6,8,IF(RASANTE!F9&lt;=PERALTE!$AB$6,(10/(PERALTE!$X$6-PERALTE!$AB$6)*(RASANTE!F9-PERALTE!$AB$6)-2))))),IF(AND(AH!$H$10="Izquierda",RASANTE!F9&lt;=PERALTE!$AB$8),IF(RASANTE!F9&lt;=PERALTE!$S$8,-2,IF(RASANTE!F9&lt;=PERALTE!$U$8,(-6/(PERALTE!$U$8-PERALTE!$S$8)*(RASANTE!F9-PERALTE!$S$8)-2),IF(RASANTE!F9&lt;=PERALTE!$X$8,-8,IF(RASANTE!F9&lt;=PERALTE!$Z$8,(-6/(PERALTE!$X$8-PERALTE!$Z$8)*(RASANTE!F9-PERALTE!$Z$8)-2),IF(RASANTE!F9&lt;=PERALTE!$AB$8,-2))))),IF(AND(AH!$H$10="Derecha",RASANTE!F9&lt;=PERALTE!$AB$8),IF(RASANTE!F9&lt;=PERALTE!$Q$8,-2,IF(RASANTE!F9&lt;=PERALTE!$U$8,(10/(PERALTE!$U$8-PERALTE!$Q$8)*(RASANTE!F9-PERALTE!$Q$8)-2),IF(RASANTE!F9&lt;=PERALTE!$X$8,8,IF(RASANTE!F9&lt;=PERALTE!$AB$8,(10/(PERALTE!$X$8-PERALTE!$AB$8)*(RASANTE!F9-PERALTE!$AB$8)-2))))),IF(AND(AH!$H$12="Izquierda",RASANTE!F9&lt;=PERALTE!$AB$10),IF(RASANTE!F9&lt;=PERALTE!$S$10,-2,IF(RASANTE!F9&lt;=PERALTE!$U$10,(-6/(PERALTE!$U$10-PERALTE!$S$10)*(RASANTE!F9-PERALTE!$S$10)-2),IF(RASANTE!F9&lt;=PERALTE!$X$10,-8,IF(RASANTE!F9&lt;=PERALTE!$Z$10,(-6/(PERALTE!$X$10-PERALTE!$Z$10)*(RASANTE!F9-PERALTE!$Z$10)-2),IF(RASANTE!F9&lt;=PERALTE!$AB$10,-2))))),IF(AND(AH!$H$12="Derecha",RASANTE!F9&lt;=PERALTE!$AB$10),IF(RASANTE!F9&lt;=PERALTE!$Q$10,-2,IF(RASANTE!F9&lt;=PERALTE!$U$10,(10/(PERALTE!$U$10-PERALTE!$Q$10)*(RASANTE!F9-PERALTE!$Q$10)-2),IF(RASANTE!F9&lt;=PERALTE!$X$10,8,IF(RASANTE!F9&lt;=PERALTE!$AB$10,(10/(PERALTE!$X$10-PERALTE!$AB$10)*(RASANTE!F9-PERALTE!$AB$10)-2))))),IF(AND(AH!$H$14="Izquierda",RASANTE!F9&lt;=PERALTE!$AB$12),IF(RASANTE!F9&lt;=PERALTE!$S$12,-2,IF(RASANTE!F9&lt;=PERALTE!$U$12,(-6/(PERALTE!$U$12-PERALTE!$S$12)*(RASANTE!F9-PERALTE!$S$12)-2),IF(RASANTE!F9&lt;=PERALTE!$X$12,-8,IF(RASANTE!F9&lt;=PERALTE!$Z$12,(-6/(PERALTE!$X$12-PERALTE!$Z$12)*(RASANTE!F9-PERALTE!$Z$12)-2),IF(RASANTE!F9&lt;=PERALTE!$AB$12,-2))))),IF(AND(AH!$H$14="Derecha",RASANTE!F9&lt;=PERALTE!$AB$12),IF(RASANTE!F9&lt;=PERALTE!$Q$12,-2,IF(RASANTE!F9&lt;=PERALTE!$U$12,(10/(PERALTE!$U$12-PERALTE!$Q$12)*(RASANTE!F9-PERALTE!$Q$12)-2),IF(RASANTE!F9&lt;=PERALTE!$X$12,8,IF(RASANTE!F9&lt;=PERALTE!$AB$12,(10/(PERALTE!$X$12-PERALTE!$AB$12)*(RASANTE!F9-PERALTE!$AB$12)-2))))),IF(AND(AH!$H$16="Izquierda",RASANTE!F9&lt;=PERALTE!$AB$14),IF(RASANTE!F9&lt;=PERALTE!$S$14,-2,IF(RASANTE!F9&lt;=PERALTE!$U$14,(-6/(PERALTE!$U$14-PERALTE!$S$14)*(RASANTE!F9-PERALTE!$S$14)-2),IF(RASANTE!F9&lt;=PERALTE!$X$14,-8,IF(RASANTE!F9&lt;=PERALTE!$Z$14,(-6/(PERALTE!$X$14-PERALTE!$Z$14)*(RASANTE!F9-PERALTE!$Z$14)-2),IF(RASANTE!F9&lt;=PERALTE!$AB$14,-2))))),IF(AND(AH!$H$16="Derecha",RASANTE!F9&lt;=PERALTE!$AB$14),IF(RASANTE!F9&lt;=PERALTE!$Q$14,-2,IF(RASANTE!F9&lt;=PERALTE!$U$14,(10/(PERALTE!$U$14-PERALTE!$Q$14)*(RASANTE!F9-PERALTE!$Q$14)-2),IF(RASANTE!F9&lt;=PERALTE!$X$14,8,IF(RASANTE!F9&lt;=PERALTE!$AB$14,(10/(PERALTE!$X$14-PERALTE!$AB$14)*(RASANTE!F9-PERALTE!$AB$14)-2))))),IF(AND(AH!$H$18="Izquierda",RASANTE!F9&lt;=PERALTE!$AB$16),IF(RASANTE!F9&lt;=PERALTE!$S$16,-2,IF(RASANTE!F9&lt;=PERALTE!$U$16,(-6/(PERALTE!$U$16-PERALTE!$S$16)*(RASANTE!F9-PERALTE!$S$16)-2),IF(RASANTE!F9&lt;=PERALTE!$X$16,-8,IF(RASANTE!F9&lt;=PERALTE!$Z$16,(-6/(PERALTE!$X$16-PERALTE!$Z$16)*(RASANTE!F9-PERALTE!$Z$16)-2),IF(RASANTE!F9&lt;=PERALTE!$AB$16,-2))))),IF(AND(AH!$H$18="Derecha",RASANTE!F9&lt;=PERALTE!$AB$16),IF(RASANTE!F9&lt;=PERALTE!$Q$16,-2,IF(RASANTE!F9&lt;=PERALTE!$U$16,(10/(PERALTE!$U$16-PERALTE!$Q$16)*(RASANTE!F9-PERALTE!$Q$16)-2),IF(RASANTE!F9&lt;=PERALTE!$X$16,8,IF(RASANTE!F9&lt;=PERALTE!$AB$16,(10/(PERALTE!$X$16-PERALTE!$AB$16)*(RASANTE!F9-PERALTE!$AB$16)-2))))),IF(AND(AH!$H$20="Izquierda",RASANTE!F9&lt;=PERALTE!$AB$18),IF(RASANTE!F9&lt;=PERALTE!$S$18,-2,IF(RASANTE!F9&lt;=PERALTE!$U$18,(-6/(PERALTE!$U$18-PERALTE!$S$18)*(RASANTE!F9-PERALTE!$S$18)-2),IF(RASANTE!F9&lt;=PERALTE!$X$18,-8,IF(RASANTE!F9&lt;=PERALTE!$Z$18,(-6/(PERALTE!$X$18-PERALTE!$Z$18)*(RASANTE!F9-PERALTE!$Z$18)-2),IF(RASANTE!F9&lt;=PERALTE!$AB$18,-2))))),IF(AND(AH!$H$20="Derecha",RASANTE!F9&lt;=PERALTE!$AB$18),IF(RASANTE!F9&lt;=PERALTE!$Q$18,-2,IF(RASANTE!F9&lt;=PERALTE!$U$18,(10/(PERALTE!$U$18-PERALTE!$Q$18)*(RASANTE!F9-PERALTE!$Q$18)-2),IF(RASANTE!F9&lt;=PERALTE!$X$18,8,IF(RASANTE!F9&lt;=PERALTE!$AB$18,(10/(PERALTE!$X$18-PERALTE!$AB$18)*(RASANTE!F9-PERALTE!$AB$18)-2))))),IF(AND(AH!$H$24="Izquierda",RASANTE!F9&lt;=PERALTE!$AB$22),IF(RASANTE!F9&lt;=PERALTE!$S$22,-2,IF(RASANTE!F9&lt;=PERALTE!$U$22,(-6/(PERALTE!$U$22-PERALTE!$S$22)*(RASANTE!F9-PERALTE!$S$22)-2),IF(RASANTE!F9&lt;=PERALTE!$X$22,-8,IF(RASANTE!F9&lt;=PERALTE!$Z$22,(-6/(PERALTE!$X$22-PERALTE!$Z$22)*(RASANTE!F9-PERALTE!$Z$22)-2),IF(RASANTE!F9&lt;=PERALTE!$AB$22,-2))))),IF(AND(AH!$H$24="Derecha",RASANTE!F9&lt;=PERALTE!$AB$22),IF(RASANTE!F9&lt;=PERALTE!$Q$22,-2,IF(RASANTE!F9&lt;=PERALTE!$U$22,(10/(PERALTE!$U$22-PERALTE!$Q$22)*(RASANTE!F9-PERALTE!$Q$22)-2),IF(RASANTE!F9&lt;=PERALTE!$X$22,8,IF(RASANTE!F9&lt;=PERALTE!$AB$22,(10/(PERALTE!$X$22-PERALTE!$AB$22)*(RASANTE!F9-PERALTE!$AB$22)-2))))),IF(AND(AH!#REF!="Izquierda",RASANTE!F9&lt;=PERALTE!#REF!),IF(RASANTE!F9&lt;=PERALTE!#REF!,-2,IF(RASANTE!F9&lt;=PERALTE!#REF!,(-6/(PERALTE!#REF!-PERALTE!#REF!)*(RASANTE!F9-PERALTE!#REF!)-2),IF(RASANTE!F9&lt;=PERALTE!#REF!,-8,IF(RASANTE!F9&lt;=PERALTE!#REF!,(-6/(PERALTE!#REF!-PERALTE!#REF!)*(RASANTE!F9-PERALTE!#REF!)-2),IF(RASANTE!F9&lt;=PERALTE!#REF!,-2))))),IF(AND(AH!#REF!="Derecha",RASANTE!F9&lt;=PERALTE!#REF!),IF(RASANTE!F9&lt;=PERALTE!#REF!,-2,IF(RASANTE!F9&lt;=PERALTE!#REF!,(10/(PERALTE!#REF!-PERALTE!#REF!)*(RASANTE!F9-PERALTE!#REF!)-2),IF(RASANTE!F9&lt;=PERALTE!#REF!,8,IF(RASANTE!F9&lt;=PERALTE!#REF!,(10/(PERALTE!#REF!-PERALTE!#REF!)*(RASANTE!F9-PERALTE!#REF!)-2))))),IF(AND(AH!#REF!="Izquierda",RASANTE!F9&lt;=PERALTE!$AB$26),IF(RASANTE!F9&lt;=PERALTE!$S$26,-2,IF(RASANTE!F9&lt;=PERALTE!$U$26,(-6/(PERALTE!$U$26-PERALTE!$S$26)*(RASANTE!F9-PERALTE!$S$26)-2),IF(RASANTE!F9&lt;=PERALTE!$X$26,-8,IF(RASANTE!F9&lt;=PERALTE!$Z$26,(-6/(PERALTE!$X$26-PERALTE!$Z$26)*(RASANTE!F9-PERALTE!$Z$26)-2),IF(RASANTE!F9&lt;=PERALTE!$AB$26,-2))))),IF(AND(AH!#REF!="Derecha",RASANTE!F9&lt;=PERALTE!$AB$26),IF(RASANTE!F9&lt;=PERALTE!$Q$26,-2,IF(RASANTE!F9&lt;=PERALTE!$U$26,(10/(PERALTE!$U$26-PERALTE!$Q$26)*(RASANTE!F9-PERALTE!$Q$26)-2),IF(RASANTE!F9&lt;=PERALTE!$X$26,8,IF(RASANTE!F9&lt;=PERALTE!$AB$26,(10/(PERALTE!$X$26-PERALTE!$AB$26)*(RASANTE!F9-PERALTE!$AB$26)-2))))),IF(F9&lt;=PERALTE!#REF!,-2,"Abscisa fuera de la vía")))))))))))))))))))))</f>
        <v>-2</v>
      </c>
      <c r="I9" s="28">
        <f>+IF(AND(AH!$H$8="Derecha",RASANTE!F9&lt;=PERALTE!$AB$6),IF(RASANTE!F9&lt;=PERALTE!$S$6,-2,IF(RASANTE!F9&lt;=PERALTE!$U$6,(-6/(PERALTE!$U$6-PERALTE!$S$6)*(RASANTE!F9-PERALTE!$S$6)-2),IF(RASANTE!F9&lt;=PERALTE!$X$6,-8,IF(RASANTE!F9&lt;=PERALTE!$Z$6,(-6/(PERALTE!$X$6-PERALTE!$Z$6)*(RASANTE!F9-PERALTE!$Z$6)-2),IF(RASANTE!F9&lt;=PERALTE!$AB$6,-2))))),IF(AND(AH!$H$8="Izquierda",RASANTE!F9&lt;=PERALTE!$AB$6),IF(RASANTE!F9&lt;=PERALTE!$Q$6,-2,IF(RASANTE!F9&lt;=PERALTE!$U$6,(10/(PERALTE!$U$6-PERALTE!$Q$6)*(RASANTE!F9-PERALTE!$Q$6)-2),IF(RASANTE!F9&lt;=PERALTE!$X$6,8,IF(RASANTE!F9&lt;=PERALTE!$AB$6,(10/(PERALTE!$X$6-PERALTE!$AB$6)*(RASANTE!F9-PERALTE!$AB$6)-2))))),IF(AND(AH!$H$10="Derecha",RASANTE!F9&lt;=PERALTE!$AB$8),IF(RASANTE!F9&lt;=PERALTE!$S$8,-2,IF(RASANTE!F9&lt;=PERALTE!$U$8,(-6/(PERALTE!$U$8-PERALTE!$S$8)*(RASANTE!F9-PERALTE!$S$8)-2),IF(RASANTE!F9&lt;=PERALTE!$X$8,-8,IF(RASANTE!F9&lt;=PERALTE!$Z$8,(-6/(PERALTE!$X$8-PERALTE!$Z$8)*(RASANTE!F9-PERALTE!$Z$8)-2),IF(RASANTE!F9&lt;=PERALTE!$AB$8,-2))))),IF(AND(AH!$H$10="Izquierda",RASANTE!F9&lt;=PERALTE!$AB$8),IF(RASANTE!F9&lt;=PERALTE!$Q$8,-2,IF(RASANTE!F9&lt;=PERALTE!$U$8,(10/(PERALTE!$U$8-PERALTE!$Q$8)*(RASANTE!F9-PERALTE!$Q$8)-2),IF(RASANTE!F9&lt;=PERALTE!$X$8,8,IF(RASANTE!F9&lt;=PERALTE!$AB$8,(10/(PERALTE!$X$8-PERALTE!$AB$8)*(RASANTE!F9-PERALTE!$AB$8)-2))))),IF(AND(AH!$H$12="Derecha",RASANTE!F9&lt;=PERALTE!$AB$10),IF(RASANTE!F9&lt;=PERALTE!$S$10,-2,IF(RASANTE!F9&lt;=PERALTE!$U$10,(-6/(PERALTE!$U$10-PERALTE!$S$10)*(RASANTE!F9-PERALTE!$S$10)-2),IF(RASANTE!F9&lt;=PERALTE!$X$10,-8,IF(RASANTE!F9&lt;=PERALTE!$Z$10,(-6/(PERALTE!$X$10-PERALTE!$Z$10)*(RASANTE!F9-PERALTE!$Z$10)-2),IF(RASANTE!F9&lt;=PERALTE!$AB$10,-2))))),IF(AND(AH!$H$12="Izquierda",RASANTE!F9&lt;=PERALTE!$AB$10),IF(RASANTE!F9&lt;=PERALTE!$Q$10,-2,IF(RASANTE!F9&lt;=PERALTE!$U$10,(10/(PERALTE!$U$10-PERALTE!$Q$10)*(RASANTE!F9-PERALTE!$Q$10)-2),IF(RASANTE!F9&lt;=PERALTE!$X$10,8,IF(RASANTE!F9&lt;=PERALTE!$AB$10,(10/(PERALTE!$X$10-PERALTE!$AB$10)*(RASANTE!F9-PERALTE!$AB$10)-2))))),IF(AND(AH!$H$14="Derecha",RASANTE!F9&lt;=PERALTE!$AB$12),IF(RASANTE!F9&lt;=PERALTE!$S$12,-2,IF(RASANTE!F9&lt;=PERALTE!$U$12,(-6/(PERALTE!$U$12-PERALTE!$S$12)*(RASANTE!F9-PERALTE!$S$12)-2),IF(RASANTE!F9&lt;=PERALTE!$X$12,-8,IF(RASANTE!F9&lt;=PERALTE!$Z$12,(-6/(PERALTE!$X$12-PERALTE!$Z$12)*(RASANTE!F9-PERALTE!$Z$12)-2),IF(RASANTE!F9&lt;=PERALTE!$AB$12,-2))))),IF(AND(AH!$H$14="Izquierda",RASANTE!F9&lt;=PERALTE!$AB$12),IF(RASANTE!F9&lt;=PERALTE!$Q$12,-2,IF(RASANTE!F9&lt;=PERALTE!$U$12,(10/(PERALTE!$U$12-PERALTE!$Q$12)*(RASANTE!F9-PERALTE!$Q$12)-2),IF(RASANTE!F9&lt;=PERALTE!$X$12,8,IF(RASANTE!F9&lt;=PERALTE!$AB$12,(10/(PERALTE!$X$12-PERALTE!$AB$12)*(RASANTE!F9-PERALTE!$AB$12)-2))))),IF(AND(AH!$H$16="Derecha",RASANTE!F9&lt;=PERALTE!$AB$14),IF(RASANTE!F9&lt;=PERALTE!$S$14,-2,IF(RASANTE!F9&lt;=PERALTE!$U$14,(-6/(PERALTE!$U$14-PERALTE!$S$14)*(RASANTE!F9-PERALTE!$S$14)-2),IF(RASANTE!F9&lt;=PERALTE!$X$14,-8,IF(RASANTE!F9&lt;=PERALTE!$Z$14,(-6/(PERALTE!$X$14-PERALTE!$Z$14)*(RASANTE!F9-PERALTE!$Z$14)-2),IF(RASANTE!F9&lt;=PERALTE!$AB$14,-2))))),IF(AND(AH!$H$16="Izquierda",RASANTE!F9&lt;=PERALTE!$AB$14),IF(RASANTE!F9&lt;=PERALTE!$Q$14,-2,IF(RASANTE!F9&lt;=PERALTE!$U$14,(10/(PERALTE!$U$14-PERALTE!$Q$14)*(RASANTE!F9-PERALTE!$Q$14)-2),IF(RASANTE!F9&lt;=PERALTE!$X$14,8,IF(RASANTE!F9&lt;=PERALTE!$AB$14,(10/(PERALTE!$X$14-PERALTE!$AB$14)*(RASANTE!F9-PERALTE!$AB$14)-2))))),IF(AND(AH!$H$18="Derecha",RASANTE!F9&lt;=PERALTE!$AB$16),IF(RASANTE!F9&lt;=PERALTE!$S$16,-2,IF(RASANTE!F9&lt;=PERALTE!$U$16,(-6/(PERALTE!$U$16-PERALTE!$S$16)*(RASANTE!F9-PERALTE!$S$16)-2),IF(RASANTE!F9&lt;=PERALTE!$X$16,-8,IF(RASANTE!F9&lt;=PERALTE!$Z$16,(-6/(PERALTE!$X$16-PERALTE!$Z$16)*(RASANTE!F9-PERALTE!$Z$16)-2),IF(RASANTE!F9&lt;=PERALTE!$AB$16,-2))))),IF(AND(AH!$H$18="Izquierda",RASANTE!F9&lt;=PERALTE!$AB$16),IF(RASANTE!F9&lt;=PERALTE!$Q$16,-2,IF(RASANTE!F9&lt;=PERALTE!$U$16,(10/(PERALTE!$U$16-PERALTE!$Q$16)*(RASANTE!F9-PERALTE!$Q$16)-2),IF(RASANTE!F9&lt;=PERALTE!$X$16,8,IF(RASANTE!F9&lt;=PERALTE!$AB$16,(10/(PERALTE!$X$16-PERALTE!$AB$16)*(RASANTE!F9-PERALTE!$AB$16)-2))))),IF(AND(AH!$H$20="Derecha",RASANTE!F9&lt;=PERALTE!$AB$18),IF(RASANTE!F9&lt;=PERALTE!$S$18,-2,IF(RASANTE!F9&lt;=PERALTE!$U$18,(-6/(PERALTE!$U$18-PERALTE!$S$18)*(RASANTE!F9-PERALTE!$S$18)-2),IF(RASANTE!F9&lt;=PERALTE!$X$18,-8,IF(RASANTE!F9&lt;=PERALTE!$Z$18,(-6/(PERALTE!$X$18-PERALTE!$Z$18)*(RASANTE!F9-PERALTE!$Z$18)-2),IF(RASANTE!F9&lt;=PERALTE!$AB$18,-2))))),IF(AND(AH!$H$20="Izquierda",RASANTE!F9&lt;=PERALTE!$AB$18),IF(RASANTE!F9&lt;=PERALTE!$Q$18,-2,IF(RASANTE!F9&lt;=PERALTE!$U$18,(10/(PERALTE!$U$18-PERALTE!$Q$18)*(RASANTE!F9-PERALTE!$Q$18)-2),IF(RASANTE!F9&lt;=PERALTE!$X$18,8,IF(RASANTE!F9&lt;=PERALTE!$AB$18,(10/(PERALTE!$X$18-PERALTE!$AB$18)*(RASANTE!F9-PERALTE!$AB$18)-2))))),IF(AND(AH!$H$24="Derecha",RASANTE!F9&lt;=PERALTE!$AB$22),IF(RASANTE!F9&lt;=PERALTE!$S$22,-2,IF(RASANTE!F9&lt;=PERALTE!$U$22,(-6/(PERALTE!$U$22-PERALTE!$S$22)*(RASANTE!F9-PERALTE!$S$22)-2),IF(RASANTE!F9&lt;=PERALTE!$X$22,-8,IF(RASANTE!F9&lt;=PERALTE!$Z$22,(-6/(PERALTE!$X$22-PERALTE!$Z$22)*(RASANTE!F9-PERALTE!$Z$22)-2),IF(RASANTE!F9&lt;=PERALTE!$AB$22,-2))))),IF(AND(AH!$H$24="Izquierda",RASANTE!F9&lt;=PERALTE!$AB$22),IF(RASANTE!F9&lt;=PERALTE!$Q$22,-2,IF(RASANTE!F9&lt;=PERALTE!$U$22,(10/(PERALTE!$U$22-PERALTE!$Q$22)*(RASANTE!F9-PERALTE!$Q$22)-2),IF(RASANTE!F9&lt;=PERALTE!$X$22,8,IF(RASANTE!F9&lt;=PERALTE!$AB$22,(10/(PERALTE!$X$22-PERALTE!$AB$22)*(RASANTE!F9-PERALTE!$AB$22)-2))))),IF(AND(AH!#REF!="Derecha",RASANTE!F9&lt;=PERALTE!#REF!),IF(RASANTE!F9&lt;=PERALTE!#REF!,-2,IF(RASANTE!F9&lt;=PERALTE!#REF!,(-6/(PERALTE!#REF!-PERALTE!#REF!)*(RASANTE!F9-PERALTE!#REF!)-2),IF(RASANTE!F9&lt;=PERALTE!#REF!,-8,IF(RASANTE!F9&lt;=PERALTE!#REF!,(-6/(PERALTE!#REF!-PERALTE!#REF!)*(RASANTE!F9-PERALTE!#REF!)-2),IF(RASANTE!F9&lt;=PERALTE!#REF!,-2))))),IF(AND(AH!#REF!="Izquierda",RASANTE!F9&lt;=PERALTE!#REF!),IF(RASANTE!F9&lt;=PERALTE!#REF!,-2,IF(RASANTE!F9&lt;=PERALTE!#REF!,(10/(PERALTE!#REF!-PERALTE!#REF!)*(RASANTE!F9-PERALTE!#REF!)-2),IF(RASANTE!F9&lt;=PERALTE!#REF!,8,IF(RASANTE!F9&lt;=PERALTE!#REF!,(10/(PERALTE!#REF!-PERALTE!#REF!)*(RASANTE!F9-PERALTE!#REF!)-2))))),IF(AND(AH!#REF!="Derecha",RASANTE!F9&lt;=PERALTE!$AB$26),IF(RASANTE!F9&lt;=PERALTE!$S$26,-2,IF(RASANTE!F9&lt;=PERALTE!$U$26,(-6/(PERALTE!$U$26-PERALTE!$S$26)*(RASANTE!F9-PERALTE!$S$26)-2),IF(RASANTE!F9&lt;=PERALTE!$X$26,-8,IF(RASANTE!F9&lt;=PERALTE!$Z$26,(-6/(PERALTE!$X$26-PERALTE!$Z$26)*(RASANTE!F9-PERALTE!$Z$26)-2),IF(RASANTE!F9&lt;=PERALTE!$AB$26,-2))))),IF(AND(AH!#REF!="Izquierda",RASANTE!F9&lt;=PERALTE!$AB$26),IF(RASANTE!F9&lt;=PERALTE!$Q$26,-2,IF(RASANTE!F9&lt;=PERALTE!$U$26,(10/(PERALTE!$U$26-PERALTE!$Q$26)*(RASANTE!F9-PERALTE!$Q$26)-2),IF(RASANTE!F9&lt;=PERALTE!$X$26,8,IF(RASANTE!F9&lt;=PERALTE!$AB$26,(10/(PERALTE!$X$26-PERALTE!$AB$26)*(RASANTE!F9-PERALTE!$AB$26)-2))))),IF(F9&lt;=PERALTE!#REF!,-2,"Abscisa fuera de la vía")))))))))))))))))))))</f>
        <v>-2</v>
      </c>
      <c r="J9" s="28">
        <f t="shared" si="1"/>
        <v>1645.5710000000001</v>
      </c>
      <c r="K9" s="356">
        <f>+IF(AND(AV!$S$6&lt;F184,F184&lt;=AV!$T$6),AV!$P$6*((AV!$S$6-RASANTE!F184)/(AV!$N$6))^2,IF(AND(AV!$T$6&lt;RASANTE!F184,F184&lt;AV!$U$6),AV!$P$6*((AV!$U$6-RASANTE!F184)/(AV!$O$6))^2,IF(AND(AV!$S$8&lt;F184,F184&lt;=AV!$T$8),AV!$P$8*((AV!$S$8-RASANTE!F184)/(AV!$N$8))^2,IF(AND(AV!$T$8&lt;RASANTE!F184,F184&lt;AV!$U$8),AV!$P$8*((AV!$U$8-RASANTE!F184)/(AV!$O$8))^2,IF(AND(AV!$S$10&lt;F184,F184&lt;=AV!$T$10),AV!$P$10*((AV!$S$10-RASANTE!F184)/(AV!$N$10))^2,IF(AND(AV!$T$10&lt;RASANTE!F184,F184&lt;AV!$U$10),AV!$P$10*((AV!$U$10-RASANTE!F184)/(AV!$O$10))^2,IF(AND(AV!$S$12&lt;F184,F184&lt;=AV!$T$12),AV!$P$12*((AV!$S$12-RASANTE!F184)/(AV!$N$12))^2,IF(AND(AV!$T$12&lt;RASANTE!F184,F184&lt;AV!$U$12),AV!$P$12*((AV!$U$12-RASANTE!F184)/(AV!$O$12))^2,IF(AND(AV!$S$14&lt;F184,F184&lt;=AV!$T$14),AV!$P$14*((AV!$S$14-RASANTE!F184)/(AV!$N$14))^2,IF(AND(AV!$T$14&lt;RASANTE!F184,F184&lt;AV!$U$14),AV!$P$14*((AV!$U$14-RASANTE!F184)/(AV!$O$14))^2,IF(AND(AV!$S$16&lt;F184,F184&lt;=AV!$T$16),AV!$P$16*((AV!$S$16-RASANTE!F184)/(AV!$N$16))^2,IF(AND(AV!$T$16&lt;RASANTE!F184,F184&lt;AV!$U$16),AV!$P$16*((AV!$U$16-RASANTE!F184)/(AV!$O$16))^2,IF(AND(AV!$S$18&lt;F184,F184&lt;=AV!$T$18),AV!$P$18*((AV!$S$18-RASANTE!F184)/(AV!$N$18))^2,IF(AND(AV!$T$18&lt;RASANTE!F184,F184&lt;AV!$U$18),AV!$P$18*((AV!$U$18-RASANTE!F184)/(AV!$O$18))^2,IF(AND(AV!$S$20&lt;F184,F184&lt;=AV!$T$20),AV!$P$20*((AV!$S$20-RASANTE!F184)/(AV!$N$20))^2,IF(AND(AV!$T$20&lt;RASANTE!F184,F184&lt;AV!$U$20),AV!$P$20*((AV!$U$20-RASANTE!F184)/(AV!$O$20))^2,IF(AND(AV!$S$22&lt;F184,F184&lt;=AV!$T$22),AV!$P$22*((AV!$S$22-RASANTE!F184)/(AV!$N$22))^2,IF(AND(AV!$T$22&lt;RASANTE!F184,F184&lt;AV!$U$22),AV!$P$22*((AV!$U$22-RASANTE!F184)/(AV!$O$22))^2,IF(AND(AV!$S$24&lt;F184,F184&lt;=AV!$T$24),AV!$P$24*((AV!$S$24-RASANTE!F184)/(AV!$N$24))^2,IF(AND(AV!$T$24&lt;RASANTE!F184,F184&lt;AV!$U$24),AV!$P$24*((AV!$U$24-RASANTE!F184)/(AV!$O$24))^2,0))))))))))))))))))))</f>
        <v>0</v>
      </c>
      <c r="L9" s="28">
        <f>+M9+H9%*PERALTE!$C$32</f>
        <v>1645.5010000000002</v>
      </c>
      <c r="M9" s="28">
        <f t="shared" si="0"/>
        <v>1645.5710000000001</v>
      </c>
      <c r="N9" s="28">
        <f>+M9+I9%*PERALTE!$C$32</f>
        <v>1645.5010000000002</v>
      </c>
      <c r="O9" s="92"/>
      <c r="P9" s="84"/>
      <c r="Q9" s="94" t="s">
        <v>141</v>
      </c>
      <c r="R9" s="98"/>
      <c r="S9" s="84"/>
      <c r="T9" s="84"/>
      <c r="U9" s="84"/>
      <c r="V9" s="84"/>
      <c r="W9" s="84"/>
      <c r="X9" s="84"/>
      <c r="Y9" s="84"/>
    </row>
    <row r="10" spans="1:25" x14ac:dyDescent="0.2">
      <c r="A10" s="90"/>
      <c r="B10" s="99"/>
      <c r="C10" s="99"/>
      <c r="D10" s="99"/>
      <c r="E10" s="91"/>
      <c r="F10" s="34">
        <v>60</v>
      </c>
      <c r="G10" s="88">
        <f>IF(F10&lt;=AV!$T$6,AV!$C$5,IF(RASANTE!F10&lt;=AV!$T$8,AV!$C$7,IF(RASANTE!F10&lt;=AV!$T$10,AV!$C$9,IF(RASANTE!F10&lt;=AV!$T$12,AV!#REF!,IF(RASANTE!F10&lt;=AV!$T$14,AV!$C$11,IF(RASANTE!F10&lt;=AV!$T$16,AV!$C$13, IF(RASANTE!F10&lt;=AV!$T$18,AV!$C$15,IF(RASANTE!F10&lt;=AV!$T$20,AV!$C$19,IF(RASANTE!F10&lt;=AV!$T$22,AV!$C$21,IF(RASANTE!F10&lt;=AV!$T$24,AV!$C$23,AV!$C$25))))))))))</f>
        <v>3.1419999999999999</v>
      </c>
      <c r="H10" s="28">
        <f>+IF(AND(AH!$H$8="Izquierda",RASANTE!F10&lt;=PERALTE!$AB$6),IF(RASANTE!F10&lt;=PERALTE!$S$6,-2,IF(RASANTE!F10&lt;=PERALTE!$U$6,(-6/(PERALTE!$U$6-PERALTE!$S$6)*(RASANTE!F10-PERALTE!$S$6)-2),IF(RASANTE!F10&lt;=PERALTE!$X$6,-8,IF(RASANTE!F10&lt;=PERALTE!$Z$6,(-6/(PERALTE!$X$6-PERALTE!$Z$6)*(RASANTE!F10-PERALTE!$Z$6)-2),IF(RASANTE!F10&lt;=PERALTE!$AB$6,-2))))),IF(AND(AH!$H$8="Derecha",RASANTE!F10&lt;=PERALTE!$AB$6),IF(RASANTE!F10&lt;=PERALTE!$Q$6,-2,IF(RASANTE!F10&lt;=PERALTE!$U$6,(10/(PERALTE!$U$6-PERALTE!$Q$6)*(RASANTE!F10-PERALTE!$Q$6)-2),IF(RASANTE!F10&lt;=PERALTE!$X$6,8,IF(RASANTE!F10&lt;=PERALTE!$AB$6,(10/(PERALTE!$X$6-PERALTE!$AB$6)*(RASANTE!F10-PERALTE!$AB$6)-2))))),IF(AND(AH!$H$10="Izquierda",RASANTE!F10&lt;=PERALTE!$AB$8),IF(RASANTE!F10&lt;=PERALTE!$S$8,-2,IF(RASANTE!F10&lt;=PERALTE!$U$8,(-6/(PERALTE!$U$8-PERALTE!$S$8)*(RASANTE!F10-PERALTE!$S$8)-2),IF(RASANTE!F10&lt;=PERALTE!$X$8,-8,IF(RASANTE!F10&lt;=PERALTE!$Z$8,(-6/(PERALTE!$X$8-PERALTE!$Z$8)*(RASANTE!F10-PERALTE!$Z$8)-2),IF(RASANTE!F10&lt;=PERALTE!$AB$8,-2))))),IF(AND(AH!$H$10="Derecha",RASANTE!F10&lt;=PERALTE!$AB$8),IF(RASANTE!F10&lt;=PERALTE!$Q$8,-2,IF(RASANTE!F10&lt;=PERALTE!$U$8,(10/(PERALTE!$U$8-PERALTE!$Q$8)*(RASANTE!F10-PERALTE!$Q$8)-2),IF(RASANTE!F10&lt;=PERALTE!$X$8,8,IF(RASANTE!F10&lt;=PERALTE!$AB$8,(10/(PERALTE!$X$8-PERALTE!$AB$8)*(RASANTE!F10-PERALTE!$AB$8)-2))))),IF(AND(AH!$H$12="Izquierda",RASANTE!F10&lt;=PERALTE!$AB$10),IF(RASANTE!F10&lt;=PERALTE!$S$10,-2,IF(RASANTE!F10&lt;=PERALTE!$U$10,(-6/(PERALTE!$U$10-PERALTE!$S$10)*(RASANTE!F10-PERALTE!$S$10)-2),IF(RASANTE!F10&lt;=PERALTE!$X$10,-8,IF(RASANTE!F10&lt;=PERALTE!$Z$10,(-6/(PERALTE!$X$10-PERALTE!$Z$10)*(RASANTE!F10-PERALTE!$Z$10)-2),IF(RASANTE!F10&lt;=PERALTE!$AB$10,-2))))),IF(AND(AH!$H$12="Derecha",RASANTE!F10&lt;=PERALTE!$AB$10),IF(RASANTE!F10&lt;=PERALTE!$Q$10,-2,IF(RASANTE!F10&lt;=PERALTE!$U$10,(10/(PERALTE!$U$10-PERALTE!$Q$10)*(RASANTE!F10-PERALTE!$Q$10)-2),IF(RASANTE!F10&lt;=PERALTE!$X$10,8,IF(RASANTE!F10&lt;=PERALTE!$AB$10,(10/(PERALTE!$X$10-PERALTE!$AB$10)*(RASANTE!F10-PERALTE!$AB$10)-2))))),IF(AND(AH!$H$14="Izquierda",RASANTE!F10&lt;=PERALTE!$AB$12),IF(RASANTE!F10&lt;=PERALTE!$S$12,-2,IF(RASANTE!F10&lt;=PERALTE!$U$12,(-6/(PERALTE!$U$12-PERALTE!$S$12)*(RASANTE!F10-PERALTE!$S$12)-2),IF(RASANTE!F10&lt;=PERALTE!$X$12,-8,IF(RASANTE!F10&lt;=PERALTE!$Z$12,(-6/(PERALTE!$X$12-PERALTE!$Z$12)*(RASANTE!F10-PERALTE!$Z$12)-2),IF(RASANTE!F10&lt;=PERALTE!$AB$12,-2))))),IF(AND(AH!$H$14="Derecha",RASANTE!F10&lt;=PERALTE!$AB$12),IF(RASANTE!F10&lt;=PERALTE!$Q$12,-2,IF(RASANTE!F10&lt;=PERALTE!$U$12,(10/(PERALTE!$U$12-PERALTE!$Q$12)*(RASANTE!F10-PERALTE!$Q$12)-2),IF(RASANTE!F10&lt;=PERALTE!$X$12,8,IF(RASANTE!F10&lt;=PERALTE!$AB$12,(10/(PERALTE!$X$12-PERALTE!$AB$12)*(RASANTE!F10-PERALTE!$AB$12)-2))))),IF(AND(AH!$H$16="Izquierda",RASANTE!F10&lt;=PERALTE!$AB$14),IF(RASANTE!F10&lt;=PERALTE!$S$14,-2,IF(RASANTE!F10&lt;=PERALTE!$U$14,(-6/(PERALTE!$U$14-PERALTE!$S$14)*(RASANTE!F10-PERALTE!$S$14)-2),IF(RASANTE!F10&lt;=PERALTE!$X$14,-8,IF(RASANTE!F10&lt;=PERALTE!$Z$14,(-6/(PERALTE!$X$14-PERALTE!$Z$14)*(RASANTE!F10-PERALTE!$Z$14)-2),IF(RASANTE!F10&lt;=PERALTE!$AB$14,-2))))),IF(AND(AH!$H$16="Derecha",RASANTE!F10&lt;=PERALTE!$AB$14),IF(RASANTE!F10&lt;=PERALTE!$Q$14,-2,IF(RASANTE!F10&lt;=PERALTE!$U$14,(10/(PERALTE!$U$14-PERALTE!$Q$14)*(RASANTE!F10-PERALTE!$Q$14)-2),IF(RASANTE!F10&lt;=PERALTE!$X$14,8,IF(RASANTE!F10&lt;=PERALTE!$AB$14,(10/(PERALTE!$X$14-PERALTE!$AB$14)*(RASANTE!F10-PERALTE!$AB$14)-2))))),IF(AND(AH!$H$18="Izquierda",RASANTE!F10&lt;=PERALTE!$AB$16),IF(RASANTE!F10&lt;=PERALTE!$S$16,-2,IF(RASANTE!F10&lt;=PERALTE!$U$16,(-6/(PERALTE!$U$16-PERALTE!$S$16)*(RASANTE!F10-PERALTE!$S$16)-2),IF(RASANTE!F10&lt;=PERALTE!$X$16,-8,IF(RASANTE!F10&lt;=PERALTE!$Z$16,(-6/(PERALTE!$X$16-PERALTE!$Z$16)*(RASANTE!F10-PERALTE!$Z$16)-2),IF(RASANTE!F10&lt;=PERALTE!$AB$16,-2))))),IF(AND(AH!$H$18="Derecha",RASANTE!F10&lt;=PERALTE!$AB$16),IF(RASANTE!F10&lt;=PERALTE!$Q$16,-2,IF(RASANTE!F10&lt;=PERALTE!$U$16,(10/(PERALTE!$U$16-PERALTE!$Q$16)*(RASANTE!F10-PERALTE!$Q$16)-2),IF(RASANTE!F10&lt;=PERALTE!$X$16,8,IF(RASANTE!F10&lt;=PERALTE!$AB$16,(10/(PERALTE!$X$16-PERALTE!$AB$16)*(RASANTE!F10-PERALTE!$AB$16)-2))))),IF(AND(AH!$H$20="Izquierda",RASANTE!F10&lt;=PERALTE!$AB$18),IF(RASANTE!F10&lt;=PERALTE!$S$18,-2,IF(RASANTE!F10&lt;=PERALTE!$U$18,(-6/(PERALTE!$U$18-PERALTE!$S$18)*(RASANTE!F10-PERALTE!$S$18)-2),IF(RASANTE!F10&lt;=PERALTE!$X$18,-8,IF(RASANTE!F10&lt;=PERALTE!$Z$18,(-6/(PERALTE!$X$18-PERALTE!$Z$18)*(RASANTE!F10-PERALTE!$Z$18)-2),IF(RASANTE!F10&lt;=PERALTE!$AB$18,-2))))),IF(AND(AH!$H$20="Derecha",RASANTE!F10&lt;=PERALTE!$AB$18),IF(RASANTE!F10&lt;=PERALTE!$Q$18,-2,IF(RASANTE!F10&lt;=PERALTE!$U$18,(10/(PERALTE!$U$18-PERALTE!$Q$18)*(RASANTE!F10-PERALTE!$Q$18)-2),IF(RASANTE!F10&lt;=PERALTE!$X$18,8,IF(RASANTE!F10&lt;=PERALTE!$AB$18,(10/(PERALTE!$X$18-PERALTE!$AB$18)*(RASANTE!F10-PERALTE!$AB$18)-2))))),IF(AND(AH!$H$24="Izquierda",RASANTE!F10&lt;=PERALTE!$AB$22),IF(RASANTE!F10&lt;=PERALTE!$S$22,-2,IF(RASANTE!F10&lt;=PERALTE!$U$22,(-6/(PERALTE!$U$22-PERALTE!$S$22)*(RASANTE!F10-PERALTE!$S$22)-2),IF(RASANTE!F10&lt;=PERALTE!$X$22,-8,IF(RASANTE!F10&lt;=PERALTE!$Z$22,(-6/(PERALTE!$X$22-PERALTE!$Z$22)*(RASANTE!F10-PERALTE!$Z$22)-2),IF(RASANTE!F10&lt;=PERALTE!$AB$22,-2))))),IF(AND(AH!$H$24="Derecha",RASANTE!F10&lt;=PERALTE!$AB$22),IF(RASANTE!F10&lt;=PERALTE!$Q$22,-2,IF(RASANTE!F10&lt;=PERALTE!$U$22,(10/(PERALTE!$U$22-PERALTE!$Q$22)*(RASANTE!F10-PERALTE!$Q$22)-2),IF(RASANTE!F10&lt;=PERALTE!$X$22,8,IF(RASANTE!F10&lt;=PERALTE!$AB$22,(10/(PERALTE!$X$22-PERALTE!$AB$22)*(RASANTE!F10-PERALTE!$AB$22)-2))))),IF(AND(AH!#REF!="Izquierda",RASANTE!F10&lt;=PERALTE!#REF!),IF(RASANTE!F10&lt;=PERALTE!#REF!,-2,IF(RASANTE!F10&lt;=PERALTE!#REF!,(-6/(PERALTE!#REF!-PERALTE!#REF!)*(RASANTE!F10-PERALTE!#REF!)-2),IF(RASANTE!F10&lt;=PERALTE!#REF!,-8,IF(RASANTE!F10&lt;=PERALTE!#REF!,(-6/(PERALTE!#REF!-PERALTE!#REF!)*(RASANTE!F10-PERALTE!#REF!)-2),IF(RASANTE!F10&lt;=PERALTE!#REF!,-2))))),IF(AND(AH!#REF!="Derecha",RASANTE!F10&lt;=PERALTE!#REF!),IF(RASANTE!F10&lt;=PERALTE!#REF!,-2,IF(RASANTE!F10&lt;=PERALTE!#REF!,(10/(PERALTE!#REF!-PERALTE!#REF!)*(RASANTE!F10-PERALTE!#REF!)-2),IF(RASANTE!F10&lt;=PERALTE!#REF!,8,IF(RASANTE!F10&lt;=PERALTE!#REF!,(10/(PERALTE!#REF!-PERALTE!#REF!)*(RASANTE!F10-PERALTE!#REF!)-2))))),IF(AND(AH!#REF!="Izquierda",RASANTE!F10&lt;=PERALTE!$AB$26),IF(RASANTE!F10&lt;=PERALTE!$S$26,-2,IF(RASANTE!F10&lt;=PERALTE!$U$26,(-6/(PERALTE!$U$26-PERALTE!$S$26)*(RASANTE!F10-PERALTE!$S$26)-2),IF(RASANTE!F10&lt;=PERALTE!$X$26,-8,IF(RASANTE!F10&lt;=PERALTE!$Z$26,(-6/(PERALTE!$X$26-PERALTE!$Z$26)*(RASANTE!F10-PERALTE!$Z$26)-2),IF(RASANTE!F10&lt;=PERALTE!$AB$26,-2))))),IF(AND(AH!#REF!="Derecha",RASANTE!F10&lt;=PERALTE!$AB$26),IF(RASANTE!F10&lt;=PERALTE!$Q$26,-2,IF(RASANTE!F10&lt;=PERALTE!$U$26,(10/(PERALTE!$U$26-PERALTE!$Q$26)*(RASANTE!F10-PERALTE!$Q$26)-2),IF(RASANTE!F10&lt;=PERALTE!$X$26,8,IF(RASANTE!F10&lt;=PERALTE!$AB$26,(10/(PERALTE!$X$26-PERALTE!$AB$26)*(RASANTE!F10-PERALTE!$AB$26)-2))))),IF(F10&lt;=PERALTE!#REF!,-2,"Abscisa fuera de la vía")))))))))))))))))))))</f>
        <v>-2</v>
      </c>
      <c r="I10" s="28">
        <f>+IF(AND(AH!$H$8="Derecha",RASANTE!F10&lt;=PERALTE!$AB$6),IF(RASANTE!F10&lt;=PERALTE!$S$6,-2,IF(RASANTE!F10&lt;=PERALTE!$U$6,(-6/(PERALTE!$U$6-PERALTE!$S$6)*(RASANTE!F10-PERALTE!$S$6)-2),IF(RASANTE!F10&lt;=PERALTE!$X$6,-8,IF(RASANTE!F10&lt;=PERALTE!$Z$6,(-6/(PERALTE!$X$6-PERALTE!$Z$6)*(RASANTE!F10-PERALTE!$Z$6)-2),IF(RASANTE!F10&lt;=PERALTE!$AB$6,-2))))),IF(AND(AH!$H$8="Izquierda",RASANTE!F10&lt;=PERALTE!$AB$6),IF(RASANTE!F10&lt;=PERALTE!$Q$6,-2,IF(RASANTE!F10&lt;=PERALTE!$U$6,(10/(PERALTE!$U$6-PERALTE!$Q$6)*(RASANTE!F10-PERALTE!$Q$6)-2),IF(RASANTE!F10&lt;=PERALTE!$X$6,8,IF(RASANTE!F10&lt;=PERALTE!$AB$6,(10/(PERALTE!$X$6-PERALTE!$AB$6)*(RASANTE!F10-PERALTE!$AB$6)-2))))),IF(AND(AH!$H$10="Derecha",RASANTE!F10&lt;=PERALTE!$AB$8),IF(RASANTE!F10&lt;=PERALTE!$S$8,-2,IF(RASANTE!F10&lt;=PERALTE!$U$8,(-6/(PERALTE!$U$8-PERALTE!$S$8)*(RASANTE!F10-PERALTE!$S$8)-2),IF(RASANTE!F10&lt;=PERALTE!$X$8,-8,IF(RASANTE!F10&lt;=PERALTE!$Z$8,(-6/(PERALTE!$X$8-PERALTE!$Z$8)*(RASANTE!F10-PERALTE!$Z$8)-2),IF(RASANTE!F10&lt;=PERALTE!$AB$8,-2))))),IF(AND(AH!$H$10="Izquierda",RASANTE!F10&lt;=PERALTE!$AB$8),IF(RASANTE!F10&lt;=PERALTE!$Q$8,-2,IF(RASANTE!F10&lt;=PERALTE!$U$8,(10/(PERALTE!$U$8-PERALTE!$Q$8)*(RASANTE!F10-PERALTE!$Q$8)-2),IF(RASANTE!F10&lt;=PERALTE!$X$8,8,IF(RASANTE!F10&lt;=PERALTE!$AB$8,(10/(PERALTE!$X$8-PERALTE!$AB$8)*(RASANTE!F10-PERALTE!$AB$8)-2))))),IF(AND(AH!$H$12="Derecha",RASANTE!F10&lt;=PERALTE!$AB$10),IF(RASANTE!F10&lt;=PERALTE!$S$10,-2,IF(RASANTE!F10&lt;=PERALTE!$U$10,(-6/(PERALTE!$U$10-PERALTE!$S$10)*(RASANTE!F10-PERALTE!$S$10)-2),IF(RASANTE!F10&lt;=PERALTE!$X$10,-8,IF(RASANTE!F10&lt;=PERALTE!$Z$10,(-6/(PERALTE!$X$10-PERALTE!$Z$10)*(RASANTE!F10-PERALTE!$Z$10)-2),IF(RASANTE!F10&lt;=PERALTE!$AB$10,-2))))),IF(AND(AH!$H$12="Izquierda",RASANTE!F10&lt;=PERALTE!$AB$10),IF(RASANTE!F10&lt;=PERALTE!$Q$10,-2,IF(RASANTE!F10&lt;=PERALTE!$U$10,(10/(PERALTE!$U$10-PERALTE!$Q$10)*(RASANTE!F10-PERALTE!$Q$10)-2),IF(RASANTE!F10&lt;=PERALTE!$X$10,8,IF(RASANTE!F10&lt;=PERALTE!$AB$10,(10/(PERALTE!$X$10-PERALTE!$AB$10)*(RASANTE!F10-PERALTE!$AB$10)-2))))),IF(AND(AH!$H$14="Derecha",RASANTE!F10&lt;=PERALTE!$AB$12),IF(RASANTE!F10&lt;=PERALTE!$S$12,-2,IF(RASANTE!F10&lt;=PERALTE!$U$12,(-6/(PERALTE!$U$12-PERALTE!$S$12)*(RASANTE!F10-PERALTE!$S$12)-2),IF(RASANTE!F10&lt;=PERALTE!$X$12,-8,IF(RASANTE!F10&lt;=PERALTE!$Z$12,(-6/(PERALTE!$X$12-PERALTE!$Z$12)*(RASANTE!F10-PERALTE!$Z$12)-2),IF(RASANTE!F10&lt;=PERALTE!$AB$12,-2))))),IF(AND(AH!$H$14="Izquierda",RASANTE!F10&lt;=PERALTE!$AB$12),IF(RASANTE!F10&lt;=PERALTE!$Q$12,-2,IF(RASANTE!F10&lt;=PERALTE!$U$12,(10/(PERALTE!$U$12-PERALTE!$Q$12)*(RASANTE!F10-PERALTE!$Q$12)-2),IF(RASANTE!F10&lt;=PERALTE!$X$12,8,IF(RASANTE!F10&lt;=PERALTE!$AB$12,(10/(PERALTE!$X$12-PERALTE!$AB$12)*(RASANTE!F10-PERALTE!$AB$12)-2))))),IF(AND(AH!$H$16="Derecha",RASANTE!F10&lt;=PERALTE!$AB$14),IF(RASANTE!F10&lt;=PERALTE!$S$14,-2,IF(RASANTE!F10&lt;=PERALTE!$U$14,(-6/(PERALTE!$U$14-PERALTE!$S$14)*(RASANTE!F10-PERALTE!$S$14)-2),IF(RASANTE!F10&lt;=PERALTE!$X$14,-8,IF(RASANTE!F10&lt;=PERALTE!$Z$14,(-6/(PERALTE!$X$14-PERALTE!$Z$14)*(RASANTE!F10-PERALTE!$Z$14)-2),IF(RASANTE!F10&lt;=PERALTE!$AB$14,-2))))),IF(AND(AH!$H$16="Izquierda",RASANTE!F10&lt;=PERALTE!$AB$14),IF(RASANTE!F10&lt;=PERALTE!$Q$14,-2,IF(RASANTE!F10&lt;=PERALTE!$U$14,(10/(PERALTE!$U$14-PERALTE!$Q$14)*(RASANTE!F10-PERALTE!$Q$14)-2),IF(RASANTE!F10&lt;=PERALTE!$X$14,8,IF(RASANTE!F10&lt;=PERALTE!$AB$14,(10/(PERALTE!$X$14-PERALTE!$AB$14)*(RASANTE!F10-PERALTE!$AB$14)-2))))),IF(AND(AH!$H$18="Derecha",RASANTE!F10&lt;=PERALTE!$AB$16),IF(RASANTE!F10&lt;=PERALTE!$S$16,-2,IF(RASANTE!F10&lt;=PERALTE!$U$16,(-6/(PERALTE!$U$16-PERALTE!$S$16)*(RASANTE!F10-PERALTE!$S$16)-2),IF(RASANTE!F10&lt;=PERALTE!$X$16,-8,IF(RASANTE!F10&lt;=PERALTE!$Z$16,(-6/(PERALTE!$X$16-PERALTE!$Z$16)*(RASANTE!F10-PERALTE!$Z$16)-2),IF(RASANTE!F10&lt;=PERALTE!$AB$16,-2))))),IF(AND(AH!$H$18="Izquierda",RASANTE!F10&lt;=PERALTE!$AB$16),IF(RASANTE!F10&lt;=PERALTE!$Q$16,-2,IF(RASANTE!F10&lt;=PERALTE!$U$16,(10/(PERALTE!$U$16-PERALTE!$Q$16)*(RASANTE!F10-PERALTE!$Q$16)-2),IF(RASANTE!F10&lt;=PERALTE!$X$16,8,IF(RASANTE!F10&lt;=PERALTE!$AB$16,(10/(PERALTE!$X$16-PERALTE!$AB$16)*(RASANTE!F10-PERALTE!$AB$16)-2))))),IF(AND(AH!$H$20="Derecha",RASANTE!F10&lt;=PERALTE!$AB$18),IF(RASANTE!F10&lt;=PERALTE!$S$18,-2,IF(RASANTE!F10&lt;=PERALTE!$U$18,(-6/(PERALTE!$U$18-PERALTE!$S$18)*(RASANTE!F10-PERALTE!$S$18)-2),IF(RASANTE!F10&lt;=PERALTE!$X$18,-8,IF(RASANTE!F10&lt;=PERALTE!$Z$18,(-6/(PERALTE!$X$18-PERALTE!$Z$18)*(RASANTE!F10-PERALTE!$Z$18)-2),IF(RASANTE!F10&lt;=PERALTE!$AB$18,-2))))),IF(AND(AH!$H$20="Izquierda",RASANTE!F10&lt;=PERALTE!$AB$18),IF(RASANTE!F10&lt;=PERALTE!$Q$18,-2,IF(RASANTE!F10&lt;=PERALTE!$U$18,(10/(PERALTE!$U$18-PERALTE!$Q$18)*(RASANTE!F10-PERALTE!$Q$18)-2),IF(RASANTE!F10&lt;=PERALTE!$X$18,8,IF(RASANTE!F10&lt;=PERALTE!$AB$18,(10/(PERALTE!$X$18-PERALTE!$AB$18)*(RASANTE!F10-PERALTE!$AB$18)-2))))),IF(AND(AH!$H$24="Derecha",RASANTE!F10&lt;=PERALTE!$AB$22),IF(RASANTE!F10&lt;=PERALTE!$S$22,-2,IF(RASANTE!F10&lt;=PERALTE!$U$22,(-6/(PERALTE!$U$22-PERALTE!$S$22)*(RASANTE!F10-PERALTE!$S$22)-2),IF(RASANTE!F10&lt;=PERALTE!$X$22,-8,IF(RASANTE!F10&lt;=PERALTE!$Z$22,(-6/(PERALTE!$X$22-PERALTE!$Z$22)*(RASANTE!F10-PERALTE!$Z$22)-2),IF(RASANTE!F10&lt;=PERALTE!$AB$22,-2))))),IF(AND(AH!$H$24="Izquierda",RASANTE!F10&lt;=PERALTE!$AB$22),IF(RASANTE!F10&lt;=PERALTE!$Q$22,-2,IF(RASANTE!F10&lt;=PERALTE!$U$22,(10/(PERALTE!$U$22-PERALTE!$Q$22)*(RASANTE!F10-PERALTE!$Q$22)-2),IF(RASANTE!F10&lt;=PERALTE!$X$22,8,IF(RASANTE!F10&lt;=PERALTE!$AB$22,(10/(PERALTE!$X$22-PERALTE!$AB$22)*(RASANTE!F10-PERALTE!$AB$22)-2))))),IF(AND(AH!#REF!="Derecha",RASANTE!F10&lt;=PERALTE!#REF!),IF(RASANTE!F10&lt;=PERALTE!#REF!,-2,IF(RASANTE!F10&lt;=PERALTE!#REF!,(-6/(PERALTE!#REF!-PERALTE!#REF!)*(RASANTE!F10-PERALTE!#REF!)-2),IF(RASANTE!F10&lt;=PERALTE!#REF!,-8,IF(RASANTE!F10&lt;=PERALTE!#REF!,(-6/(PERALTE!#REF!-PERALTE!#REF!)*(RASANTE!F10-PERALTE!#REF!)-2),IF(RASANTE!F10&lt;=PERALTE!#REF!,-2))))),IF(AND(AH!#REF!="Izquierda",RASANTE!F10&lt;=PERALTE!#REF!),IF(RASANTE!F10&lt;=PERALTE!#REF!,-2,IF(RASANTE!F10&lt;=PERALTE!#REF!,(10/(PERALTE!#REF!-PERALTE!#REF!)*(RASANTE!F10-PERALTE!#REF!)-2),IF(RASANTE!F10&lt;=PERALTE!#REF!,8,IF(RASANTE!F10&lt;=PERALTE!#REF!,(10/(PERALTE!#REF!-PERALTE!#REF!)*(RASANTE!F10-PERALTE!#REF!)-2))))),IF(AND(AH!#REF!="Derecha",RASANTE!F10&lt;=PERALTE!$AB$26),IF(RASANTE!F10&lt;=PERALTE!$S$26,-2,IF(RASANTE!F10&lt;=PERALTE!$U$26,(-6/(PERALTE!$U$26-PERALTE!$S$26)*(RASANTE!F10-PERALTE!$S$26)-2),IF(RASANTE!F10&lt;=PERALTE!$X$26,-8,IF(RASANTE!F10&lt;=PERALTE!$Z$26,(-6/(PERALTE!$X$26-PERALTE!$Z$26)*(RASANTE!F10-PERALTE!$Z$26)-2),IF(RASANTE!F10&lt;=PERALTE!$AB$26,-2))))),IF(AND(AH!#REF!="Izquierda",RASANTE!F10&lt;=PERALTE!$AB$26),IF(RASANTE!F10&lt;=PERALTE!$Q$26,-2,IF(RASANTE!F10&lt;=PERALTE!$U$26,(10/(PERALTE!$U$26-PERALTE!$Q$26)*(RASANTE!F10-PERALTE!$Q$26)-2),IF(RASANTE!F10&lt;=PERALTE!$X$26,8,IF(RASANTE!F10&lt;=PERALTE!$AB$26,(10/(PERALTE!$X$26-PERALTE!$AB$26)*(RASANTE!F10-PERALTE!$AB$26)-2))))),IF(F10&lt;=PERALTE!#REF!,-2,"Abscisa fuera de la vía")))))))))))))))))))))</f>
        <v>-2</v>
      </c>
      <c r="J10" s="28">
        <f t="shared" si="1"/>
        <v>1645.8852000000002</v>
      </c>
      <c r="K10" s="356">
        <f>+IF(AND(AV!$S$6&lt;F185,F185&lt;=AV!$T$6),AV!$P$6*((AV!$S$6-RASANTE!F185)/(AV!$N$6))^2,IF(AND(AV!$T$6&lt;RASANTE!F185,F185&lt;AV!$U$6),AV!$P$6*((AV!$U$6-RASANTE!F185)/(AV!$O$6))^2,IF(AND(AV!$S$8&lt;F185,F185&lt;=AV!$T$8),AV!$P$8*((AV!$S$8-RASANTE!F185)/(AV!$N$8))^2,IF(AND(AV!$T$8&lt;RASANTE!F185,F185&lt;AV!$U$8),AV!$P$8*((AV!$U$8-RASANTE!F185)/(AV!$O$8))^2,IF(AND(AV!$S$10&lt;F185,F185&lt;=AV!$T$10),AV!$P$10*((AV!$S$10-RASANTE!F185)/(AV!$N$10))^2,IF(AND(AV!$T$10&lt;RASANTE!F185,F185&lt;AV!$U$10),AV!$P$10*((AV!$U$10-RASANTE!F185)/(AV!$O$10))^2,IF(AND(AV!$S$12&lt;F185,F185&lt;=AV!$T$12),AV!$P$12*((AV!$S$12-RASANTE!F185)/(AV!$N$12))^2,IF(AND(AV!$T$12&lt;RASANTE!F185,F185&lt;AV!$U$12),AV!$P$12*((AV!$U$12-RASANTE!F185)/(AV!$O$12))^2,IF(AND(AV!$S$14&lt;F185,F185&lt;=AV!$T$14),AV!$P$14*((AV!$S$14-RASANTE!F185)/(AV!$N$14))^2,IF(AND(AV!$T$14&lt;RASANTE!F185,F185&lt;AV!$U$14),AV!$P$14*((AV!$U$14-RASANTE!F185)/(AV!$O$14))^2,IF(AND(AV!$S$16&lt;F185,F185&lt;=AV!$T$16),AV!$P$16*((AV!$S$16-RASANTE!F185)/(AV!$N$16))^2,IF(AND(AV!$T$16&lt;RASANTE!F185,F185&lt;AV!$U$16),AV!$P$16*((AV!$U$16-RASANTE!F185)/(AV!$O$16))^2,IF(AND(AV!$S$18&lt;F185,F185&lt;=AV!$T$18),AV!$P$18*((AV!$S$18-RASANTE!F185)/(AV!$N$18))^2,IF(AND(AV!$T$18&lt;RASANTE!F185,F185&lt;AV!$U$18),AV!$P$18*((AV!$U$18-RASANTE!F185)/(AV!$O$18))^2,IF(AND(AV!$S$20&lt;F185,F185&lt;=AV!$T$20),AV!$P$20*((AV!$S$20-RASANTE!F185)/(AV!$N$20))^2,IF(AND(AV!$T$20&lt;RASANTE!F185,F185&lt;AV!$U$20),AV!$P$20*((AV!$U$20-RASANTE!F185)/(AV!$O$20))^2,IF(AND(AV!$S$22&lt;F185,F185&lt;=AV!$T$22),AV!$P$22*((AV!$S$22-RASANTE!F185)/(AV!$N$22))^2,IF(AND(AV!$T$22&lt;RASANTE!F185,F185&lt;AV!$U$22),AV!$P$22*((AV!$U$22-RASANTE!F185)/(AV!$O$22))^2,IF(AND(AV!$S$24&lt;F185,F185&lt;=AV!$T$24),AV!$P$24*((AV!$S$24-RASANTE!F185)/(AV!$N$24))^2,IF(AND(AV!$T$24&lt;RASANTE!F185,F185&lt;AV!$U$24),AV!$P$24*((AV!$U$24-RASANTE!F185)/(AV!$O$24))^2,0))))))))))))))))))))</f>
        <v>0</v>
      </c>
      <c r="L10" s="28">
        <f>+M10+H10%*PERALTE!$C$32</f>
        <v>1645.8152000000002</v>
      </c>
      <c r="M10" s="28">
        <f t="shared" si="0"/>
        <v>1645.8852000000002</v>
      </c>
      <c r="N10" s="28">
        <f>+M10+I10%*PERALTE!$C$32</f>
        <v>1645.8152000000002</v>
      </c>
      <c r="O10" s="92"/>
      <c r="P10" s="84"/>
      <c r="Q10" s="84"/>
      <c r="R10" s="84"/>
      <c r="S10" s="84"/>
      <c r="T10" s="84"/>
      <c r="U10" s="84"/>
      <c r="V10" s="84"/>
      <c r="W10" s="84"/>
      <c r="X10" s="84"/>
      <c r="Y10" s="84"/>
    </row>
    <row r="11" spans="1:25" x14ac:dyDescent="0.2">
      <c r="A11" s="90"/>
      <c r="B11" s="100"/>
      <c r="C11" s="100"/>
      <c r="D11" s="100"/>
      <c r="E11" s="91"/>
      <c r="F11" s="34">
        <v>70</v>
      </c>
      <c r="G11" s="88">
        <f>IF(F11&lt;=AV!$T$6,AV!$C$5,IF(RASANTE!F11&lt;=AV!$T$8,AV!$C$7,IF(RASANTE!F11&lt;=AV!$T$10,AV!$C$9,IF(RASANTE!F11&lt;=AV!$T$12,AV!#REF!,IF(RASANTE!F11&lt;=AV!$T$14,AV!$C$11,IF(RASANTE!F11&lt;=AV!$T$16,AV!$C$13, IF(RASANTE!F11&lt;=AV!$T$18,AV!$C$15,IF(RASANTE!F11&lt;=AV!$T$20,AV!$C$19,IF(RASANTE!F11&lt;=AV!$T$22,AV!$C$21,IF(RASANTE!F11&lt;=AV!$T$24,AV!$C$23,AV!$C$25))))))))))</f>
        <v>3.1419999999999999</v>
      </c>
      <c r="H11" s="28">
        <f>+IF(AND(AH!$H$8="Izquierda",RASANTE!F11&lt;=PERALTE!$AB$6),IF(RASANTE!F11&lt;=PERALTE!$S$6,-2,IF(RASANTE!F11&lt;=PERALTE!$U$6,(-6/(PERALTE!$U$6-PERALTE!$S$6)*(RASANTE!F11-PERALTE!$S$6)-2),IF(RASANTE!F11&lt;=PERALTE!$X$6,-8,IF(RASANTE!F11&lt;=PERALTE!$Z$6,(-6/(PERALTE!$X$6-PERALTE!$Z$6)*(RASANTE!F11-PERALTE!$Z$6)-2),IF(RASANTE!F11&lt;=PERALTE!$AB$6,-2))))),IF(AND(AH!$H$8="Derecha",RASANTE!F11&lt;=PERALTE!$AB$6),IF(RASANTE!F11&lt;=PERALTE!$Q$6,-2,IF(RASANTE!F11&lt;=PERALTE!$U$6,(10/(PERALTE!$U$6-PERALTE!$Q$6)*(RASANTE!F11-PERALTE!$Q$6)-2),IF(RASANTE!F11&lt;=PERALTE!$X$6,8,IF(RASANTE!F11&lt;=PERALTE!$AB$6,(10/(PERALTE!$X$6-PERALTE!$AB$6)*(RASANTE!F11-PERALTE!$AB$6)-2))))),IF(AND(AH!$H$10="Izquierda",RASANTE!F11&lt;=PERALTE!$AB$8),IF(RASANTE!F11&lt;=PERALTE!$S$8,-2,IF(RASANTE!F11&lt;=PERALTE!$U$8,(-6/(PERALTE!$U$8-PERALTE!$S$8)*(RASANTE!F11-PERALTE!$S$8)-2),IF(RASANTE!F11&lt;=PERALTE!$X$8,-8,IF(RASANTE!F11&lt;=PERALTE!$Z$8,(-6/(PERALTE!$X$8-PERALTE!$Z$8)*(RASANTE!F11-PERALTE!$Z$8)-2),IF(RASANTE!F11&lt;=PERALTE!$AB$8,-2))))),IF(AND(AH!$H$10="Derecha",RASANTE!F11&lt;=PERALTE!$AB$8),IF(RASANTE!F11&lt;=PERALTE!$Q$8,-2,IF(RASANTE!F11&lt;=PERALTE!$U$8,(10/(PERALTE!$U$8-PERALTE!$Q$8)*(RASANTE!F11-PERALTE!$Q$8)-2),IF(RASANTE!F11&lt;=PERALTE!$X$8,8,IF(RASANTE!F11&lt;=PERALTE!$AB$8,(10/(PERALTE!$X$8-PERALTE!$AB$8)*(RASANTE!F11-PERALTE!$AB$8)-2))))),IF(AND(AH!$H$12="Izquierda",RASANTE!F11&lt;=PERALTE!$AB$10),IF(RASANTE!F11&lt;=PERALTE!$S$10,-2,IF(RASANTE!F11&lt;=PERALTE!$U$10,(-6/(PERALTE!$U$10-PERALTE!$S$10)*(RASANTE!F11-PERALTE!$S$10)-2),IF(RASANTE!F11&lt;=PERALTE!$X$10,-8,IF(RASANTE!F11&lt;=PERALTE!$Z$10,(-6/(PERALTE!$X$10-PERALTE!$Z$10)*(RASANTE!F11-PERALTE!$Z$10)-2),IF(RASANTE!F11&lt;=PERALTE!$AB$10,-2))))),IF(AND(AH!$H$12="Derecha",RASANTE!F11&lt;=PERALTE!$AB$10),IF(RASANTE!F11&lt;=PERALTE!$Q$10,-2,IF(RASANTE!F11&lt;=PERALTE!$U$10,(10/(PERALTE!$U$10-PERALTE!$Q$10)*(RASANTE!F11-PERALTE!$Q$10)-2),IF(RASANTE!F11&lt;=PERALTE!$X$10,8,IF(RASANTE!F11&lt;=PERALTE!$AB$10,(10/(PERALTE!$X$10-PERALTE!$AB$10)*(RASANTE!F11-PERALTE!$AB$10)-2))))),IF(AND(AH!$H$14="Izquierda",RASANTE!F11&lt;=PERALTE!$AB$12),IF(RASANTE!F11&lt;=PERALTE!$S$12,-2,IF(RASANTE!F11&lt;=PERALTE!$U$12,(-6/(PERALTE!$U$12-PERALTE!$S$12)*(RASANTE!F11-PERALTE!$S$12)-2),IF(RASANTE!F11&lt;=PERALTE!$X$12,-8,IF(RASANTE!F11&lt;=PERALTE!$Z$12,(-6/(PERALTE!$X$12-PERALTE!$Z$12)*(RASANTE!F11-PERALTE!$Z$12)-2),IF(RASANTE!F11&lt;=PERALTE!$AB$12,-2))))),IF(AND(AH!$H$14="Derecha",RASANTE!F11&lt;=PERALTE!$AB$12),IF(RASANTE!F11&lt;=PERALTE!$Q$12,-2,IF(RASANTE!F11&lt;=PERALTE!$U$12,(10/(PERALTE!$U$12-PERALTE!$Q$12)*(RASANTE!F11-PERALTE!$Q$12)-2),IF(RASANTE!F11&lt;=PERALTE!$X$12,8,IF(RASANTE!F11&lt;=PERALTE!$AB$12,(10/(PERALTE!$X$12-PERALTE!$AB$12)*(RASANTE!F11-PERALTE!$AB$12)-2))))),IF(AND(AH!$H$16="Izquierda",RASANTE!F11&lt;=PERALTE!$AB$14),IF(RASANTE!F11&lt;=PERALTE!$S$14,-2,IF(RASANTE!F11&lt;=PERALTE!$U$14,(-6/(PERALTE!$U$14-PERALTE!$S$14)*(RASANTE!F11-PERALTE!$S$14)-2),IF(RASANTE!F11&lt;=PERALTE!$X$14,-8,IF(RASANTE!F11&lt;=PERALTE!$Z$14,(-6/(PERALTE!$X$14-PERALTE!$Z$14)*(RASANTE!F11-PERALTE!$Z$14)-2),IF(RASANTE!F11&lt;=PERALTE!$AB$14,-2))))),IF(AND(AH!$H$16="Derecha",RASANTE!F11&lt;=PERALTE!$AB$14),IF(RASANTE!F11&lt;=PERALTE!$Q$14,-2,IF(RASANTE!F11&lt;=PERALTE!$U$14,(10/(PERALTE!$U$14-PERALTE!$Q$14)*(RASANTE!F11-PERALTE!$Q$14)-2),IF(RASANTE!F11&lt;=PERALTE!$X$14,8,IF(RASANTE!F11&lt;=PERALTE!$AB$14,(10/(PERALTE!$X$14-PERALTE!$AB$14)*(RASANTE!F11-PERALTE!$AB$14)-2))))),IF(AND(AH!$H$18="Izquierda",RASANTE!F11&lt;=PERALTE!$AB$16),IF(RASANTE!F11&lt;=PERALTE!$S$16,-2,IF(RASANTE!F11&lt;=PERALTE!$U$16,(-6/(PERALTE!$U$16-PERALTE!$S$16)*(RASANTE!F11-PERALTE!$S$16)-2),IF(RASANTE!F11&lt;=PERALTE!$X$16,-8,IF(RASANTE!F11&lt;=PERALTE!$Z$16,(-6/(PERALTE!$X$16-PERALTE!$Z$16)*(RASANTE!F11-PERALTE!$Z$16)-2),IF(RASANTE!F11&lt;=PERALTE!$AB$16,-2))))),IF(AND(AH!$H$18="Derecha",RASANTE!F11&lt;=PERALTE!$AB$16),IF(RASANTE!F11&lt;=PERALTE!$Q$16,-2,IF(RASANTE!F11&lt;=PERALTE!$U$16,(10/(PERALTE!$U$16-PERALTE!$Q$16)*(RASANTE!F11-PERALTE!$Q$16)-2),IF(RASANTE!F11&lt;=PERALTE!$X$16,8,IF(RASANTE!F11&lt;=PERALTE!$AB$16,(10/(PERALTE!$X$16-PERALTE!$AB$16)*(RASANTE!F11-PERALTE!$AB$16)-2))))),IF(AND(AH!$H$20="Izquierda",RASANTE!F11&lt;=PERALTE!$AB$18),IF(RASANTE!F11&lt;=PERALTE!$S$18,-2,IF(RASANTE!F11&lt;=PERALTE!$U$18,(-6/(PERALTE!$U$18-PERALTE!$S$18)*(RASANTE!F11-PERALTE!$S$18)-2),IF(RASANTE!F11&lt;=PERALTE!$X$18,-8,IF(RASANTE!F11&lt;=PERALTE!$Z$18,(-6/(PERALTE!$X$18-PERALTE!$Z$18)*(RASANTE!F11-PERALTE!$Z$18)-2),IF(RASANTE!F11&lt;=PERALTE!$AB$18,-2))))),IF(AND(AH!$H$20="Derecha",RASANTE!F11&lt;=PERALTE!$AB$18),IF(RASANTE!F11&lt;=PERALTE!$Q$18,-2,IF(RASANTE!F11&lt;=PERALTE!$U$18,(10/(PERALTE!$U$18-PERALTE!$Q$18)*(RASANTE!F11-PERALTE!$Q$18)-2),IF(RASANTE!F11&lt;=PERALTE!$X$18,8,IF(RASANTE!F11&lt;=PERALTE!$AB$18,(10/(PERALTE!$X$18-PERALTE!$AB$18)*(RASANTE!F11-PERALTE!$AB$18)-2))))),IF(AND(AH!$H$24="Izquierda",RASANTE!F11&lt;=PERALTE!$AB$22),IF(RASANTE!F11&lt;=PERALTE!$S$22,-2,IF(RASANTE!F11&lt;=PERALTE!$U$22,(-6/(PERALTE!$U$22-PERALTE!$S$22)*(RASANTE!F11-PERALTE!$S$22)-2),IF(RASANTE!F11&lt;=PERALTE!$X$22,-8,IF(RASANTE!F11&lt;=PERALTE!$Z$22,(-6/(PERALTE!$X$22-PERALTE!$Z$22)*(RASANTE!F11-PERALTE!$Z$22)-2),IF(RASANTE!F11&lt;=PERALTE!$AB$22,-2))))),IF(AND(AH!$H$24="Derecha",RASANTE!F11&lt;=PERALTE!$AB$22),IF(RASANTE!F11&lt;=PERALTE!$Q$22,-2,IF(RASANTE!F11&lt;=PERALTE!$U$22,(10/(PERALTE!$U$22-PERALTE!$Q$22)*(RASANTE!F11-PERALTE!$Q$22)-2),IF(RASANTE!F11&lt;=PERALTE!$X$22,8,IF(RASANTE!F11&lt;=PERALTE!$AB$22,(10/(PERALTE!$X$22-PERALTE!$AB$22)*(RASANTE!F11-PERALTE!$AB$22)-2))))),IF(AND(AH!#REF!="Izquierda",RASANTE!F11&lt;=PERALTE!#REF!),IF(RASANTE!F11&lt;=PERALTE!#REF!,-2,IF(RASANTE!F11&lt;=PERALTE!#REF!,(-6/(PERALTE!#REF!-PERALTE!#REF!)*(RASANTE!F11-PERALTE!#REF!)-2),IF(RASANTE!F11&lt;=PERALTE!#REF!,-8,IF(RASANTE!F11&lt;=PERALTE!#REF!,(-6/(PERALTE!#REF!-PERALTE!#REF!)*(RASANTE!F11-PERALTE!#REF!)-2),IF(RASANTE!F11&lt;=PERALTE!#REF!,-2))))),IF(AND(AH!#REF!="Derecha",RASANTE!F11&lt;=PERALTE!#REF!),IF(RASANTE!F11&lt;=PERALTE!#REF!,-2,IF(RASANTE!F11&lt;=PERALTE!#REF!,(10/(PERALTE!#REF!-PERALTE!#REF!)*(RASANTE!F11-PERALTE!#REF!)-2),IF(RASANTE!F11&lt;=PERALTE!#REF!,8,IF(RASANTE!F11&lt;=PERALTE!#REF!,(10/(PERALTE!#REF!-PERALTE!#REF!)*(RASANTE!F11-PERALTE!#REF!)-2))))),IF(AND(AH!#REF!="Izquierda",RASANTE!F11&lt;=PERALTE!$AB$26),IF(RASANTE!F11&lt;=PERALTE!$S$26,-2,IF(RASANTE!F11&lt;=PERALTE!$U$26,(-6/(PERALTE!$U$26-PERALTE!$S$26)*(RASANTE!F11-PERALTE!$S$26)-2),IF(RASANTE!F11&lt;=PERALTE!$X$26,-8,IF(RASANTE!F11&lt;=PERALTE!$Z$26,(-6/(PERALTE!$X$26-PERALTE!$Z$26)*(RASANTE!F11-PERALTE!$Z$26)-2),IF(RASANTE!F11&lt;=PERALTE!$AB$26,-2))))),IF(AND(AH!#REF!="Derecha",RASANTE!F11&lt;=PERALTE!$AB$26),IF(RASANTE!F11&lt;=PERALTE!$Q$26,-2,IF(RASANTE!F11&lt;=PERALTE!$U$26,(10/(PERALTE!$U$26-PERALTE!$Q$26)*(RASANTE!F11-PERALTE!$Q$26)-2),IF(RASANTE!F11&lt;=PERALTE!$X$26,8,IF(RASANTE!F11&lt;=PERALTE!$AB$26,(10/(PERALTE!$X$26-PERALTE!$AB$26)*(RASANTE!F11-PERALTE!$AB$26)-2))))),IF(F11&lt;=PERALTE!#REF!,-2,"Abscisa fuera de la vía")))))))))))))))))))))</f>
        <v>-2</v>
      </c>
      <c r="I11" s="28">
        <f>+IF(AND(AH!$H$8="Derecha",RASANTE!F11&lt;=PERALTE!$AB$6),IF(RASANTE!F11&lt;=PERALTE!$S$6,-2,IF(RASANTE!F11&lt;=PERALTE!$U$6,(-6/(PERALTE!$U$6-PERALTE!$S$6)*(RASANTE!F11-PERALTE!$S$6)-2),IF(RASANTE!F11&lt;=PERALTE!$X$6,-8,IF(RASANTE!F11&lt;=PERALTE!$Z$6,(-6/(PERALTE!$X$6-PERALTE!$Z$6)*(RASANTE!F11-PERALTE!$Z$6)-2),IF(RASANTE!F11&lt;=PERALTE!$AB$6,-2))))),IF(AND(AH!$H$8="Izquierda",RASANTE!F11&lt;=PERALTE!$AB$6),IF(RASANTE!F11&lt;=PERALTE!$Q$6,-2,IF(RASANTE!F11&lt;=PERALTE!$U$6,(10/(PERALTE!$U$6-PERALTE!$Q$6)*(RASANTE!F11-PERALTE!$Q$6)-2),IF(RASANTE!F11&lt;=PERALTE!$X$6,8,IF(RASANTE!F11&lt;=PERALTE!$AB$6,(10/(PERALTE!$X$6-PERALTE!$AB$6)*(RASANTE!F11-PERALTE!$AB$6)-2))))),IF(AND(AH!$H$10="Derecha",RASANTE!F11&lt;=PERALTE!$AB$8),IF(RASANTE!F11&lt;=PERALTE!$S$8,-2,IF(RASANTE!F11&lt;=PERALTE!$U$8,(-6/(PERALTE!$U$8-PERALTE!$S$8)*(RASANTE!F11-PERALTE!$S$8)-2),IF(RASANTE!F11&lt;=PERALTE!$X$8,-8,IF(RASANTE!F11&lt;=PERALTE!$Z$8,(-6/(PERALTE!$X$8-PERALTE!$Z$8)*(RASANTE!F11-PERALTE!$Z$8)-2),IF(RASANTE!F11&lt;=PERALTE!$AB$8,-2))))),IF(AND(AH!$H$10="Izquierda",RASANTE!F11&lt;=PERALTE!$AB$8),IF(RASANTE!F11&lt;=PERALTE!$Q$8,-2,IF(RASANTE!F11&lt;=PERALTE!$U$8,(10/(PERALTE!$U$8-PERALTE!$Q$8)*(RASANTE!F11-PERALTE!$Q$8)-2),IF(RASANTE!F11&lt;=PERALTE!$X$8,8,IF(RASANTE!F11&lt;=PERALTE!$AB$8,(10/(PERALTE!$X$8-PERALTE!$AB$8)*(RASANTE!F11-PERALTE!$AB$8)-2))))),IF(AND(AH!$H$12="Derecha",RASANTE!F11&lt;=PERALTE!$AB$10),IF(RASANTE!F11&lt;=PERALTE!$S$10,-2,IF(RASANTE!F11&lt;=PERALTE!$U$10,(-6/(PERALTE!$U$10-PERALTE!$S$10)*(RASANTE!F11-PERALTE!$S$10)-2),IF(RASANTE!F11&lt;=PERALTE!$X$10,-8,IF(RASANTE!F11&lt;=PERALTE!$Z$10,(-6/(PERALTE!$X$10-PERALTE!$Z$10)*(RASANTE!F11-PERALTE!$Z$10)-2),IF(RASANTE!F11&lt;=PERALTE!$AB$10,-2))))),IF(AND(AH!$H$12="Izquierda",RASANTE!F11&lt;=PERALTE!$AB$10),IF(RASANTE!F11&lt;=PERALTE!$Q$10,-2,IF(RASANTE!F11&lt;=PERALTE!$U$10,(10/(PERALTE!$U$10-PERALTE!$Q$10)*(RASANTE!F11-PERALTE!$Q$10)-2),IF(RASANTE!F11&lt;=PERALTE!$X$10,8,IF(RASANTE!F11&lt;=PERALTE!$AB$10,(10/(PERALTE!$X$10-PERALTE!$AB$10)*(RASANTE!F11-PERALTE!$AB$10)-2))))),IF(AND(AH!$H$14="Derecha",RASANTE!F11&lt;=PERALTE!$AB$12),IF(RASANTE!F11&lt;=PERALTE!$S$12,-2,IF(RASANTE!F11&lt;=PERALTE!$U$12,(-6/(PERALTE!$U$12-PERALTE!$S$12)*(RASANTE!F11-PERALTE!$S$12)-2),IF(RASANTE!F11&lt;=PERALTE!$X$12,-8,IF(RASANTE!F11&lt;=PERALTE!$Z$12,(-6/(PERALTE!$X$12-PERALTE!$Z$12)*(RASANTE!F11-PERALTE!$Z$12)-2),IF(RASANTE!F11&lt;=PERALTE!$AB$12,-2))))),IF(AND(AH!$H$14="Izquierda",RASANTE!F11&lt;=PERALTE!$AB$12),IF(RASANTE!F11&lt;=PERALTE!$Q$12,-2,IF(RASANTE!F11&lt;=PERALTE!$U$12,(10/(PERALTE!$U$12-PERALTE!$Q$12)*(RASANTE!F11-PERALTE!$Q$12)-2),IF(RASANTE!F11&lt;=PERALTE!$X$12,8,IF(RASANTE!F11&lt;=PERALTE!$AB$12,(10/(PERALTE!$X$12-PERALTE!$AB$12)*(RASANTE!F11-PERALTE!$AB$12)-2))))),IF(AND(AH!$H$16="Derecha",RASANTE!F11&lt;=PERALTE!$AB$14),IF(RASANTE!F11&lt;=PERALTE!$S$14,-2,IF(RASANTE!F11&lt;=PERALTE!$U$14,(-6/(PERALTE!$U$14-PERALTE!$S$14)*(RASANTE!F11-PERALTE!$S$14)-2),IF(RASANTE!F11&lt;=PERALTE!$X$14,-8,IF(RASANTE!F11&lt;=PERALTE!$Z$14,(-6/(PERALTE!$X$14-PERALTE!$Z$14)*(RASANTE!F11-PERALTE!$Z$14)-2),IF(RASANTE!F11&lt;=PERALTE!$AB$14,-2))))),IF(AND(AH!$H$16="Izquierda",RASANTE!F11&lt;=PERALTE!$AB$14),IF(RASANTE!F11&lt;=PERALTE!$Q$14,-2,IF(RASANTE!F11&lt;=PERALTE!$U$14,(10/(PERALTE!$U$14-PERALTE!$Q$14)*(RASANTE!F11-PERALTE!$Q$14)-2),IF(RASANTE!F11&lt;=PERALTE!$X$14,8,IF(RASANTE!F11&lt;=PERALTE!$AB$14,(10/(PERALTE!$X$14-PERALTE!$AB$14)*(RASANTE!F11-PERALTE!$AB$14)-2))))),IF(AND(AH!$H$18="Derecha",RASANTE!F11&lt;=PERALTE!$AB$16),IF(RASANTE!F11&lt;=PERALTE!$S$16,-2,IF(RASANTE!F11&lt;=PERALTE!$U$16,(-6/(PERALTE!$U$16-PERALTE!$S$16)*(RASANTE!F11-PERALTE!$S$16)-2),IF(RASANTE!F11&lt;=PERALTE!$X$16,-8,IF(RASANTE!F11&lt;=PERALTE!$Z$16,(-6/(PERALTE!$X$16-PERALTE!$Z$16)*(RASANTE!F11-PERALTE!$Z$16)-2),IF(RASANTE!F11&lt;=PERALTE!$AB$16,-2))))),IF(AND(AH!$H$18="Izquierda",RASANTE!F11&lt;=PERALTE!$AB$16),IF(RASANTE!F11&lt;=PERALTE!$Q$16,-2,IF(RASANTE!F11&lt;=PERALTE!$U$16,(10/(PERALTE!$U$16-PERALTE!$Q$16)*(RASANTE!F11-PERALTE!$Q$16)-2),IF(RASANTE!F11&lt;=PERALTE!$X$16,8,IF(RASANTE!F11&lt;=PERALTE!$AB$16,(10/(PERALTE!$X$16-PERALTE!$AB$16)*(RASANTE!F11-PERALTE!$AB$16)-2))))),IF(AND(AH!$H$20="Derecha",RASANTE!F11&lt;=PERALTE!$AB$18),IF(RASANTE!F11&lt;=PERALTE!$S$18,-2,IF(RASANTE!F11&lt;=PERALTE!$U$18,(-6/(PERALTE!$U$18-PERALTE!$S$18)*(RASANTE!F11-PERALTE!$S$18)-2),IF(RASANTE!F11&lt;=PERALTE!$X$18,-8,IF(RASANTE!F11&lt;=PERALTE!$Z$18,(-6/(PERALTE!$X$18-PERALTE!$Z$18)*(RASANTE!F11-PERALTE!$Z$18)-2),IF(RASANTE!F11&lt;=PERALTE!$AB$18,-2))))),IF(AND(AH!$H$20="Izquierda",RASANTE!F11&lt;=PERALTE!$AB$18),IF(RASANTE!F11&lt;=PERALTE!$Q$18,-2,IF(RASANTE!F11&lt;=PERALTE!$U$18,(10/(PERALTE!$U$18-PERALTE!$Q$18)*(RASANTE!F11-PERALTE!$Q$18)-2),IF(RASANTE!F11&lt;=PERALTE!$X$18,8,IF(RASANTE!F11&lt;=PERALTE!$AB$18,(10/(PERALTE!$X$18-PERALTE!$AB$18)*(RASANTE!F11-PERALTE!$AB$18)-2))))),IF(AND(AH!$H$24="Derecha",RASANTE!F11&lt;=PERALTE!$AB$22),IF(RASANTE!F11&lt;=PERALTE!$S$22,-2,IF(RASANTE!F11&lt;=PERALTE!$U$22,(-6/(PERALTE!$U$22-PERALTE!$S$22)*(RASANTE!F11-PERALTE!$S$22)-2),IF(RASANTE!F11&lt;=PERALTE!$X$22,-8,IF(RASANTE!F11&lt;=PERALTE!$Z$22,(-6/(PERALTE!$X$22-PERALTE!$Z$22)*(RASANTE!F11-PERALTE!$Z$22)-2),IF(RASANTE!F11&lt;=PERALTE!$AB$22,-2))))),IF(AND(AH!$H$24="Izquierda",RASANTE!F11&lt;=PERALTE!$AB$22),IF(RASANTE!F11&lt;=PERALTE!$Q$22,-2,IF(RASANTE!F11&lt;=PERALTE!$U$22,(10/(PERALTE!$U$22-PERALTE!$Q$22)*(RASANTE!F11-PERALTE!$Q$22)-2),IF(RASANTE!F11&lt;=PERALTE!$X$22,8,IF(RASANTE!F11&lt;=PERALTE!$AB$22,(10/(PERALTE!$X$22-PERALTE!$AB$22)*(RASANTE!F11-PERALTE!$AB$22)-2))))),IF(AND(AH!#REF!="Derecha",RASANTE!F11&lt;=PERALTE!#REF!),IF(RASANTE!F11&lt;=PERALTE!#REF!,-2,IF(RASANTE!F11&lt;=PERALTE!#REF!,(-6/(PERALTE!#REF!-PERALTE!#REF!)*(RASANTE!F11-PERALTE!#REF!)-2),IF(RASANTE!F11&lt;=PERALTE!#REF!,-8,IF(RASANTE!F11&lt;=PERALTE!#REF!,(-6/(PERALTE!#REF!-PERALTE!#REF!)*(RASANTE!F11-PERALTE!#REF!)-2),IF(RASANTE!F11&lt;=PERALTE!#REF!,-2))))),IF(AND(AH!#REF!="Izquierda",RASANTE!F11&lt;=PERALTE!#REF!),IF(RASANTE!F11&lt;=PERALTE!#REF!,-2,IF(RASANTE!F11&lt;=PERALTE!#REF!,(10/(PERALTE!#REF!-PERALTE!#REF!)*(RASANTE!F11-PERALTE!#REF!)-2),IF(RASANTE!F11&lt;=PERALTE!#REF!,8,IF(RASANTE!F11&lt;=PERALTE!#REF!,(10/(PERALTE!#REF!-PERALTE!#REF!)*(RASANTE!F11-PERALTE!#REF!)-2))))),IF(AND(AH!#REF!="Derecha",RASANTE!F11&lt;=PERALTE!$AB$26),IF(RASANTE!F11&lt;=PERALTE!$S$26,-2,IF(RASANTE!F11&lt;=PERALTE!$U$26,(-6/(PERALTE!$U$26-PERALTE!$S$26)*(RASANTE!F11-PERALTE!$S$26)-2),IF(RASANTE!F11&lt;=PERALTE!$X$26,-8,IF(RASANTE!F11&lt;=PERALTE!$Z$26,(-6/(PERALTE!$X$26-PERALTE!$Z$26)*(RASANTE!F11-PERALTE!$Z$26)-2),IF(RASANTE!F11&lt;=PERALTE!$AB$26,-2))))),IF(AND(AH!#REF!="Izquierda",RASANTE!F11&lt;=PERALTE!$AB$26),IF(RASANTE!F11&lt;=PERALTE!$Q$26,-2,IF(RASANTE!F11&lt;=PERALTE!$U$26,(10/(PERALTE!$U$26-PERALTE!$Q$26)*(RASANTE!F11-PERALTE!$Q$26)-2),IF(RASANTE!F11&lt;=PERALTE!$X$26,8,IF(RASANTE!F11&lt;=PERALTE!$AB$26,(10/(PERALTE!$X$26-PERALTE!$AB$26)*(RASANTE!F11-PERALTE!$AB$26)-2))))),IF(F11&lt;=PERALTE!#REF!,-2,"Abscisa fuera de la vía")))))))))))))))))))))</f>
        <v>-2</v>
      </c>
      <c r="J11" s="28">
        <f t="shared" si="1"/>
        <v>1646.1994000000002</v>
      </c>
      <c r="K11" s="356">
        <f>+IF(AND(AV!$S$6&lt;F186,F186&lt;=AV!$T$6),AV!$P$6*((AV!$S$6-RASANTE!F186)/(AV!$N$6))^2,IF(AND(AV!$T$6&lt;RASANTE!F186,F186&lt;AV!$U$6),AV!$P$6*((AV!$U$6-RASANTE!F186)/(AV!$O$6))^2,IF(AND(AV!$S$8&lt;F186,F186&lt;=AV!$T$8),AV!$P$8*((AV!$S$8-RASANTE!F186)/(AV!$N$8))^2,IF(AND(AV!$T$8&lt;RASANTE!F186,F186&lt;AV!$U$8),AV!$P$8*((AV!$U$8-RASANTE!F186)/(AV!$O$8))^2,IF(AND(AV!$S$10&lt;F186,F186&lt;=AV!$T$10),AV!$P$10*((AV!$S$10-RASANTE!F186)/(AV!$N$10))^2,IF(AND(AV!$T$10&lt;RASANTE!F186,F186&lt;AV!$U$10),AV!$P$10*((AV!$U$10-RASANTE!F186)/(AV!$O$10))^2,IF(AND(AV!$S$12&lt;F186,F186&lt;=AV!$T$12),AV!$P$12*((AV!$S$12-RASANTE!F186)/(AV!$N$12))^2,IF(AND(AV!$T$12&lt;RASANTE!F186,F186&lt;AV!$U$12),AV!$P$12*((AV!$U$12-RASANTE!F186)/(AV!$O$12))^2,IF(AND(AV!$S$14&lt;F186,F186&lt;=AV!$T$14),AV!$P$14*((AV!$S$14-RASANTE!F186)/(AV!$N$14))^2,IF(AND(AV!$T$14&lt;RASANTE!F186,F186&lt;AV!$U$14),AV!$P$14*((AV!$U$14-RASANTE!F186)/(AV!$O$14))^2,IF(AND(AV!$S$16&lt;F186,F186&lt;=AV!$T$16),AV!$P$16*((AV!$S$16-RASANTE!F186)/(AV!$N$16))^2,IF(AND(AV!$T$16&lt;RASANTE!F186,F186&lt;AV!$U$16),AV!$P$16*((AV!$U$16-RASANTE!F186)/(AV!$O$16))^2,IF(AND(AV!$S$18&lt;F186,F186&lt;=AV!$T$18),AV!$P$18*((AV!$S$18-RASANTE!F186)/(AV!$N$18))^2,IF(AND(AV!$T$18&lt;RASANTE!F186,F186&lt;AV!$U$18),AV!$P$18*((AV!$U$18-RASANTE!F186)/(AV!$O$18))^2,IF(AND(AV!$S$20&lt;F186,F186&lt;=AV!$T$20),AV!$P$20*((AV!$S$20-RASANTE!F186)/(AV!$N$20))^2,IF(AND(AV!$T$20&lt;RASANTE!F186,F186&lt;AV!$U$20),AV!$P$20*((AV!$U$20-RASANTE!F186)/(AV!$O$20))^2,IF(AND(AV!$S$22&lt;F186,F186&lt;=AV!$T$22),AV!$P$22*((AV!$S$22-RASANTE!F186)/(AV!$N$22))^2,IF(AND(AV!$T$22&lt;RASANTE!F186,F186&lt;AV!$U$22),AV!$P$22*((AV!$U$22-RASANTE!F186)/(AV!$O$22))^2,IF(AND(AV!$S$24&lt;F186,F186&lt;=AV!$T$24),AV!$P$24*((AV!$S$24-RASANTE!F186)/(AV!$N$24))^2,IF(AND(AV!$T$24&lt;RASANTE!F186,F186&lt;AV!$U$24),AV!$P$24*((AV!$U$24-RASANTE!F186)/(AV!$O$24))^2,0))))))))))))))))))))</f>
        <v>0</v>
      </c>
      <c r="L11" s="28">
        <f>+M11+H11%*PERALTE!$C$32</f>
        <v>1646.1294000000003</v>
      </c>
      <c r="M11" s="28">
        <f t="shared" si="0"/>
        <v>1646.1994000000002</v>
      </c>
      <c r="N11" s="28">
        <f>+M11+I11%*PERALTE!$C$32</f>
        <v>1646.1294000000003</v>
      </c>
      <c r="O11" s="92"/>
      <c r="P11" s="84"/>
      <c r="Q11" s="84"/>
      <c r="R11" s="84"/>
      <c r="S11" s="84"/>
      <c r="T11" s="84"/>
      <c r="U11" s="84"/>
      <c r="V11" s="84"/>
      <c r="W11" s="84"/>
      <c r="X11" s="84"/>
      <c r="Y11" s="84"/>
    </row>
    <row r="12" spans="1:25" x14ac:dyDescent="0.2">
      <c r="A12" s="90"/>
      <c r="B12" s="101"/>
      <c r="C12" s="101"/>
      <c r="D12" s="101"/>
      <c r="E12" s="91"/>
      <c r="F12" s="34">
        <v>80</v>
      </c>
      <c r="G12" s="88">
        <f>IF(F12&lt;=AV!$T$6,AV!$C$5,IF(RASANTE!F12&lt;=AV!$T$8,AV!$C$7,IF(RASANTE!F12&lt;=AV!$T$10,AV!$C$9,IF(RASANTE!F12&lt;=AV!$T$12,AV!#REF!,IF(RASANTE!F12&lt;=AV!$T$14,AV!$C$11,IF(RASANTE!F12&lt;=AV!$T$16,AV!$C$13, IF(RASANTE!F12&lt;=AV!$T$18,AV!$C$15,IF(RASANTE!F12&lt;=AV!$T$20,AV!$C$19,IF(RASANTE!F12&lt;=AV!$T$22,AV!$C$21,IF(RASANTE!F12&lt;=AV!$T$24,AV!$C$23,AV!$C$25))))))))))</f>
        <v>3.1419999999999999</v>
      </c>
      <c r="H12" s="28">
        <f>+IF(AND(AH!$H$8="Izquierda",RASANTE!F12&lt;=PERALTE!$AB$6),IF(RASANTE!F12&lt;=PERALTE!$S$6,-2,IF(RASANTE!F12&lt;=PERALTE!$U$6,(-6/(PERALTE!$U$6-PERALTE!$S$6)*(RASANTE!F12-PERALTE!$S$6)-2),IF(RASANTE!F12&lt;=PERALTE!$X$6,-8,IF(RASANTE!F12&lt;=PERALTE!$Z$6,(-6/(PERALTE!$X$6-PERALTE!$Z$6)*(RASANTE!F12-PERALTE!$Z$6)-2),IF(RASANTE!F12&lt;=PERALTE!$AB$6,-2))))),IF(AND(AH!$H$8="Derecha",RASANTE!F12&lt;=PERALTE!$AB$6),IF(RASANTE!F12&lt;=PERALTE!$Q$6,-2,IF(RASANTE!F12&lt;=PERALTE!$U$6,(10/(PERALTE!$U$6-PERALTE!$Q$6)*(RASANTE!F12-PERALTE!$Q$6)-2),IF(RASANTE!F12&lt;=PERALTE!$X$6,8,IF(RASANTE!F12&lt;=PERALTE!$AB$6,(10/(PERALTE!$X$6-PERALTE!$AB$6)*(RASANTE!F12-PERALTE!$AB$6)-2))))),IF(AND(AH!$H$10="Izquierda",RASANTE!F12&lt;=PERALTE!$AB$8),IF(RASANTE!F12&lt;=PERALTE!$S$8,-2,IF(RASANTE!F12&lt;=PERALTE!$U$8,(-6/(PERALTE!$U$8-PERALTE!$S$8)*(RASANTE!F12-PERALTE!$S$8)-2),IF(RASANTE!F12&lt;=PERALTE!$X$8,-8,IF(RASANTE!F12&lt;=PERALTE!$Z$8,(-6/(PERALTE!$X$8-PERALTE!$Z$8)*(RASANTE!F12-PERALTE!$Z$8)-2),IF(RASANTE!F12&lt;=PERALTE!$AB$8,-2))))),IF(AND(AH!$H$10="Derecha",RASANTE!F12&lt;=PERALTE!$AB$8),IF(RASANTE!F12&lt;=PERALTE!$Q$8,-2,IF(RASANTE!F12&lt;=PERALTE!$U$8,(10/(PERALTE!$U$8-PERALTE!$Q$8)*(RASANTE!F12-PERALTE!$Q$8)-2),IF(RASANTE!F12&lt;=PERALTE!$X$8,8,IF(RASANTE!F12&lt;=PERALTE!$AB$8,(10/(PERALTE!$X$8-PERALTE!$AB$8)*(RASANTE!F12-PERALTE!$AB$8)-2))))),IF(AND(AH!$H$12="Izquierda",RASANTE!F12&lt;=PERALTE!$AB$10),IF(RASANTE!F12&lt;=PERALTE!$S$10,-2,IF(RASANTE!F12&lt;=PERALTE!$U$10,(-6/(PERALTE!$U$10-PERALTE!$S$10)*(RASANTE!F12-PERALTE!$S$10)-2),IF(RASANTE!F12&lt;=PERALTE!$X$10,-8,IF(RASANTE!F12&lt;=PERALTE!$Z$10,(-6/(PERALTE!$X$10-PERALTE!$Z$10)*(RASANTE!F12-PERALTE!$Z$10)-2),IF(RASANTE!F12&lt;=PERALTE!$AB$10,-2))))),IF(AND(AH!$H$12="Derecha",RASANTE!F12&lt;=PERALTE!$AB$10),IF(RASANTE!F12&lt;=PERALTE!$Q$10,-2,IF(RASANTE!F12&lt;=PERALTE!$U$10,(10/(PERALTE!$U$10-PERALTE!$Q$10)*(RASANTE!F12-PERALTE!$Q$10)-2),IF(RASANTE!F12&lt;=PERALTE!$X$10,8,IF(RASANTE!F12&lt;=PERALTE!$AB$10,(10/(PERALTE!$X$10-PERALTE!$AB$10)*(RASANTE!F12-PERALTE!$AB$10)-2))))),IF(AND(AH!$H$14="Izquierda",RASANTE!F12&lt;=PERALTE!$AB$12),IF(RASANTE!F12&lt;=PERALTE!$S$12,-2,IF(RASANTE!F12&lt;=PERALTE!$U$12,(-6/(PERALTE!$U$12-PERALTE!$S$12)*(RASANTE!F12-PERALTE!$S$12)-2),IF(RASANTE!F12&lt;=PERALTE!$X$12,-8,IF(RASANTE!F12&lt;=PERALTE!$Z$12,(-6/(PERALTE!$X$12-PERALTE!$Z$12)*(RASANTE!F12-PERALTE!$Z$12)-2),IF(RASANTE!F12&lt;=PERALTE!$AB$12,-2))))),IF(AND(AH!$H$14="Derecha",RASANTE!F12&lt;=PERALTE!$AB$12),IF(RASANTE!F12&lt;=PERALTE!$Q$12,-2,IF(RASANTE!F12&lt;=PERALTE!$U$12,(10/(PERALTE!$U$12-PERALTE!$Q$12)*(RASANTE!F12-PERALTE!$Q$12)-2),IF(RASANTE!F12&lt;=PERALTE!$X$12,8,IF(RASANTE!F12&lt;=PERALTE!$AB$12,(10/(PERALTE!$X$12-PERALTE!$AB$12)*(RASANTE!F12-PERALTE!$AB$12)-2))))),IF(AND(AH!$H$16="Izquierda",RASANTE!F12&lt;=PERALTE!$AB$14),IF(RASANTE!F12&lt;=PERALTE!$S$14,-2,IF(RASANTE!F12&lt;=PERALTE!$U$14,(-6/(PERALTE!$U$14-PERALTE!$S$14)*(RASANTE!F12-PERALTE!$S$14)-2),IF(RASANTE!F12&lt;=PERALTE!$X$14,-8,IF(RASANTE!F12&lt;=PERALTE!$Z$14,(-6/(PERALTE!$X$14-PERALTE!$Z$14)*(RASANTE!F12-PERALTE!$Z$14)-2),IF(RASANTE!F12&lt;=PERALTE!$AB$14,-2))))),IF(AND(AH!$H$16="Derecha",RASANTE!F12&lt;=PERALTE!$AB$14),IF(RASANTE!F12&lt;=PERALTE!$Q$14,-2,IF(RASANTE!F12&lt;=PERALTE!$U$14,(10/(PERALTE!$U$14-PERALTE!$Q$14)*(RASANTE!F12-PERALTE!$Q$14)-2),IF(RASANTE!F12&lt;=PERALTE!$X$14,8,IF(RASANTE!F12&lt;=PERALTE!$AB$14,(10/(PERALTE!$X$14-PERALTE!$AB$14)*(RASANTE!F12-PERALTE!$AB$14)-2))))),IF(AND(AH!$H$18="Izquierda",RASANTE!F12&lt;=PERALTE!$AB$16),IF(RASANTE!F12&lt;=PERALTE!$S$16,-2,IF(RASANTE!F12&lt;=PERALTE!$U$16,(-6/(PERALTE!$U$16-PERALTE!$S$16)*(RASANTE!F12-PERALTE!$S$16)-2),IF(RASANTE!F12&lt;=PERALTE!$X$16,-8,IF(RASANTE!F12&lt;=PERALTE!$Z$16,(-6/(PERALTE!$X$16-PERALTE!$Z$16)*(RASANTE!F12-PERALTE!$Z$16)-2),IF(RASANTE!F12&lt;=PERALTE!$AB$16,-2))))),IF(AND(AH!$H$18="Derecha",RASANTE!F12&lt;=PERALTE!$AB$16),IF(RASANTE!F12&lt;=PERALTE!$Q$16,-2,IF(RASANTE!F12&lt;=PERALTE!$U$16,(10/(PERALTE!$U$16-PERALTE!$Q$16)*(RASANTE!F12-PERALTE!$Q$16)-2),IF(RASANTE!F12&lt;=PERALTE!$X$16,8,IF(RASANTE!F12&lt;=PERALTE!$AB$16,(10/(PERALTE!$X$16-PERALTE!$AB$16)*(RASANTE!F12-PERALTE!$AB$16)-2))))),IF(AND(AH!$H$20="Izquierda",RASANTE!F12&lt;=PERALTE!$AB$18),IF(RASANTE!F12&lt;=PERALTE!$S$18,-2,IF(RASANTE!F12&lt;=PERALTE!$U$18,(-6/(PERALTE!$U$18-PERALTE!$S$18)*(RASANTE!F12-PERALTE!$S$18)-2),IF(RASANTE!F12&lt;=PERALTE!$X$18,-8,IF(RASANTE!F12&lt;=PERALTE!$Z$18,(-6/(PERALTE!$X$18-PERALTE!$Z$18)*(RASANTE!F12-PERALTE!$Z$18)-2),IF(RASANTE!F12&lt;=PERALTE!$AB$18,-2))))),IF(AND(AH!$H$20="Derecha",RASANTE!F12&lt;=PERALTE!$AB$18),IF(RASANTE!F12&lt;=PERALTE!$Q$18,-2,IF(RASANTE!F12&lt;=PERALTE!$U$18,(10/(PERALTE!$U$18-PERALTE!$Q$18)*(RASANTE!F12-PERALTE!$Q$18)-2),IF(RASANTE!F12&lt;=PERALTE!$X$18,8,IF(RASANTE!F12&lt;=PERALTE!$AB$18,(10/(PERALTE!$X$18-PERALTE!$AB$18)*(RASANTE!F12-PERALTE!$AB$18)-2))))),IF(AND(AH!$H$24="Izquierda",RASANTE!F12&lt;=PERALTE!$AB$22),IF(RASANTE!F12&lt;=PERALTE!$S$22,-2,IF(RASANTE!F12&lt;=PERALTE!$U$22,(-6/(PERALTE!$U$22-PERALTE!$S$22)*(RASANTE!F12-PERALTE!$S$22)-2),IF(RASANTE!F12&lt;=PERALTE!$X$22,-8,IF(RASANTE!F12&lt;=PERALTE!$Z$22,(-6/(PERALTE!$X$22-PERALTE!$Z$22)*(RASANTE!F12-PERALTE!$Z$22)-2),IF(RASANTE!F12&lt;=PERALTE!$AB$22,-2))))),IF(AND(AH!$H$24="Derecha",RASANTE!F12&lt;=PERALTE!$AB$22),IF(RASANTE!F12&lt;=PERALTE!$Q$22,-2,IF(RASANTE!F12&lt;=PERALTE!$U$22,(10/(PERALTE!$U$22-PERALTE!$Q$22)*(RASANTE!F12-PERALTE!$Q$22)-2),IF(RASANTE!F12&lt;=PERALTE!$X$22,8,IF(RASANTE!F12&lt;=PERALTE!$AB$22,(10/(PERALTE!$X$22-PERALTE!$AB$22)*(RASANTE!F12-PERALTE!$AB$22)-2))))),IF(AND(AH!#REF!="Izquierda",RASANTE!F12&lt;=PERALTE!#REF!),IF(RASANTE!F12&lt;=PERALTE!#REF!,-2,IF(RASANTE!F12&lt;=PERALTE!#REF!,(-6/(PERALTE!#REF!-PERALTE!#REF!)*(RASANTE!F12-PERALTE!#REF!)-2),IF(RASANTE!F12&lt;=PERALTE!#REF!,-8,IF(RASANTE!F12&lt;=PERALTE!#REF!,(-6/(PERALTE!#REF!-PERALTE!#REF!)*(RASANTE!F12-PERALTE!#REF!)-2),IF(RASANTE!F12&lt;=PERALTE!#REF!,-2))))),IF(AND(AH!#REF!="Derecha",RASANTE!F12&lt;=PERALTE!#REF!),IF(RASANTE!F12&lt;=PERALTE!#REF!,-2,IF(RASANTE!F12&lt;=PERALTE!#REF!,(10/(PERALTE!#REF!-PERALTE!#REF!)*(RASANTE!F12-PERALTE!#REF!)-2),IF(RASANTE!F12&lt;=PERALTE!#REF!,8,IF(RASANTE!F12&lt;=PERALTE!#REF!,(10/(PERALTE!#REF!-PERALTE!#REF!)*(RASANTE!F12-PERALTE!#REF!)-2))))),IF(AND(AH!#REF!="Izquierda",RASANTE!F12&lt;=PERALTE!$AB$26),IF(RASANTE!F12&lt;=PERALTE!$S$26,-2,IF(RASANTE!F12&lt;=PERALTE!$U$26,(-6/(PERALTE!$U$26-PERALTE!$S$26)*(RASANTE!F12-PERALTE!$S$26)-2),IF(RASANTE!F12&lt;=PERALTE!$X$26,-8,IF(RASANTE!F12&lt;=PERALTE!$Z$26,(-6/(PERALTE!$X$26-PERALTE!$Z$26)*(RASANTE!F12-PERALTE!$Z$26)-2),IF(RASANTE!F12&lt;=PERALTE!$AB$26,-2))))),IF(AND(AH!#REF!="Derecha",RASANTE!F12&lt;=PERALTE!$AB$26),IF(RASANTE!F12&lt;=PERALTE!$Q$26,-2,IF(RASANTE!F12&lt;=PERALTE!$U$26,(10/(PERALTE!$U$26-PERALTE!$Q$26)*(RASANTE!F12-PERALTE!$Q$26)-2),IF(RASANTE!F12&lt;=PERALTE!$X$26,8,IF(RASANTE!F12&lt;=PERALTE!$AB$26,(10/(PERALTE!$X$26-PERALTE!$AB$26)*(RASANTE!F12-PERALTE!$AB$26)-2))))),IF(F12&lt;=PERALTE!#REF!,-2,"Abscisa fuera de la vía")))))))))))))))))))))</f>
        <v>-2</v>
      </c>
      <c r="I12" s="28">
        <f>+IF(AND(AH!$H$8="Derecha",RASANTE!F12&lt;=PERALTE!$AB$6),IF(RASANTE!F12&lt;=PERALTE!$S$6,-2,IF(RASANTE!F12&lt;=PERALTE!$U$6,(-6/(PERALTE!$U$6-PERALTE!$S$6)*(RASANTE!F12-PERALTE!$S$6)-2),IF(RASANTE!F12&lt;=PERALTE!$X$6,-8,IF(RASANTE!F12&lt;=PERALTE!$Z$6,(-6/(PERALTE!$X$6-PERALTE!$Z$6)*(RASANTE!F12-PERALTE!$Z$6)-2),IF(RASANTE!F12&lt;=PERALTE!$AB$6,-2))))),IF(AND(AH!$H$8="Izquierda",RASANTE!F12&lt;=PERALTE!$AB$6),IF(RASANTE!F12&lt;=PERALTE!$Q$6,-2,IF(RASANTE!F12&lt;=PERALTE!$U$6,(10/(PERALTE!$U$6-PERALTE!$Q$6)*(RASANTE!F12-PERALTE!$Q$6)-2),IF(RASANTE!F12&lt;=PERALTE!$X$6,8,IF(RASANTE!F12&lt;=PERALTE!$AB$6,(10/(PERALTE!$X$6-PERALTE!$AB$6)*(RASANTE!F12-PERALTE!$AB$6)-2))))),IF(AND(AH!$H$10="Derecha",RASANTE!F12&lt;=PERALTE!$AB$8),IF(RASANTE!F12&lt;=PERALTE!$S$8,-2,IF(RASANTE!F12&lt;=PERALTE!$U$8,(-6/(PERALTE!$U$8-PERALTE!$S$8)*(RASANTE!F12-PERALTE!$S$8)-2),IF(RASANTE!F12&lt;=PERALTE!$X$8,-8,IF(RASANTE!F12&lt;=PERALTE!$Z$8,(-6/(PERALTE!$X$8-PERALTE!$Z$8)*(RASANTE!F12-PERALTE!$Z$8)-2),IF(RASANTE!F12&lt;=PERALTE!$AB$8,-2))))),IF(AND(AH!$H$10="Izquierda",RASANTE!F12&lt;=PERALTE!$AB$8),IF(RASANTE!F12&lt;=PERALTE!$Q$8,-2,IF(RASANTE!F12&lt;=PERALTE!$U$8,(10/(PERALTE!$U$8-PERALTE!$Q$8)*(RASANTE!F12-PERALTE!$Q$8)-2),IF(RASANTE!F12&lt;=PERALTE!$X$8,8,IF(RASANTE!F12&lt;=PERALTE!$AB$8,(10/(PERALTE!$X$8-PERALTE!$AB$8)*(RASANTE!F12-PERALTE!$AB$8)-2))))),IF(AND(AH!$H$12="Derecha",RASANTE!F12&lt;=PERALTE!$AB$10),IF(RASANTE!F12&lt;=PERALTE!$S$10,-2,IF(RASANTE!F12&lt;=PERALTE!$U$10,(-6/(PERALTE!$U$10-PERALTE!$S$10)*(RASANTE!F12-PERALTE!$S$10)-2),IF(RASANTE!F12&lt;=PERALTE!$X$10,-8,IF(RASANTE!F12&lt;=PERALTE!$Z$10,(-6/(PERALTE!$X$10-PERALTE!$Z$10)*(RASANTE!F12-PERALTE!$Z$10)-2),IF(RASANTE!F12&lt;=PERALTE!$AB$10,-2))))),IF(AND(AH!$H$12="Izquierda",RASANTE!F12&lt;=PERALTE!$AB$10),IF(RASANTE!F12&lt;=PERALTE!$Q$10,-2,IF(RASANTE!F12&lt;=PERALTE!$U$10,(10/(PERALTE!$U$10-PERALTE!$Q$10)*(RASANTE!F12-PERALTE!$Q$10)-2),IF(RASANTE!F12&lt;=PERALTE!$X$10,8,IF(RASANTE!F12&lt;=PERALTE!$AB$10,(10/(PERALTE!$X$10-PERALTE!$AB$10)*(RASANTE!F12-PERALTE!$AB$10)-2))))),IF(AND(AH!$H$14="Derecha",RASANTE!F12&lt;=PERALTE!$AB$12),IF(RASANTE!F12&lt;=PERALTE!$S$12,-2,IF(RASANTE!F12&lt;=PERALTE!$U$12,(-6/(PERALTE!$U$12-PERALTE!$S$12)*(RASANTE!F12-PERALTE!$S$12)-2),IF(RASANTE!F12&lt;=PERALTE!$X$12,-8,IF(RASANTE!F12&lt;=PERALTE!$Z$12,(-6/(PERALTE!$X$12-PERALTE!$Z$12)*(RASANTE!F12-PERALTE!$Z$12)-2),IF(RASANTE!F12&lt;=PERALTE!$AB$12,-2))))),IF(AND(AH!$H$14="Izquierda",RASANTE!F12&lt;=PERALTE!$AB$12),IF(RASANTE!F12&lt;=PERALTE!$Q$12,-2,IF(RASANTE!F12&lt;=PERALTE!$U$12,(10/(PERALTE!$U$12-PERALTE!$Q$12)*(RASANTE!F12-PERALTE!$Q$12)-2),IF(RASANTE!F12&lt;=PERALTE!$X$12,8,IF(RASANTE!F12&lt;=PERALTE!$AB$12,(10/(PERALTE!$X$12-PERALTE!$AB$12)*(RASANTE!F12-PERALTE!$AB$12)-2))))),IF(AND(AH!$H$16="Derecha",RASANTE!F12&lt;=PERALTE!$AB$14),IF(RASANTE!F12&lt;=PERALTE!$S$14,-2,IF(RASANTE!F12&lt;=PERALTE!$U$14,(-6/(PERALTE!$U$14-PERALTE!$S$14)*(RASANTE!F12-PERALTE!$S$14)-2),IF(RASANTE!F12&lt;=PERALTE!$X$14,-8,IF(RASANTE!F12&lt;=PERALTE!$Z$14,(-6/(PERALTE!$X$14-PERALTE!$Z$14)*(RASANTE!F12-PERALTE!$Z$14)-2),IF(RASANTE!F12&lt;=PERALTE!$AB$14,-2))))),IF(AND(AH!$H$16="Izquierda",RASANTE!F12&lt;=PERALTE!$AB$14),IF(RASANTE!F12&lt;=PERALTE!$Q$14,-2,IF(RASANTE!F12&lt;=PERALTE!$U$14,(10/(PERALTE!$U$14-PERALTE!$Q$14)*(RASANTE!F12-PERALTE!$Q$14)-2),IF(RASANTE!F12&lt;=PERALTE!$X$14,8,IF(RASANTE!F12&lt;=PERALTE!$AB$14,(10/(PERALTE!$X$14-PERALTE!$AB$14)*(RASANTE!F12-PERALTE!$AB$14)-2))))),IF(AND(AH!$H$18="Derecha",RASANTE!F12&lt;=PERALTE!$AB$16),IF(RASANTE!F12&lt;=PERALTE!$S$16,-2,IF(RASANTE!F12&lt;=PERALTE!$U$16,(-6/(PERALTE!$U$16-PERALTE!$S$16)*(RASANTE!F12-PERALTE!$S$16)-2),IF(RASANTE!F12&lt;=PERALTE!$X$16,-8,IF(RASANTE!F12&lt;=PERALTE!$Z$16,(-6/(PERALTE!$X$16-PERALTE!$Z$16)*(RASANTE!F12-PERALTE!$Z$16)-2),IF(RASANTE!F12&lt;=PERALTE!$AB$16,-2))))),IF(AND(AH!$H$18="Izquierda",RASANTE!F12&lt;=PERALTE!$AB$16),IF(RASANTE!F12&lt;=PERALTE!$Q$16,-2,IF(RASANTE!F12&lt;=PERALTE!$U$16,(10/(PERALTE!$U$16-PERALTE!$Q$16)*(RASANTE!F12-PERALTE!$Q$16)-2),IF(RASANTE!F12&lt;=PERALTE!$X$16,8,IF(RASANTE!F12&lt;=PERALTE!$AB$16,(10/(PERALTE!$X$16-PERALTE!$AB$16)*(RASANTE!F12-PERALTE!$AB$16)-2))))),IF(AND(AH!$H$20="Derecha",RASANTE!F12&lt;=PERALTE!$AB$18),IF(RASANTE!F12&lt;=PERALTE!$S$18,-2,IF(RASANTE!F12&lt;=PERALTE!$U$18,(-6/(PERALTE!$U$18-PERALTE!$S$18)*(RASANTE!F12-PERALTE!$S$18)-2),IF(RASANTE!F12&lt;=PERALTE!$X$18,-8,IF(RASANTE!F12&lt;=PERALTE!$Z$18,(-6/(PERALTE!$X$18-PERALTE!$Z$18)*(RASANTE!F12-PERALTE!$Z$18)-2),IF(RASANTE!F12&lt;=PERALTE!$AB$18,-2))))),IF(AND(AH!$H$20="Izquierda",RASANTE!F12&lt;=PERALTE!$AB$18),IF(RASANTE!F12&lt;=PERALTE!$Q$18,-2,IF(RASANTE!F12&lt;=PERALTE!$U$18,(10/(PERALTE!$U$18-PERALTE!$Q$18)*(RASANTE!F12-PERALTE!$Q$18)-2),IF(RASANTE!F12&lt;=PERALTE!$X$18,8,IF(RASANTE!F12&lt;=PERALTE!$AB$18,(10/(PERALTE!$X$18-PERALTE!$AB$18)*(RASANTE!F12-PERALTE!$AB$18)-2))))),IF(AND(AH!$H$24="Derecha",RASANTE!F12&lt;=PERALTE!$AB$22),IF(RASANTE!F12&lt;=PERALTE!$S$22,-2,IF(RASANTE!F12&lt;=PERALTE!$U$22,(-6/(PERALTE!$U$22-PERALTE!$S$22)*(RASANTE!F12-PERALTE!$S$22)-2),IF(RASANTE!F12&lt;=PERALTE!$X$22,-8,IF(RASANTE!F12&lt;=PERALTE!$Z$22,(-6/(PERALTE!$X$22-PERALTE!$Z$22)*(RASANTE!F12-PERALTE!$Z$22)-2),IF(RASANTE!F12&lt;=PERALTE!$AB$22,-2))))),IF(AND(AH!$H$24="Izquierda",RASANTE!F12&lt;=PERALTE!$AB$22),IF(RASANTE!F12&lt;=PERALTE!$Q$22,-2,IF(RASANTE!F12&lt;=PERALTE!$U$22,(10/(PERALTE!$U$22-PERALTE!$Q$22)*(RASANTE!F12-PERALTE!$Q$22)-2),IF(RASANTE!F12&lt;=PERALTE!$X$22,8,IF(RASANTE!F12&lt;=PERALTE!$AB$22,(10/(PERALTE!$X$22-PERALTE!$AB$22)*(RASANTE!F12-PERALTE!$AB$22)-2))))),IF(AND(AH!#REF!="Derecha",RASANTE!F12&lt;=PERALTE!#REF!),IF(RASANTE!F12&lt;=PERALTE!#REF!,-2,IF(RASANTE!F12&lt;=PERALTE!#REF!,(-6/(PERALTE!#REF!-PERALTE!#REF!)*(RASANTE!F12-PERALTE!#REF!)-2),IF(RASANTE!F12&lt;=PERALTE!#REF!,-8,IF(RASANTE!F12&lt;=PERALTE!#REF!,(-6/(PERALTE!#REF!-PERALTE!#REF!)*(RASANTE!F12-PERALTE!#REF!)-2),IF(RASANTE!F12&lt;=PERALTE!#REF!,-2))))),IF(AND(AH!#REF!="Izquierda",RASANTE!F12&lt;=PERALTE!#REF!),IF(RASANTE!F12&lt;=PERALTE!#REF!,-2,IF(RASANTE!F12&lt;=PERALTE!#REF!,(10/(PERALTE!#REF!-PERALTE!#REF!)*(RASANTE!F12-PERALTE!#REF!)-2),IF(RASANTE!F12&lt;=PERALTE!#REF!,8,IF(RASANTE!F12&lt;=PERALTE!#REF!,(10/(PERALTE!#REF!-PERALTE!#REF!)*(RASANTE!F12-PERALTE!#REF!)-2))))),IF(AND(AH!#REF!="Derecha",RASANTE!F12&lt;=PERALTE!$AB$26),IF(RASANTE!F12&lt;=PERALTE!$S$26,-2,IF(RASANTE!F12&lt;=PERALTE!$U$26,(-6/(PERALTE!$U$26-PERALTE!$S$26)*(RASANTE!F12-PERALTE!$S$26)-2),IF(RASANTE!F12&lt;=PERALTE!$X$26,-8,IF(RASANTE!F12&lt;=PERALTE!$Z$26,(-6/(PERALTE!$X$26-PERALTE!$Z$26)*(RASANTE!F12-PERALTE!$Z$26)-2),IF(RASANTE!F12&lt;=PERALTE!$AB$26,-2))))),IF(AND(AH!#REF!="Izquierda",RASANTE!F12&lt;=PERALTE!$AB$26),IF(RASANTE!F12&lt;=PERALTE!$Q$26,-2,IF(RASANTE!F12&lt;=PERALTE!$U$26,(10/(PERALTE!$U$26-PERALTE!$Q$26)*(RASANTE!F12-PERALTE!$Q$26)-2),IF(RASANTE!F12&lt;=PERALTE!$X$26,8,IF(RASANTE!F12&lt;=PERALTE!$AB$26,(10/(PERALTE!$X$26-PERALTE!$AB$26)*(RASANTE!F12-PERALTE!$AB$26)-2))))),IF(F12&lt;=PERALTE!#REF!,-2,"Abscisa fuera de la vía")))))))))))))))))))))</f>
        <v>-2</v>
      </c>
      <c r="J12" s="28">
        <f t="shared" si="1"/>
        <v>1646.5136000000002</v>
      </c>
      <c r="K12" s="356">
        <f>+IF(AND(AV!$S$6&lt;F187,F187&lt;=AV!$T$6),AV!$P$6*((AV!$S$6-RASANTE!F187)/(AV!$N$6))^2,IF(AND(AV!$T$6&lt;RASANTE!F187,F187&lt;AV!$U$6),AV!$P$6*((AV!$U$6-RASANTE!F187)/(AV!$O$6))^2,IF(AND(AV!$S$8&lt;F187,F187&lt;=AV!$T$8),AV!$P$8*((AV!$S$8-RASANTE!F187)/(AV!$N$8))^2,IF(AND(AV!$T$8&lt;RASANTE!F187,F187&lt;AV!$U$8),AV!$P$8*((AV!$U$8-RASANTE!F187)/(AV!$O$8))^2,IF(AND(AV!$S$10&lt;F187,F187&lt;=AV!$T$10),AV!$P$10*((AV!$S$10-RASANTE!F187)/(AV!$N$10))^2,IF(AND(AV!$T$10&lt;RASANTE!F187,F187&lt;AV!$U$10),AV!$P$10*((AV!$U$10-RASANTE!F187)/(AV!$O$10))^2,IF(AND(AV!$S$12&lt;F187,F187&lt;=AV!$T$12),AV!$P$12*((AV!$S$12-RASANTE!F187)/(AV!$N$12))^2,IF(AND(AV!$T$12&lt;RASANTE!F187,F187&lt;AV!$U$12),AV!$P$12*((AV!$U$12-RASANTE!F187)/(AV!$O$12))^2,IF(AND(AV!$S$14&lt;F187,F187&lt;=AV!$T$14),AV!$P$14*((AV!$S$14-RASANTE!F187)/(AV!$N$14))^2,IF(AND(AV!$T$14&lt;RASANTE!F187,F187&lt;AV!$U$14),AV!$P$14*((AV!$U$14-RASANTE!F187)/(AV!$O$14))^2,IF(AND(AV!$S$16&lt;F187,F187&lt;=AV!$T$16),AV!$P$16*((AV!$S$16-RASANTE!F187)/(AV!$N$16))^2,IF(AND(AV!$T$16&lt;RASANTE!F187,F187&lt;AV!$U$16),AV!$P$16*((AV!$U$16-RASANTE!F187)/(AV!$O$16))^2,IF(AND(AV!$S$18&lt;F187,F187&lt;=AV!$T$18),AV!$P$18*((AV!$S$18-RASANTE!F187)/(AV!$N$18))^2,IF(AND(AV!$T$18&lt;RASANTE!F187,F187&lt;AV!$U$18),AV!$P$18*((AV!$U$18-RASANTE!F187)/(AV!$O$18))^2,IF(AND(AV!$S$20&lt;F187,F187&lt;=AV!$T$20),AV!$P$20*((AV!$S$20-RASANTE!F187)/(AV!$N$20))^2,IF(AND(AV!$T$20&lt;RASANTE!F187,F187&lt;AV!$U$20),AV!$P$20*((AV!$U$20-RASANTE!F187)/(AV!$O$20))^2,IF(AND(AV!$S$22&lt;F187,F187&lt;=AV!$T$22),AV!$P$22*((AV!$S$22-RASANTE!F187)/(AV!$N$22))^2,IF(AND(AV!$T$22&lt;RASANTE!F187,F187&lt;AV!$U$22),AV!$P$22*((AV!$U$22-RASANTE!F187)/(AV!$O$22))^2,IF(AND(AV!$S$24&lt;F187,F187&lt;=AV!$T$24),AV!$P$24*((AV!$S$24-RASANTE!F187)/(AV!$N$24))^2,IF(AND(AV!$T$24&lt;RASANTE!F187,F187&lt;AV!$U$24),AV!$P$24*((AV!$U$24-RASANTE!F187)/(AV!$O$24))^2,0))))))))))))))))))))</f>
        <v>0</v>
      </c>
      <c r="L12" s="28">
        <f>+M12+H12%*PERALTE!$C$32</f>
        <v>1646.4436000000003</v>
      </c>
      <c r="M12" s="28">
        <f t="shared" si="0"/>
        <v>1646.5136000000002</v>
      </c>
      <c r="N12" s="28">
        <f>+M12+I12%*PERALTE!$C$32</f>
        <v>1646.4436000000003</v>
      </c>
      <c r="O12" s="92"/>
      <c r="P12" s="84"/>
      <c r="Q12" s="392" t="s">
        <v>142</v>
      </c>
      <c r="R12" s="365"/>
      <c r="S12" s="365"/>
      <c r="T12" s="360"/>
      <c r="U12" s="84"/>
      <c r="V12" s="84"/>
      <c r="W12" s="84"/>
      <c r="X12" s="84"/>
      <c r="Y12" s="84"/>
    </row>
    <row r="13" spans="1:25" x14ac:dyDescent="0.2">
      <c r="A13" s="90"/>
      <c r="B13" s="102"/>
      <c r="C13" s="102"/>
      <c r="D13" s="102"/>
      <c r="E13" s="91"/>
      <c r="F13" s="34">
        <v>90</v>
      </c>
      <c r="G13" s="88">
        <f>IF(F13&lt;=AV!$T$6,AV!$C$5,IF(RASANTE!F13&lt;=AV!$T$8,AV!$C$7,IF(RASANTE!F13&lt;=AV!$T$10,AV!$C$9,IF(RASANTE!F13&lt;=AV!$T$12,AV!#REF!,IF(RASANTE!F13&lt;=AV!$T$14,AV!$C$11,IF(RASANTE!F13&lt;=AV!$T$16,AV!$C$13, IF(RASANTE!F13&lt;=AV!$T$18,AV!$C$15,IF(RASANTE!F13&lt;=AV!$T$20,AV!$C$19,IF(RASANTE!F13&lt;=AV!$T$22,AV!$C$21,IF(RASANTE!F13&lt;=AV!$T$24,AV!$C$23,AV!$C$25))))))))))</f>
        <v>3.1419999999999999</v>
      </c>
      <c r="H13" s="28">
        <f>+IF(AND(AH!$H$8="Izquierda",RASANTE!F13&lt;=PERALTE!$AB$6),IF(RASANTE!F13&lt;=PERALTE!$S$6,-2,IF(RASANTE!F13&lt;=PERALTE!$U$6,(-6/(PERALTE!$U$6-PERALTE!$S$6)*(RASANTE!F13-PERALTE!$S$6)-2),IF(RASANTE!F13&lt;=PERALTE!$X$6,-8,IF(RASANTE!F13&lt;=PERALTE!$Z$6,(-6/(PERALTE!$X$6-PERALTE!$Z$6)*(RASANTE!F13-PERALTE!$Z$6)-2),IF(RASANTE!F13&lt;=PERALTE!$AB$6,-2))))),IF(AND(AH!$H$8="Derecha",RASANTE!F13&lt;=PERALTE!$AB$6),IF(RASANTE!F13&lt;=PERALTE!$Q$6,-2,IF(RASANTE!F13&lt;=PERALTE!$U$6,(10/(PERALTE!$U$6-PERALTE!$Q$6)*(RASANTE!F13-PERALTE!$Q$6)-2),IF(RASANTE!F13&lt;=PERALTE!$X$6,8,IF(RASANTE!F13&lt;=PERALTE!$AB$6,(10/(PERALTE!$X$6-PERALTE!$AB$6)*(RASANTE!F13-PERALTE!$AB$6)-2))))),IF(AND(AH!$H$10="Izquierda",RASANTE!F13&lt;=PERALTE!$AB$8),IF(RASANTE!F13&lt;=PERALTE!$S$8,-2,IF(RASANTE!F13&lt;=PERALTE!$U$8,(-6/(PERALTE!$U$8-PERALTE!$S$8)*(RASANTE!F13-PERALTE!$S$8)-2),IF(RASANTE!F13&lt;=PERALTE!$X$8,-8,IF(RASANTE!F13&lt;=PERALTE!$Z$8,(-6/(PERALTE!$X$8-PERALTE!$Z$8)*(RASANTE!F13-PERALTE!$Z$8)-2),IF(RASANTE!F13&lt;=PERALTE!$AB$8,-2))))),IF(AND(AH!$H$10="Derecha",RASANTE!F13&lt;=PERALTE!$AB$8),IF(RASANTE!F13&lt;=PERALTE!$Q$8,-2,IF(RASANTE!F13&lt;=PERALTE!$U$8,(10/(PERALTE!$U$8-PERALTE!$Q$8)*(RASANTE!F13-PERALTE!$Q$8)-2),IF(RASANTE!F13&lt;=PERALTE!$X$8,8,IF(RASANTE!F13&lt;=PERALTE!$AB$8,(10/(PERALTE!$X$8-PERALTE!$AB$8)*(RASANTE!F13-PERALTE!$AB$8)-2))))),IF(AND(AH!$H$12="Izquierda",RASANTE!F13&lt;=PERALTE!$AB$10),IF(RASANTE!F13&lt;=PERALTE!$S$10,-2,IF(RASANTE!F13&lt;=PERALTE!$U$10,(-6/(PERALTE!$U$10-PERALTE!$S$10)*(RASANTE!F13-PERALTE!$S$10)-2),IF(RASANTE!F13&lt;=PERALTE!$X$10,-8,IF(RASANTE!F13&lt;=PERALTE!$Z$10,(-6/(PERALTE!$X$10-PERALTE!$Z$10)*(RASANTE!F13-PERALTE!$Z$10)-2),IF(RASANTE!F13&lt;=PERALTE!$AB$10,-2))))),IF(AND(AH!$H$12="Derecha",RASANTE!F13&lt;=PERALTE!$AB$10),IF(RASANTE!F13&lt;=PERALTE!$Q$10,-2,IF(RASANTE!F13&lt;=PERALTE!$U$10,(10/(PERALTE!$U$10-PERALTE!$Q$10)*(RASANTE!F13-PERALTE!$Q$10)-2),IF(RASANTE!F13&lt;=PERALTE!$X$10,8,IF(RASANTE!F13&lt;=PERALTE!$AB$10,(10/(PERALTE!$X$10-PERALTE!$AB$10)*(RASANTE!F13-PERALTE!$AB$10)-2))))),IF(AND(AH!$H$14="Izquierda",RASANTE!F13&lt;=PERALTE!$AB$12),IF(RASANTE!F13&lt;=PERALTE!$S$12,-2,IF(RASANTE!F13&lt;=PERALTE!$U$12,(-6/(PERALTE!$U$12-PERALTE!$S$12)*(RASANTE!F13-PERALTE!$S$12)-2),IF(RASANTE!F13&lt;=PERALTE!$X$12,-8,IF(RASANTE!F13&lt;=PERALTE!$Z$12,(-6/(PERALTE!$X$12-PERALTE!$Z$12)*(RASANTE!F13-PERALTE!$Z$12)-2),IF(RASANTE!F13&lt;=PERALTE!$AB$12,-2))))),IF(AND(AH!$H$14="Derecha",RASANTE!F13&lt;=PERALTE!$AB$12),IF(RASANTE!F13&lt;=PERALTE!$Q$12,-2,IF(RASANTE!F13&lt;=PERALTE!$U$12,(10/(PERALTE!$U$12-PERALTE!$Q$12)*(RASANTE!F13-PERALTE!$Q$12)-2),IF(RASANTE!F13&lt;=PERALTE!$X$12,8,IF(RASANTE!F13&lt;=PERALTE!$AB$12,(10/(PERALTE!$X$12-PERALTE!$AB$12)*(RASANTE!F13-PERALTE!$AB$12)-2))))),IF(AND(AH!$H$16="Izquierda",RASANTE!F13&lt;=PERALTE!$AB$14),IF(RASANTE!F13&lt;=PERALTE!$S$14,-2,IF(RASANTE!F13&lt;=PERALTE!$U$14,(-6/(PERALTE!$U$14-PERALTE!$S$14)*(RASANTE!F13-PERALTE!$S$14)-2),IF(RASANTE!F13&lt;=PERALTE!$X$14,-8,IF(RASANTE!F13&lt;=PERALTE!$Z$14,(-6/(PERALTE!$X$14-PERALTE!$Z$14)*(RASANTE!F13-PERALTE!$Z$14)-2),IF(RASANTE!F13&lt;=PERALTE!$AB$14,-2))))),IF(AND(AH!$H$16="Derecha",RASANTE!F13&lt;=PERALTE!$AB$14),IF(RASANTE!F13&lt;=PERALTE!$Q$14,-2,IF(RASANTE!F13&lt;=PERALTE!$U$14,(10/(PERALTE!$U$14-PERALTE!$Q$14)*(RASANTE!F13-PERALTE!$Q$14)-2),IF(RASANTE!F13&lt;=PERALTE!$X$14,8,IF(RASANTE!F13&lt;=PERALTE!$AB$14,(10/(PERALTE!$X$14-PERALTE!$AB$14)*(RASANTE!F13-PERALTE!$AB$14)-2))))),IF(AND(AH!$H$18="Izquierda",RASANTE!F13&lt;=PERALTE!$AB$16),IF(RASANTE!F13&lt;=PERALTE!$S$16,-2,IF(RASANTE!F13&lt;=PERALTE!$U$16,(-6/(PERALTE!$U$16-PERALTE!$S$16)*(RASANTE!F13-PERALTE!$S$16)-2),IF(RASANTE!F13&lt;=PERALTE!$X$16,-8,IF(RASANTE!F13&lt;=PERALTE!$Z$16,(-6/(PERALTE!$X$16-PERALTE!$Z$16)*(RASANTE!F13-PERALTE!$Z$16)-2),IF(RASANTE!F13&lt;=PERALTE!$AB$16,-2))))),IF(AND(AH!$H$18="Derecha",RASANTE!F13&lt;=PERALTE!$AB$16),IF(RASANTE!F13&lt;=PERALTE!$Q$16,-2,IF(RASANTE!F13&lt;=PERALTE!$U$16,(10/(PERALTE!$U$16-PERALTE!$Q$16)*(RASANTE!F13-PERALTE!$Q$16)-2),IF(RASANTE!F13&lt;=PERALTE!$X$16,8,IF(RASANTE!F13&lt;=PERALTE!$AB$16,(10/(PERALTE!$X$16-PERALTE!$AB$16)*(RASANTE!F13-PERALTE!$AB$16)-2))))),IF(AND(AH!$H$20="Izquierda",RASANTE!F13&lt;=PERALTE!$AB$18),IF(RASANTE!F13&lt;=PERALTE!$S$18,-2,IF(RASANTE!F13&lt;=PERALTE!$U$18,(-6/(PERALTE!$U$18-PERALTE!$S$18)*(RASANTE!F13-PERALTE!$S$18)-2),IF(RASANTE!F13&lt;=PERALTE!$X$18,-8,IF(RASANTE!F13&lt;=PERALTE!$Z$18,(-6/(PERALTE!$X$18-PERALTE!$Z$18)*(RASANTE!F13-PERALTE!$Z$18)-2),IF(RASANTE!F13&lt;=PERALTE!$AB$18,-2))))),IF(AND(AH!$H$20="Derecha",RASANTE!F13&lt;=PERALTE!$AB$18),IF(RASANTE!F13&lt;=PERALTE!$Q$18,-2,IF(RASANTE!F13&lt;=PERALTE!$U$18,(10/(PERALTE!$U$18-PERALTE!$Q$18)*(RASANTE!F13-PERALTE!$Q$18)-2),IF(RASANTE!F13&lt;=PERALTE!$X$18,8,IF(RASANTE!F13&lt;=PERALTE!$AB$18,(10/(PERALTE!$X$18-PERALTE!$AB$18)*(RASANTE!F13-PERALTE!$AB$18)-2))))),IF(AND(AH!$H$24="Izquierda",RASANTE!F13&lt;=PERALTE!$AB$22),IF(RASANTE!F13&lt;=PERALTE!$S$22,-2,IF(RASANTE!F13&lt;=PERALTE!$U$22,(-6/(PERALTE!$U$22-PERALTE!$S$22)*(RASANTE!F13-PERALTE!$S$22)-2),IF(RASANTE!F13&lt;=PERALTE!$X$22,-8,IF(RASANTE!F13&lt;=PERALTE!$Z$22,(-6/(PERALTE!$X$22-PERALTE!$Z$22)*(RASANTE!F13-PERALTE!$Z$22)-2),IF(RASANTE!F13&lt;=PERALTE!$AB$22,-2))))),IF(AND(AH!$H$24="Derecha",RASANTE!F13&lt;=PERALTE!$AB$22),IF(RASANTE!F13&lt;=PERALTE!$Q$22,-2,IF(RASANTE!F13&lt;=PERALTE!$U$22,(10/(PERALTE!$U$22-PERALTE!$Q$22)*(RASANTE!F13-PERALTE!$Q$22)-2),IF(RASANTE!F13&lt;=PERALTE!$X$22,8,IF(RASANTE!F13&lt;=PERALTE!$AB$22,(10/(PERALTE!$X$22-PERALTE!$AB$22)*(RASANTE!F13-PERALTE!$AB$22)-2))))),IF(AND(AH!#REF!="Izquierda",RASANTE!F13&lt;=PERALTE!#REF!),IF(RASANTE!F13&lt;=PERALTE!#REF!,-2,IF(RASANTE!F13&lt;=PERALTE!#REF!,(-6/(PERALTE!#REF!-PERALTE!#REF!)*(RASANTE!F13-PERALTE!#REF!)-2),IF(RASANTE!F13&lt;=PERALTE!#REF!,-8,IF(RASANTE!F13&lt;=PERALTE!#REF!,(-6/(PERALTE!#REF!-PERALTE!#REF!)*(RASANTE!F13-PERALTE!#REF!)-2),IF(RASANTE!F13&lt;=PERALTE!#REF!,-2))))),IF(AND(AH!#REF!="Derecha",RASANTE!F13&lt;=PERALTE!#REF!),IF(RASANTE!F13&lt;=PERALTE!#REF!,-2,IF(RASANTE!F13&lt;=PERALTE!#REF!,(10/(PERALTE!#REF!-PERALTE!#REF!)*(RASANTE!F13-PERALTE!#REF!)-2),IF(RASANTE!F13&lt;=PERALTE!#REF!,8,IF(RASANTE!F13&lt;=PERALTE!#REF!,(10/(PERALTE!#REF!-PERALTE!#REF!)*(RASANTE!F13-PERALTE!#REF!)-2))))),IF(AND(AH!#REF!="Izquierda",RASANTE!F13&lt;=PERALTE!$AB$26),IF(RASANTE!F13&lt;=PERALTE!$S$26,-2,IF(RASANTE!F13&lt;=PERALTE!$U$26,(-6/(PERALTE!$U$26-PERALTE!$S$26)*(RASANTE!F13-PERALTE!$S$26)-2),IF(RASANTE!F13&lt;=PERALTE!$X$26,-8,IF(RASANTE!F13&lt;=PERALTE!$Z$26,(-6/(PERALTE!$X$26-PERALTE!$Z$26)*(RASANTE!F13-PERALTE!$Z$26)-2),IF(RASANTE!F13&lt;=PERALTE!$AB$26,-2))))),IF(AND(AH!#REF!="Derecha",RASANTE!F13&lt;=PERALTE!$AB$26),IF(RASANTE!F13&lt;=PERALTE!$Q$26,-2,IF(RASANTE!F13&lt;=PERALTE!$U$26,(10/(PERALTE!$U$26-PERALTE!$Q$26)*(RASANTE!F13-PERALTE!$Q$26)-2),IF(RASANTE!F13&lt;=PERALTE!$X$26,8,IF(RASANTE!F13&lt;=PERALTE!$AB$26,(10/(PERALTE!$X$26-PERALTE!$AB$26)*(RASANTE!F13-PERALTE!$AB$26)-2))))),IF(F13&lt;=PERALTE!#REF!,-2,"Abscisa fuera de la vía")))))))))))))))))))))</f>
        <v>-2</v>
      </c>
      <c r="I13" s="28">
        <f>+IF(AND(AH!$H$8="Derecha",RASANTE!F13&lt;=PERALTE!$AB$6),IF(RASANTE!F13&lt;=PERALTE!$S$6,-2,IF(RASANTE!F13&lt;=PERALTE!$U$6,(-6/(PERALTE!$U$6-PERALTE!$S$6)*(RASANTE!F13-PERALTE!$S$6)-2),IF(RASANTE!F13&lt;=PERALTE!$X$6,-8,IF(RASANTE!F13&lt;=PERALTE!$Z$6,(-6/(PERALTE!$X$6-PERALTE!$Z$6)*(RASANTE!F13-PERALTE!$Z$6)-2),IF(RASANTE!F13&lt;=PERALTE!$AB$6,-2))))),IF(AND(AH!$H$8="Izquierda",RASANTE!F13&lt;=PERALTE!$AB$6),IF(RASANTE!F13&lt;=PERALTE!$Q$6,-2,IF(RASANTE!F13&lt;=PERALTE!$U$6,(10/(PERALTE!$U$6-PERALTE!$Q$6)*(RASANTE!F13-PERALTE!$Q$6)-2),IF(RASANTE!F13&lt;=PERALTE!$X$6,8,IF(RASANTE!F13&lt;=PERALTE!$AB$6,(10/(PERALTE!$X$6-PERALTE!$AB$6)*(RASANTE!F13-PERALTE!$AB$6)-2))))),IF(AND(AH!$H$10="Derecha",RASANTE!F13&lt;=PERALTE!$AB$8),IF(RASANTE!F13&lt;=PERALTE!$S$8,-2,IF(RASANTE!F13&lt;=PERALTE!$U$8,(-6/(PERALTE!$U$8-PERALTE!$S$8)*(RASANTE!F13-PERALTE!$S$8)-2),IF(RASANTE!F13&lt;=PERALTE!$X$8,-8,IF(RASANTE!F13&lt;=PERALTE!$Z$8,(-6/(PERALTE!$X$8-PERALTE!$Z$8)*(RASANTE!F13-PERALTE!$Z$8)-2),IF(RASANTE!F13&lt;=PERALTE!$AB$8,-2))))),IF(AND(AH!$H$10="Izquierda",RASANTE!F13&lt;=PERALTE!$AB$8),IF(RASANTE!F13&lt;=PERALTE!$Q$8,-2,IF(RASANTE!F13&lt;=PERALTE!$U$8,(10/(PERALTE!$U$8-PERALTE!$Q$8)*(RASANTE!F13-PERALTE!$Q$8)-2),IF(RASANTE!F13&lt;=PERALTE!$X$8,8,IF(RASANTE!F13&lt;=PERALTE!$AB$8,(10/(PERALTE!$X$8-PERALTE!$AB$8)*(RASANTE!F13-PERALTE!$AB$8)-2))))),IF(AND(AH!$H$12="Derecha",RASANTE!F13&lt;=PERALTE!$AB$10),IF(RASANTE!F13&lt;=PERALTE!$S$10,-2,IF(RASANTE!F13&lt;=PERALTE!$U$10,(-6/(PERALTE!$U$10-PERALTE!$S$10)*(RASANTE!F13-PERALTE!$S$10)-2),IF(RASANTE!F13&lt;=PERALTE!$X$10,-8,IF(RASANTE!F13&lt;=PERALTE!$Z$10,(-6/(PERALTE!$X$10-PERALTE!$Z$10)*(RASANTE!F13-PERALTE!$Z$10)-2),IF(RASANTE!F13&lt;=PERALTE!$AB$10,-2))))),IF(AND(AH!$H$12="Izquierda",RASANTE!F13&lt;=PERALTE!$AB$10),IF(RASANTE!F13&lt;=PERALTE!$Q$10,-2,IF(RASANTE!F13&lt;=PERALTE!$U$10,(10/(PERALTE!$U$10-PERALTE!$Q$10)*(RASANTE!F13-PERALTE!$Q$10)-2),IF(RASANTE!F13&lt;=PERALTE!$X$10,8,IF(RASANTE!F13&lt;=PERALTE!$AB$10,(10/(PERALTE!$X$10-PERALTE!$AB$10)*(RASANTE!F13-PERALTE!$AB$10)-2))))),IF(AND(AH!$H$14="Derecha",RASANTE!F13&lt;=PERALTE!$AB$12),IF(RASANTE!F13&lt;=PERALTE!$S$12,-2,IF(RASANTE!F13&lt;=PERALTE!$U$12,(-6/(PERALTE!$U$12-PERALTE!$S$12)*(RASANTE!F13-PERALTE!$S$12)-2),IF(RASANTE!F13&lt;=PERALTE!$X$12,-8,IF(RASANTE!F13&lt;=PERALTE!$Z$12,(-6/(PERALTE!$X$12-PERALTE!$Z$12)*(RASANTE!F13-PERALTE!$Z$12)-2),IF(RASANTE!F13&lt;=PERALTE!$AB$12,-2))))),IF(AND(AH!$H$14="Izquierda",RASANTE!F13&lt;=PERALTE!$AB$12),IF(RASANTE!F13&lt;=PERALTE!$Q$12,-2,IF(RASANTE!F13&lt;=PERALTE!$U$12,(10/(PERALTE!$U$12-PERALTE!$Q$12)*(RASANTE!F13-PERALTE!$Q$12)-2),IF(RASANTE!F13&lt;=PERALTE!$X$12,8,IF(RASANTE!F13&lt;=PERALTE!$AB$12,(10/(PERALTE!$X$12-PERALTE!$AB$12)*(RASANTE!F13-PERALTE!$AB$12)-2))))),IF(AND(AH!$H$16="Derecha",RASANTE!F13&lt;=PERALTE!$AB$14),IF(RASANTE!F13&lt;=PERALTE!$S$14,-2,IF(RASANTE!F13&lt;=PERALTE!$U$14,(-6/(PERALTE!$U$14-PERALTE!$S$14)*(RASANTE!F13-PERALTE!$S$14)-2),IF(RASANTE!F13&lt;=PERALTE!$X$14,-8,IF(RASANTE!F13&lt;=PERALTE!$Z$14,(-6/(PERALTE!$X$14-PERALTE!$Z$14)*(RASANTE!F13-PERALTE!$Z$14)-2),IF(RASANTE!F13&lt;=PERALTE!$AB$14,-2))))),IF(AND(AH!$H$16="Izquierda",RASANTE!F13&lt;=PERALTE!$AB$14),IF(RASANTE!F13&lt;=PERALTE!$Q$14,-2,IF(RASANTE!F13&lt;=PERALTE!$U$14,(10/(PERALTE!$U$14-PERALTE!$Q$14)*(RASANTE!F13-PERALTE!$Q$14)-2),IF(RASANTE!F13&lt;=PERALTE!$X$14,8,IF(RASANTE!F13&lt;=PERALTE!$AB$14,(10/(PERALTE!$X$14-PERALTE!$AB$14)*(RASANTE!F13-PERALTE!$AB$14)-2))))),IF(AND(AH!$H$18="Derecha",RASANTE!F13&lt;=PERALTE!$AB$16),IF(RASANTE!F13&lt;=PERALTE!$S$16,-2,IF(RASANTE!F13&lt;=PERALTE!$U$16,(-6/(PERALTE!$U$16-PERALTE!$S$16)*(RASANTE!F13-PERALTE!$S$16)-2),IF(RASANTE!F13&lt;=PERALTE!$X$16,-8,IF(RASANTE!F13&lt;=PERALTE!$Z$16,(-6/(PERALTE!$X$16-PERALTE!$Z$16)*(RASANTE!F13-PERALTE!$Z$16)-2),IF(RASANTE!F13&lt;=PERALTE!$AB$16,-2))))),IF(AND(AH!$H$18="Izquierda",RASANTE!F13&lt;=PERALTE!$AB$16),IF(RASANTE!F13&lt;=PERALTE!$Q$16,-2,IF(RASANTE!F13&lt;=PERALTE!$U$16,(10/(PERALTE!$U$16-PERALTE!$Q$16)*(RASANTE!F13-PERALTE!$Q$16)-2),IF(RASANTE!F13&lt;=PERALTE!$X$16,8,IF(RASANTE!F13&lt;=PERALTE!$AB$16,(10/(PERALTE!$X$16-PERALTE!$AB$16)*(RASANTE!F13-PERALTE!$AB$16)-2))))),IF(AND(AH!$H$20="Derecha",RASANTE!F13&lt;=PERALTE!$AB$18),IF(RASANTE!F13&lt;=PERALTE!$S$18,-2,IF(RASANTE!F13&lt;=PERALTE!$U$18,(-6/(PERALTE!$U$18-PERALTE!$S$18)*(RASANTE!F13-PERALTE!$S$18)-2),IF(RASANTE!F13&lt;=PERALTE!$X$18,-8,IF(RASANTE!F13&lt;=PERALTE!$Z$18,(-6/(PERALTE!$X$18-PERALTE!$Z$18)*(RASANTE!F13-PERALTE!$Z$18)-2),IF(RASANTE!F13&lt;=PERALTE!$AB$18,-2))))),IF(AND(AH!$H$20="Izquierda",RASANTE!F13&lt;=PERALTE!$AB$18),IF(RASANTE!F13&lt;=PERALTE!$Q$18,-2,IF(RASANTE!F13&lt;=PERALTE!$U$18,(10/(PERALTE!$U$18-PERALTE!$Q$18)*(RASANTE!F13-PERALTE!$Q$18)-2),IF(RASANTE!F13&lt;=PERALTE!$X$18,8,IF(RASANTE!F13&lt;=PERALTE!$AB$18,(10/(PERALTE!$X$18-PERALTE!$AB$18)*(RASANTE!F13-PERALTE!$AB$18)-2))))),IF(AND(AH!$H$24="Derecha",RASANTE!F13&lt;=PERALTE!$AB$22),IF(RASANTE!F13&lt;=PERALTE!$S$22,-2,IF(RASANTE!F13&lt;=PERALTE!$U$22,(-6/(PERALTE!$U$22-PERALTE!$S$22)*(RASANTE!F13-PERALTE!$S$22)-2),IF(RASANTE!F13&lt;=PERALTE!$X$22,-8,IF(RASANTE!F13&lt;=PERALTE!$Z$22,(-6/(PERALTE!$X$22-PERALTE!$Z$22)*(RASANTE!F13-PERALTE!$Z$22)-2),IF(RASANTE!F13&lt;=PERALTE!$AB$22,-2))))),IF(AND(AH!$H$24="Izquierda",RASANTE!F13&lt;=PERALTE!$AB$22),IF(RASANTE!F13&lt;=PERALTE!$Q$22,-2,IF(RASANTE!F13&lt;=PERALTE!$U$22,(10/(PERALTE!$U$22-PERALTE!$Q$22)*(RASANTE!F13-PERALTE!$Q$22)-2),IF(RASANTE!F13&lt;=PERALTE!$X$22,8,IF(RASANTE!F13&lt;=PERALTE!$AB$22,(10/(PERALTE!$X$22-PERALTE!$AB$22)*(RASANTE!F13-PERALTE!$AB$22)-2))))),IF(AND(AH!#REF!="Derecha",RASANTE!F13&lt;=PERALTE!#REF!),IF(RASANTE!F13&lt;=PERALTE!#REF!,-2,IF(RASANTE!F13&lt;=PERALTE!#REF!,(-6/(PERALTE!#REF!-PERALTE!#REF!)*(RASANTE!F13-PERALTE!#REF!)-2),IF(RASANTE!F13&lt;=PERALTE!#REF!,-8,IF(RASANTE!F13&lt;=PERALTE!#REF!,(-6/(PERALTE!#REF!-PERALTE!#REF!)*(RASANTE!F13-PERALTE!#REF!)-2),IF(RASANTE!F13&lt;=PERALTE!#REF!,-2))))),IF(AND(AH!#REF!="Izquierda",RASANTE!F13&lt;=PERALTE!#REF!),IF(RASANTE!F13&lt;=PERALTE!#REF!,-2,IF(RASANTE!F13&lt;=PERALTE!#REF!,(10/(PERALTE!#REF!-PERALTE!#REF!)*(RASANTE!F13-PERALTE!#REF!)-2),IF(RASANTE!F13&lt;=PERALTE!#REF!,8,IF(RASANTE!F13&lt;=PERALTE!#REF!,(10/(PERALTE!#REF!-PERALTE!#REF!)*(RASANTE!F13-PERALTE!#REF!)-2))))),IF(AND(AH!#REF!="Derecha",RASANTE!F13&lt;=PERALTE!$AB$26),IF(RASANTE!F13&lt;=PERALTE!$S$26,-2,IF(RASANTE!F13&lt;=PERALTE!$U$26,(-6/(PERALTE!$U$26-PERALTE!$S$26)*(RASANTE!F13-PERALTE!$S$26)-2),IF(RASANTE!F13&lt;=PERALTE!$X$26,-8,IF(RASANTE!F13&lt;=PERALTE!$Z$26,(-6/(PERALTE!$X$26-PERALTE!$Z$26)*(RASANTE!F13-PERALTE!$Z$26)-2),IF(RASANTE!F13&lt;=PERALTE!$AB$26,-2))))),IF(AND(AH!#REF!="Izquierda",RASANTE!F13&lt;=PERALTE!$AB$26),IF(RASANTE!F13&lt;=PERALTE!$Q$26,-2,IF(RASANTE!F13&lt;=PERALTE!$U$26,(10/(PERALTE!$U$26-PERALTE!$Q$26)*(RASANTE!F13-PERALTE!$Q$26)-2),IF(RASANTE!F13&lt;=PERALTE!$X$26,8,IF(RASANTE!F13&lt;=PERALTE!$AB$26,(10/(PERALTE!$X$26-PERALTE!$AB$26)*(RASANTE!F13-PERALTE!$AB$26)-2))))),IF(F13&lt;=PERALTE!#REF!,-2,"Abscisa fuera de la vía")))))))))))))))))))))</f>
        <v>-2</v>
      </c>
      <c r="J13" s="28">
        <f t="shared" si="1"/>
        <v>1646.8278000000003</v>
      </c>
      <c r="K13" s="356">
        <f>+IF(AND(AV!$S$6&lt;F188,F188&lt;=AV!$T$6),AV!$P$6*((AV!$S$6-RASANTE!F188)/(AV!$N$6))^2,IF(AND(AV!$T$6&lt;RASANTE!F188,F188&lt;AV!$U$6),AV!$P$6*((AV!$U$6-RASANTE!F188)/(AV!$O$6))^2,IF(AND(AV!$S$8&lt;F188,F188&lt;=AV!$T$8),AV!$P$8*((AV!$S$8-RASANTE!F188)/(AV!$N$8))^2,IF(AND(AV!$T$8&lt;RASANTE!F188,F188&lt;AV!$U$8),AV!$P$8*((AV!$U$8-RASANTE!F188)/(AV!$O$8))^2,IF(AND(AV!$S$10&lt;F188,F188&lt;=AV!$T$10),AV!$P$10*((AV!$S$10-RASANTE!F188)/(AV!$N$10))^2,IF(AND(AV!$T$10&lt;RASANTE!F188,F188&lt;AV!$U$10),AV!$P$10*((AV!$U$10-RASANTE!F188)/(AV!$O$10))^2,IF(AND(AV!$S$12&lt;F188,F188&lt;=AV!$T$12),AV!$P$12*((AV!$S$12-RASANTE!F188)/(AV!$N$12))^2,IF(AND(AV!$T$12&lt;RASANTE!F188,F188&lt;AV!$U$12),AV!$P$12*((AV!$U$12-RASANTE!F188)/(AV!$O$12))^2,IF(AND(AV!$S$14&lt;F188,F188&lt;=AV!$T$14),AV!$P$14*((AV!$S$14-RASANTE!F188)/(AV!$N$14))^2,IF(AND(AV!$T$14&lt;RASANTE!F188,F188&lt;AV!$U$14),AV!$P$14*((AV!$U$14-RASANTE!F188)/(AV!$O$14))^2,IF(AND(AV!$S$16&lt;F188,F188&lt;=AV!$T$16),AV!$P$16*((AV!$S$16-RASANTE!F188)/(AV!$N$16))^2,IF(AND(AV!$T$16&lt;RASANTE!F188,F188&lt;AV!$U$16),AV!$P$16*((AV!$U$16-RASANTE!F188)/(AV!$O$16))^2,IF(AND(AV!$S$18&lt;F188,F188&lt;=AV!$T$18),AV!$P$18*((AV!$S$18-RASANTE!F188)/(AV!$N$18))^2,IF(AND(AV!$T$18&lt;RASANTE!F188,F188&lt;AV!$U$18),AV!$P$18*((AV!$U$18-RASANTE!F188)/(AV!$O$18))^2,IF(AND(AV!$S$20&lt;F188,F188&lt;=AV!$T$20),AV!$P$20*((AV!$S$20-RASANTE!F188)/(AV!$N$20))^2,IF(AND(AV!$T$20&lt;RASANTE!F188,F188&lt;AV!$U$20),AV!$P$20*((AV!$U$20-RASANTE!F188)/(AV!$O$20))^2,IF(AND(AV!$S$22&lt;F188,F188&lt;=AV!$T$22),AV!$P$22*((AV!$S$22-RASANTE!F188)/(AV!$N$22))^2,IF(AND(AV!$T$22&lt;RASANTE!F188,F188&lt;AV!$U$22),AV!$P$22*((AV!$U$22-RASANTE!F188)/(AV!$O$22))^2,IF(AND(AV!$S$24&lt;F188,F188&lt;=AV!$T$24),AV!$P$24*((AV!$S$24-RASANTE!F188)/(AV!$N$24))^2,IF(AND(AV!$T$24&lt;RASANTE!F188,F188&lt;AV!$U$24),AV!$P$24*((AV!$U$24-RASANTE!F188)/(AV!$O$24))^2,0))))))))))))))))))))</f>
        <v>0</v>
      </c>
      <c r="L13" s="28">
        <f>+M13+H13%*PERALTE!$C$32</f>
        <v>1646.7578000000003</v>
      </c>
      <c r="M13" s="28">
        <f t="shared" si="0"/>
        <v>1646.8278000000003</v>
      </c>
      <c r="N13" s="28">
        <f>+M13+I13%*PERALTE!$C$32</f>
        <v>1646.7578000000003</v>
      </c>
      <c r="O13" s="92"/>
      <c r="P13" s="84"/>
      <c r="Q13" s="4" t="s">
        <v>143</v>
      </c>
      <c r="R13" s="4" t="s">
        <v>144</v>
      </c>
      <c r="S13" s="4" t="s">
        <v>145</v>
      </c>
      <c r="T13" s="103" t="s">
        <v>144</v>
      </c>
      <c r="U13" s="84"/>
      <c r="V13" s="84"/>
      <c r="W13" s="84"/>
      <c r="X13" s="84"/>
      <c r="Y13" s="84"/>
    </row>
    <row r="14" spans="1:25" ht="16" x14ac:dyDescent="0.2">
      <c r="A14" s="90"/>
      <c r="B14" s="104"/>
      <c r="C14" s="104"/>
      <c r="D14" s="104"/>
      <c r="E14" s="91"/>
      <c r="F14" s="34">
        <v>100</v>
      </c>
      <c r="G14" s="88">
        <f>IF(F14&lt;=AV!$T$6,AV!$C$5,IF(RASANTE!F14&lt;=AV!$T$8,AV!$C$7,IF(RASANTE!F14&lt;=AV!$T$10,AV!$C$9,IF(RASANTE!F14&lt;=AV!$T$12,AV!#REF!,IF(RASANTE!F14&lt;=AV!$T$14,AV!$C$11,IF(RASANTE!F14&lt;=AV!$T$16,AV!$C$13, IF(RASANTE!F14&lt;=AV!$T$18,AV!$C$15,IF(RASANTE!F14&lt;=AV!$T$20,AV!$C$19,IF(RASANTE!F14&lt;=AV!$T$22,AV!$C$21,IF(RASANTE!F14&lt;=AV!$T$24,AV!$C$23,AV!$C$25))))))))))</f>
        <v>3.1419999999999999</v>
      </c>
      <c r="H14" s="28">
        <f>+IF(AND(AH!$H$8="Izquierda",RASANTE!F14&lt;=PERALTE!$AB$6),IF(RASANTE!F14&lt;=PERALTE!$S$6,-2,IF(RASANTE!F14&lt;=PERALTE!$U$6,(-6/(PERALTE!$U$6-PERALTE!$S$6)*(RASANTE!F14-PERALTE!$S$6)-2),IF(RASANTE!F14&lt;=PERALTE!$X$6,-8,IF(RASANTE!F14&lt;=PERALTE!$Z$6,(-6/(PERALTE!$X$6-PERALTE!$Z$6)*(RASANTE!F14-PERALTE!$Z$6)-2),IF(RASANTE!F14&lt;=PERALTE!$AB$6,-2))))),IF(AND(AH!$H$8="Derecha",RASANTE!F14&lt;=PERALTE!$AB$6),IF(RASANTE!F14&lt;=PERALTE!$Q$6,-2,IF(RASANTE!F14&lt;=PERALTE!$U$6,(10/(PERALTE!$U$6-PERALTE!$Q$6)*(RASANTE!F14-PERALTE!$Q$6)-2),IF(RASANTE!F14&lt;=PERALTE!$X$6,8,IF(RASANTE!F14&lt;=PERALTE!$AB$6,(10/(PERALTE!$X$6-PERALTE!$AB$6)*(RASANTE!F14-PERALTE!$AB$6)-2))))),IF(AND(AH!$H$10="Izquierda",RASANTE!F14&lt;=PERALTE!$AB$8),IF(RASANTE!F14&lt;=PERALTE!$S$8,-2,IF(RASANTE!F14&lt;=PERALTE!$U$8,(-6/(PERALTE!$U$8-PERALTE!$S$8)*(RASANTE!F14-PERALTE!$S$8)-2),IF(RASANTE!F14&lt;=PERALTE!$X$8,-8,IF(RASANTE!F14&lt;=PERALTE!$Z$8,(-6/(PERALTE!$X$8-PERALTE!$Z$8)*(RASANTE!F14-PERALTE!$Z$8)-2),IF(RASANTE!F14&lt;=PERALTE!$AB$8,-2))))),IF(AND(AH!$H$10="Derecha",RASANTE!F14&lt;=PERALTE!$AB$8),IF(RASANTE!F14&lt;=PERALTE!$Q$8,-2,IF(RASANTE!F14&lt;=PERALTE!$U$8,(10/(PERALTE!$U$8-PERALTE!$Q$8)*(RASANTE!F14-PERALTE!$Q$8)-2),IF(RASANTE!F14&lt;=PERALTE!$X$8,8,IF(RASANTE!F14&lt;=PERALTE!$AB$8,(10/(PERALTE!$X$8-PERALTE!$AB$8)*(RASANTE!F14-PERALTE!$AB$8)-2))))),IF(AND(AH!$H$12="Izquierda",RASANTE!F14&lt;=PERALTE!$AB$10),IF(RASANTE!F14&lt;=PERALTE!$S$10,-2,IF(RASANTE!F14&lt;=PERALTE!$U$10,(-6/(PERALTE!$U$10-PERALTE!$S$10)*(RASANTE!F14-PERALTE!$S$10)-2),IF(RASANTE!F14&lt;=PERALTE!$X$10,-8,IF(RASANTE!F14&lt;=PERALTE!$Z$10,(-6/(PERALTE!$X$10-PERALTE!$Z$10)*(RASANTE!F14-PERALTE!$Z$10)-2),IF(RASANTE!F14&lt;=PERALTE!$AB$10,-2))))),IF(AND(AH!$H$12="Derecha",RASANTE!F14&lt;=PERALTE!$AB$10),IF(RASANTE!F14&lt;=PERALTE!$Q$10,-2,IF(RASANTE!F14&lt;=PERALTE!$U$10,(10/(PERALTE!$U$10-PERALTE!$Q$10)*(RASANTE!F14-PERALTE!$Q$10)-2),IF(RASANTE!F14&lt;=PERALTE!$X$10,8,IF(RASANTE!F14&lt;=PERALTE!$AB$10,(10/(PERALTE!$X$10-PERALTE!$AB$10)*(RASANTE!F14-PERALTE!$AB$10)-2))))),IF(AND(AH!$H$14="Izquierda",RASANTE!F14&lt;=PERALTE!$AB$12),IF(RASANTE!F14&lt;=PERALTE!$S$12,-2,IF(RASANTE!F14&lt;=PERALTE!$U$12,(-6/(PERALTE!$U$12-PERALTE!$S$12)*(RASANTE!F14-PERALTE!$S$12)-2),IF(RASANTE!F14&lt;=PERALTE!$X$12,-8,IF(RASANTE!F14&lt;=PERALTE!$Z$12,(-6/(PERALTE!$X$12-PERALTE!$Z$12)*(RASANTE!F14-PERALTE!$Z$12)-2),IF(RASANTE!F14&lt;=PERALTE!$AB$12,-2))))),IF(AND(AH!$H$14="Derecha",RASANTE!F14&lt;=PERALTE!$AB$12),IF(RASANTE!F14&lt;=PERALTE!$Q$12,-2,IF(RASANTE!F14&lt;=PERALTE!$U$12,(10/(PERALTE!$U$12-PERALTE!$Q$12)*(RASANTE!F14-PERALTE!$Q$12)-2),IF(RASANTE!F14&lt;=PERALTE!$X$12,8,IF(RASANTE!F14&lt;=PERALTE!$AB$12,(10/(PERALTE!$X$12-PERALTE!$AB$12)*(RASANTE!F14-PERALTE!$AB$12)-2))))),IF(AND(AH!$H$16="Izquierda",RASANTE!F14&lt;=PERALTE!$AB$14),IF(RASANTE!F14&lt;=PERALTE!$S$14,-2,IF(RASANTE!F14&lt;=PERALTE!$U$14,(-6/(PERALTE!$U$14-PERALTE!$S$14)*(RASANTE!F14-PERALTE!$S$14)-2),IF(RASANTE!F14&lt;=PERALTE!$X$14,-8,IF(RASANTE!F14&lt;=PERALTE!$Z$14,(-6/(PERALTE!$X$14-PERALTE!$Z$14)*(RASANTE!F14-PERALTE!$Z$14)-2),IF(RASANTE!F14&lt;=PERALTE!$AB$14,-2))))),IF(AND(AH!$H$16="Derecha",RASANTE!F14&lt;=PERALTE!$AB$14),IF(RASANTE!F14&lt;=PERALTE!$Q$14,-2,IF(RASANTE!F14&lt;=PERALTE!$U$14,(10/(PERALTE!$U$14-PERALTE!$Q$14)*(RASANTE!F14-PERALTE!$Q$14)-2),IF(RASANTE!F14&lt;=PERALTE!$X$14,8,IF(RASANTE!F14&lt;=PERALTE!$AB$14,(10/(PERALTE!$X$14-PERALTE!$AB$14)*(RASANTE!F14-PERALTE!$AB$14)-2))))),IF(AND(AH!$H$18="Izquierda",RASANTE!F14&lt;=PERALTE!$AB$16),IF(RASANTE!F14&lt;=PERALTE!$S$16,-2,IF(RASANTE!F14&lt;=PERALTE!$U$16,(-6/(PERALTE!$U$16-PERALTE!$S$16)*(RASANTE!F14-PERALTE!$S$16)-2),IF(RASANTE!F14&lt;=PERALTE!$X$16,-8,IF(RASANTE!F14&lt;=PERALTE!$Z$16,(-6/(PERALTE!$X$16-PERALTE!$Z$16)*(RASANTE!F14-PERALTE!$Z$16)-2),IF(RASANTE!F14&lt;=PERALTE!$AB$16,-2))))),IF(AND(AH!$H$18="Derecha",RASANTE!F14&lt;=PERALTE!$AB$16),IF(RASANTE!F14&lt;=PERALTE!$Q$16,-2,IF(RASANTE!F14&lt;=PERALTE!$U$16,(10/(PERALTE!$U$16-PERALTE!$Q$16)*(RASANTE!F14-PERALTE!$Q$16)-2),IF(RASANTE!F14&lt;=PERALTE!$X$16,8,IF(RASANTE!F14&lt;=PERALTE!$AB$16,(10/(PERALTE!$X$16-PERALTE!$AB$16)*(RASANTE!F14-PERALTE!$AB$16)-2))))),IF(AND(AH!$H$20="Izquierda",RASANTE!F14&lt;=PERALTE!$AB$18),IF(RASANTE!F14&lt;=PERALTE!$S$18,-2,IF(RASANTE!F14&lt;=PERALTE!$U$18,(-6/(PERALTE!$U$18-PERALTE!$S$18)*(RASANTE!F14-PERALTE!$S$18)-2),IF(RASANTE!F14&lt;=PERALTE!$X$18,-8,IF(RASANTE!F14&lt;=PERALTE!$Z$18,(-6/(PERALTE!$X$18-PERALTE!$Z$18)*(RASANTE!F14-PERALTE!$Z$18)-2),IF(RASANTE!F14&lt;=PERALTE!$AB$18,-2))))),IF(AND(AH!$H$20="Derecha",RASANTE!F14&lt;=PERALTE!$AB$18),IF(RASANTE!F14&lt;=PERALTE!$Q$18,-2,IF(RASANTE!F14&lt;=PERALTE!$U$18,(10/(PERALTE!$U$18-PERALTE!$Q$18)*(RASANTE!F14-PERALTE!$Q$18)-2),IF(RASANTE!F14&lt;=PERALTE!$X$18,8,IF(RASANTE!F14&lt;=PERALTE!$AB$18,(10/(PERALTE!$X$18-PERALTE!$AB$18)*(RASANTE!F14-PERALTE!$AB$18)-2))))),IF(AND(AH!$H$24="Izquierda",RASANTE!F14&lt;=PERALTE!$AB$22),IF(RASANTE!F14&lt;=PERALTE!$S$22,-2,IF(RASANTE!F14&lt;=PERALTE!$U$22,(-6/(PERALTE!$U$22-PERALTE!$S$22)*(RASANTE!F14-PERALTE!$S$22)-2),IF(RASANTE!F14&lt;=PERALTE!$X$22,-8,IF(RASANTE!F14&lt;=PERALTE!$Z$22,(-6/(PERALTE!$X$22-PERALTE!$Z$22)*(RASANTE!F14-PERALTE!$Z$22)-2),IF(RASANTE!F14&lt;=PERALTE!$AB$22,-2))))),IF(AND(AH!$H$24="Derecha",RASANTE!F14&lt;=PERALTE!$AB$22),IF(RASANTE!F14&lt;=PERALTE!$Q$22,-2,IF(RASANTE!F14&lt;=PERALTE!$U$22,(10/(PERALTE!$U$22-PERALTE!$Q$22)*(RASANTE!F14-PERALTE!$Q$22)-2),IF(RASANTE!F14&lt;=PERALTE!$X$22,8,IF(RASANTE!F14&lt;=PERALTE!$AB$22,(10/(PERALTE!$X$22-PERALTE!$AB$22)*(RASANTE!F14-PERALTE!$AB$22)-2))))),IF(AND(AH!#REF!="Izquierda",RASANTE!F14&lt;=PERALTE!#REF!),IF(RASANTE!F14&lt;=PERALTE!#REF!,-2,IF(RASANTE!F14&lt;=PERALTE!#REF!,(-6/(PERALTE!#REF!-PERALTE!#REF!)*(RASANTE!F14-PERALTE!#REF!)-2),IF(RASANTE!F14&lt;=PERALTE!#REF!,-8,IF(RASANTE!F14&lt;=PERALTE!#REF!,(-6/(PERALTE!#REF!-PERALTE!#REF!)*(RASANTE!F14-PERALTE!#REF!)-2),IF(RASANTE!F14&lt;=PERALTE!#REF!,-2))))),IF(AND(AH!#REF!="Derecha",RASANTE!F14&lt;=PERALTE!#REF!),IF(RASANTE!F14&lt;=PERALTE!#REF!,-2,IF(RASANTE!F14&lt;=PERALTE!#REF!,(10/(PERALTE!#REF!-PERALTE!#REF!)*(RASANTE!F14-PERALTE!#REF!)-2),IF(RASANTE!F14&lt;=PERALTE!#REF!,8,IF(RASANTE!F14&lt;=PERALTE!#REF!,(10/(PERALTE!#REF!-PERALTE!#REF!)*(RASANTE!F14-PERALTE!#REF!)-2))))),IF(AND(AH!#REF!="Izquierda",RASANTE!F14&lt;=PERALTE!$AB$26),IF(RASANTE!F14&lt;=PERALTE!$S$26,-2,IF(RASANTE!F14&lt;=PERALTE!$U$26,(-6/(PERALTE!$U$26-PERALTE!$S$26)*(RASANTE!F14-PERALTE!$S$26)-2),IF(RASANTE!F14&lt;=PERALTE!$X$26,-8,IF(RASANTE!F14&lt;=PERALTE!$Z$26,(-6/(PERALTE!$X$26-PERALTE!$Z$26)*(RASANTE!F14-PERALTE!$Z$26)-2),IF(RASANTE!F14&lt;=PERALTE!$AB$26,-2))))),IF(AND(AH!#REF!="Derecha",RASANTE!F14&lt;=PERALTE!$AB$26),IF(RASANTE!F14&lt;=PERALTE!$Q$26,-2,IF(RASANTE!F14&lt;=PERALTE!$U$26,(10/(PERALTE!$U$26-PERALTE!$Q$26)*(RASANTE!F14-PERALTE!$Q$26)-2),IF(RASANTE!F14&lt;=PERALTE!$X$26,8,IF(RASANTE!F14&lt;=PERALTE!$AB$26,(10/(PERALTE!$X$26-PERALTE!$AB$26)*(RASANTE!F14-PERALTE!$AB$26)-2))))),IF(F14&lt;=PERALTE!#REF!,-2,"Abscisa fuera de la vía")))))))))))))))))))))</f>
        <v>-2</v>
      </c>
      <c r="I14" s="28">
        <f>+IF(AND(AH!$H$8="Derecha",RASANTE!F14&lt;=PERALTE!$AB$6),IF(RASANTE!F14&lt;=PERALTE!$S$6,-2,IF(RASANTE!F14&lt;=PERALTE!$U$6,(-6/(PERALTE!$U$6-PERALTE!$S$6)*(RASANTE!F14-PERALTE!$S$6)-2),IF(RASANTE!F14&lt;=PERALTE!$X$6,-8,IF(RASANTE!F14&lt;=PERALTE!$Z$6,(-6/(PERALTE!$X$6-PERALTE!$Z$6)*(RASANTE!F14-PERALTE!$Z$6)-2),IF(RASANTE!F14&lt;=PERALTE!$AB$6,-2))))),IF(AND(AH!$H$8="Izquierda",RASANTE!F14&lt;=PERALTE!$AB$6),IF(RASANTE!F14&lt;=PERALTE!$Q$6,-2,IF(RASANTE!F14&lt;=PERALTE!$U$6,(10/(PERALTE!$U$6-PERALTE!$Q$6)*(RASANTE!F14-PERALTE!$Q$6)-2),IF(RASANTE!F14&lt;=PERALTE!$X$6,8,IF(RASANTE!F14&lt;=PERALTE!$AB$6,(10/(PERALTE!$X$6-PERALTE!$AB$6)*(RASANTE!F14-PERALTE!$AB$6)-2))))),IF(AND(AH!$H$10="Derecha",RASANTE!F14&lt;=PERALTE!$AB$8),IF(RASANTE!F14&lt;=PERALTE!$S$8,-2,IF(RASANTE!F14&lt;=PERALTE!$U$8,(-6/(PERALTE!$U$8-PERALTE!$S$8)*(RASANTE!F14-PERALTE!$S$8)-2),IF(RASANTE!F14&lt;=PERALTE!$X$8,-8,IF(RASANTE!F14&lt;=PERALTE!$Z$8,(-6/(PERALTE!$X$8-PERALTE!$Z$8)*(RASANTE!F14-PERALTE!$Z$8)-2),IF(RASANTE!F14&lt;=PERALTE!$AB$8,-2))))),IF(AND(AH!$H$10="Izquierda",RASANTE!F14&lt;=PERALTE!$AB$8),IF(RASANTE!F14&lt;=PERALTE!$Q$8,-2,IF(RASANTE!F14&lt;=PERALTE!$U$8,(10/(PERALTE!$U$8-PERALTE!$Q$8)*(RASANTE!F14-PERALTE!$Q$8)-2),IF(RASANTE!F14&lt;=PERALTE!$X$8,8,IF(RASANTE!F14&lt;=PERALTE!$AB$8,(10/(PERALTE!$X$8-PERALTE!$AB$8)*(RASANTE!F14-PERALTE!$AB$8)-2))))),IF(AND(AH!$H$12="Derecha",RASANTE!F14&lt;=PERALTE!$AB$10),IF(RASANTE!F14&lt;=PERALTE!$S$10,-2,IF(RASANTE!F14&lt;=PERALTE!$U$10,(-6/(PERALTE!$U$10-PERALTE!$S$10)*(RASANTE!F14-PERALTE!$S$10)-2),IF(RASANTE!F14&lt;=PERALTE!$X$10,-8,IF(RASANTE!F14&lt;=PERALTE!$Z$10,(-6/(PERALTE!$X$10-PERALTE!$Z$10)*(RASANTE!F14-PERALTE!$Z$10)-2),IF(RASANTE!F14&lt;=PERALTE!$AB$10,-2))))),IF(AND(AH!$H$12="Izquierda",RASANTE!F14&lt;=PERALTE!$AB$10),IF(RASANTE!F14&lt;=PERALTE!$Q$10,-2,IF(RASANTE!F14&lt;=PERALTE!$U$10,(10/(PERALTE!$U$10-PERALTE!$Q$10)*(RASANTE!F14-PERALTE!$Q$10)-2),IF(RASANTE!F14&lt;=PERALTE!$X$10,8,IF(RASANTE!F14&lt;=PERALTE!$AB$10,(10/(PERALTE!$X$10-PERALTE!$AB$10)*(RASANTE!F14-PERALTE!$AB$10)-2))))),IF(AND(AH!$H$14="Derecha",RASANTE!F14&lt;=PERALTE!$AB$12),IF(RASANTE!F14&lt;=PERALTE!$S$12,-2,IF(RASANTE!F14&lt;=PERALTE!$U$12,(-6/(PERALTE!$U$12-PERALTE!$S$12)*(RASANTE!F14-PERALTE!$S$12)-2),IF(RASANTE!F14&lt;=PERALTE!$X$12,-8,IF(RASANTE!F14&lt;=PERALTE!$Z$12,(-6/(PERALTE!$X$12-PERALTE!$Z$12)*(RASANTE!F14-PERALTE!$Z$12)-2),IF(RASANTE!F14&lt;=PERALTE!$AB$12,-2))))),IF(AND(AH!$H$14="Izquierda",RASANTE!F14&lt;=PERALTE!$AB$12),IF(RASANTE!F14&lt;=PERALTE!$Q$12,-2,IF(RASANTE!F14&lt;=PERALTE!$U$12,(10/(PERALTE!$U$12-PERALTE!$Q$12)*(RASANTE!F14-PERALTE!$Q$12)-2),IF(RASANTE!F14&lt;=PERALTE!$X$12,8,IF(RASANTE!F14&lt;=PERALTE!$AB$12,(10/(PERALTE!$X$12-PERALTE!$AB$12)*(RASANTE!F14-PERALTE!$AB$12)-2))))),IF(AND(AH!$H$16="Derecha",RASANTE!F14&lt;=PERALTE!$AB$14),IF(RASANTE!F14&lt;=PERALTE!$S$14,-2,IF(RASANTE!F14&lt;=PERALTE!$U$14,(-6/(PERALTE!$U$14-PERALTE!$S$14)*(RASANTE!F14-PERALTE!$S$14)-2),IF(RASANTE!F14&lt;=PERALTE!$X$14,-8,IF(RASANTE!F14&lt;=PERALTE!$Z$14,(-6/(PERALTE!$X$14-PERALTE!$Z$14)*(RASANTE!F14-PERALTE!$Z$14)-2),IF(RASANTE!F14&lt;=PERALTE!$AB$14,-2))))),IF(AND(AH!$H$16="Izquierda",RASANTE!F14&lt;=PERALTE!$AB$14),IF(RASANTE!F14&lt;=PERALTE!$Q$14,-2,IF(RASANTE!F14&lt;=PERALTE!$U$14,(10/(PERALTE!$U$14-PERALTE!$Q$14)*(RASANTE!F14-PERALTE!$Q$14)-2),IF(RASANTE!F14&lt;=PERALTE!$X$14,8,IF(RASANTE!F14&lt;=PERALTE!$AB$14,(10/(PERALTE!$X$14-PERALTE!$AB$14)*(RASANTE!F14-PERALTE!$AB$14)-2))))),IF(AND(AH!$H$18="Derecha",RASANTE!F14&lt;=PERALTE!$AB$16),IF(RASANTE!F14&lt;=PERALTE!$S$16,-2,IF(RASANTE!F14&lt;=PERALTE!$U$16,(-6/(PERALTE!$U$16-PERALTE!$S$16)*(RASANTE!F14-PERALTE!$S$16)-2),IF(RASANTE!F14&lt;=PERALTE!$X$16,-8,IF(RASANTE!F14&lt;=PERALTE!$Z$16,(-6/(PERALTE!$X$16-PERALTE!$Z$16)*(RASANTE!F14-PERALTE!$Z$16)-2),IF(RASANTE!F14&lt;=PERALTE!$AB$16,-2))))),IF(AND(AH!$H$18="Izquierda",RASANTE!F14&lt;=PERALTE!$AB$16),IF(RASANTE!F14&lt;=PERALTE!$Q$16,-2,IF(RASANTE!F14&lt;=PERALTE!$U$16,(10/(PERALTE!$U$16-PERALTE!$Q$16)*(RASANTE!F14-PERALTE!$Q$16)-2),IF(RASANTE!F14&lt;=PERALTE!$X$16,8,IF(RASANTE!F14&lt;=PERALTE!$AB$16,(10/(PERALTE!$X$16-PERALTE!$AB$16)*(RASANTE!F14-PERALTE!$AB$16)-2))))),IF(AND(AH!$H$20="Derecha",RASANTE!F14&lt;=PERALTE!$AB$18),IF(RASANTE!F14&lt;=PERALTE!$S$18,-2,IF(RASANTE!F14&lt;=PERALTE!$U$18,(-6/(PERALTE!$U$18-PERALTE!$S$18)*(RASANTE!F14-PERALTE!$S$18)-2),IF(RASANTE!F14&lt;=PERALTE!$X$18,-8,IF(RASANTE!F14&lt;=PERALTE!$Z$18,(-6/(PERALTE!$X$18-PERALTE!$Z$18)*(RASANTE!F14-PERALTE!$Z$18)-2),IF(RASANTE!F14&lt;=PERALTE!$AB$18,-2))))),IF(AND(AH!$H$20="Izquierda",RASANTE!F14&lt;=PERALTE!$AB$18),IF(RASANTE!F14&lt;=PERALTE!$Q$18,-2,IF(RASANTE!F14&lt;=PERALTE!$U$18,(10/(PERALTE!$U$18-PERALTE!$Q$18)*(RASANTE!F14-PERALTE!$Q$18)-2),IF(RASANTE!F14&lt;=PERALTE!$X$18,8,IF(RASANTE!F14&lt;=PERALTE!$AB$18,(10/(PERALTE!$X$18-PERALTE!$AB$18)*(RASANTE!F14-PERALTE!$AB$18)-2))))),IF(AND(AH!$H$24="Derecha",RASANTE!F14&lt;=PERALTE!$AB$22),IF(RASANTE!F14&lt;=PERALTE!$S$22,-2,IF(RASANTE!F14&lt;=PERALTE!$U$22,(-6/(PERALTE!$U$22-PERALTE!$S$22)*(RASANTE!F14-PERALTE!$S$22)-2),IF(RASANTE!F14&lt;=PERALTE!$X$22,-8,IF(RASANTE!F14&lt;=PERALTE!$Z$22,(-6/(PERALTE!$X$22-PERALTE!$Z$22)*(RASANTE!F14-PERALTE!$Z$22)-2),IF(RASANTE!F14&lt;=PERALTE!$AB$22,-2))))),IF(AND(AH!$H$24="Izquierda",RASANTE!F14&lt;=PERALTE!$AB$22),IF(RASANTE!F14&lt;=PERALTE!$Q$22,-2,IF(RASANTE!F14&lt;=PERALTE!$U$22,(10/(PERALTE!$U$22-PERALTE!$Q$22)*(RASANTE!F14-PERALTE!$Q$22)-2),IF(RASANTE!F14&lt;=PERALTE!$X$22,8,IF(RASANTE!F14&lt;=PERALTE!$AB$22,(10/(PERALTE!$X$22-PERALTE!$AB$22)*(RASANTE!F14-PERALTE!$AB$22)-2))))),IF(AND(AH!#REF!="Derecha",RASANTE!F14&lt;=PERALTE!#REF!),IF(RASANTE!F14&lt;=PERALTE!#REF!,-2,IF(RASANTE!F14&lt;=PERALTE!#REF!,(-6/(PERALTE!#REF!-PERALTE!#REF!)*(RASANTE!F14-PERALTE!#REF!)-2),IF(RASANTE!F14&lt;=PERALTE!#REF!,-8,IF(RASANTE!F14&lt;=PERALTE!#REF!,(-6/(PERALTE!#REF!-PERALTE!#REF!)*(RASANTE!F14-PERALTE!#REF!)-2),IF(RASANTE!F14&lt;=PERALTE!#REF!,-2))))),IF(AND(AH!#REF!="Izquierda",RASANTE!F14&lt;=PERALTE!#REF!),IF(RASANTE!F14&lt;=PERALTE!#REF!,-2,IF(RASANTE!F14&lt;=PERALTE!#REF!,(10/(PERALTE!#REF!-PERALTE!#REF!)*(RASANTE!F14-PERALTE!#REF!)-2),IF(RASANTE!F14&lt;=PERALTE!#REF!,8,IF(RASANTE!F14&lt;=PERALTE!#REF!,(10/(PERALTE!#REF!-PERALTE!#REF!)*(RASANTE!F14-PERALTE!#REF!)-2))))),IF(AND(AH!#REF!="Derecha",RASANTE!F14&lt;=PERALTE!$AB$26),IF(RASANTE!F14&lt;=PERALTE!$S$26,-2,IF(RASANTE!F14&lt;=PERALTE!$U$26,(-6/(PERALTE!$U$26-PERALTE!$S$26)*(RASANTE!F14-PERALTE!$S$26)-2),IF(RASANTE!F14&lt;=PERALTE!$X$26,-8,IF(RASANTE!F14&lt;=PERALTE!$Z$26,(-6/(PERALTE!$X$26-PERALTE!$Z$26)*(RASANTE!F14-PERALTE!$Z$26)-2),IF(RASANTE!F14&lt;=PERALTE!$AB$26,-2))))),IF(AND(AH!#REF!="Izquierda",RASANTE!F14&lt;=PERALTE!$AB$26),IF(RASANTE!F14&lt;=PERALTE!$Q$26,-2,IF(RASANTE!F14&lt;=PERALTE!$U$26,(10/(PERALTE!$U$26-PERALTE!$Q$26)*(RASANTE!F14-PERALTE!$Q$26)-2),IF(RASANTE!F14&lt;=PERALTE!$X$26,8,IF(RASANTE!F14&lt;=PERALTE!$AB$26,(10/(PERALTE!$X$26-PERALTE!$AB$26)*(RASANTE!F14-PERALTE!$AB$26)-2))))),IF(F14&lt;=PERALTE!#REF!,-2,"Abscisa fuera de la vía")))))))))))))))))))))</f>
        <v>-2</v>
      </c>
      <c r="J14" s="28">
        <f t="shared" si="1"/>
        <v>1647.1420000000003</v>
      </c>
      <c r="K14" s="356">
        <f>+IF(AND(AV!$S$6&lt;F189,F189&lt;=AV!$T$6),AV!$P$6*((AV!$S$6-RASANTE!F189)/(AV!$N$6))^2,IF(AND(AV!$T$6&lt;RASANTE!F189,F189&lt;AV!$U$6),AV!$P$6*((AV!$U$6-RASANTE!F189)/(AV!$O$6))^2,IF(AND(AV!$S$8&lt;F189,F189&lt;=AV!$T$8),AV!$P$8*((AV!$S$8-RASANTE!F189)/(AV!$N$8))^2,IF(AND(AV!$T$8&lt;RASANTE!F189,F189&lt;AV!$U$8),AV!$P$8*((AV!$U$8-RASANTE!F189)/(AV!$O$8))^2,IF(AND(AV!$S$10&lt;F189,F189&lt;=AV!$T$10),AV!$P$10*((AV!$S$10-RASANTE!F189)/(AV!$N$10))^2,IF(AND(AV!$T$10&lt;RASANTE!F189,F189&lt;AV!$U$10),AV!$P$10*((AV!$U$10-RASANTE!F189)/(AV!$O$10))^2,IF(AND(AV!$S$12&lt;F189,F189&lt;=AV!$T$12),AV!$P$12*((AV!$S$12-RASANTE!F189)/(AV!$N$12))^2,IF(AND(AV!$T$12&lt;RASANTE!F189,F189&lt;AV!$U$12),AV!$P$12*((AV!$U$12-RASANTE!F189)/(AV!$O$12))^2,IF(AND(AV!$S$14&lt;F189,F189&lt;=AV!$T$14),AV!$P$14*((AV!$S$14-RASANTE!F189)/(AV!$N$14))^2,IF(AND(AV!$T$14&lt;RASANTE!F189,F189&lt;AV!$U$14),AV!$P$14*((AV!$U$14-RASANTE!F189)/(AV!$O$14))^2,IF(AND(AV!$S$16&lt;F189,F189&lt;=AV!$T$16),AV!$P$16*((AV!$S$16-RASANTE!F189)/(AV!$N$16))^2,IF(AND(AV!$T$16&lt;RASANTE!F189,F189&lt;AV!$U$16),AV!$P$16*((AV!$U$16-RASANTE!F189)/(AV!$O$16))^2,IF(AND(AV!$S$18&lt;F189,F189&lt;=AV!$T$18),AV!$P$18*((AV!$S$18-RASANTE!F189)/(AV!$N$18))^2,IF(AND(AV!$T$18&lt;RASANTE!F189,F189&lt;AV!$U$18),AV!$P$18*((AV!$U$18-RASANTE!F189)/(AV!$O$18))^2,IF(AND(AV!$S$20&lt;F189,F189&lt;=AV!$T$20),AV!$P$20*((AV!$S$20-RASANTE!F189)/(AV!$N$20))^2,IF(AND(AV!$T$20&lt;RASANTE!F189,F189&lt;AV!$U$20),AV!$P$20*((AV!$U$20-RASANTE!F189)/(AV!$O$20))^2,IF(AND(AV!$S$22&lt;F189,F189&lt;=AV!$T$22),AV!$P$22*((AV!$S$22-RASANTE!F189)/(AV!$N$22))^2,IF(AND(AV!$T$22&lt;RASANTE!F189,F189&lt;AV!$U$22),AV!$P$22*((AV!$U$22-RASANTE!F189)/(AV!$O$22))^2,IF(AND(AV!$S$24&lt;F189,F189&lt;=AV!$T$24),AV!$P$24*((AV!$S$24-RASANTE!F189)/(AV!$N$24))^2,IF(AND(AV!$T$24&lt;RASANTE!F189,F189&lt;AV!$U$24),AV!$P$24*((AV!$U$24-RASANTE!F189)/(AV!$O$24))^2,0))))))))))))))))))))</f>
        <v>0</v>
      </c>
      <c r="L14" s="28">
        <f>+M14+H14%*PERALTE!$C$32</f>
        <v>1647.0720000000003</v>
      </c>
      <c r="M14" s="28">
        <f t="shared" si="0"/>
        <v>1647.1420000000003</v>
      </c>
      <c r="N14" s="28">
        <f>+M14+I14%*PERALTE!$C$32</f>
        <v>1647.0720000000003</v>
      </c>
      <c r="O14" s="92"/>
      <c r="P14" s="84"/>
      <c r="Q14" s="105" t="s">
        <v>146</v>
      </c>
      <c r="R14" s="105" t="s">
        <v>147</v>
      </c>
      <c r="S14" s="106" t="s">
        <v>148</v>
      </c>
      <c r="T14" s="106" t="s">
        <v>149</v>
      </c>
      <c r="U14" s="84"/>
      <c r="V14" s="84"/>
      <c r="W14" s="84"/>
      <c r="X14" s="84"/>
      <c r="Y14" s="84"/>
    </row>
    <row r="15" spans="1:25" ht="16" x14ac:dyDescent="0.2">
      <c r="A15" s="90"/>
      <c r="B15" s="107"/>
      <c r="C15" s="107"/>
      <c r="D15" s="107"/>
      <c r="E15" s="91"/>
      <c r="F15" s="34">
        <v>110</v>
      </c>
      <c r="G15" s="88">
        <f>IF(F15&lt;=AV!$T$6,AV!$C$5,IF(RASANTE!F15&lt;=AV!$T$8,AV!$C$7,IF(RASANTE!F15&lt;=AV!$T$10,AV!$C$9,IF(RASANTE!F15&lt;=AV!$T$12,AV!#REF!,IF(RASANTE!F15&lt;=AV!$T$14,AV!$C$11,IF(RASANTE!F15&lt;=AV!$T$16,AV!$C$13, IF(RASANTE!F15&lt;=AV!$T$18,AV!$C$15,IF(RASANTE!F15&lt;=AV!$T$20,AV!$C$19,IF(RASANTE!F15&lt;=AV!$T$22,AV!$C$21,IF(RASANTE!F15&lt;=AV!$T$24,AV!$C$23,AV!$C$25))))))))))</f>
        <v>3.1419999999999999</v>
      </c>
      <c r="H15" s="28">
        <f>+IF(AND(AH!$H$8="Izquierda",RASANTE!F15&lt;=PERALTE!$AB$6),IF(RASANTE!F15&lt;=PERALTE!$S$6,-2,IF(RASANTE!F15&lt;=PERALTE!$U$6,(-6/(PERALTE!$U$6-PERALTE!$S$6)*(RASANTE!F15-PERALTE!$S$6)-2),IF(RASANTE!F15&lt;=PERALTE!$X$6,-8,IF(RASANTE!F15&lt;=PERALTE!$Z$6,(-6/(PERALTE!$X$6-PERALTE!$Z$6)*(RASANTE!F15-PERALTE!$Z$6)-2),IF(RASANTE!F15&lt;=PERALTE!$AB$6,-2))))),IF(AND(AH!$H$8="Derecha",RASANTE!F15&lt;=PERALTE!$AB$6),IF(RASANTE!F15&lt;=PERALTE!$Q$6,-2,IF(RASANTE!F15&lt;=PERALTE!$U$6,(10/(PERALTE!$U$6-PERALTE!$Q$6)*(RASANTE!F15-PERALTE!$Q$6)-2),IF(RASANTE!F15&lt;=PERALTE!$X$6,8,IF(RASANTE!F15&lt;=PERALTE!$AB$6,(10/(PERALTE!$X$6-PERALTE!$AB$6)*(RASANTE!F15-PERALTE!$AB$6)-2))))),IF(AND(AH!$H$10="Izquierda",RASANTE!F15&lt;=PERALTE!$AB$8),IF(RASANTE!F15&lt;=PERALTE!$S$8,-2,IF(RASANTE!F15&lt;=PERALTE!$U$8,(-6/(PERALTE!$U$8-PERALTE!$S$8)*(RASANTE!F15-PERALTE!$S$8)-2),IF(RASANTE!F15&lt;=PERALTE!$X$8,-8,IF(RASANTE!F15&lt;=PERALTE!$Z$8,(-6/(PERALTE!$X$8-PERALTE!$Z$8)*(RASANTE!F15-PERALTE!$Z$8)-2),IF(RASANTE!F15&lt;=PERALTE!$AB$8,-2))))),IF(AND(AH!$H$10="Derecha",RASANTE!F15&lt;=PERALTE!$AB$8),IF(RASANTE!F15&lt;=PERALTE!$Q$8,-2,IF(RASANTE!F15&lt;=PERALTE!$U$8,(10/(PERALTE!$U$8-PERALTE!$Q$8)*(RASANTE!F15-PERALTE!$Q$8)-2),IF(RASANTE!F15&lt;=PERALTE!$X$8,8,IF(RASANTE!F15&lt;=PERALTE!$AB$8,(10/(PERALTE!$X$8-PERALTE!$AB$8)*(RASANTE!F15-PERALTE!$AB$8)-2))))),IF(AND(AH!$H$12="Izquierda",RASANTE!F15&lt;=PERALTE!$AB$10),IF(RASANTE!F15&lt;=PERALTE!$S$10,-2,IF(RASANTE!F15&lt;=PERALTE!$U$10,(-6/(PERALTE!$U$10-PERALTE!$S$10)*(RASANTE!F15-PERALTE!$S$10)-2),IF(RASANTE!F15&lt;=PERALTE!$X$10,-8,IF(RASANTE!F15&lt;=PERALTE!$Z$10,(-6/(PERALTE!$X$10-PERALTE!$Z$10)*(RASANTE!F15-PERALTE!$Z$10)-2),IF(RASANTE!F15&lt;=PERALTE!$AB$10,-2))))),IF(AND(AH!$H$12="Derecha",RASANTE!F15&lt;=PERALTE!$AB$10),IF(RASANTE!F15&lt;=PERALTE!$Q$10,-2,IF(RASANTE!F15&lt;=PERALTE!$U$10,(10/(PERALTE!$U$10-PERALTE!$Q$10)*(RASANTE!F15-PERALTE!$Q$10)-2),IF(RASANTE!F15&lt;=PERALTE!$X$10,8,IF(RASANTE!F15&lt;=PERALTE!$AB$10,(10/(PERALTE!$X$10-PERALTE!$AB$10)*(RASANTE!F15-PERALTE!$AB$10)-2))))),IF(AND(AH!$H$14="Izquierda",RASANTE!F15&lt;=PERALTE!$AB$12),IF(RASANTE!F15&lt;=PERALTE!$S$12,-2,IF(RASANTE!F15&lt;=PERALTE!$U$12,(-6/(PERALTE!$U$12-PERALTE!$S$12)*(RASANTE!F15-PERALTE!$S$12)-2),IF(RASANTE!F15&lt;=PERALTE!$X$12,-8,IF(RASANTE!F15&lt;=PERALTE!$Z$12,(-6/(PERALTE!$X$12-PERALTE!$Z$12)*(RASANTE!F15-PERALTE!$Z$12)-2),IF(RASANTE!F15&lt;=PERALTE!$AB$12,-2))))),IF(AND(AH!$H$14="Derecha",RASANTE!F15&lt;=PERALTE!$AB$12),IF(RASANTE!F15&lt;=PERALTE!$Q$12,-2,IF(RASANTE!F15&lt;=PERALTE!$U$12,(10/(PERALTE!$U$12-PERALTE!$Q$12)*(RASANTE!F15-PERALTE!$Q$12)-2),IF(RASANTE!F15&lt;=PERALTE!$X$12,8,IF(RASANTE!F15&lt;=PERALTE!$AB$12,(10/(PERALTE!$X$12-PERALTE!$AB$12)*(RASANTE!F15-PERALTE!$AB$12)-2))))),IF(AND(AH!$H$16="Izquierda",RASANTE!F15&lt;=PERALTE!$AB$14),IF(RASANTE!F15&lt;=PERALTE!$S$14,-2,IF(RASANTE!F15&lt;=PERALTE!$U$14,(-6/(PERALTE!$U$14-PERALTE!$S$14)*(RASANTE!F15-PERALTE!$S$14)-2),IF(RASANTE!F15&lt;=PERALTE!$X$14,-8,IF(RASANTE!F15&lt;=PERALTE!$Z$14,(-6/(PERALTE!$X$14-PERALTE!$Z$14)*(RASANTE!F15-PERALTE!$Z$14)-2),IF(RASANTE!F15&lt;=PERALTE!$AB$14,-2))))),IF(AND(AH!$H$16="Derecha",RASANTE!F15&lt;=PERALTE!$AB$14),IF(RASANTE!F15&lt;=PERALTE!$Q$14,-2,IF(RASANTE!F15&lt;=PERALTE!$U$14,(10/(PERALTE!$U$14-PERALTE!$Q$14)*(RASANTE!F15-PERALTE!$Q$14)-2),IF(RASANTE!F15&lt;=PERALTE!$X$14,8,IF(RASANTE!F15&lt;=PERALTE!$AB$14,(10/(PERALTE!$X$14-PERALTE!$AB$14)*(RASANTE!F15-PERALTE!$AB$14)-2))))),IF(AND(AH!$H$18="Izquierda",RASANTE!F15&lt;=PERALTE!$AB$16),IF(RASANTE!F15&lt;=PERALTE!$S$16,-2,IF(RASANTE!F15&lt;=PERALTE!$U$16,(-6/(PERALTE!$U$16-PERALTE!$S$16)*(RASANTE!F15-PERALTE!$S$16)-2),IF(RASANTE!F15&lt;=PERALTE!$X$16,-8,IF(RASANTE!F15&lt;=PERALTE!$Z$16,(-6/(PERALTE!$X$16-PERALTE!$Z$16)*(RASANTE!F15-PERALTE!$Z$16)-2),IF(RASANTE!F15&lt;=PERALTE!$AB$16,-2))))),IF(AND(AH!$H$18="Derecha",RASANTE!F15&lt;=PERALTE!$AB$16),IF(RASANTE!F15&lt;=PERALTE!$Q$16,-2,IF(RASANTE!F15&lt;=PERALTE!$U$16,(10/(PERALTE!$U$16-PERALTE!$Q$16)*(RASANTE!F15-PERALTE!$Q$16)-2),IF(RASANTE!F15&lt;=PERALTE!$X$16,8,IF(RASANTE!F15&lt;=PERALTE!$AB$16,(10/(PERALTE!$X$16-PERALTE!$AB$16)*(RASANTE!F15-PERALTE!$AB$16)-2))))),IF(AND(AH!$H$20="Izquierda",RASANTE!F15&lt;=PERALTE!$AB$18),IF(RASANTE!F15&lt;=PERALTE!$S$18,-2,IF(RASANTE!F15&lt;=PERALTE!$U$18,(-6/(PERALTE!$U$18-PERALTE!$S$18)*(RASANTE!F15-PERALTE!$S$18)-2),IF(RASANTE!F15&lt;=PERALTE!$X$18,-8,IF(RASANTE!F15&lt;=PERALTE!$Z$18,(-6/(PERALTE!$X$18-PERALTE!$Z$18)*(RASANTE!F15-PERALTE!$Z$18)-2),IF(RASANTE!F15&lt;=PERALTE!$AB$18,-2))))),IF(AND(AH!$H$20="Derecha",RASANTE!F15&lt;=PERALTE!$AB$18),IF(RASANTE!F15&lt;=PERALTE!$Q$18,-2,IF(RASANTE!F15&lt;=PERALTE!$U$18,(10/(PERALTE!$U$18-PERALTE!$Q$18)*(RASANTE!F15-PERALTE!$Q$18)-2),IF(RASANTE!F15&lt;=PERALTE!$X$18,8,IF(RASANTE!F15&lt;=PERALTE!$AB$18,(10/(PERALTE!$X$18-PERALTE!$AB$18)*(RASANTE!F15-PERALTE!$AB$18)-2))))),IF(AND(AH!$H$24="Izquierda",RASANTE!F15&lt;=PERALTE!$AB$22),IF(RASANTE!F15&lt;=PERALTE!$S$22,-2,IF(RASANTE!F15&lt;=PERALTE!$U$22,(-6/(PERALTE!$U$22-PERALTE!$S$22)*(RASANTE!F15-PERALTE!$S$22)-2),IF(RASANTE!F15&lt;=PERALTE!$X$22,-8,IF(RASANTE!F15&lt;=PERALTE!$Z$22,(-6/(PERALTE!$X$22-PERALTE!$Z$22)*(RASANTE!F15-PERALTE!$Z$22)-2),IF(RASANTE!F15&lt;=PERALTE!$AB$22,-2))))),IF(AND(AH!$H$24="Derecha",RASANTE!F15&lt;=PERALTE!$AB$22),IF(RASANTE!F15&lt;=PERALTE!$Q$22,-2,IF(RASANTE!F15&lt;=PERALTE!$U$22,(10/(PERALTE!$U$22-PERALTE!$Q$22)*(RASANTE!F15-PERALTE!$Q$22)-2),IF(RASANTE!F15&lt;=PERALTE!$X$22,8,IF(RASANTE!F15&lt;=PERALTE!$AB$22,(10/(PERALTE!$X$22-PERALTE!$AB$22)*(RASANTE!F15-PERALTE!$AB$22)-2))))),IF(AND(AH!#REF!="Izquierda",RASANTE!F15&lt;=PERALTE!#REF!),IF(RASANTE!F15&lt;=PERALTE!#REF!,-2,IF(RASANTE!F15&lt;=PERALTE!#REF!,(-6/(PERALTE!#REF!-PERALTE!#REF!)*(RASANTE!F15-PERALTE!#REF!)-2),IF(RASANTE!F15&lt;=PERALTE!#REF!,-8,IF(RASANTE!F15&lt;=PERALTE!#REF!,(-6/(PERALTE!#REF!-PERALTE!#REF!)*(RASANTE!F15-PERALTE!#REF!)-2),IF(RASANTE!F15&lt;=PERALTE!#REF!,-2))))),IF(AND(AH!#REF!="Derecha",RASANTE!F15&lt;=PERALTE!#REF!),IF(RASANTE!F15&lt;=PERALTE!#REF!,-2,IF(RASANTE!F15&lt;=PERALTE!#REF!,(10/(PERALTE!#REF!-PERALTE!#REF!)*(RASANTE!F15-PERALTE!#REF!)-2),IF(RASANTE!F15&lt;=PERALTE!#REF!,8,IF(RASANTE!F15&lt;=PERALTE!#REF!,(10/(PERALTE!#REF!-PERALTE!#REF!)*(RASANTE!F15-PERALTE!#REF!)-2))))),IF(AND(AH!#REF!="Izquierda",RASANTE!F15&lt;=PERALTE!$AB$26),IF(RASANTE!F15&lt;=PERALTE!$S$26,-2,IF(RASANTE!F15&lt;=PERALTE!$U$26,(-6/(PERALTE!$U$26-PERALTE!$S$26)*(RASANTE!F15-PERALTE!$S$26)-2),IF(RASANTE!F15&lt;=PERALTE!$X$26,-8,IF(RASANTE!F15&lt;=PERALTE!$Z$26,(-6/(PERALTE!$X$26-PERALTE!$Z$26)*(RASANTE!F15-PERALTE!$Z$26)-2),IF(RASANTE!F15&lt;=PERALTE!$AB$26,-2))))),IF(AND(AH!#REF!="Derecha",RASANTE!F15&lt;=PERALTE!$AB$26),IF(RASANTE!F15&lt;=PERALTE!$Q$26,-2,IF(RASANTE!F15&lt;=PERALTE!$U$26,(10/(PERALTE!$U$26-PERALTE!$Q$26)*(RASANTE!F15-PERALTE!$Q$26)-2),IF(RASANTE!F15&lt;=PERALTE!$X$26,8,IF(RASANTE!F15&lt;=PERALTE!$AB$26,(10/(PERALTE!$X$26-PERALTE!$AB$26)*(RASANTE!F15-PERALTE!$AB$26)-2))))),IF(F15&lt;=PERALTE!#REF!,-2,"Abscisa fuera de la vía")))))))))))))))))))))</f>
        <v>-2</v>
      </c>
      <c r="I15" s="28">
        <f>+IF(AND(AH!$H$8="Derecha",RASANTE!F15&lt;=PERALTE!$AB$6),IF(RASANTE!F15&lt;=PERALTE!$S$6,-2,IF(RASANTE!F15&lt;=PERALTE!$U$6,(-6/(PERALTE!$U$6-PERALTE!$S$6)*(RASANTE!F15-PERALTE!$S$6)-2),IF(RASANTE!F15&lt;=PERALTE!$X$6,-8,IF(RASANTE!F15&lt;=PERALTE!$Z$6,(-6/(PERALTE!$X$6-PERALTE!$Z$6)*(RASANTE!F15-PERALTE!$Z$6)-2),IF(RASANTE!F15&lt;=PERALTE!$AB$6,-2))))),IF(AND(AH!$H$8="Izquierda",RASANTE!F15&lt;=PERALTE!$AB$6),IF(RASANTE!F15&lt;=PERALTE!$Q$6,-2,IF(RASANTE!F15&lt;=PERALTE!$U$6,(10/(PERALTE!$U$6-PERALTE!$Q$6)*(RASANTE!F15-PERALTE!$Q$6)-2),IF(RASANTE!F15&lt;=PERALTE!$X$6,8,IF(RASANTE!F15&lt;=PERALTE!$AB$6,(10/(PERALTE!$X$6-PERALTE!$AB$6)*(RASANTE!F15-PERALTE!$AB$6)-2))))),IF(AND(AH!$H$10="Derecha",RASANTE!F15&lt;=PERALTE!$AB$8),IF(RASANTE!F15&lt;=PERALTE!$S$8,-2,IF(RASANTE!F15&lt;=PERALTE!$U$8,(-6/(PERALTE!$U$8-PERALTE!$S$8)*(RASANTE!F15-PERALTE!$S$8)-2),IF(RASANTE!F15&lt;=PERALTE!$X$8,-8,IF(RASANTE!F15&lt;=PERALTE!$Z$8,(-6/(PERALTE!$X$8-PERALTE!$Z$8)*(RASANTE!F15-PERALTE!$Z$8)-2),IF(RASANTE!F15&lt;=PERALTE!$AB$8,-2))))),IF(AND(AH!$H$10="Izquierda",RASANTE!F15&lt;=PERALTE!$AB$8),IF(RASANTE!F15&lt;=PERALTE!$Q$8,-2,IF(RASANTE!F15&lt;=PERALTE!$U$8,(10/(PERALTE!$U$8-PERALTE!$Q$8)*(RASANTE!F15-PERALTE!$Q$8)-2),IF(RASANTE!F15&lt;=PERALTE!$X$8,8,IF(RASANTE!F15&lt;=PERALTE!$AB$8,(10/(PERALTE!$X$8-PERALTE!$AB$8)*(RASANTE!F15-PERALTE!$AB$8)-2))))),IF(AND(AH!$H$12="Derecha",RASANTE!F15&lt;=PERALTE!$AB$10),IF(RASANTE!F15&lt;=PERALTE!$S$10,-2,IF(RASANTE!F15&lt;=PERALTE!$U$10,(-6/(PERALTE!$U$10-PERALTE!$S$10)*(RASANTE!F15-PERALTE!$S$10)-2),IF(RASANTE!F15&lt;=PERALTE!$X$10,-8,IF(RASANTE!F15&lt;=PERALTE!$Z$10,(-6/(PERALTE!$X$10-PERALTE!$Z$10)*(RASANTE!F15-PERALTE!$Z$10)-2),IF(RASANTE!F15&lt;=PERALTE!$AB$10,-2))))),IF(AND(AH!$H$12="Izquierda",RASANTE!F15&lt;=PERALTE!$AB$10),IF(RASANTE!F15&lt;=PERALTE!$Q$10,-2,IF(RASANTE!F15&lt;=PERALTE!$U$10,(10/(PERALTE!$U$10-PERALTE!$Q$10)*(RASANTE!F15-PERALTE!$Q$10)-2),IF(RASANTE!F15&lt;=PERALTE!$X$10,8,IF(RASANTE!F15&lt;=PERALTE!$AB$10,(10/(PERALTE!$X$10-PERALTE!$AB$10)*(RASANTE!F15-PERALTE!$AB$10)-2))))),IF(AND(AH!$H$14="Derecha",RASANTE!F15&lt;=PERALTE!$AB$12),IF(RASANTE!F15&lt;=PERALTE!$S$12,-2,IF(RASANTE!F15&lt;=PERALTE!$U$12,(-6/(PERALTE!$U$12-PERALTE!$S$12)*(RASANTE!F15-PERALTE!$S$12)-2),IF(RASANTE!F15&lt;=PERALTE!$X$12,-8,IF(RASANTE!F15&lt;=PERALTE!$Z$12,(-6/(PERALTE!$X$12-PERALTE!$Z$12)*(RASANTE!F15-PERALTE!$Z$12)-2),IF(RASANTE!F15&lt;=PERALTE!$AB$12,-2))))),IF(AND(AH!$H$14="Izquierda",RASANTE!F15&lt;=PERALTE!$AB$12),IF(RASANTE!F15&lt;=PERALTE!$Q$12,-2,IF(RASANTE!F15&lt;=PERALTE!$U$12,(10/(PERALTE!$U$12-PERALTE!$Q$12)*(RASANTE!F15-PERALTE!$Q$12)-2),IF(RASANTE!F15&lt;=PERALTE!$X$12,8,IF(RASANTE!F15&lt;=PERALTE!$AB$12,(10/(PERALTE!$X$12-PERALTE!$AB$12)*(RASANTE!F15-PERALTE!$AB$12)-2))))),IF(AND(AH!$H$16="Derecha",RASANTE!F15&lt;=PERALTE!$AB$14),IF(RASANTE!F15&lt;=PERALTE!$S$14,-2,IF(RASANTE!F15&lt;=PERALTE!$U$14,(-6/(PERALTE!$U$14-PERALTE!$S$14)*(RASANTE!F15-PERALTE!$S$14)-2),IF(RASANTE!F15&lt;=PERALTE!$X$14,-8,IF(RASANTE!F15&lt;=PERALTE!$Z$14,(-6/(PERALTE!$X$14-PERALTE!$Z$14)*(RASANTE!F15-PERALTE!$Z$14)-2),IF(RASANTE!F15&lt;=PERALTE!$AB$14,-2))))),IF(AND(AH!$H$16="Izquierda",RASANTE!F15&lt;=PERALTE!$AB$14),IF(RASANTE!F15&lt;=PERALTE!$Q$14,-2,IF(RASANTE!F15&lt;=PERALTE!$U$14,(10/(PERALTE!$U$14-PERALTE!$Q$14)*(RASANTE!F15-PERALTE!$Q$14)-2),IF(RASANTE!F15&lt;=PERALTE!$X$14,8,IF(RASANTE!F15&lt;=PERALTE!$AB$14,(10/(PERALTE!$X$14-PERALTE!$AB$14)*(RASANTE!F15-PERALTE!$AB$14)-2))))),IF(AND(AH!$H$18="Derecha",RASANTE!F15&lt;=PERALTE!$AB$16),IF(RASANTE!F15&lt;=PERALTE!$S$16,-2,IF(RASANTE!F15&lt;=PERALTE!$U$16,(-6/(PERALTE!$U$16-PERALTE!$S$16)*(RASANTE!F15-PERALTE!$S$16)-2),IF(RASANTE!F15&lt;=PERALTE!$X$16,-8,IF(RASANTE!F15&lt;=PERALTE!$Z$16,(-6/(PERALTE!$X$16-PERALTE!$Z$16)*(RASANTE!F15-PERALTE!$Z$16)-2),IF(RASANTE!F15&lt;=PERALTE!$AB$16,-2))))),IF(AND(AH!$H$18="Izquierda",RASANTE!F15&lt;=PERALTE!$AB$16),IF(RASANTE!F15&lt;=PERALTE!$Q$16,-2,IF(RASANTE!F15&lt;=PERALTE!$U$16,(10/(PERALTE!$U$16-PERALTE!$Q$16)*(RASANTE!F15-PERALTE!$Q$16)-2),IF(RASANTE!F15&lt;=PERALTE!$X$16,8,IF(RASANTE!F15&lt;=PERALTE!$AB$16,(10/(PERALTE!$X$16-PERALTE!$AB$16)*(RASANTE!F15-PERALTE!$AB$16)-2))))),IF(AND(AH!$H$20="Derecha",RASANTE!F15&lt;=PERALTE!$AB$18),IF(RASANTE!F15&lt;=PERALTE!$S$18,-2,IF(RASANTE!F15&lt;=PERALTE!$U$18,(-6/(PERALTE!$U$18-PERALTE!$S$18)*(RASANTE!F15-PERALTE!$S$18)-2),IF(RASANTE!F15&lt;=PERALTE!$X$18,-8,IF(RASANTE!F15&lt;=PERALTE!$Z$18,(-6/(PERALTE!$X$18-PERALTE!$Z$18)*(RASANTE!F15-PERALTE!$Z$18)-2),IF(RASANTE!F15&lt;=PERALTE!$AB$18,-2))))),IF(AND(AH!$H$20="Izquierda",RASANTE!F15&lt;=PERALTE!$AB$18),IF(RASANTE!F15&lt;=PERALTE!$Q$18,-2,IF(RASANTE!F15&lt;=PERALTE!$U$18,(10/(PERALTE!$U$18-PERALTE!$Q$18)*(RASANTE!F15-PERALTE!$Q$18)-2),IF(RASANTE!F15&lt;=PERALTE!$X$18,8,IF(RASANTE!F15&lt;=PERALTE!$AB$18,(10/(PERALTE!$X$18-PERALTE!$AB$18)*(RASANTE!F15-PERALTE!$AB$18)-2))))),IF(AND(AH!$H$24="Derecha",RASANTE!F15&lt;=PERALTE!$AB$22),IF(RASANTE!F15&lt;=PERALTE!$S$22,-2,IF(RASANTE!F15&lt;=PERALTE!$U$22,(-6/(PERALTE!$U$22-PERALTE!$S$22)*(RASANTE!F15-PERALTE!$S$22)-2),IF(RASANTE!F15&lt;=PERALTE!$X$22,-8,IF(RASANTE!F15&lt;=PERALTE!$Z$22,(-6/(PERALTE!$X$22-PERALTE!$Z$22)*(RASANTE!F15-PERALTE!$Z$22)-2),IF(RASANTE!F15&lt;=PERALTE!$AB$22,-2))))),IF(AND(AH!$H$24="Izquierda",RASANTE!F15&lt;=PERALTE!$AB$22),IF(RASANTE!F15&lt;=PERALTE!$Q$22,-2,IF(RASANTE!F15&lt;=PERALTE!$U$22,(10/(PERALTE!$U$22-PERALTE!$Q$22)*(RASANTE!F15-PERALTE!$Q$22)-2),IF(RASANTE!F15&lt;=PERALTE!$X$22,8,IF(RASANTE!F15&lt;=PERALTE!$AB$22,(10/(PERALTE!$X$22-PERALTE!$AB$22)*(RASANTE!F15-PERALTE!$AB$22)-2))))),IF(AND(AH!#REF!="Derecha",RASANTE!F15&lt;=PERALTE!#REF!),IF(RASANTE!F15&lt;=PERALTE!#REF!,-2,IF(RASANTE!F15&lt;=PERALTE!#REF!,(-6/(PERALTE!#REF!-PERALTE!#REF!)*(RASANTE!F15-PERALTE!#REF!)-2),IF(RASANTE!F15&lt;=PERALTE!#REF!,-8,IF(RASANTE!F15&lt;=PERALTE!#REF!,(-6/(PERALTE!#REF!-PERALTE!#REF!)*(RASANTE!F15-PERALTE!#REF!)-2),IF(RASANTE!F15&lt;=PERALTE!#REF!,-2))))),IF(AND(AH!#REF!="Izquierda",RASANTE!F15&lt;=PERALTE!#REF!),IF(RASANTE!F15&lt;=PERALTE!#REF!,-2,IF(RASANTE!F15&lt;=PERALTE!#REF!,(10/(PERALTE!#REF!-PERALTE!#REF!)*(RASANTE!F15-PERALTE!#REF!)-2),IF(RASANTE!F15&lt;=PERALTE!#REF!,8,IF(RASANTE!F15&lt;=PERALTE!#REF!,(10/(PERALTE!#REF!-PERALTE!#REF!)*(RASANTE!F15-PERALTE!#REF!)-2))))),IF(AND(AH!#REF!="Derecha",RASANTE!F15&lt;=PERALTE!$AB$26),IF(RASANTE!F15&lt;=PERALTE!$S$26,-2,IF(RASANTE!F15&lt;=PERALTE!$U$26,(-6/(PERALTE!$U$26-PERALTE!$S$26)*(RASANTE!F15-PERALTE!$S$26)-2),IF(RASANTE!F15&lt;=PERALTE!$X$26,-8,IF(RASANTE!F15&lt;=PERALTE!$Z$26,(-6/(PERALTE!$X$26-PERALTE!$Z$26)*(RASANTE!F15-PERALTE!$Z$26)-2),IF(RASANTE!F15&lt;=PERALTE!$AB$26,-2))))),IF(AND(AH!#REF!="Izquierda",RASANTE!F15&lt;=PERALTE!$AB$26),IF(RASANTE!F15&lt;=PERALTE!$Q$26,-2,IF(RASANTE!F15&lt;=PERALTE!$U$26,(10/(PERALTE!$U$26-PERALTE!$Q$26)*(RASANTE!F15-PERALTE!$Q$26)-2),IF(RASANTE!F15&lt;=PERALTE!$X$26,8,IF(RASANTE!F15&lt;=PERALTE!$AB$26,(10/(PERALTE!$X$26-PERALTE!$AB$26)*(RASANTE!F15-PERALTE!$AB$26)-2))))),IF(F15&lt;=PERALTE!#REF!,-2,"Abscisa fuera de la vía")))))))))))))))))))))</f>
        <v>-2</v>
      </c>
      <c r="J15" s="28">
        <f t="shared" si="1"/>
        <v>1647.4562000000003</v>
      </c>
      <c r="K15" s="356">
        <f>+IF(AND(AV!$S$6&lt;F190,F190&lt;=AV!$T$6),AV!$P$6*((AV!$S$6-RASANTE!F190)/(AV!$N$6))^2,IF(AND(AV!$T$6&lt;RASANTE!F190,F190&lt;AV!$U$6),AV!$P$6*((AV!$U$6-RASANTE!F190)/(AV!$O$6))^2,IF(AND(AV!$S$8&lt;F190,F190&lt;=AV!$T$8),AV!$P$8*((AV!$S$8-RASANTE!F190)/(AV!$N$8))^2,IF(AND(AV!$T$8&lt;RASANTE!F190,F190&lt;AV!$U$8),AV!$P$8*((AV!$U$8-RASANTE!F190)/(AV!$O$8))^2,IF(AND(AV!$S$10&lt;F190,F190&lt;=AV!$T$10),AV!$P$10*((AV!$S$10-RASANTE!F190)/(AV!$N$10))^2,IF(AND(AV!$T$10&lt;RASANTE!F190,F190&lt;AV!$U$10),AV!$P$10*((AV!$U$10-RASANTE!F190)/(AV!$O$10))^2,IF(AND(AV!$S$12&lt;F190,F190&lt;=AV!$T$12),AV!$P$12*((AV!$S$12-RASANTE!F190)/(AV!$N$12))^2,IF(AND(AV!$T$12&lt;RASANTE!F190,F190&lt;AV!$U$12),AV!$P$12*((AV!$U$12-RASANTE!F190)/(AV!$O$12))^2,IF(AND(AV!$S$14&lt;F190,F190&lt;=AV!$T$14),AV!$P$14*((AV!$S$14-RASANTE!F190)/(AV!$N$14))^2,IF(AND(AV!$T$14&lt;RASANTE!F190,F190&lt;AV!$U$14),AV!$P$14*((AV!$U$14-RASANTE!F190)/(AV!$O$14))^2,IF(AND(AV!$S$16&lt;F190,F190&lt;=AV!$T$16),AV!$P$16*((AV!$S$16-RASANTE!F190)/(AV!$N$16))^2,IF(AND(AV!$T$16&lt;RASANTE!F190,F190&lt;AV!$U$16),AV!$P$16*((AV!$U$16-RASANTE!F190)/(AV!$O$16))^2,IF(AND(AV!$S$18&lt;F190,F190&lt;=AV!$T$18),AV!$P$18*((AV!$S$18-RASANTE!F190)/(AV!$N$18))^2,IF(AND(AV!$T$18&lt;RASANTE!F190,F190&lt;AV!$U$18),AV!$P$18*((AV!$U$18-RASANTE!F190)/(AV!$O$18))^2,IF(AND(AV!$S$20&lt;F190,F190&lt;=AV!$T$20),AV!$P$20*((AV!$S$20-RASANTE!F190)/(AV!$N$20))^2,IF(AND(AV!$T$20&lt;RASANTE!F190,F190&lt;AV!$U$20),AV!$P$20*((AV!$U$20-RASANTE!F190)/(AV!$O$20))^2,IF(AND(AV!$S$22&lt;F190,F190&lt;=AV!$T$22),AV!$P$22*((AV!$S$22-RASANTE!F190)/(AV!$N$22))^2,IF(AND(AV!$T$22&lt;RASANTE!F190,F190&lt;AV!$U$22),AV!$P$22*((AV!$U$22-RASANTE!F190)/(AV!$O$22))^2,IF(AND(AV!$S$24&lt;F190,F190&lt;=AV!$T$24),AV!$P$24*((AV!$S$24-RASANTE!F190)/(AV!$N$24))^2,IF(AND(AV!$T$24&lt;RASANTE!F190,F190&lt;AV!$U$24),AV!$P$24*((AV!$U$24-RASANTE!F190)/(AV!$O$24))^2,0))))))))))))))))))))</f>
        <v>0</v>
      </c>
      <c r="L15" s="28">
        <f>+M15+H15%*PERALTE!$C$32</f>
        <v>1647.3862000000004</v>
      </c>
      <c r="M15" s="28">
        <f t="shared" si="0"/>
        <v>1647.4562000000003</v>
      </c>
      <c r="N15" s="28">
        <f>+M15+I15%*PERALTE!$C$32</f>
        <v>1647.3862000000004</v>
      </c>
      <c r="O15" s="92"/>
      <c r="P15" s="84"/>
      <c r="Q15" s="105" t="s">
        <v>150</v>
      </c>
      <c r="R15" s="105" t="s">
        <v>151</v>
      </c>
      <c r="S15" s="106" t="s">
        <v>150</v>
      </c>
      <c r="T15" s="106" t="s">
        <v>152</v>
      </c>
      <c r="U15" s="84"/>
      <c r="V15" s="84"/>
      <c r="W15" s="84"/>
      <c r="X15" s="84"/>
      <c r="Y15" s="84"/>
    </row>
    <row r="16" spans="1:25" ht="16" x14ac:dyDescent="0.2">
      <c r="A16" s="90"/>
      <c r="B16" s="86"/>
      <c r="C16" s="86"/>
      <c r="D16" s="86"/>
      <c r="E16" s="91"/>
      <c r="F16" s="34">
        <v>120</v>
      </c>
      <c r="G16" s="88">
        <f>IF(F16&lt;=AV!$T$6,AV!$C$5,IF(RASANTE!F16&lt;=AV!$T$8,AV!$C$7,IF(RASANTE!F16&lt;=AV!$T$10,AV!$C$9,IF(RASANTE!F16&lt;=AV!$T$12,AV!#REF!,IF(RASANTE!F16&lt;=AV!$T$14,AV!$C$11,IF(RASANTE!F16&lt;=AV!$T$16,AV!$C$13, IF(RASANTE!F16&lt;=AV!$T$18,AV!$C$15,IF(RASANTE!F16&lt;=AV!$T$20,AV!$C$19,IF(RASANTE!F16&lt;=AV!$T$22,AV!$C$21,IF(RASANTE!F16&lt;=AV!$T$24,AV!$C$23,AV!$C$25))))))))))</f>
        <v>3.1419999999999999</v>
      </c>
      <c r="H16" s="28">
        <f>+IF(AND(AH!$H$8="Izquierda",RASANTE!F16&lt;=PERALTE!$AB$6),IF(RASANTE!F16&lt;=PERALTE!$S$6,-2,IF(RASANTE!F16&lt;=PERALTE!$U$6,(-6/(PERALTE!$U$6-PERALTE!$S$6)*(RASANTE!F16-PERALTE!$S$6)-2),IF(RASANTE!F16&lt;=PERALTE!$X$6,-8,IF(RASANTE!F16&lt;=PERALTE!$Z$6,(-6/(PERALTE!$X$6-PERALTE!$Z$6)*(RASANTE!F16-PERALTE!$Z$6)-2),IF(RASANTE!F16&lt;=PERALTE!$AB$6,-2))))),IF(AND(AH!$H$8="Derecha",RASANTE!F16&lt;=PERALTE!$AB$6),IF(RASANTE!F16&lt;=PERALTE!$Q$6,-2,IF(RASANTE!F16&lt;=PERALTE!$U$6,(10/(PERALTE!$U$6-PERALTE!$Q$6)*(RASANTE!F16-PERALTE!$Q$6)-2),IF(RASANTE!F16&lt;=PERALTE!$X$6,8,IF(RASANTE!F16&lt;=PERALTE!$AB$6,(10/(PERALTE!$X$6-PERALTE!$AB$6)*(RASANTE!F16-PERALTE!$AB$6)-2))))),IF(AND(AH!$H$10="Izquierda",RASANTE!F16&lt;=PERALTE!$AB$8),IF(RASANTE!F16&lt;=PERALTE!$S$8,-2,IF(RASANTE!F16&lt;=PERALTE!$U$8,(-6/(PERALTE!$U$8-PERALTE!$S$8)*(RASANTE!F16-PERALTE!$S$8)-2),IF(RASANTE!F16&lt;=PERALTE!$X$8,-8,IF(RASANTE!F16&lt;=PERALTE!$Z$8,(-6/(PERALTE!$X$8-PERALTE!$Z$8)*(RASANTE!F16-PERALTE!$Z$8)-2),IF(RASANTE!F16&lt;=PERALTE!$AB$8,-2))))),IF(AND(AH!$H$10="Derecha",RASANTE!F16&lt;=PERALTE!$AB$8),IF(RASANTE!F16&lt;=PERALTE!$Q$8,-2,IF(RASANTE!F16&lt;=PERALTE!$U$8,(10/(PERALTE!$U$8-PERALTE!$Q$8)*(RASANTE!F16-PERALTE!$Q$8)-2),IF(RASANTE!F16&lt;=PERALTE!$X$8,8,IF(RASANTE!F16&lt;=PERALTE!$AB$8,(10/(PERALTE!$X$8-PERALTE!$AB$8)*(RASANTE!F16-PERALTE!$AB$8)-2))))),IF(AND(AH!$H$12="Izquierda",RASANTE!F16&lt;=PERALTE!$AB$10),IF(RASANTE!F16&lt;=PERALTE!$S$10,-2,IF(RASANTE!F16&lt;=PERALTE!$U$10,(-6/(PERALTE!$U$10-PERALTE!$S$10)*(RASANTE!F16-PERALTE!$S$10)-2),IF(RASANTE!F16&lt;=PERALTE!$X$10,-8,IF(RASANTE!F16&lt;=PERALTE!$Z$10,(-6/(PERALTE!$X$10-PERALTE!$Z$10)*(RASANTE!F16-PERALTE!$Z$10)-2),IF(RASANTE!F16&lt;=PERALTE!$AB$10,-2))))),IF(AND(AH!$H$12="Derecha",RASANTE!F16&lt;=PERALTE!$AB$10),IF(RASANTE!F16&lt;=PERALTE!$Q$10,-2,IF(RASANTE!F16&lt;=PERALTE!$U$10,(10/(PERALTE!$U$10-PERALTE!$Q$10)*(RASANTE!F16-PERALTE!$Q$10)-2),IF(RASANTE!F16&lt;=PERALTE!$X$10,8,IF(RASANTE!F16&lt;=PERALTE!$AB$10,(10/(PERALTE!$X$10-PERALTE!$AB$10)*(RASANTE!F16-PERALTE!$AB$10)-2))))),IF(AND(AH!$H$14="Izquierda",RASANTE!F16&lt;=PERALTE!$AB$12),IF(RASANTE!F16&lt;=PERALTE!$S$12,-2,IF(RASANTE!F16&lt;=PERALTE!$U$12,(-6/(PERALTE!$U$12-PERALTE!$S$12)*(RASANTE!F16-PERALTE!$S$12)-2),IF(RASANTE!F16&lt;=PERALTE!$X$12,-8,IF(RASANTE!F16&lt;=PERALTE!$Z$12,(-6/(PERALTE!$X$12-PERALTE!$Z$12)*(RASANTE!F16-PERALTE!$Z$12)-2),IF(RASANTE!F16&lt;=PERALTE!$AB$12,-2))))),IF(AND(AH!$H$14="Derecha",RASANTE!F16&lt;=PERALTE!$AB$12),IF(RASANTE!F16&lt;=PERALTE!$Q$12,-2,IF(RASANTE!F16&lt;=PERALTE!$U$12,(10/(PERALTE!$U$12-PERALTE!$Q$12)*(RASANTE!F16-PERALTE!$Q$12)-2),IF(RASANTE!F16&lt;=PERALTE!$X$12,8,IF(RASANTE!F16&lt;=PERALTE!$AB$12,(10/(PERALTE!$X$12-PERALTE!$AB$12)*(RASANTE!F16-PERALTE!$AB$12)-2))))),IF(AND(AH!$H$16="Izquierda",RASANTE!F16&lt;=PERALTE!$AB$14),IF(RASANTE!F16&lt;=PERALTE!$S$14,-2,IF(RASANTE!F16&lt;=PERALTE!$U$14,(-6/(PERALTE!$U$14-PERALTE!$S$14)*(RASANTE!F16-PERALTE!$S$14)-2),IF(RASANTE!F16&lt;=PERALTE!$X$14,-8,IF(RASANTE!F16&lt;=PERALTE!$Z$14,(-6/(PERALTE!$X$14-PERALTE!$Z$14)*(RASANTE!F16-PERALTE!$Z$14)-2),IF(RASANTE!F16&lt;=PERALTE!$AB$14,-2))))),IF(AND(AH!$H$16="Derecha",RASANTE!F16&lt;=PERALTE!$AB$14),IF(RASANTE!F16&lt;=PERALTE!$Q$14,-2,IF(RASANTE!F16&lt;=PERALTE!$U$14,(10/(PERALTE!$U$14-PERALTE!$Q$14)*(RASANTE!F16-PERALTE!$Q$14)-2),IF(RASANTE!F16&lt;=PERALTE!$X$14,8,IF(RASANTE!F16&lt;=PERALTE!$AB$14,(10/(PERALTE!$X$14-PERALTE!$AB$14)*(RASANTE!F16-PERALTE!$AB$14)-2))))),IF(AND(AH!$H$18="Izquierda",RASANTE!F16&lt;=PERALTE!$AB$16),IF(RASANTE!F16&lt;=PERALTE!$S$16,-2,IF(RASANTE!F16&lt;=PERALTE!$U$16,(-6/(PERALTE!$U$16-PERALTE!$S$16)*(RASANTE!F16-PERALTE!$S$16)-2),IF(RASANTE!F16&lt;=PERALTE!$X$16,-8,IF(RASANTE!F16&lt;=PERALTE!$Z$16,(-6/(PERALTE!$X$16-PERALTE!$Z$16)*(RASANTE!F16-PERALTE!$Z$16)-2),IF(RASANTE!F16&lt;=PERALTE!$AB$16,-2))))),IF(AND(AH!$H$18="Derecha",RASANTE!F16&lt;=PERALTE!$AB$16),IF(RASANTE!F16&lt;=PERALTE!$Q$16,-2,IF(RASANTE!F16&lt;=PERALTE!$U$16,(10/(PERALTE!$U$16-PERALTE!$Q$16)*(RASANTE!F16-PERALTE!$Q$16)-2),IF(RASANTE!F16&lt;=PERALTE!$X$16,8,IF(RASANTE!F16&lt;=PERALTE!$AB$16,(10/(PERALTE!$X$16-PERALTE!$AB$16)*(RASANTE!F16-PERALTE!$AB$16)-2))))),IF(AND(AH!$H$20="Izquierda",RASANTE!F16&lt;=PERALTE!$AB$18),IF(RASANTE!F16&lt;=PERALTE!$S$18,-2,IF(RASANTE!F16&lt;=PERALTE!$U$18,(-6/(PERALTE!$U$18-PERALTE!$S$18)*(RASANTE!F16-PERALTE!$S$18)-2),IF(RASANTE!F16&lt;=PERALTE!$X$18,-8,IF(RASANTE!F16&lt;=PERALTE!$Z$18,(-6/(PERALTE!$X$18-PERALTE!$Z$18)*(RASANTE!F16-PERALTE!$Z$18)-2),IF(RASANTE!F16&lt;=PERALTE!$AB$18,-2))))),IF(AND(AH!$H$20="Derecha",RASANTE!F16&lt;=PERALTE!$AB$18),IF(RASANTE!F16&lt;=PERALTE!$Q$18,-2,IF(RASANTE!F16&lt;=PERALTE!$U$18,(10/(PERALTE!$U$18-PERALTE!$Q$18)*(RASANTE!F16-PERALTE!$Q$18)-2),IF(RASANTE!F16&lt;=PERALTE!$X$18,8,IF(RASANTE!F16&lt;=PERALTE!$AB$18,(10/(PERALTE!$X$18-PERALTE!$AB$18)*(RASANTE!F16-PERALTE!$AB$18)-2))))),IF(AND(AH!$H$24="Izquierda",RASANTE!F16&lt;=PERALTE!$AB$22),IF(RASANTE!F16&lt;=PERALTE!$S$22,-2,IF(RASANTE!F16&lt;=PERALTE!$U$22,(-6/(PERALTE!$U$22-PERALTE!$S$22)*(RASANTE!F16-PERALTE!$S$22)-2),IF(RASANTE!F16&lt;=PERALTE!$X$22,-8,IF(RASANTE!F16&lt;=PERALTE!$Z$22,(-6/(PERALTE!$X$22-PERALTE!$Z$22)*(RASANTE!F16-PERALTE!$Z$22)-2),IF(RASANTE!F16&lt;=PERALTE!$AB$22,-2))))),IF(AND(AH!$H$24="Derecha",RASANTE!F16&lt;=PERALTE!$AB$22),IF(RASANTE!F16&lt;=PERALTE!$Q$22,-2,IF(RASANTE!F16&lt;=PERALTE!$U$22,(10/(PERALTE!$U$22-PERALTE!$Q$22)*(RASANTE!F16-PERALTE!$Q$22)-2),IF(RASANTE!F16&lt;=PERALTE!$X$22,8,IF(RASANTE!F16&lt;=PERALTE!$AB$22,(10/(PERALTE!$X$22-PERALTE!$AB$22)*(RASANTE!F16-PERALTE!$AB$22)-2))))),IF(AND(AH!#REF!="Izquierda",RASANTE!F16&lt;=PERALTE!#REF!),IF(RASANTE!F16&lt;=PERALTE!#REF!,-2,IF(RASANTE!F16&lt;=PERALTE!#REF!,(-6/(PERALTE!#REF!-PERALTE!#REF!)*(RASANTE!F16-PERALTE!#REF!)-2),IF(RASANTE!F16&lt;=PERALTE!#REF!,-8,IF(RASANTE!F16&lt;=PERALTE!#REF!,(-6/(PERALTE!#REF!-PERALTE!#REF!)*(RASANTE!F16-PERALTE!#REF!)-2),IF(RASANTE!F16&lt;=PERALTE!#REF!,-2))))),IF(AND(AH!#REF!="Derecha",RASANTE!F16&lt;=PERALTE!#REF!),IF(RASANTE!F16&lt;=PERALTE!#REF!,-2,IF(RASANTE!F16&lt;=PERALTE!#REF!,(10/(PERALTE!#REF!-PERALTE!#REF!)*(RASANTE!F16-PERALTE!#REF!)-2),IF(RASANTE!F16&lt;=PERALTE!#REF!,8,IF(RASANTE!F16&lt;=PERALTE!#REF!,(10/(PERALTE!#REF!-PERALTE!#REF!)*(RASANTE!F16-PERALTE!#REF!)-2))))),IF(AND(AH!#REF!="Izquierda",RASANTE!F16&lt;=PERALTE!$AB$26),IF(RASANTE!F16&lt;=PERALTE!$S$26,-2,IF(RASANTE!F16&lt;=PERALTE!$U$26,(-6/(PERALTE!$U$26-PERALTE!$S$26)*(RASANTE!F16-PERALTE!$S$26)-2),IF(RASANTE!F16&lt;=PERALTE!$X$26,-8,IF(RASANTE!F16&lt;=PERALTE!$Z$26,(-6/(PERALTE!$X$26-PERALTE!$Z$26)*(RASANTE!F16-PERALTE!$Z$26)-2),IF(RASANTE!F16&lt;=PERALTE!$AB$26,-2))))),IF(AND(AH!#REF!="Derecha",RASANTE!F16&lt;=PERALTE!$AB$26),IF(RASANTE!F16&lt;=PERALTE!$Q$26,-2,IF(RASANTE!F16&lt;=PERALTE!$U$26,(10/(PERALTE!$U$26-PERALTE!$Q$26)*(RASANTE!F16-PERALTE!$Q$26)-2),IF(RASANTE!F16&lt;=PERALTE!$X$26,8,IF(RASANTE!F16&lt;=PERALTE!$AB$26,(10/(PERALTE!$X$26-PERALTE!$AB$26)*(RASANTE!F16-PERALTE!$AB$26)-2))))),IF(F16&lt;=PERALTE!#REF!,-2,"Abscisa fuera de la vía")))))))))))))))))))))</f>
        <v>-2</v>
      </c>
      <c r="I16" s="28">
        <f>+IF(AND(AH!$H$8="Derecha",RASANTE!F16&lt;=PERALTE!$AB$6),IF(RASANTE!F16&lt;=PERALTE!$S$6,-2,IF(RASANTE!F16&lt;=PERALTE!$U$6,(-6/(PERALTE!$U$6-PERALTE!$S$6)*(RASANTE!F16-PERALTE!$S$6)-2),IF(RASANTE!F16&lt;=PERALTE!$X$6,-8,IF(RASANTE!F16&lt;=PERALTE!$Z$6,(-6/(PERALTE!$X$6-PERALTE!$Z$6)*(RASANTE!F16-PERALTE!$Z$6)-2),IF(RASANTE!F16&lt;=PERALTE!$AB$6,-2))))),IF(AND(AH!$H$8="Izquierda",RASANTE!F16&lt;=PERALTE!$AB$6),IF(RASANTE!F16&lt;=PERALTE!$Q$6,-2,IF(RASANTE!F16&lt;=PERALTE!$U$6,(10/(PERALTE!$U$6-PERALTE!$Q$6)*(RASANTE!F16-PERALTE!$Q$6)-2),IF(RASANTE!F16&lt;=PERALTE!$X$6,8,IF(RASANTE!F16&lt;=PERALTE!$AB$6,(10/(PERALTE!$X$6-PERALTE!$AB$6)*(RASANTE!F16-PERALTE!$AB$6)-2))))),IF(AND(AH!$H$10="Derecha",RASANTE!F16&lt;=PERALTE!$AB$8),IF(RASANTE!F16&lt;=PERALTE!$S$8,-2,IF(RASANTE!F16&lt;=PERALTE!$U$8,(-6/(PERALTE!$U$8-PERALTE!$S$8)*(RASANTE!F16-PERALTE!$S$8)-2),IF(RASANTE!F16&lt;=PERALTE!$X$8,-8,IF(RASANTE!F16&lt;=PERALTE!$Z$8,(-6/(PERALTE!$X$8-PERALTE!$Z$8)*(RASANTE!F16-PERALTE!$Z$8)-2),IF(RASANTE!F16&lt;=PERALTE!$AB$8,-2))))),IF(AND(AH!$H$10="Izquierda",RASANTE!F16&lt;=PERALTE!$AB$8),IF(RASANTE!F16&lt;=PERALTE!$Q$8,-2,IF(RASANTE!F16&lt;=PERALTE!$U$8,(10/(PERALTE!$U$8-PERALTE!$Q$8)*(RASANTE!F16-PERALTE!$Q$8)-2),IF(RASANTE!F16&lt;=PERALTE!$X$8,8,IF(RASANTE!F16&lt;=PERALTE!$AB$8,(10/(PERALTE!$X$8-PERALTE!$AB$8)*(RASANTE!F16-PERALTE!$AB$8)-2))))),IF(AND(AH!$H$12="Derecha",RASANTE!F16&lt;=PERALTE!$AB$10),IF(RASANTE!F16&lt;=PERALTE!$S$10,-2,IF(RASANTE!F16&lt;=PERALTE!$U$10,(-6/(PERALTE!$U$10-PERALTE!$S$10)*(RASANTE!F16-PERALTE!$S$10)-2),IF(RASANTE!F16&lt;=PERALTE!$X$10,-8,IF(RASANTE!F16&lt;=PERALTE!$Z$10,(-6/(PERALTE!$X$10-PERALTE!$Z$10)*(RASANTE!F16-PERALTE!$Z$10)-2),IF(RASANTE!F16&lt;=PERALTE!$AB$10,-2))))),IF(AND(AH!$H$12="Izquierda",RASANTE!F16&lt;=PERALTE!$AB$10),IF(RASANTE!F16&lt;=PERALTE!$Q$10,-2,IF(RASANTE!F16&lt;=PERALTE!$U$10,(10/(PERALTE!$U$10-PERALTE!$Q$10)*(RASANTE!F16-PERALTE!$Q$10)-2),IF(RASANTE!F16&lt;=PERALTE!$X$10,8,IF(RASANTE!F16&lt;=PERALTE!$AB$10,(10/(PERALTE!$X$10-PERALTE!$AB$10)*(RASANTE!F16-PERALTE!$AB$10)-2))))),IF(AND(AH!$H$14="Derecha",RASANTE!F16&lt;=PERALTE!$AB$12),IF(RASANTE!F16&lt;=PERALTE!$S$12,-2,IF(RASANTE!F16&lt;=PERALTE!$U$12,(-6/(PERALTE!$U$12-PERALTE!$S$12)*(RASANTE!F16-PERALTE!$S$12)-2),IF(RASANTE!F16&lt;=PERALTE!$X$12,-8,IF(RASANTE!F16&lt;=PERALTE!$Z$12,(-6/(PERALTE!$X$12-PERALTE!$Z$12)*(RASANTE!F16-PERALTE!$Z$12)-2),IF(RASANTE!F16&lt;=PERALTE!$AB$12,-2))))),IF(AND(AH!$H$14="Izquierda",RASANTE!F16&lt;=PERALTE!$AB$12),IF(RASANTE!F16&lt;=PERALTE!$Q$12,-2,IF(RASANTE!F16&lt;=PERALTE!$U$12,(10/(PERALTE!$U$12-PERALTE!$Q$12)*(RASANTE!F16-PERALTE!$Q$12)-2),IF(RASANTE!F16&lt;=PERALTE!$X$12,8,IF(RASANTE!F16&lt;=PERALTE!$AB$12,(10/(PERALTE!$X$12-PERALTE!$AB$12)*(RASANTE!F16-PERALTE!$AB$12)-2))))),IF(AND(AH!$H$16="Derecha",RASANTE!F16&lt;=PERALTE!$AB$14),IF(RASANTE!F16&lt;=PERALTE!$S$14,-2,IF(RASANTE!F16&lt;=PERALTE!$U$14,(-6/(PERALTE!$U$14-PERALTE!$S$14)*(RASANTE!F16-PERALTE!$S$14)-2),IF(RASANTE!F16&lt;=PERALTE!$X$14,-8,IF(RASANTE!F16&lt;=PERALTE!$Z$14,(-6/(PERALTE!$X$14-PERALTE!$Z$14)*(RASANTE!F16-PERALTE!$Z$14)-2),IF(RASANTE!F16&lt;=PERALTE!$AB$14,-2))))),IF(AND(AH!$H$16="Izquierda",RASANTE!F16&lt;=PERALTE!$AB$14),IF(RASANTE!F16&lt;=PERALTE!$Q$14,-2,IF(RASANTE!F16&lt;=PERALTE!$U$14,(10/(PERALTE!$U$14-PERALTE!$Q$14)*(RASANTE!F16-PERALTE!$Q$14)-2),IF(RASANTE!F16&lt;=PERALTE!$X$14,8,IF(RASANTE!F16&lt;=PERALTE!$AB$14,(10/(PERALTE!$X$14-PERALTE!$AB$14)*(RASANTE!F16-PERALTE!$AB$14)-2))))),IF(AND(AH!$H$18="Derecha",RASANTE!F16&lt;=PERALTE!$AB$16),IF(RASANTE!F16&lt;=PERALTE!$S$16,-2,IF(RASANTE!F16&lt;=PERALTE!$U$16,(-6/(PERALTE!$U$16-PERALTE!$S$16)*(RASANTE!F16-PERALTE!$S$16)-2),IF(RASANTE!F16&lt;=PERALTE!$X$16,-8,IF(RASANTE!F16&lt;=PERALTE!$Z$16,(-6/(PERALTE!$X$16-PERALTE!$Z$16)*(RASANTE!F16-PERALTE!$Z$16)-2),IF(RASANTE!F16&lt;=PERALTE!$AB$16,-2))))),IF(AND(AH!$H$18="Izquierda",RASANTE!F16&lt;=PERALTE!$AB$16),IF(RASANTE!F16&lt;=PERALTE!$Q$16,-2,IF(RASANTE!F16&lt;=PERALTE!$U$16,(10/(PERALTE!$U$16-PERALTE!$Q$16)*(RASANTE!F16-PERALTE!$Q$16)-2),IF(RASANTE!F16&lt;=PERALTE!$X$16,8,IF(RASANTE!F16&lt;=PERALTE!$AB$16,(10/(PERALTE!$X$16-PERALTE!$AB$16)*(RASANTE!F16-PERALTE!$AB$16)-2))))),IF(AND(AH!$H$20="Derecha",RASANTE!F16&lt;=PERALTE!$AB$18),IF(RASANTE!F16&lt;=PERALTE!$S$18,-2,IF(RASANTE!F16&lt;=PERALTE!$U$18,(-6/(PERALTE!$U$18-PERALTE!$S$18)*(RASANTE!F16-PERALTE!$S$18)-2),IF(RASANTE!F16&lt;=PERALTE!$X$18,-8,IF(RASANTE!F16&lt;=PERALTE!$Z$18,(-6/(PERALTE!$X$18-PERALTE!$Z$18)*(RASANTE!F16-PERALTE!$Z$18)-2),IF(RASANTE!F16&lt;=PERALTE!$AB$18,-2))))),IF(AND(AH!$H$20="Izquierda",RASANTE!F16&lt;=PERALTE!$AB$18),IF(RASANTE!F16&lt;=PERALTE!$Q$18,-2,IF(RASANTE!F16&lt;=PERALTE!$U$18,(10/(PERALTE!$U$18-PERALTE!$Q$18)*(RASANTE!F16-PERALTE!$Q$18)-2),IF(RASANTE!F16&lt;=PERALTE!$X$18,8,IF(RASANTE!F16&lt;=PERALTE!$AB$18,(10/(PERALTE!$X$18-PERALTE!$AB$18)*(RASANTE!F16-PERALTE!$AB$18)-2))))),IF(AND(AH!$H$24="Derecha",RASANTE!F16&lt;=PERALTE!$AB$22),IF(RASANTE!F16&lt;=PERALTE!$S$22,-2,IF(RASANTE!F16&lt;=PERALTE!$U$22,(-6/(PERALTE!$U$22-PERALTE!$S$22)*(RASANTE!F16-PERALTE!$S$22)-2),IF(RASANTE!F16&lt;=PERALTE!$X$22,-8,IF(RASANTE!F16&lt;=PERALTE!$Z$22,(-6/(PERALTE!$X$22-PERALTE!$Z$22)*(RASANTE!F16-PERALTE!$Z$22)-2),IF(RASANTE!F16&lt;=PERALTE!$AB$22,-2))))),IF(AND(AH!$H$24="Izquierda",RASANTE!F16&lt;=PERALTE!$AB$22),IF(RASANTE!F16&lt;=PERALTE!$Q$22,-2,IF(RASANTE!F16&lt;=PERALTE!$U$22,(10/(PERALTE!$U$22-PERALTE!$Q$22)*(RASANTE!F16-PERALTE!$Q$22)-2),IF(RASANTE!F16&lt;=PERALTE!$X$22,8,IF(RASANTE!F16&lt;=PERALTE!$AB$22,(10/(PERALTE!$X$22-PERALTE!$AB$22)*(RASANTE!F16-PERALTE!$AB$22)-2))))),IF(AND(AH!#REF!="Derecha",RASANTE!F16&lt;=PERALTE!#REF!),IF(RASANTE!F16&lt;=PERALTE!#REF!,-2,IF(RASANTE!F16&lt;=PERALTE!#REF!,(-6/(PERALTE!#REF!-PERALTE!#REF!)*(RASANTE!F16-PERALTE!#REF!)-2),IF(RASANTE!F16&lt;=PERALTE!#REF!,-8,IF(RASANTE!F16&lt;=PERALTE!#REF!,(-6/(PERALTE!#REF!-PERALTE!#REF!)*(RASANTE!F16-PERALTE!#REF!)-2),IF(RASANTE!F16&lt;=PERALTE!#REF!,-2))))),IF(AND(AH!#REF!="Izquierda",RASANTE!F16&lt;=PERALTE!#REF!),IF(RASANTE!F16&lt;=PERALTE!#REF!,-2,IF(RASANTE!F16&lt;=PERALTE!#REF!,(10/(PERALTE!#REF!-PERALTE!#REF!)*(RASANTE!F16-PERALTE!#REF!)-2),IF(RASANTE!F16&lt;=PERALTE!#REF!,8,IF(RASANTE!F16&lt;=PERALTE!#REF!,(10/(PERALTE!#REF!-PERALTE!#REF!)*(RASANTE!F16-PERALTE!#REF!)-2))))),IF(AND(AH!#REF!="Derecha",RASANTE!F16&lt;=PERALTE!$AB$26),IF(RASANTE!F16&lt;=PERALTE!$S$26,-2,IF(RASANTE!F16&lt;=PERALTE!$U$26,(-6/(PERALTE!$U$26-PERALTE!$S$26)*(RASANTE!F16-PERALTE!$S$26)-2),IF(RASANTE!F16&lt;=PERALTE!$X$26,-8,IF(RASANTE!F16&lt;=PERALTE!$Z$26,(-6/(PERALTE!$X$26-PERALTE!$Z$26)*(RASANTE!F16-PERALTE!$Z$26)-2),IF(RASANTE!F16&lt;=PERALTE!$AB$26,-2))))),IF(AND(AH!#REF!="Izquierda",RASANTE!F16&lt;=PERALTE!$AB$26),IF(RASANTE!F16&lt;=PERALTE!$Q$26,-2,IF(RASANTE!F16&lt;=PERALTE!$U$26,(10/(PERALTE!$U$26-PERALTE!$Q$26)*(RASANTE!F16-PERALTE!$Q$26)-2),IF(RASANTE!F16&lt;=PERALTE!$X$26,8,IF(RASANTE!F16&lt;=PERALTE!$AB$26,(10/(PERALTE!$X$26-PERALTE!$AB$26)*(RASANTE!F16-PERALTE!$AB$26)-2))))),IF(F16&lt;=PERALTE!#REF!,-2,"Abscisa fuera de la vía")))))))))))))))))))))</f>
        <v>-2</v>
      </c>
      <c r="J16" s="28">
        <f t="shared" si="1"/>
        <v>1647.7704000000003</v>
      </c>
      <c r="K16" s="356">
        <f>+IF(AND(AV!$S$6&lt;F191,F191&lt;=AV!$T$6),AV!$P$6*((AV!$S$6-RASANTE!F191)/(AV!$N$6))^2,IF(AND(AV!$T$6&lt;RASANTE!F191,F191&lt;AV!$U$6),AV!$P$6*((AV!$U$6-RASANTE!F191)/(AV!$O$6))^2,IF(AND(AV!$S$8&lt;F191,F191&lt;=AV!$T$8),AV!$P$8*((AV!$S$8-RASANTE!F191)/(AV!$N$8))^2,IF(AND(AV!$T$8&lt;RASANTE!F191,F191&lt;AV!$U$8),AV!$P$8*((AV!$U$8-RASANTE!F191)/(AV!$O$8))^2,IF(AND(AV!$S$10&lt;F191,F191&lt;=AV!$T$10),AV!$P$10*((AV!$S$10-RASANTE!F191)/(AV!$N$10))^2,IF(AND(AV!$T$10&lt;RASANTE!F191,F191&lt;AV!$U$10),AV!$P$10*((AV!$U$10-RASANTE!F191)/(AV!$O$10))^2,IF(AND(AV!$S$12&lt;F191,F191&lt;=AV!$T$12),AV!$P$12*((AV!$S$12-RASANTE!F191)/(AV!$N$12))^2,IF(AND(AV!$T$12&lt;RASANTE!F191,F191&lt;AV!$U$12),AV!$P$12*((AV!$U$12-RASANTE!F191)/(AV!$O$12))^2,IF(AND(AV!$S$14&lt;F191,F191&lt;=AV!$T$14),AV!$P$14*((AV!$S$14-RASANTE!F191)/(AV!$N$14))^2,IF(AND(AV!$T$14&lt;RASANTE!F191,F191&lt;AV!$U$14),AV!$P$14*((AV!$U$14-RASANTE!F191)/(AV!$O$14))^2,IF(AND(AV!$S$16&lt;F191,F191&lt;=AV!$T$16),AV!$P$16*((AV!$S$16-RASANTE!F191)/(AV!$N$16))^2,IF(AND(AV!$T$16&lt;RASANTE!F191,F191&lt;AV!$U$16),AV!$P$16*((AV!$U$16-RASANTE!F191)/(AV!$O$16))^2,IF(AND(AV!$S$18&lt;F191,F191&lt;=AV!$T$18),AV!$P$18*((AV!$S$18-RASANTE!F191)/(AV!$N$18))^2,IF(AND(AV!$T$18&lt;RASANTE!F191,F191&lt;AV!$U$18),AV!$P$18*((AV!$U$18-RASANTE!F191)/(AV!$O$18))^2,IF(AND(AV!$S$20&lt;F191,F191&lt;=AV!$T$20),AV!$P$20*((AV!$S$20-RASANTE!F191)/(AV!$N$20))^2,IF(AND(AV!$T$20&lt;RASANTE!F191,F191&lt;AV!$U$20),AV!$P$20*((AV!$U$20-RASANTE!F191)/(AV!$O$20))^2,IF(AND(AV!$S$22&lt;F191,F191&lt;=AV!$T$22),AV!$P$22*((AV!$S$22-RASANTE!F191)/(AV!$N$22))^2,IF(AND(AV!$T$22&lt;RASANTE!F191,F191&lt;AV!$U$22),AV!$P$22*((AV!$U$22-RASANTE!F191)/(AV!$O$22))^2,IF(AND(AV!$S$24&lt;F191,F191&lt;=AV!$T$24),AV!$P$24*((AV!$S$24-RASANTE!F191)/(AV!$N$24))^2,IF(AND(AV!$T$24&lt;RASANTE!F191,F191&lt;AV!$U$24),AV!$P$24*((AV!$U$24-RASANTE!F191)/(AV!$O$24))^2,0))))))))))))))))))))</f>
        <v>0</v>
      </c>
      <c r="L16" s="28">
        <f>+M16+H16%*PERALTE!$C$32</f>
        <v>1647.7004000000004</v>
      </c>
      <c r="M16" s="28">
        <f t="shared" si="0"/>
        <v>1647.7704000000003</v>
      </c>
      <c r="N16" s="28">
        <f>+M16+I16%*PERALTE!$C$32</f>
        <v>1647.7004000000004</v>
      </c>
      <c r="O16" s="92"/>
      <c r="P16" s="84"/>
      <c r="Q16" s="105" t="s">
        <v>153</v>
      </c>
      <c r="R16" s="105" t="s">
        <v>154</v>
      </c>
      <c r="S16" s="106" t="s">
        <v>153</v>
      </c>
      <c r="T16" s="106" t="s">
        <v>155</v>
      </c>
      <c r="U16" s="84"/>
      <c r="V16" s="84"/>
      <c r="W16" s="84"/>
      <c r="X16" s="84"/>
      <c r="Y16" s="84"/>
    </row>
    <row r="17" spans="1:25" ht="16" x14ac:dyDescent="0.2">
      <c r="A17" s="90" t="s">
        <v>309</v>
      </c>
      <c r="B17" s="86"/>
      <c r="C17" s="86"/>
      <c r="D17" s="86"/>
      <c r="E17" s="91"/>
      <c r="F17" s="34">
        <f>PERALTE!Q6</f>
        <v>125.09677000625057</v>
      </c>
      <c r="G17" s="88">
        <f>IF(F17&lt;=AV!$T$6,AV!$C$5,IF(RASANTE!F17&lt;=AV!$T$8,AV!$C$7,IF(RASANTE!F17&lt;=AV!$T$10,AV!$C$9,IF(RASANTE!F17&lt;=AV!$T$12,AV!#REF!,IF(RASANTE!F17&lt;=AV!$T$14,AV!$C$11,IF(RASANTE!F17&lt;=AV!$T$16,AV!$C$13, IF(RASANTE!F17&lt;=AV!$T$18,AV!$C$15,IF(RASANTE!F17&lt;=AV!$T$20,AV!$C$19,IF(RASANTE!F17&lt;=AV!$T$22,AV!$C$21,IF(RASANTE!F17&lt;=AV!$T$24,AV!$C$23,AV!$C$25))))))))))</f>
        <v>3.1419999999999999</v>
      </c>
      <c r="H17" s="28">
        <f>+IF(AND(AH!$H$8="Izquierda",RASANTE!F17&lt;=PERALTE!$AB$6),IF(RASANTE!F17&lt;=PERALTE!$S$6,-2,IF(RASANTE!F17&lt;=PERALTE!$U$6,(-6/(PERALTE!$U$6-PERALTE!$S$6)*(RASANTE!F17-PERALTE!$S$6)-2),IF(RASANTE!F17&lt;=PERALTE!$X$6,-8,IF(RASANTE!F17&lt;=PERALTE!$Z$6,(-6/(PERALTE!$X$6-PERALTE!$Z$6)*(RASANTE!F17-PERALTE!$Z$6)-2),IF(RASANTE!F17&lt;=PERALTE!$AB$6,-2))))),IF(AND(AH!$H$8="Derecha",RASANTE!F17&lt;=PERALTE!$AB$6),IF(RASANTE!F17&lt;=PERALTE!$Q$6,-2,IF(RASANTE!F17&lt;=PERALTE!$U$6,(10/(PERALTE!$U$6-PERALTE!$Q$6)*(RASANTE!F17-PERALTE!$Q$6)-2),IF(RASANTE!F17&lt;=PERALTE!$X$6,8,IF(RASANTE!F17&lt;=PERALTE!$AB$6,(10/(PERALTE!$X$6-PERALTE!$AB$6)*(RASANTE!F17-PERALTE!$AB$6)-2))))),IF(AND(AH!$H$10="Izquierda",RASANTE!F17&lt;=PERALTE!$AB$8),IF(RASANTE!F17&lt;=PERALTE!$S$8,-2,IF(RASANTE!F17&lt;=PERALTE!$U$8,(-6/(PERALTE!$U$8-PERALTE!$S$8)*(RASANTE!F17-PERALTE!$S$8)-2),IF(RASANTE!F17&lt;=PERALTE!$X$8,-8,IF(RASANTE!F17&lt;=PERALTE!$Z$8,(-6/(PERALTE!$X$8-PERALTE!$Z$8)*(RASANTE!F17-PERALTE!$Z$8)-2),IF(RASANTE!F17&lt;=PERALTE!$AB$8,-2))))),IF(AND(AH!$H$10="Derecha",RASANTE!F17&lt;=PERALTE!$AB$8),IF(RASANTE!F17&lt;=PERALTE!$Q$8,-2,IF(RASANTE!F17&lt;=PERALTE!$U$8,(10/(PERALTE!$U$8-PERALTE!$Q$8)*(RASANTE!F17-PERALTE!$Q$8)-2),IF(RASANTE!F17&lt;=PERALTE!$X$8,8,IF(RASANTE!F17&lt;=PERALTE!$AB$8,(10/(PERALTE!$X$8-PERALTE!$AB$8)*(RASANTE!F17-PERALTE!$AB$8)-2))))),IF(AND(AH!$H$12="Izquierda",RASANTE!F17&lt;=PERALTE!$AB$10),IF(RASANTE!F17&lt;=PERALTE!$S$10,-2,IF(RASANTE!F17&lt;=PERALTE!$U$10,(-6/(PERALTE!$U$10-PERALTE!$S$10)*(RASANTE!F17-PERALTE!$S$10)-2),IF(RASANTE!F17&lt;=PERALTE!$X$10,-8,IF(RASANTE!F17&lt;=PERALTE!$Z$10,(-6/(PERALTE!$X$10-PERALTE!$Z$10)*(RASANTE!F17-PERALTE!$Z$10)-2),IF(RASANTE!F17&lt;=PERALTE!$AB$10,-2))))),IF(AND(AH!$H$12="Derecha",RASANTE!F17&lt;=PERALTE!$AB$10),IF(RASANTE!F17&lt;=PERALTE!$Q$10,-2,IF(RASANTE!F17&lt;=PERALTE!$U$10,(10/(PERALTE!$U$10-PERALTE!$Q$10)*(RASANTE!F17-PERALTE!$Q$10)-2),IF(RASANTE!F17&lt;=PERALTE!$X$10,8,IF(RASANTE!F17&lt;=PERALTE!$AB$10,(10/(PERALTE!$X$10-PERALTE!$AB$10)*(RASANTE!F17-PERALTE!$AB$10)-2))))),IF(AND(AH!$H$14="Izquierda",RASANTE!F17&lt;=PERALTE!$AB$12),IF(RASANTE!F17&lt;=PERALTE!$S$12,-2,IF(RASANTE!F17&lt;=PERALTE!$U$12,(-6/(PERALTE!$U$12-PERALTE!$S$12)*(RASANTE!F17-PERALTE!$S$12)-2),IF(RASANTE!F17&lt;=PERALTE!$X$12,-8,IF(RASANTE!F17&lt;=PERALTE!$Z$12,(-6/(PERALTE!$X$12-PERALTE!$Z$12)*(RASANTE!F17-PERALTE!$Z$12)-2),IF(RASANTE!F17&lt;=PERALTE!$AB$12,-2))))),IF(AND(AH!$H$14="Derecha",RASANTE!F17&lt;=PERALTE!$AB$12),IF(RASANTE!F17&lt;=PERALTE!$Q$12,-2,IF(RASANTE!F17&lt;=PERALTE!$U$12,(10/(PERALTE!$U$12-PERALTE!$Q$12)*(RASANTE!F17-PERALTE!$Q$12)-2),IF(RASANTE!F17&lt;=PERALTE!$X$12,8,IF(RASANTE!F17&lt;=PERALTE!$AB$12,(10/(PERALTE!$X$12-PERALTE!$AB$12)*(RASANTE!F17-PERALTE!$AB$12)-2))))),IF(AND(AH!$H$16="Izquierda",RASANTE!F17&lt;=PERALTE!$AB$14),IF(RASANTE!F17&lt;=PERALTE!$S$14,-2,IF(RASANTE!F17&lt;=PERALTE!$U$14,(-6/(PERALTE!$U$14-PERALTE!$S$14)*(RASANTE!F17-PERALTE!$S$14)-2),IF(RASANTE!F17&lt;=PERALTE!$X$14,-8,IF(RASANTE!F17&lt;=PERALTE!$Z$14,(-6/(PERALTE!$X$14-PERALTE!$Z$14)*(RASANTE!F17-PERALTE!$Z$14)-2),IF(RASANTE!F17&lt;=PERALTE!$AB$14,-2))))),IF(AND(AH!$H$16="Derecha",RASANTE!F17&lt;=PERALTE!$AB$14),IF(RASANTE!F17&lt;=PERALTE!$Q$14,-2,IF(RASANTE!F17&lt;=PERALTE!$U$14,(10/(PERALTE!$U$14-PERALTE!$Q$14)*(RASANTE!F17-PERALTE!$Q$14)-2),IF(RASANTE!F17&lt;=PERALTE!$X$14,8,IF(RASANTE!F17&lt;=PERALTE!$AB$14,(10/(PERALTE!$X$14-PERALTE!$AB$14)*(RASANTE!F17-PERALTE!$AB$14)-2))))),IF(AND(AH!$H$18="Izquierda",RASANTE!F17&lt;=PERALTE!$AB$16),IF(RASANTE!F17&lt;=PERALTE!$S$16,-2,IF(RASANTE!F17&lt;=PERALTE!$U$16,(-6/(PERALTE!$U$16-PERALTE!$S$16)*(RASANTE!F17-PERALTE!$S$16)-2),IF(RASANTE!F17&lt;=PERALTE!$X$16,-8,IF(RASANTE!F17&lt;=PERALTE!$Z$16,(-6/(PERALTE!$X$16-PERALTE!$Z$16)*(RASANTE!F17-PERALTE!$Z$16)-2),IF(RASANTE!F17&lt;=PERALTE!$AB$16,-2))))),IF(AND(AH!$H$18="Derecha",RASANTE!F17&lt;=PERALTE!$AB$16),IF(RASANTE!F17&lt;=PERALTE!$Q$16,-2,IF(RASANTE!F17&lt;=PERALTE!$U$16,(10/(PERALTE!$U$16-PERALTE!$Q$16)*(RASANTE!F17-PERALTE!$Q$16)-2),IF(RASANTE!F17&lt;=PERALTE!$X$16,8,IF(RASANTE!F17&lt;=PERALTE!$AB$16,(10/(PERALTE!$X$16-PERALTE!$AB$16)*(RASANTE!F17-PERALTE!$AB$16)-2))))),IF(AND(AH!$H$20="Izquierda",RASANTE!F17&lt;=PERALTE!$AB$18),IF(RASANTE!F17&lt;=PERALTE!$S$18,-2,IF(RASANTE!F17&lt;=PERALTE!$U$18,(-6/(PERALTE!$U$18-PERALTE!$S$18)*(RASANTE!F17-PERALTE!$S$18)-2),IF(RASANTE!F17&lt;=PERALTE!$X$18,-8,IF(RASANTE!F17&lt;=PERALTE!$Z$18,(-6/(PERALTE!$X$18-PERALTE!$Z$18)*(RASANTE!F17-PERALTE!$Z$18)-2),IF(RASANTE!F17&lt;=PERALTE!$AB$18,-2))))),IF(AND(AH!$H$20="Derecha",RASANTE!F17&lt;=PERALTE!$AB$18),IF(RASANTE!F17&lt;=PERALTE!$Q$18,-2,IF(RASANTE!F17&lt;=PERALTE!$U$18,(10/(PERALTE!$U$18-PERALTE!$Q$18)*(RASANTE!F17-PERALTE!$Q$18)-2),IF(RASANTE!F17&lt;=PERALTE!$X$18,8,IF(RASANTE!F17&lt;=PERALTE!$AB$18,(10/(PERALTE!$X$18-PERALTE!$AB$18)*(RASANTE!F17-PERALTE!$AB$18)-2))))),IF(AND(AH!$H$24="Izquierda",RASANTE!F17&lt;=PERALTE!$AB$22),IF(RASANTE!F17&lt;=PERALTE!$S$22,-2,IF(RASANTE!F17&lt;=PERALTE!$U$22,(-6/(PERALTE!$U$22-PERALTE!$S$22)*(RASANTE!F17-PERALTE!$S$22)-2),IF(RASANTE!F17&lt;=PERALTE!$X$22,-8,IF(RASANTE!F17&lt;=PERALTE!$Z$22,(-6/(PERALTE!$X$22-PERALTE!$Z$22)*(RASANTE!F17-PERALTE!$Z$22)-2),IF(RASANTE!F17&lt;=PERALTE!$AB$22,-2))))),IF(AND(AH!$H$24="Derecha",RASANTE!F17&lt;=PERALTE!$AB$22),IF(RASANTE!F17&lt;=PERALTE!$Q$22,-2,IF(RASANTE!F17&lt;=PERALTE!$U$22,(10/(PERALTE!$U$22-PERALTE!$Q$22)*(RASANTE!F17-PERALTE!$Q$22)-2),IF(RASANTE!F17&lt;=PERALTE!$X$22,8,IF(RASANTE!F17&lt;=PERALTE!$AB$22,(10/(PERALTE!$X$22-PERALTE!$AB$22)*(RASANTE!F17-PERALTE!$AB$22)-2))))),IF(AND(AH!#REF!="Izquierda",RASANTE!F17&lt;=PERALTE!#REF!),IF(RASANTE!F17&lt;=PERALTE!#REF!,-2,IF(RASANTE!F17&lt;=PERALTE!#REF!,(-6/(PERALTE!#REF!-PERALTE!#REF!)*(RASANTE!F17-PERALTE!#REF!)-2),IF(RASANTE!F17&lt;=PERALTE!#REF!,-8,IF(RASANTE!F17&lt;=PERALTE!#REF!,(-6/(PERALTE!#REF!-PERALTE!#REF!)*(RASANTE!F17-PERALTE!#REF!)-2),IF(RASANTE!F17&lt;=PERALTE!#REF!,-2))))),IF(AND(AH!#REF!="Derecha",RASANTE!F17&lt;=PERALTE!#REF!),IF(RASANTE!F17&lt;=PERALTE!#REF!,-2,IF(RASANTE!F17&lt;=PERALTE!#REF!,(10/(PERALTE!#REF!-PERALTE!#REF!)*(RASANTE!F17-PERALTE!#REF!)-2),IF(RASANTE!F17&lt;=PERALTE!#REF!,8,IF(RASANTE!F17&lt;=PERALTE!#REF!,(10/(PERALTE!#REF!-PERALTE!#REF!)*(RASANTE!F17-PERALTE!#REF!)-2))))),IF(AND(AH!#REF!="Izquierda",RASANTE!F17&lt;=PERALTE!$AB$26),IF(RASANTE!F17&lt;=PERALTE!$S$26,-2,IF(RASANTE!F17&lt;=PERALTE!$U$26,(-6/(PERALTE!$U$26-PERALTE!$S$26)*(RASANTE!F17-PERALTE!$S$26)-2),IF(RASANTE!F17&lt;=PERALTE!$X$26,-8,IF(RASANTE!F17&lt;=PERALTE!$Z$26,(-6/(PERALTE!$X$26-PERALTE!$Z$26)*(RASANTE!F17-PERALTE!$Z$26)-2),IF(RASANTE!F17&lt;=PERALTE!$AB$26,-2))))),IF(AND(AH!#REF!="Derecha",RASANTE!F17&lt;=PERALTE!$AB$26),IF(RASANTE!F17&lt;=PERALTE!$Q$26,-2,IF(RASANTE!F17&lt;=PERALTE!$U$26,(10/(PERALTE!$U$26-PERALTE!$Q$26)*(RASANTE!F17-PERALTE!$Q$26)-2),IF(RASANTE!F17&lt;=PERALTE!$X$26,8,IF(RASANTE!F17&lt;=PERALTE!$AB$26,(10/(PERALTE!$X$26-PERALTE!$AB$26)*(RASANTE!F17-PERALTE!$AB$26)-2))))),IF(F17&lt;=PERALTE!#REF!,-2,"Abscisa fuera de la vía")))))))))))))))))))))</f>
        <v>-2</v>
      </c>
      <c r="I17" s="28">
        <f>+IF(AND(AH!$H$8="Derecha",RASANTE!F17&lt;=PERALTE!$AB$6),IF(RASANTE!F17&lt;=PERALTE!$S$6,-2,IF(RASANTE!F17&lt;=PERALTE!$U$6,(-6/(PERALTE!$U$6-PERALTE!$S$6)*(RASANTE!F17-PERALTE!$S$6)-2),IF(RASANTE!F17&lt;=PERALTE!$X$6,-8,IF(RASANTE!F17&lt;=PERALTE!$Z$6,(-6/(PERALTE!$X$6-PERALTE!$Z$6)*(RASANTE!F17-PERALTE!$Z$6)-2),IF(RASANTE!F17&lt;=PERALTE!$AB$6,-2))))),IF(AND(AH!$H$8="Izquierda",RASANTE!F17&lt;=PERALTE!$AB$6),IF(RASANTE!F17&lt;=PERALTE!$Q$6,-2,IF(RASANTE!F17&lt;=PERALTE!$U$6,(10/(PERALTE!$U$6-PERALTE!$Q$6)*(RASANTE!F17-PERALTE!$Q$6)-2),IF(RASANTE!F17&lt;=PERALTE!$X$6,8,IF(RASANTE!F17&lt;=PERALTE!$AB$6,(10/(PERALTE!$X$6-PERALTE!$AB$6)*(RASANTE!F17-PERALTE!$AB$6)-2))))),IF(AND(AH!$H$10="Derecha",RASANTE!F17&lt;=PERALTE!$AB$8),IF(RASANTE!F17&lt;=PERALTE!$S$8,-2,IF(RASANTE!F17&lt;=PERALTE!$U$8,(-6/(PERALTE!$U$8-PERALTE!$S$8)*(RASANTE!F17-PERALTE!$S$8)-2),IF(RASANTE!F17&lt;=PERALTE!$X$8,-8,IF(RASANTE!F17&lt;=PERALTE!$Z$8,(-6/(PERALTE!$X$8-PERALTE!$Z$8)*(RASANTE!F17-PERALTE!$Z$8)-2),IF(RASANTE!F17&lt;=PERALTE!$AB$8,-2))))),IF(AND(AH!$H$10="Izquierda",RASANTE!F17&lt;=PERALTE!$AB$8),IF(RASANTE!F17&lt;=PERALTE!$Q$8,-2,IF(RASANTE!F17&lt;=PERALTE!$U$8,(10/(PERALTE!$U$8-PERALTE!$Q$8)*(RASANTE!F17-PERALTE!$Q$8)-2),IF(RASANTE!F17&lt;=PERALTE!$X$8,8,IF(RASANTE!F17&lt;=PERALTE!$AB$8,(10/(PERALTE!$X$8-PERALTE!$AB$8)*(RASANTE!F17-PERALTE!$AB$8)-2))))),IF(AND(AH!$H$12="Derecha",RASANTE!F17&lt;=PERALTE!$AB$10),IF(RASANTE!F17&lt;=PERALTE!$S$10,-2,IF(RASANTE!F17&lt;=PERALTE!$U$10,(-6/(PERALTE!$U$10-PERALTE!$S$10)*(RASANTE!F17-PERALTE!$S$10)-2),IF(RASANTE!F17&lt;=PERALTE!$X$10,-8,IF(RASANTE!F17&lt;=PERALTE!$Z$10,(-6/(PERALTE!$X$10-PERALTE!$Z$10)*(RASANTE!F17-PERALTE!$Z$10)-2),IF(RASANTE!F17&lt;=PERALTE!$AB$10,-2))))),IF(AND(AH!$H$12="Izquierda",RASANTE!F17&lt;=PERALTE!$AB$10),IF(RASANTE!F17&lt;=PERALTE!$Q$10,-2,IF(RASANTE!F17&lt;=PERALTE!$U$10,(10/(PERALTE!$U$10-PERALTE!$Q$10)*(RASANTE!F17-PERALTE!$Q$10)-2),IF(RASANTE!F17&lt;=PERALTE!$X$10,8,IF(RASANTE!F17&lt;=PERALTE!$AB$10,(10/(PERALTE!$X$10-PERALTE!$AB$10)*(RASANTE!F17-PERALTE!$AB$10)-2))))),IF(AND(AH!$H$14="Derecha",RASANTE!F17&lt;=PERALTE!$AB$12),IF(RASANTE!F17&lt;=PERALTE!$S$12,-2,IF(RASANTE!F17&lt;=PERALTE!$U$12,(-6/(PERALTE!$U$12-PERALTE!$S$12)*(RASANTE!F17-PERALTE!$S$12)-2),IF(RASANTE!F17&lt;=PERALTE!$X$12,-8,IF(RASANTE!F17&lt;=PERALTE!$Z$12,(-6/(PERALTE!$X$12-PERALTE!$Z$12)*(RASANTE!F17-PERALTE!$Z$12)-2),IF(RASANTE!F17&lt;=PERALTE!$AB$12,-2))))),IF(AND(AH!$H$14="Izquierda",RASANTE!F17&lt;=PERALTE!$AB$12),IF(RASANTE!F17&lt;=PERALTE!$Q$12,-2,IF(RASANTE!F17&lt;=PERALTE!$U$12,(10/(PERALTE!$U$12-PERALTE!$Q$12)*(RASANTE!F17-PERALTE!$Q$12)-2),IF(RASANTE!F17&lt;=PERALTE!$X$12,8,IF(RASANTE!F17&lt;=PERALTE!$AB$12,(10/(PERALTE!$X$12-PERALTE!$AB$12)*(RASANTE!F17-PERALTE!$AB$12)-2))))),IF(AND(AH!$H$16="Derecha",RASANTE!F17&lt;=PERALTE!$AB$14),IF(RASANTE!F17&lt;=PERALTE!$S$14,-2,IF(RASANTE!F17&lt;=PERALTE!$U$14,(-6/(PERALTE!$U$14-PERALTE!$S$14)*(RASANTE!F17-PERALTE!$S$14)-2),IF(RASANTE!F17&lt;=PERALTE!$X$14,-8,IF(RASANTE!F17&lt;=PERALTE!$Z$14,(-6/(PERALTE!$X$14-PERALTE!$Z$14)*(RASANTE!F17-PERALTE!$Z$14)-2),IF(RASANTE!F17&lt;=PERALTE!$AB$14,-2))))),IF(AND(AH!$H$16="Izquierda",RASANTE!F17&lt;=PERALTE!$AB$14),IF(RASANTE!F17&lt;=PERALTE!$Q$14,-2,IF(RASANTE!F17&lt;=PERALTE!$U$14,(10/(PERALTE!$U$14-PERALTE!$Q$14)*(RASANTE!F17-PERALTE!$Q$14)-2),IF(RASANTE!F17&lt;=PERALTE!$X$14,8,IF(RASANTE!F17&lt;=PERALTE!$AB$14,(10/(PERALTE!$X$14-PERALTE!$AB$14)*(RASANTE!F17-PERALTE!$AB$14)-2))))),IF(AND(AH!$H$18="Derecha",RASANTE!F17&lt;=PERALTE!$AB$16),IF(RASANTE!F17&lt;=PERALTE!$S$16,-2,IF(RASANTE!F17&lt;=PERALTE!$U$16,(-6/(PERALTE!$U$16-PERALTE!$S$16)*(RASANTE!F17-PERALTE!$S$16)-2),IF(RASANTE!F17&lt;=PERALTE!$X$16,-8,IF(RASANTE!F17&lt;=PERALTE!$Z$16,(-6/(PERALTE!$X$16-PERALTE!$Z$16)*(RASANTE!F17-PERALTE!$Z$16)-2),IF(RASANTE!F17&lt;=PERALTE!$AB$16,-2))))),IF(AND(AH!$H$18="Izquierda",RASANTE!F17&lt;=PERALTE!$AB$16),IF(RASANTE!F17&lt;=PERALTE!$Q$16,-2,IF(RASANTE!F17&lt;=PERALTE!$U$16,(10/(PERALTE!$U$16-PERALTE!$Q$16)*(RASANTE!F17-PERALTE!$Q$16)-2),IF(RASANTE!F17&lt;=PERALTE!$X$16,8,IF(RASANTE!F17&lt;=PERALTE!$AB$16,(10/(PERALTE!$X$16-PERALTE!$AB$16)*(RASANTE!F17-PERALTE!$AB$16)-2))))),IF(AND(AH!$H$20="Derecha",RASANTE!F17&lt;=PERALTE!$AB$18),IF(RASANTE!F17&lt;=PERALTE!$S$18,-2,IF(RASANTE!F17&lt;=PERALTE!$U$18,(-6/(PERALTE!$U$18-PERALTE!$S$18)*(RASANTE!F17-PERALTE!$S$18)-2),IF(RASANTE!F17&lt;=PERALTE!$X$18,-8,IF(RASANTE!F17&lt;=PERALTE!$Z$18,(-6/(PERALTE!$X$18-PERALTE!$Z$18)*(RASANTE!F17-PERALTE!$Z$18)-2),IF(RASANTE!F17&lt;=PERALTE!$AB$18,-2))))),IF(AND(AH!$H$20="Izquierda",RASANTE!F17&lt;=PERALTE!$AB$18),IF(RASANTE!F17&lt;=PERALTE!$Q$18,-2,IF(RASANTE!F17&lt;=PERALTE!$U$18,(10/(PERALTE!$U$18-PERALTE!$Q$18)*(RASANTE!F17-PERALTE!$Q$18)-2),IF(RASANTE!F17&lt;=PERALTE!$X$18,8,IF(RASANTE!F17&lt;=PERALTE!$AB$18,(10/(PERALTE!$X$18-PERALTE!$AB$18)*(RASANTE!F17-PERALTE!$AB$18)-2))))),IF(AND(AH!$H$24="Derecha",RASANTE!F17&lt;=PERALTE!$AB$22),IF(RASANTE!F17&lt;=PERALTE!$S$22,-2,IF(RASANTE!F17&lt;=PERALTE!$U$22,(-6/(PERALTE!$U$22-PERALTE!$S$22)*(RASANTE!F17-PERALTE!$S$22)-2),IF(RASANTE!F17&lt;=PERALTE!$X$22,-8,IF(RASANTE!F17&lt;=PERALTE!$Z$22,(-6/(PERALTE!$X$22-PERALTE!$Z$22)*(RASANTE!F17-PERALTE!$Z$22)-2),IF(RASANTE!F17&lt;=PERALTE!$AB$22,-2))))),IF(AND(AH!$H$24="Izquierda",RASANTE!F17&lt;=PERALTE!$AB$22),IF(RASANTE!F17&lt;=PERALTE!$Q$22,-2,IF(RASANTE!F17&lt;=PERALTE!$U$22,(10/(PERALTE!$U$22-PERALTE!$Q$22)*(RASANTE!F17-PERALTE!$Q$22)-2),IF(RASANTE!F17&lt;=PERALTE!$X$22,8,IF(RASANTE!F17&lt;=PERALTE!$AB$22,(10/(PERALTE!$X$22-PERALTE!$AB$22)*(RASANTE!F17-PERALTE!$AB$22)-2))))),IF(AND(AH!#REF!="Derecha",RASANTE!F17&lt;=PERALTE!#REF!),IF(RASANTE!F17&lt;=PERALTE!#REF!,-2,IF(RASANTE!F17&lt;=PERALTE!#REF!,(-6/(PERALTE!#REF!-PERALTE!#REF!)*(RASANTE!F17-PERALTE!#REF!)-2),IF(RASANTE!F17&lt;=PERALTE!#REF!,-8,IF(RASANTE!F17&lt;=PERALTE!#REF!,(-6/(PERALTE!#REF!-PERALTE!#REF!)*(RASANTE!F17-PERALTE!#REF!)-2),IF(RASANTE!F17&lt;=PERALTE!#REF!,-2))))),IF(AND(AH!#REF!="Izquierda",RASANTE!F17&lt;=PERALTE!#REF!),IF(RASANTE!F17&lt;=PERALTE!#REF!,-2,IF(RASANTE!F17&lt;=PERALTE!#REF!,(10/(PERALTE!#REF!-PERALTE!#REF!)*(RASANTE!F17-PERALTE!#REF!)-2),IF(RASANTE!F17&lt;=PERALTE!#REF!,8,IF(RASANTE!F17&lt;=PERALTE!#REF!,(10/(PERALTE!#REF!-PERALTE!#REF!)*(RASANTE!F17-PERALTE!#REF!)-2))))),IF(AND(AH!#REF!="Derecha",RASANTE!F17&lt;=PERALTE!$AB$26),IF(RASANTE!F17&lt;=PERALTE!$S$26,-2,IF(RASANTE!F17&lt;=PERALTE!$U$26,(-6/(PERALTE!$U$26-PERALTE!$S$26)*(RASANTE!F17-PERALTE!$S$26)-2),IF(RASANTE!F17&lt;=PERALTE!$X$26,-8,IF(RASANTE!F17&lt;=PERALTE!$Z$26,(-6/(PERALTE!$X$26-PERALTE!$Z$26)*(RASANTE!F17-PERALTE!$Z$26)-2),IF(RASANTE!F17&lt;=PERALTE!$AB$26,-2))))),IF(AND(AH!#REF!="Izquierda",RASANTE!F17&lt;=PERALTE!$AB$26),IF(RASANTE!F17&lt;=PERALTE!$Q$26,-2,IF(RASANTE!F17&lt;=PERALTE!$U$26,(10/(PERALTE!$U$26-PERALTE!$Q$26)*(RASANTE!F17-PERALTE!$Q$26)-2),IF(RASANTE!F17&lt;=PERALTE!$X$26,8,IF(RASANTE!F17&lt;=PERALTE!$AB$26,(10/(PERALTE!$X$26-PERALTE!$AB$26)*(RASANTE!F17-PERALTE!$AB$26)-2))))),IF(F17&lt;=PERALTE!#REF!,-2,"Abscisa fuera de la vía")))))))))))))))))))))</f>
        <v>-2</v>
      </c>
      <c r="J17" s="28">
        <f t="shared" si="1"/>
        <v>1647.9305405135967</v>
      </c>
      <c r="K17" s="356">
        <f>+IF(AND(AV!$S$6&lt;F192,F192&lt;=AV!$T$6),AV!$P$6*((AV!$S$6-RASANTE!F192)/(AV!$N$6))^2,IF(AND(AV!$T$6&lt;RASANTE!F192,F192&lt;AV!$U$6),AV!$P$6*((AV!$U$6-RASANTE!F192)/(AV!$O$6))^2,IF(AND(AV!$S$8&lt;F192,F192&lt;=AV!$T$8),AV!$P$8*((AV!$S$8-RASANTE!F192)/(AV!$N$8))^2,IF(AND(AV!$T$8&lt;RASANTE!F192,F192&lt;AV!$U$8),AV!$P$8*((AV!$U$8-RASANTE!F192)/(AV!$O$8))^2,IF(AND(AV!$S$10&lt;F192,F192&lt;=AV!$T$10),AV!$P$10*((AV!$S$10-RASANTE!F192)/(AV!$N$10))^2,IF(AND(AV!$T$10&lt;RASANTE!F192,F192&lt;AV!$U$10),AV!$P$10*((AV!$U$10-RASANTE!F192)/(AV!$O$10))^2,IF(AND(AV!$S$12&lt;F192,F192&lt;=AV!$T$12),AV!$P$12*((AV!$S$12-RASANTE!F192)/(AV!$N$12))^2,IF(AND(AV!$T$12&lt;RASANTE!F192,F192&lt;AV!$U$12),AV!$P$12*((AV!$U$12-RASANTE!F192)/(AV!$O$12))^2,IF(AND(AV!$S$14&lt;F192,F192&lt;=AV!$T$14),AV!$P$14*((AV!$S$14-RASANTE!F192)/(AV!$N$14))^2,IF(AND(AV!$T$14&lt;RASANTE!F192,F192&lt;AV!$U$14),AV!$P$14*((AV!$U$14-RASANTE!F192)/(AV!$O$14))^2,IF(AND(AV!$S$16&lt;F192,F192&lt;=AV!$T$16),AV!$P$16*((AV!$S$16-RASANTE!F192)/(AV!$N$16))^2,IF(AND(AV!$T$16&lt;RASANTE!F192,F192&lt;AV!$U$16),AV!$P$16*((AV!$U$16-RASANTE!F192)/(AV!$O$16))^2,IF(AND(AV!$S$18&lt;F192,F192&lt;=AV!$T$18),AV!$P$18*((AV!$S$18-RASANTE!F192)/(AV!$N$18))^2,IF(AND(AV!$T$18&lt;RASANTE!F192,F192&lt;AV!$U$18),AV!$P$18*((AV!$U$18-RASANTE!F192)/(AV!$O$18))^2,IF(AND(AV!$S$20&lt;F192,F192&lt;=AV!$T$20),AV!$P$20*((AV!$S$20-RASANTE!F192)/(AV!$N$20))^2,IF(AND(AV!$T$20&lt;RASANTE!F192,F192&lt;AV!$U$20),AV!$P$20*((AV!$U$20-RASANTE!F192)/(AV!$O$20))^2,IF(AND(AV!$S$22&lt;F192,F192&lt;=AV!$T$22),AV!$P$22*((AV!$S$22-RASANTE!F192)/(AV!$N$22))^2,IF(AND(AV!$T$22&lt;RASANTE!F192,F192&lt;AV!$U$22),AV!$P$22*((AV!$U$22-RASANTE!F192)/(AV!$O$22))^2,IF(AND(AV!$S$24&lt;F192,F192&lt;=AV!$T$24),AV!$P$24*((AV!$S$24-RASANTE!F192)/(AV!$N$24))^2,IF(AND(AV!$T$24&lt;RASANTE!F192,F192&lt;AV!$U$24),AV!$P$24*((AV!$U$24-RASANTE!F192)/(AV!$O$24))^2,0))))))))))))))))))))</f>
        <v>0</v>
      </c>
      <c r="L17" s="28">
        <f>+M17+H17%*PERALTE!$C$32</f>
        <v>1647.8605405135968</v>
      </c>
      <c r="M17" s="28">
        <f t="shared" ref="M17:M23" si="2">J17+K17</f>
        <v>1647.9305405135967</v>
      </c>
      <c r="N17" s="28">
        <f>+M17+I17%*PERALTE!$C$32</f>
        <v>1647.8605405135968</v>
      </c>
      <c r="O17" s="92"/>
      <c r="P17" s="84"/>
      <c r="Q17" s="105" t="s">
        <v>156</v>
      </c>
      <c r="R17" s="105" t="s">
        <v>157</v>
      </c>
      <c r="S17" s="106" t="s">
        <v>156</v>
      </c>
      <c r="T17" s="106" t="s">
        <v>158</v>
      </c>
      <c r="U17" s="84"/>
      <c r="V17" s="84"/>
      <c r="W17" s="84"/>
      <c r="X17" s="84"/>
      <c r="Y17" s="84"/>
    </row>
    <row r="18" spans="1:25" ht="16" x14ac:dyDescent="0.2">
      <c r="A18" s="90"/>
      <c r="B18" s="86"/>
      <c r="C18" s="86"/>
      <c r="D18" s="86"/>
      <c r="E18" s="91"/>
      <c r="F18" s="34">
        <v>130</v>
      </c>
      <c r="G18" s="88">
        <f>IF(F18&lt;=AV!$T$6,AV!$C$5,IF(RASANTE!F18&lt;=AV!$T$8,AV!$C$7,IF(RASANTE!F18&lt;=AV!$T$10,AV!$C$9,IF(RASANTE!F18&lt;=AV!$T$12,AV!#REF!,IF(RASANTE!F18&lt;=AV!$T$14,AV!$C$11,IF(RASANTE!F18&lt;=AV!$T$16,AV!$C$13, IF(RASANTE!F18&lt;=AV!$T$18,AV!$C$15,IF(RASANTE!F18&lt;=AV!$T$20,AV!$C$19,IF(RASANTE!F18&lt;=AV!$T$22,AV!$C$21,IF(RASANTE!F18&lt;=AV!$T$24,AV!$C$23,AV!$C$25))))))))))</f>
        <v>3.1419999999999999</v>
      </c>
      <c r="H18" s="28">
        <f>+IF(AND(AH!$H$8="Izquierda",RASANTE!F18&lt;=PERALTE!$AB$6),IF(RASANTE!F18&lt;=PERALTE!$S$6,-2,IF(RASANTE!F18&lt;=PERALTE!$U$6,(-6/(PERALTE!$U$6-PERALTE!$S$6)*(RASANTE!F18-PERALTE!$S$6)-2),IF(RASANTE!F18&lt;=PERALTE!$X$6,-8,IF(RASANTE!F18&lt;=PERALTE!$Z$6,(-6/(PERALTE!$X$6-PERALTE!$Z$6)*(RASANTE!F18-PERALTE!$Z$6)-2),IF(RASANTE!F18&lt;=PERALTE!$AB$6,-2))))),IF(AND(AH!$H$8="Derecha",RASANTE!F18&lt;=PERALTE!$AB$6),IF(RASANTE!F18&lt;=PERALTE!$Q$6,-2,IF(RASANTE!F18&lt;=PERALTE!$U$6,(10/(PERALTE!$U$6-PERALTE!$Q$6)*(RASANTE!F18-PERALTE!$Q$6)-2),IF(RASANTE!F18&lt;=PERALTE!$X$6,8,IF(RASANTE!F18&lt;=PERALTE!$AB$6,(10/(PERALTE!$X$6-PERALTE!$AB$6)*(RASANTE!F18-PERALTE!$AB$6)-2))))),IF(AND(AH!$H$10="Izquierda",RASANTE!F18&lt;=PERALTE!$AB$8),IF(RASANTE!F18&lt;=PERALTE!$S$8,-2,IF(RASANTE!F18&lt;=PERALTE!$U$8,(-6/(PERALTE!$U$8-PERALTE!$S$8)*(RASANTE!F18-PERALTE!$S$8)-2),IF(RASANTE!F18&lt;=PERALTE!$X$8,-8,IF(RASANTE!F18&lt;=PERALTE!$Z$8,(-6/(PERALTE!$X$8-PERALTE!$Z$8)*(RASANTE!F18-PERALTE!$Z$8)-2),IF(RASANTE!F18&lt;=PERALTE!$AB$8,-2))))),IF(AND(AH!$H$10="Derecha",RASANTE!F18&lt;=PERALTE!$AB$8),IF(RASANTE!F18&lt;=PERALTE!$Q$8,-2,IF(RASANTE!F18&lt;=PERALTE!$U$8,(10/(PERALTE!$U$8-PERALTE!$Q$8)*(RASANTE!F18-PERALTE!$Q$8)-2),IF(RASANTE!F18&lt;=PERALTE!$X$8,8,IF(RASANTE!F18&lt;=PERALTE!$AB$8,(10/(PERALTE!$X$8-PERALTE!$AB$8)*(RASANTE!F18-PERALTE!$AB$8)-2))))),IF(AND(AH!$H$12="Izquierda",RASANTE!F18&lt;=PERALTE!$AB$10),IF(RASANTE!F18&lt;=PERALTE!$S$10,-2,IF(RASANTE!F18&lt;=PERALTE!$U$10,(-6/(PERALTE!$U$10-PERALTE!$S$10)*(RASANTE!F18-PERALTE!$S$10)-2),IF(RASANTE!F18&lt;=PERALTE!$X$10,-8,IF(RASANTE!F18&lt;=PERALTE!$Z$10,(-6/(PERALTE!$X$10-PERALTE!$Z$10)*(RASANTE!F18-PERALTE!$Z$10)-2),IF(RASANTE!F18&lt;=PERALTE!$AB$10,-2))))),IF(AND(AH!$H$12="Derecha",RASANTE!F18&lt;=PERALTE!$AB$10),IF(RASANTE!F18&lt;=PERALTE!$Q$10,-2,IF(RASANTE!F18&lt;=PERALTE!$U$10,(10/(PERALTE!$U$10-PERALTE!$Q$10)*(RASANTE!F18-PERALTE!$Q$10)-2),IF(RASANTE!F18&lt;=PERALTE!$X$10,8,IF(RASANTE!F18&lt;=PERALTE!$AB$10,(10/(PERALTE!$X$10-PERALTE!$AB$10)*(RASANTE!F18-PERALTE!$AB$10)-2))))),IF(AND(AH!$H$14="Izquierda",RASANTE!F18&lt;=PERALTE!$AB$12),IF(RASANTE!F18&lt;=PERALTE!$S$12,-2,IF(RASANTE!F18&lt;=PERALTE!$U$12,(-6/(PERALTE!$U$12-PERALTE!$S$12)*(RASANTE!F18-PERALTE!$S$12)-2),IF(RASANTE!F18&lt;=PERALTE!$X$12,-8,IF(RASANTE!F18&lt;=PERALTE!$Z$12,(-6/(PERALTE!$X$12-PERALTE!$Z$12)*(RASANTE!F18-PERALTE!$Z$12)-2),IF(RASANTE!F18&lt;=PERALTE!$AB$12,-2))))),IF(AND(AH!$H$14="Derecha",RASANTE!F18&lt;=PERALTE!$AB$12),IF(RASANTE!F18&lt;=PERALTE!$Q$12,-2,IF(RASANTE!F18&lt;=PERALTE!$U$12,(10/(PERALTE!$U$12-PERALTE!$Q$12)*(RASANTE!F18-PERALTE!$Q$12)-2),IF(RASANTE!F18&lt;=PERALTE!$X$12,8,IF(RASANTE!F18&lt;=PERALTE!$AB$12,(10/(PERALTE!$X$12-PERALTE!$AB$12)*(RASANTE!F18-PERALTE!$AB$12)-2))))),IF(AND(AH!$H$16="Izquierda",RASANTE!F18&lt;=PERALTE!$AB$14),IF(RASANTE!F18&lt;=PERALTE!$S$14,-2,IF(RASANTE!F18&lt;=PERALTE!$U$14,(-6/(PERALTE!$U$14-PERALTE!$S$14)*(RASANTE!F18-PERALTE!$S$14)-2),IF(RASANTE!F18&lt;=PERALTE!$X$14,-8,IF(RASANTE!F18&lt;=PERALTE!$Z$14,(-6/(PERALTE!$X$14-PERALTE!$Z$14)*(RASANTE!F18-PERALTE!$Z$14)-2),IF(RASANTE!F18&lt;=PERALTE!$AB$14,-2))))),IF(AND(AH!$H$16="Derecha",RASANTE!F18&lt;=PERALTE!$AB$14),IF(RASANTE!F18&lt;=PERALTE!$Q$14,-2,IF(RASANTE!F18&lt;=PERALTE!$U$14,(10/(PERALTE!$U$14-PERALTE!$Q$14)*(RASANTE!F18-PERALTE!$Q$14)-2),IF(RASANTE!F18&lt;=PERALTE!$X$14,8,IF(RASANTE!F18&lt;=PERALTE!$AB$14,(10/(PERALTE!$X$14-PERALTE!$AB$14)*(RASANTE!F18-PERALTE!$AB$14)-2))))),IF(AND(AH!$H$18="Izquierda",RASANTE!F18&lt;=PERALTE!$AB$16),IF(RASANTE!F18&lt;=PERALTE!$S$16,-2,IF(RASANTE!F18&lt;=PERALTE!$U$16,(-6/(PERALTE!$U$16-PERALTE!$S$16)*(RASANTE!F18-PERALTE!$S$16)-2),IF(RASANTE!F18&lt;=PERALTE!$X$16,-8,IF(RASANTE!F18&lt;=PERALTE!$Z$16,(-6/(PERALTE!$X$16-PERALTE!$Z$16)*(RASANTE!F18-PERALTE!$Z$16)-2),IF(RASANTE!F18&lt;=PERALTE!$AB$16,-2))))),IF(AND(AH!$H$18="Derecha",RASANTE!F18&lt;=PERALTE!$AB$16),IF(RASANTE!F18&lt;=PERALTE!$Q$16,-2,IF(RASANTE!F18&lt;=PERALTE!$U$16,(10/(PERALTE!$U$16-PERALTE!$Q$16)*(RASANTE!F18-PERALTE!$Q$16)-2),IF(RASANTE!F18&lt;=PERALTE!$X$16,8,IF(RASANTE!F18&lt;=PERALTE!$AB$16,(10/(PERALTE!$X$16-PERALTE!$AB$16)*(RASANTE!F18-PERALTE!$AB$16)-2))))),IF(AND(AH!$H$20="Izquierda",RASANTE!F18&lt;=PERALTE!$AB$18),IF(RASANTE!F18&lt;=PERALTE!$S$18,-2,IF(RASANTE!F18&lt;=PERALTE!$U$18,(-6/(PERALTE!$U$18-PERALTE!$S$18)*(RASANTE!F18-PERALTE!$S$18)-2),IF(RASANTE!F18&lt;=PERALTE!$X$18,-8,IF(RASANTE!F18&lt;=PERALTE!$Z$18,(-6/(PERALTE!$X$18-PERALTE!$Z$18)*(RASANTE!F18-PERALTE!$Z$18)-2),IF(RASANTE!F18&lt;=PERALTE!$AB$18,-2))))),IF(AND(AH!$H$20="Derecha",RASANTE!F18&lt;=PERALTE!$AB$18),IF(RASANTE!F18&lt;=PERALTE!$Q$18,-2,IF(RASANTE!F18&lt;=PERALTE!$U$18,(10/(PERALTE!$U$18-PERALTE!$Q$18)*(RASANTE!F18-PERALTE!$Q$18)-2),IF(RASANTE!F18&lt;=PERALTE!$X$18,8,IF(RASANTE!F18&lt;=PERALTE!$AB$18,(10/(PERALTE!$X$18-PERALTE!$AB$18)*(RASANTE!F18-PERALTE!$AB$18)-2))))),IF(AND(AH!$H$24="Izquierda",RASANTE!F18&lt;=PERALTE!$AB$22),IF(RASANTE!F18&lt;=PERALTE!$S$22,-2,IF(RASANTE!F18&lt;=PERALTE!$U$22,(-6/(PERALTE!$U$22-PERALTE!$S$22)*(RASANTE!F18-PERALTE!$S$22)-2),IF(RASANTE!F18&lt;=PERALTE!$X$22,-8,IF(RASANTE!F18&lt;=PERALTE!$Z$22,(-6/(PERALTE!$X$22-PERALTE!$Z$22)*(RASANTE!F18-PERALTE!$Z$22)-2),IF(RASANTE!F18&lt;=PERALTE!$AB$22,-2))))),IF(AND(AH!$H$24="Derecha",RASANTE!F18&lt;=PERALTE!$AB$22),IF(RASANTE!F18&lt;=PERALTE!$Q$22,-2,IF(RASANTE!F18&lt;=PERALTE!$U$22,(10/(PERALTE!$U$22-PERALTE!$Q$22)*(RASANTE!F18-PERALTE!$Q$22)-2),IF(RASANTE!F18&lt;=PERALTE!$X$22,8,IF(RASANTE!F18&lt;=PERALTE!$AB$22,(10/(PERALTE!$X$22-PERALTE!$AB$22)*(RASANTE!F18-PERALTE!$AB$22)-2))))),IF(AND(AH!#REF!="Izquierda",RASANTE!F18&lt;=PERALTE!#REF!),IF(RASANTE!F18&lt;=PERALTE!#REF!,-2,IF(RASANTE!F18&lt;=PERALTE!#REF!,(-6/(PERALTE!#REF!-PERALTE!#REF!)*(RASANTE!F18-PERALTE!#REF!)-2),IF(RASANTE!F18&lt;=PERALTE!#REF!,-8,IF(RASANTE!F18&lt;=PERALTE!#REF!,(-6/(PERALTE!#REF!-PERALTE!#REF!)*(RASANTE!F18-PERALTE!#REF!)-2),IF(RASANTE!F18&lt;=PERALTE!#REF!,-2))))),IF(AND(AH!#REF!="Derecha",RASANTE!F18&lt;=PERALTE!#REF!),IF(RASANTE!F18&lt;=PERALTE!#REF!,-2,IF(RASANTE!F18&lt;=PERALTE!#REF!,(10/(PERALTE!#REF!-PERALTE!#REF!)*(RASANTE!F18-PERALTE!#REF!)-2),IF(RASANTE!F18&lt;=PERALTE!#REF!,8,IF(RASANTE!F18&lt;=PERALTE!#REF!,(10/(PERALTE!#REF!-PERALTE!#REF!)*(RASANTE!F18-PERALTE!#REF!)-2))))),IF(AND(AH!#REF!="Izquierda",RASANTE!F18&lt;=PERALTE!$AB$26),IF(RASANTE!F18&lt;=PERALTE!$S$26,-2,IF(RASANTE!F18&lt;=PERALTE!$U$26,(-6/(PERALTE!$U$26-PERALTE!$S$26)*(RASANTE!F18-PERALTE!$S$26)-2),IF(RASANTE!F18&lt;=PERALTE!$X$26,-8,IF(RASANTE!F18&lt;=PERALTE!$Z$26,(-6/(PERALTE!$X$26-PERALTE!$Z$26)*(RASANTE!F18-PERALTE!$Z$26)-2),IF(RASANTE!F18&lt;=PERALTE!$AB$26,-2))))),IF(AND(AH!#REF!="Derecha",RASANTE!F18&lt;=PERALTE!$AB$26),IF(RASANTE!F18&lt;=PERALTE!$Q$26,-2,IF(RASANTE!F18&lt;=PERALTE!$U$26,(10/(PERALTE!$U$26-PERALTE!$Q$26)*(RASANTE!F18-PERALTE!$Q$26)-2),IF(RASANTE!F18&lt;=PERALTE!$X$26,8,IF(RASANTE!F18&lt;=PERALTE!$AB$26,(10/(PERALTE!$X$26-PERALTE!$AB$26)*(RASANTE!F18-PERALTE!$AB$26)-2))))),IF(F18&lt;=PERALTE!#REF!,-2,"Abscisa fuera de la vía")))))))))))))))))))))</f>
        <v>-2</v>
      </c>
      <c r="I18" s="28">
        <f>+IF(AND(AH!$H$8="Derecha",RASANTE!F18&lt;=PERALTE!$AB$6),IF(RASANTE!F18&lt;=PERALTE!$S$6,-2,IF(RASANTE!F18&lt;=PERALTE!$U$6,(-6/(PERALTE!$U$6-PERALTE!$S$6)*(RASANTE!F18-PERALTE!$S$6)-2),IF(RASANTE!F18&lt;=PERALTE!$X$6,-8,IF(RASANTE!F18&lt;=PERALTE!$Z$6,(-6/(PERALTE!$X$6-PERALTE!$Z$6)*(RASANTE!F18-PERALTE!$Z$6)-2),IF(RASANTE!F18&lt;=PERALTE!$AB$6,-2))))),IF(AND(AH!$H$8="Izquierda",RASANTE!F18&lt;=PERALTE!$AB$6),IF(RASANTE!F18&lt;=PERALTE!$Q$6,-2,IF(RASANTE!F18&lt;=PERALTE!$U$6,(10/(PERALTE!$U$6-PERALTE!$Q$6)*(RASANTE!F18-PERALTE!$Q$6)-2),IF(RASANTE!F18&lt;=PERALTE!$X$6,8,IF(RASANTE!F18&lt;=PERALTE!$AB$6,(10/(PERALTE!$X$6-PERALTE!$AB$6)*(RASANTE!F18-PERALTE!$AB$6)-2))))),IF(AND(AH!$H$10="Derecha",RASANTE!F18&lt;=PERALTE!$AB$8),IF(RASANTE!F18&lt;=PERALTE!$S$8,-2,IF(RASANTE!F18&lt;=PERALTE!$U$8,(-6/(PERALTE!$U$8-PERALTE!$S$8)*(RASANTE!F18-PERALTE!$S$8)-2),IF(RASANTE!F18&lt;=PERALTE!$X$8,-8,IF(RASANTE!F18&lt;=PERALTE!$Z$8,(-6/(PERALTE!$X$8-PERALTE!$Z$8)*(RASANTE!F18-PERALTE!$Z$8)-2),IF(RASANTE!F18&lt;=PERALTE!$AB$8,-2))))),IF(AND(AH!$H$10="Izquierda",RASANTE!F18&lt;=PERALTE!$AB$8),IF(RASANTE!F18&lt;=PERALTE!$Q$8,-2,IF(RASANTE!F18&lt;=PERALTE!$U$8,(10/(PERALTE!$U$8-PERALTE!$Q$8)*(RASANTE!F18-PERALTE!$Q$8)-2),IF(RASANTE!F18&lt;=PERALTE!$X$8,8,IF(RASANTE!F18&lt;=PERALTE!$AB$8,(10/(PERALTE!$X$8-PERALTE!$AB$8)*(RASANTE!F18-PERALTE!$AB$8)-2))))),IF(AND(AH!$H$12="Derecha",RASANTE!F18&lt;=PERALTE!$AB$10),IF(RASANTE!F18&lt;=PERALTE!$S$10,-2,IF(RASANTE!F18&lt;=PERALTE!$U$10,(-6/(PERALTE!$U$10-PERALTE!$S$10)*(RASANTE!F18-PERALTE!$S$10)-2),IF(RASANTE!F18&lt;=PERALTE!$X$10,-8,IF(RASANTE!F18&lt;=PERALTE!$Z$10,(-6/(PERALTE!$X$10-PERALTE!$Z$10)*(RASANTE!F18-PERALTE!$Z$10)-2),IF(RASANTE!F18&lt;=PERALTE!$AB$10,-2))))),IF(AND(AH!$H$12="Izquierda",RASANTE!F18&lt;=PERALTE!$AB$10),IF(RASANTE!F18&lt;=PERALTE!$Q$10,-2,IF(RASANTE!F18&lt;=PERALTE!$U$10,(10/(PERALTE!$U$10-PERALTE!$Q$10)*(RASANTE!F18-PERALTE!$Q$10)-2),IF(RASANTE!F18&lt;=PERALTE!$X$10,8,IF(RASANTE!F18&lt;=PERALTE!$AB$10,(10/(PERALTE!$X$10-PERALTE!$AB$10)*(RASANTE!F18-PERALTE!$AB$10)-2))))),IF(AND(AH!$H$14="Derecha",RASANTE!F18&lt;=PERALTE!$AB$12),IF(RASANTE!F18&lt;=PERALTE!$S$12,-2,IF(RASANTE!F18&lt;=PERALTE!$U$12,(-6/(PERALTE!$U$12-PERALTE!$S$12)*(RASANTE!F18-PERALTE!$S$12)-2),IF(RASANTE!F18&lt;=PERALTE!$X$12,-8,IF(RASANTE!F18&lt;=PERALTE!$Z$12,(-6/(PERALTE!$X$12-PERALTE!$Z$12)*(RASANTE!F18-PERALTE!$Z$12)-2),IF(RASANTE!F18&lt;=PERALTE!$AB$12,-2))))),IF(AND(AH!$H$14="Izquierda",RASANTE!F18&lt;=PERALTE!$AB$12),IF(RASANTE!F18&lt;=PERALTE!$Q$12,-2,IF(RASANTE!F18&lt;=PERALTE!$U$12,(10/(PERALTE!$U$12-PERALTE!$Q$12)*(RASANTE!F18-PERALTE!$Q$12)-2),IF(RASANTE!F18&lt;=PERALTE!$X$12,8,IF(RASANTE!F18&lt;=PERALTE!$AB$12,(10/(PERALTE!$X$12-PERALTE!$AB$12)*(RASANTE!F18-PERALTE!$AB$12)-2))))),IF(AND(AH!$H$16="Derecha",RASANTE!F18&lt;=PERALTE!$AB$14),IF(RASANTE!F18&lt;=PERALTE!$S$14,-2,IF(RASANTE!F18&lt;=PERALTE!$U$14,(-6/(PERALTE!$U$14-PERALTE!$S$14)*(RASANTE!F18-PERALTE!$S$14)-2),IF(RASANTE!F18&lt;=PERALTE!$X$14,-8,IF(RASANTE!F18&lt;=PERALTE!$Z$14,(-6/(PERALTE!$X$14-PERALTE!$Z$14)*(RASANTE!F18-PERALTE!$Z$14)-2),IF(RASANTE!F18&lt;=PERALTE!$AB$14,-2))))),IF(AND(AH!$H$16="Izquierda",RASANTE!F18&lt;=PERALTE!$AB$14),IF(RASANTE!F18&lt;=PERALTE!$Q$14,-2,IF(RASANTE!F18&lt;=PERALTE!$U$14,(10/(PERALTE!$U$14-PERALTE!$Q$14)*(RASANTE!F18-PERALTE!$Q$14)-2),IF(RASANTE!F18&lt;=PERALTE!$X$14,8,IF(RASANTE!F18&lt;=PERALTE!$AB$14,(10/(PERALTE!$X$14-PERALTE!$AB$14)*(RASANTE!F18-PERALTE!$AB$14)-2))))),IF(AND(AH!$H$18="Derecha",RASANTE!F18&lt;=PERALTE!$AB$16),IF(RASANTE!F18&lt;=PERALTE!$S$16,-2,IF(RASANTE!F18&lt;=PERALTE!$U$16,(-6/(PERALTE!$U$16-PERALTE!$S$16)*(RASANTE!F18-PERALTE!$S$16)-2),IF(RASANTE!F18&lt;=PERALTE!$X$16,-8,IF(RASANTE!F18&lt;=PERALTE!$Z$16,(-6/(PERALTE!$X$16-PERALTE!$Z$16)*(RASANTE!F18-PERALTE!$Z$16)-2),IF(RASANTE!F18&lt;=PERALTE!$AB$16,-2))))),IF(AND(AH!$H$18="Izquierda",RASANTE!F18&lt;=PERALTE!$AB$16),IF(RASANTE!F18&lt;=PERALTE!$Q$16,-2,IF(RASANTE!F18&lt;=PERALTE!$U$16,(10/(PERALTE!$U$16-PERALTE!$Q$16)*(RASANTE!F18-PERALTE!$Q$16)-2),IF(RASANTE!F18&lt;=PERALTE!$X$16,8,IF(RASANTE!F18&lt;=PERALTE!$AB$16,(10/(PERALTE!$X$16-PERALTE!$AB$16)*(RASANTE!F18-PERALTE!$AB$16)-2))))),IF(AND(AH!$H$20="Derecha",RASANTE!F18&lt;=PERALTE!$AB$18),IF(RASANTE!F18&lt;=PERALTE!$S$18,-2,IF(RASANTE!F18&lt;=PERALTE!$U$18,(-6/(PERALTE!$U$18-PERALTE!$S$18)*(RASANTE!F18-PERALTE!$S$18)-2),IF(RASANTE!F18&lt;=PERALTE!$X$18,-8,IF(RASANTE!F18&lt;=PERALTE!$Z$18,(-6/(PERALTE!$X$18-PERALTE!$Z$18)*(RASANTE!F18-PERALTE!$Z$18)-2),IF(RASANTE!F18&lt;=PERALTE!$AB$18,-2))))),IF(AND(AH!$H$20="Izquierda",RASANTE!F18&lt;=PERALTE!$AB$18),IF(RASANTE!F18&lt;=PERALTE!$Q$18,-2,IF(RASANTE!F18&lt;=PERALTE!$U$18,(10/(PERALTE!$U$18-PERALTE!$Q$18)*(RASANTE!F18-PERALTE!$Q$18)-2),IF(RASANTE!F18&lt;=PERALTE!$X$18,8,IF(RASANTE!F18&lt;=PERALTE!$AB$18,(10/(PERALTE!$X$18-PERALTE!$AB$18)*(RASANTE!F18-PERALTE!$AB$18)-2))))),IF(AND(AH!$H$24="Derecha",RASANTE!F18&lt;=PERALTE!$AB$22),IF(RASANTE!F18&lt;=PERALTE!$S$22,-2,IF(RASANTE!F18&lt;=PERALTE!$U$22,(-6/(PERALTE!$U$22-PERALTE!$S$22)*(RASANTE!F18-PERALTE!$S$22)-2),IF(RASANTE!F18&lt;=PERALTE!$X$22,-8,IF(RASANTE!F18&lt;=PERALTE!$Z$22,(-6/(PERALTE!$X$22-PERALTE!$Z$22)*(RASANTE!F18-PERALTE!$Z$22)-2),IF(RASANTE!F18&lt;=PERALTE!$AB$22,-2))))),IF(AND(AH!$H$24="Izquierda",RASANTE!F18&lt;=PERALTE!$AB$22),IF(RASANTE!F18&lt;=PERALTE!$Q$22,-2,IF(RASANTE!F18&lt;=PERALTE!$U$22,(10/(PERALTE!$U$22-PERALTE!$Q$22)*(RASANTE!F18-PERALTE!$Q$22)-2),IF(RASANTE!F18&lt;=PERALTE!$X$22,8,IF(RASANTE!F18&lt;=PERALTE!$AB$22,(10/(PERALTE!$X$22-PERALTE!$AB$22)*(RASANTE!F18-PERALTE!$AB$22)-2))))),IF(AND(AH!#REF!="Derecha",RASANTE!F18&lt;=PERALTE!#REF!),IF(RASANTE!F18&lt;=PERALTE!#REF!,-2,IF(RASANTE!F18&lt;=PERALTE!#REF!,(-6/(PERALTE!#REF!-PERALTE!#REF!)*(RASANTE!F18-PERALTE!#REF!)-2),IF(RASANTE!F18&lt;=PERALTE!#REF!,-8,IF(RASANTE!F18&lt;=PERALTE!#REF!,(-6/(PERALTE!#REF!-PERALTE!#REF!)*(RASANTE!F18-PERALTE!#REF!)-2),IF(RASANTE!F18&lt;=PERALTE!#REF!,-2))))),IF(AND(AH!#REF!="Izquierda",RASANTE!F18&lt;=PERALTE!#REF!),IF(RASANTE!F18&lt;=PERALTE!#REF!,-2,IF(RASANTE!F18&lt;=PERALTE!#REF!,(10/(PERALTE!#REF!-PERALTE!#REF!)*(RASANTE!F18-PERALTE!#REF!)-2),IF(RASANTE!F18&lt;=PERALTE!#REF!,8,IF(RASANTE!F18&lt;=PERALTE!#REF!,(10/(PERALTE!#REF!-PERALTE!#REF!)*(RASANTE!F18-PERALTE!#REF!)-2))))),IF(AND(AH!#REF!="Derecha",RASANTE!F18&lt;=PERALTE!$AB$26),IF(RASANTE!F18&lt;=PERALTE!$S$26,-2,IF(RASANTE!F18&lt;=PERALTE!$U$26,(-6/(PERALTE!$U$26-PERALTE!$S$26)*(RASANTE!F18-PERALTE!$S$26)-2),IF(RASANTE!F18&lt;=PERALTE!$X$26,-8,IF(RASANTE!F18&lt;=PERALTE!$Z$26,(-6/(PERALTE!$X$26-PERALTE!$Z$26)*(RASANTE!F18-PERALTE!$Z$26)-2),IF(RASANTE!F18&lt;=PERALTE!$AB$26,-2))))),IF(AND(AH!#REF!="Izquierda",RASANTE!F18&lt;=PERALTE!$AB$26),IF(RASANTE!F18&lt;=PERALTE!$Q$26,-2,IF(RASANTE!F18&lt;=PERALTE!$U$26,(10/(PERALTE!$U$26-PERALTE!$Q$26)*(RASANTE!F18-PERALTE!$Q$26)-2),IF(RASANTE!F18&lt;=PERALTE!$X$26,8,IF(RASANTE!F18&lt;=PERALTE!$AB$26,(10/(PERALTE!$X$26-PERALTE!$AB$26)*(RASANTE!F18-PERALTE!$AB$26)-2))))),IF(F18&lt;=PERALTE!#REF!,-2,"Abscisa fuera de la vía")))))))))))))))))))))</f>
        <v>-0.6551140588572979</v>
      </c>
      <c r="J18" s="28">
        <f t="shared" si="1"/>
        <v>1648.0846000000004</v>
      </c>
      <c r="K18" s="356">
        <f>+IF(AND(AV!$S$6&lt;F193,F193&lt;=AV!$T$6),AV!$P$6*((AV!$S$6-RASANTE!F193)/(AV!$N$6))^2,IF(AND(AV!$T$6&lt;RASANTE!F193,F193&lt;AV!$U$6),AV!$P$6*((AV!$U$6-RASANTE!F193)/(AV!$O$6))^2,IF(AND(AV!$S$8&lt;F193,F193&lt;=AV!$T$8),AV!$P$8*((AV!$S$8-RASANTE!F193)/(AV!$N$8))^2,IF(AND(AV!$T$8&lt;RASANTE!F193,F193&lt;AV!$U$8),AV!$P$8*((AV!$U$8-RASANTE!F193)/(AV!$O$8))^2,IF(AND(AV!$S$10&lt;F193,F193&lt;=AV!$T$10),AV!$P$10*((AV!$S$10-RASANTE!F193)/(AV!$N$10))^2,IF(AND(AV!$T$10&lt;RASANTE!F193,F193&lt;AV!$U$10),AV!$P$10*((AV!$U$10-RASANTE!F193)/(AV!$O$10))^2,IF(AND(AV!$S$12&lt;F193,F193&lt;=AV!$T$12),AV!$P$12*((AV!$S$12-RASANTE!F193)/(AV!$N$12))^2,IF(AND(AV!$T$12&lt;RASANTE!F193,F193&lt;AV!$U$12),AV!$P$12*((AV!$U$12-RASANTE!F193)/(AV!$O$12))^2,IF(AND(AV!$S$14&lt;F193,F193&lt;=AV!$T$14),AV!$P$14*((AV!$S$14-RASANTE!F193)/(AV!$N$14))^2,IF(AND(AV!$T$14&lt;RASANTE!F193,F193&lt;AV!$U$14),AV!$P$14*((AV!$U$14-RASANTE!F193)/(AV!$O$14))^2,IF(AND(AV!$S$16&lt;F193,F193&lt;=AV!$T$16),AV!$P$16*((AV!$S$16-RASANTE!F193)/(AV!$N$16))^2,IF(AND(AV!$T$16&lt;RASANTE!F193,F193&lt;AV!$U$16),AV!$P$16*((AV!$U$16-RASANTE!F193)/(AV!$O$16))^2,IF(AND(AV!$S$18&lt;F193,F193&lt;=AV!$T$18),AV!$P$18*((AV!$S$18-RASANTE!F193)/(AV!$N$18))^2,IF(AND(AV!$T$18&lt;RASANTE!F193,F193&lt;AV!$U$18),AV!$P$18*((AV!$U$18-RASANTE!F193)/(AV!$O$18))^2,IF(AND(AV!$S$20&lt;F193,F193&lt;=AV!$T$20),AV!$P$20*((AV!$S$20-RASANTE!F193)/(AV!$N$20))^2,IF(AND(AV!$T$20&lt;RASANTE!F193,F193&lt;AV!$U$20),AV!$P$20*((AV!$U$20-RASANTE!F193)/(AV!$O$20))^2,IF(AND(AV!$S$22&lt;F193,F193&lt;=AV!$T$22),AV!$P$22*((AV!$S$22-RASANTE!F193)/(AV!$N$22))^2,IF(AND(AV!$T$22&lt;RASANTE!F193,F193&lt;AV!$U$22),AV!$P$22*((AV!$U$22-RASANTE!F193)/(AV!$O$22))^2,IF(AND(AV!$S$24&lt;F193,F193&lt;=AV!$T$24),AV!$P$24*((AV!$S$24-RASANTE!F193)/(AV!$N$24))^2,IF(AND(AV!$T$24&lt;RASANTE!F193,F193&lt;AV!$U$24),AV!$P$24*((AV!$U$24-RASANTE!F193)/(AV!$O$24))^2,0))))))))))))))))))))</f>
        <v>0</v>
      </c>
      <c r="L18" s="28">
        <f>+M18+H18%*PERALTE!$C$32</f>
        <v>1648.0146000000004</v>
      </c>
      <c r="M18" s="28">
        <f t="shared" si="2"/>
        <v>1648.0846000000004</v>
      </c>
      <c r="N18" s="28">
        <f>+M18+I18%*PERALTE!$C$32</f>
        <v>1648.0616710079403</v>
      </c>
      <c r="O18" s="92"/>
      <c r="P18" s="84"/>
      <c r="Q18" s="105" t="s">
        <v>159</v>
      </c>
      <c r="R18" s="105" t="s">
        <v>160</v>
      </c>
      <c r="S18" s="106" t="s">
        <v>159</v>
      </c>
      <c r="T18" s="106" t="s">
        <v>161</v>
      </c>
      <c r="U18" s="84"/>
      <c r="V18" s="84"/>
      <c r="W18" s="84"/>
      <c r="X18" s="84"/>
      <c r="Y18" s="84"/>
    </row>
    <row r="19" spans="1:25" x14ac:dyDescent="0.2">
      <c r="A19" s="90" t="s">
        <v>310</v>
      </c>
      <c r="B19" s="86"/>
      <c r="C19" s="86"/>
      <c r="D19" s="86"/>
      <c r="E19" s="91"/>
      <c r="F19" s="34">
        <f>PERALTE!R6</f>
        <v>132.38843667291724</v>
      </c>
      <c r="G19" s="88">
        <f>IF(F19&lt;=AV!$T$6,AV!$C$5,IF(RASANTE!F19&lt;=AV!$T$8,AV!$C$7,IF(RASANTE!F19&lt;=AV!$T$10,AV!$C$9,IF(RASANTE!F19&lt;=AV!$T$12,AV!#REF!,IF(RASANTE!F19&lt;=AV!$T$14,AV!$C$11,IF(RASANTE!F19&lt;=AV!$T$16,AV!$C$13, IF(RASANTE!F19&lt;=AV!$T$18,AV!$C$15,IF(RASANTE!F19&lt;=AV!$T$20,AV!$C$19,IF(RASANTE!F19&lt;=AV!$T$22,AV!$C$21,IF(RASANTE!F19&lt;=AV!$T$24,AV!$C$23,AV!$C$25))))))))))</f>
        <v>3.1419999999999999</v>
      </c>
      <c r="H19" s="28">
        <f>+IF(AND(AH!$H$8="Izquierda",RASANTE!F19&lt;=PERALTE!$AB$6),IF(RASANTE!F19&lt;=PERALTE!$S$6,-2,IF(RASANTE!F19&lt;=PERALTE!$U$6,(-6/(PERALTE!$U$6-PERALTE!$S$6)*(RASANTE!F19-PERALTE!$S$6)-2),IF(RASANTE!F19&lt;=PERALTE!$X$6,-8,IF(RASANTE!F19&lt;=PERALTE!$Z$6,(-6/(PERALTE!$X$6-PERALTE!$Z$6)*(RASANTE!F19-PERALTE!$Z$6)-2),IF(RASANTE!F19&lt;=PERALTE!$AB$6,-2))))),IF(AND(AH!$H$8="Derecha",RASANTE!F19&lt;=PERALTE!$AB$6),IF(RASANTE!F19&lt;=PERALTE!$Q$6,-2,IF(RASANTE!F19&lt;=PERALTE!$U$6,(10/(PERALTE!$U$6-PERALTE!$Q$6)*(RASANTE!F19-PERALTE!$Q$6)-2),IF(RASANTE!F19&lt;=PERALTE!$X$6,8,IF(RASANTE!F19&lt;=PERALTE!$AB$6,(10/(PERALTE!$X$6-PERALTE!$AB$6)*(RASANTE!F19-PERALTE!$AB$6)-2))))),IF(AND(AH!$H$10="Izquierda",RASANTE!F19&lt;=PERALTE!$AB$8),IF(RASANTE!F19&lt;=PERALTE!$S$8,-2,IF(RASANTE!F19&lt;=PERALTE!$U$8,(-6/(PERALTE!$U$8-PERALTE!$S$8)*(RASANTE!F19-PERALTE!$S$8)-2),IF(RASANTE!F19&lt;=PERALTE!$X$8,-8,IF(RASANTE!F19&lt;=PERALTE!$Z$8,(-6/(PERALTE!$X$8-PERALTE!$Z$8)*(RASANTE!F19-PERALTE!$Z$8)-2),IF(RASANTE!F19&lt;=PERALTE!$AB$8,-2))))),IF(AND(AH!$H$10="Derecha",RASANTE!F19&lt;=PERALTE!$AB$8),IF(RASANTE!F19&lt;=PERALTE!$Q$8,-2,IF(RASANTE!F19&lt;=PERALTE!$U$8,(10/(PERALTE!$U$8-PERALTE!$Q$8)*(RASANTE!F19-PERALTE!$Q$8)-2),IF(RASANTE!F19&lt;=PERALTE!$X$8,8,IF(RASANTE!F19&lt;=PERALTE!$AB$8,(10/(PERALTE!$X$8-PERALTE!$AB$8)*(RASANTE!F19-PERALTE!$AB$8)-2))))),IF(AND(AH!$H$12="Izquierda",RASANTE!F19&lt;=PERALTE!$AB$10),IF(RASANTE!F19&lt;=PERALTE!$S$10,-2,IF(RASANTE!F19&lt;=PERALTE!$U$10,(-6/(PERALTE!$U$10-PERALTE!$S$10)*(RASANTE!F19-PERALTE!$S$10)-2),IF(RASANTE!F19&lt;=PERALTE!$X$10,-8,IF(RASANTE!F19&lt;=PERALTE!$Z$10,(-6/(PERALTE!$X$10-PERALTE!$Z$10)*(RASANTE!F19-PERALTE!$Z$10)-2),IF(RASANTE!F19&lt;=PERALTE!$AB$10,-2))))),IF(AND(AH!$H$12="Derecha",RASANTE!F19&lt;=PERALTE!$AB$10),IF(RASANTE!F19&lt;=PERALTE!$Q$10,-2,IF(RASANTE!F19&lt;=PERALTE!$U$10,(10/(PERALTE!$U$10-PERALTE!$Q$10)*(RASANTE!F19-PERALTE!$Q$10)-2),IF(RASANTE!F19&lt;=PERALTE!$X$10,8,IF(RASANTE!F19&lt;=PERALTE!$AB$10,(10/(PERALTE!$X$10-PERALTE!$AB$10)*(RASANTE!F19-PERALTE!$AB$10)-2))))),IF(AND(AH!$H$14="Izquierda",RASANTE!F19&lt;=PERALTE!$AB$12),IF(RASANTE!F19&lt;=PERALTE!$S$12,-2,IF(RASANTE!F19&lt;=PERALTE!$U$12,(-6/(PERALTE!$U$12-PERALTE!$S$12)*(RASANTE!F19-PERALTE!$S$12)-2),IF(RASANTE!F19&lt;=PERALTE!$X$12,-8,IF(RASANTE!F19&lt;=PERALTE!$Z$12,(-6/(PERALTE!$X$12-PERALTE!$Z$12)*(RASANTE!F19-PERALTE!$Z$12)-2),IF(RASANTE!F19&lt;=PERALTE!$AB$12,-2))))),IF(AND(AH!$H$14="Derecha",RASANTE!F19&lt;=PERALTE!$AB$12),IF(RASANTE!F19&lt;=PERALTE!$Q$12,-2,IF(RASANTE!F19&lt;=PERALTE!$U$12,(10/(PERALTE!$U$12-PERALTE!$Q$12)*(RASANTE!F19-PERALTE!$Q$12)-2),IF(RASANTE!F19&lt;=PERALTE!$X$12,8,IF(RASANTE!F19&lt;=PERALTE!$AB$12,(10/(PERALTE!$X$12-PERALTE!$AB$12)*(RASANTE!F19-PERALTE!$AB$12)-2))))),IF(AND(AH!$H$16="Izquierda",RASANTE!F19&lt;=PERALTE!$AB$14),IF(RASANTE!F19&lt;=PERALTE!$S$14,-2,IF(RASANTE!F19&lt;=PERALTE!$U$14,(-6/(PERALTE!$U$14-PERALTE!$S$14)*(RASANTE!F19-PERALTE!$S$14)-2),IF(RASANTE!F19&lt;=PERALTE!$X$14,-8,IF(RASANTE!F19&lt;=PERALTE!$Z$14,(-6/(PERALTE!$X$14-PERALTE!$Z$14)*(RASANTE!F19-PERALTE!$Z$14)-2),IF(RASANTE!F19&lt;=PERALTE!$AB$14,-2))))),IF(AND(AH!$H$16="Derecha",RASANTE!F19&lt;=PERALTE!$AB$14),IF(RASANTE!F19&lt;=PERALTE!$Q$14,-2,IF(RASANTE!F19&lt;=PERALTE!$U$14,(10/(PERALTE!$U$14-PERALTE!$Q$14)*(RASANTE!F19-PERALTE!$Q$14)-2),IF(RASANTE!F19&lt;=PERALTE!$X$14,8,IF(RASANTE!F19&lt;=PERALTE!$AB$14,(10/(PERALTE!$X$14-PERALTE!$AB$14)*(RASANTE!F19-PERALTE!$AB$14)-2))))),IF(AND(AH!$H$18="Izquierda",RASANTE!F19&lt;=PERALTE!$AB$16),IF(RASANTE!F19&lt;=PERALTE!$S$16,-2,IF(RASANTE!F19&lt;=PERALTE!$U$16,(-6/(PERALTE!$U$16-PERALTE!$S$16)*(RASANTE!F19-PERALTE!$S$16)-2),IF(RASANTE!F19&lt;=PERALTE!$X$16,-8,IF(RASANTE!F19&lt;=PERALTE!$Z$16,(-6/(PERALTE!$X$16-PERALTE!$Z$16)*(RASANTE!F19-PERALTE!$Z$16)-2),IF(RASANTE!F19&lt;=PERALTE!$AB$16,-2))))),IF(AND(AH!$H$18="Derecha",RASANTE!F19&lt;=PERALTE!$AB$16),IF(RASANTE!F19&lt;=PERALTE!$Q$16,-2,IF(RASANTE!F19&lt;=PERALTE!$U$16,(10/(PERALTE!$U$16-PERALTE!$Q$16)*(RASANTE!F19-PERALTE!$Q$16)-2),IF(RASANTE!F19&lt;=PERALTE!$X$16,8,IF(RASANTE!F19&lt;=PERALTE!$AB$16,(10/(PERALTE!$X$16-PERALTE!$AB$16)*(RASANTE!F19-PERALTE!$AB$16)-2))))),IF(AND(AH!$H$20="Izquierda",RASANTE!F19&lt;=PERALTE!$AB$18),IF(RASANTE!F19&lt;=PERALTE!$S$18,-2,IF(RASANTE!F19&lt;=PERALTE!$U$18,(-6/(PERALTE!$U$18-PERALTE!$S$18)*(RASANTE!F19-PERALTE!$S$18)-2),IF(RASANTE!F19&lt;=PERALTE!$X$18,-8,IF(RASANTE!F19&lt;=PERALTE!$Z$18,(-6/(PERALTE!$X$18-PERALTE!$Z$18)*(RASANTE!F19-PERALTE!$Z$18)-2),IF(RASANTE!F19&lt;=PERALTE!$AB$18,-2))))),IF(AND(AH!$H$20="Derecha",RASANTE!F19&lt;=PERALTE!$AB$18),IF(RASANTE!F19&lt;=PERALTE!$Q$18,-2,IF(RASANTE!F19&lt;=PERALTE!$U$18,(10/(PERALTE!$U$18-PERALTE!$Q$18)*(RASANTE!F19-PERALTE!$Q$18)-2),IF(RASANTE!F19&lt;=PERALTE!$X$18,8,IF(RASANTE!F19&lt;=PERALTE!$AB$18,(10/(PERALTE!$X$18-PERALTE!$AB$18)*(RASANTE!F19-PERALTE!$AB$18)-2))))),IF(AND(AH!$H$24="Izquierda",RASANTE!F19&lt;=PERALTE!$AB$22),IF(RASANTE!F19&lt;=PERALTE!$S$22,-2,IF(RASANTE!F19&lt;=PERALTE!$U$22,(-6/(PERALTE!$U$22-PERALTE!$S$22)*(RASANTE!F19-PERALTE!$S$22)-2),IF(RASANTE!F19&lt;=PERALTE!$X$22,-8,IF(RASANTE!F19&lt;=PERALTE!$Z$22,(-6/(PERALTE!$X$22-PERALTE!$Z$22)*(RASANTE!F19-PERALTE!$Z$22)-2),IF(RASANTE!F19&lt;=PERALTE!$AB$22,-2))))),IF(AND(AH!$H$24="Derecha",RASANTE!F19&lt;=PERALTE!$AB$22),IF(RASANTE!F19&lt;=PERALTE!$Q$22,-2,IF(RASANTE!F19&lt;=PERALTE!$U$22,(10/(PERALTE!$U$22-PERALTE!$Q$22)*(RASANTE!F19-PERALTE!$Q$22)-2),IF(RASANTE!F19&lt;=PERALTE!$X$22,8,IF(RASANTE!F19&lt;=PERALTE!$AB$22,(10/(PERALTE!$X$22-PERALTE!$AB$22)*(RASANTE!F19-PERALTE!$AB$22)-2))))),IF(AND(AH!#REF!="Izquierda",RASANTE!F19&lt;=PERALTE!#REF!),IF(RASANTE!F19&lt;=PERALTE!#REF!,-2,IF(RASANTE!F19&lt;=PERALTE!#REF!,(-6/(PERALTE!#REF!-PERALTE!#REF!)*(RASANTE!F19-PERALTE!#REF!)-2),IF(RASANTE!F19&lt;=PERALTE!#REF!,-8,IF(RASANTE!F19&lt;=PERALTE!#REF!,(-6/(PERALTE!#REF!-PERALTE!#REF!)*(RASANTE!F19-PERALTE!#REF!)-2),IF(RASANTE!F19&lt;=PERALTE!#REF!,-2))))),IF(AND(AH!#REF!="Derecha",RASANTE!F19&lt;=PERALTE!#REF!),IF(RASANTE!F19&lt;=PERALTE!#REF!,-2,IF(RASANTE!F19&lt;=PERALTE!#REF!,(10/(PERALTE!#REF!-PERALTE!#REF!)*(RASANTE!F19-PERALTE!#REF!)-2),IF(RASANTE!F19&lt;=PERALTE!#REF!,8,IF(RASANTE!F19&lt;=PERALTE!#REF!,(10/(PERALTE!#REF!-PERALTE!#REF!)*(RASANTE!F19-PERALTE!#REF!)-2))))),IF(AND(AH!#REF!="Izquierda",RASANTE!F19&lt;=PERALTE!$AB$26),IF(RASANTE!F19&lt;=PERALTE!$S$26,-2,IF(RASANTE!F19&lt;=PERALTE!$U$26,(-6/(PERALTE!$U$26-PERALTE!$S$26)*(RASANTE!F19-PERALTE!$S$26)-2),IF(RASANTE!F19&lt;=PERALTE!$X$26,-8,IF(RASANTE!F19&lt;=PERALTE!$Z$26,(-6/(PERALTE!$X$26-PERALTE!$Z$26)*(RASANTE!F19-PERALTE!$Z$26)-2),IF(RASANTE!F19&lt;=PERALTE!$AB$26,-2))))),IF(AND(AH!#REF!="Derecha",RASANTE!F19&lt;=PERALTE!$AB$26),IF(RASANTE!F19&lt;=PERALTE!$Q$26,-2,IF(RASANTE!F19&lt;=PERALTE!$U$26,(10/(PERALTE!$U$26-PERALTE!$Q$26)*(RASANTE!F19-PERALTE!$Q$26)-2),IF(RASANTE!F19&lt;=PERALTE!$X$26,8,IF(RASANTE!F19&lt;=PERALTE!$AB$26,(10/(PERALTE!$X$26-PERALTE!$AB$26)*(RASANTE!F19-PERALTE!$AB$26)-2))))),IF(F19&lt;=PERALTE!#REF!,-2,"Abscisa fuera de la vía")))))))))))))))))))))</f>
        <v>-2</v>
      </c>
      <c r="I19" s="28">
        <f>+IF(AND(AH!$H$8="Derecha",RASANTE!F19&lt;=PERALTE!$AB$6),IF(RASANTE!F19&lt;=PERALTE!$S$6,-2,IF(RASANTE!F19&lt;=PERALTE!$U$6,(-6/(PERALTE!$U$6-PERALTE!$S$6)*(RASANTE!F19-PERALTE!$S$6)-2),IF(RASANTE!F19&lt;=PERALTE!$X$6,-8,IF(RASANTE!F19&lt;=PERALTE!$Z$6,(-6/(PERALTE!$X$6-PERALTE!$Z$6)*(RASANTE!F19-PERALTE!$Z$6)-2),IF(RASANTE!F19&lt;=PERALTE!$AB$6,-2))))),IF(AND(AH!$H$8="Izquierda",RASANTE!F19&lt;=PERALTE!$AB$6),IF(RASANTE!F19&lt;=PERALTE!$Q$6,-2,IF(RASANTE!F19&lt;=PERALTE!$U$6,(10/(PERALTE!$U$6-PERALTE!$Q$6)*(RASANTE!F19-PERALTE!$Q$6)-2),IF(RASANTE!F19&lt;=PERALTE!$X$6,8,IF(RASANTE!F19&lt;=PERALTE!$AB$6,(10/(PERALTE!$X$6-PERALTE!$AB$6)*(RASANTE!F19-PERALTE!$AB$6)-2))))),IF(AND(AH!$H$10="Derecha",RASANTE!F19&lt;=PERALTE!$AB$8),IF(RASANTE!F19&lt;=PERALTE!$S$8,-2,IF(RASANTE!F19&lt;=PERALTE!$U$8,(-6/(PERALTE!$U$8-PERALTE!$S$8)*(RASANTE!F19-PERALTE!$S$8)-2),IF(RASANTE!F19&lt;=PERALTE!$X$8,-8,IF(RASANTE!F19&lt;=PERALTE!$Z$8,(-6/(PERALTE!$X$8-PERALTE!$Z$8)*(RASANTE!F19-PERALTE!$Z$8)-2),IF(RASANTE!F19&lt;=PERALTE!$AB$8,-2))))),IF(AND(AH!$H$10="Izquierda",RASANTE!F19&lt;=PERALTE!$AB$8),IF(RASANTE!F19&lt;=PERALTE!$Q$8,-2,IF(RASANTE!F19&lt;=PERALTE!$U$8,(10/(PERALTE!$U$8-PERALTE!$Q$8)*(RASANTE!F19-PERALTE!$Q$8)-2),IF(RASANTE!F19&lt;=PERALTE!$X$8,8,IF(RASANTE!F19&lt;=PERALTE!$AB$8,(10/(PERALTE!$X$8-PERALTE!$AB$8)*(RASANTE!F19-PERALTE!$AB$8)-2))))),IF(AND(AH!$H$12="Derecha",RASANTE!F19&lt;=PERALTE!$AB$10),IF(RASANTE!F19&lt;=PERALTE!$S$10,-2,IF(RASANTE!F19&lt;=PERALTE!$U$10,(-6/(PERALTE!$U$10-PERALTE!$S$10)*(RASANTE!F19-PERALTE!$S$10)-2),IF(RASANTE!F19&lt;=PERALTE!$X$10,-8,IF(RASANTE!F19&lt;=PERALTE!$Z$10,(-6/(PERALTE!$X$10-PERALTE!$Z$10)*(RASANTE!F19-PERALTE!$Z$10)-2),IF(RASANTE!F19&lt;=PERALTE!$AB$10,-2))))),IF(AND(AH!$H$12="Izquierda",RASANTE!F19&lt;=PERALTE!$AB$10),IF(RASANTE!F19&lt;=PERALTE!$Q$10,-2,IF(RASANTE!F19&lt;=PERALTE!$U$10,(10/(PERALTE!$U$10-PERALTE!$Q$10)*(RASANTE!F19-PERALTE!$Q$10)-2),IF(RASANTE!F19&lt;=PERALTE!$X$10,8,IF(RASANTE!F19&lt;=PERALTE!$AB$10,(10/(PERALTE!$X$10-PERALTE!$AB$10)*(RASANTE!F19-PERALTE!$AB$10)-2))))),IF(AND(AH!$H$14="Derecha",RASANTE!F19&lt;=PERALTE!$AB$12),IF(RASANTE!F19&lt;=PERALTE!$S$12,-2,IF(RASANTE!F19&lt;=PERALTE!$U$12,(-6/(PERALTE!$U$12-PERALTE!$S$12)*(RASANTE!F19-PERALTE!$S$12)-2),IF(RASANTE!F19&lt;=PERALTE!$X$12,-8,IF(RASANTE!F19&lt;=PERALTE!$Z$12,(-6/(PERALTE!$X$12-PERALTE!$Z$12)*(RASANTE!F19-PERALTE!$Z$12)-2),IF(RASANTE!F19&lt;=PERALTE!$AB$12,-2))))),IF(AND(AH!$H$14="Izquierda",RASANTE!F19&lt;=PERALTE!$AB$12),IF(RASANTE!F19&lt;=PERALTE!$Q$12,-2,IF(RASANTE!F19&lt;=PERALTE!$U$12,(10/(PERALTE!$U$12-PERALTE!$Q$12)*(RASANTE!F19-PERALTE!$Q$12)-2),IF(RASANTE!F19&lt;=PERALTE!$X$12,8,IF(RASANTE!F19&lt;=PERALTE!$AB$12,(10/(PERALTE!$X$12-PERALTE!$AB$12)*(RASANTE!F19-PERALTE!$AB$12)-2))))),IF(AND(AH!$H$16="Derecha",RASANTE!F19&lt;=PERALTE!$AB$14),IF(RASANTE!F19&lt;=PERALTE!$S$14,-2,IF(RASANTE!F19&lt;=PERALTE!$U$14,(-6/(PERALTE!$U$14-PERALTE!$S$14)*(RASANTE!F19-PERALTE!$S$14)-2),IF(RASANTE!F19&lt;=PERALTE!$X$14,-8,IF(RASANTE!F19&lt;=PERALTE!$Z$14,(-6/(PERALTE!$X$14-PERALTE!$Z$14)*(RASANTE!F19-PERALTE!$Z$14)-2),IF(RASANTE!F19&lt;=PERALTE!$AB$14,-2))))),IF(AND(AH!$H$16="Izquierda",RASANTE!F19&lt;=PERALTE!$AB$14),IF(RASANTE!F19&lt;=PERALTE!$Q$14,-2,IF(RASANTE!F19&lt;=PERALTE!$U$14,(10/(PERALTE!$U$14-PERALTE!$Q$14)*(RASANTE!F19-PERALTE!$Q$14)-2),IF(RASANTE!F19&lt;=PERALTE!$X$14,8,IF(RASANTE!F19&lt;=PERALTE!$AB$14,(10/(PERALTE!$X$14-PERALTE!$AB$14)*(RASANTE!F19-PERALTE!$AB$14)-2))))),IF(AND(AH!$H$18="Derecha",RASANTE!F19&lt;=PERALTE!$AB$16),IF(RASANTE!F19&lt;=PERALTE!$S$16,-2,IF(RASANTE!F19&lt;=PERALTE!$U$16,(-6/(PERALTE!$U$16-PERALTE!$S$16)*(RASANTE!F19-PERALTE!$S$16)-2),IF(RASANTE!F19&lt;=PERALTE!$X$16,-8,IF(RASANTE!F19&lt;=PERALTE!$Z$16,(-6/(PERALTE!$X$16-PERALTE!$Z$16)*(RASANTE!F19-PERALTE!$Z$16)-2),IF(RASANTE!F19&lt;=PERALTE!$AB$16,-2))))),IF(AND(AH!$H$18="Izquierda",RASANTE!F19&lt;=PERALTE!$AB$16),IF(RASANTE!F19&lt;=PERALTE!$Q$16,-2,IF(RASANTE!F19&lt;=PERALTE!$U$16,(10/(PERALTE!$U$16-PERALTE!$Q$16)*(RASANTE!F19-PERALTE!$Q$16)-2),IF(RASANTE!F19&lt;=PERALTE!$X$16,8,IF(RASANTE!F19&lt;=PERALTE!$AB$16,(10/(PERALTE!$X$16-PERALTE!$AB$16)*(RASANTE!F19-PERALTE!$AB$16)-2))))),IF(AND(AH!$H$20="Derecha",RASANTE!F19&lt;=PERALTE!$AB$18),IF(RASANTE!F19&lt;=PERALTE!$S$18,-2,IF(RASANTE!F19&lt;=PERALTE!$U$18,(-6/(PERALTE!$U$18-PERALTE!$S$18)*(RASANTE!F19-PERALTE!$S$18)-2),IF(RASANTE!F19&lt;=PERALTE!$X$18,-8,IF(RASANTE!F19&lt;=PERALTE!$Z$18,(-6/(PERALTE!$X$18-PERALTE!$Z$18)*(RASANTE!F19-PERALTE!$Z$18)-2),IF(RASANTE!F19&lt;=PERALTE!$AB$18,-2))))),IF(AND(AH!$H$20="Izquierda",RASANTE!F19&lt;=PERALTE!$AB$18),IF(RASANTE!F19&lt;=PERALTE!$Q$18,-2,IF(RASANTE!F19&lt;=PERALTE!$U$18,(10/(PERALTE!$U$18-PERALTE!$Q$18)*(RASANTE!F19-PERALTE!$Q$18)-2),IF(RASANTE!F19&lt;=PERALTE!$X$18,8,IF(RASANTE!F19&lt;=PERALTE!$AB$18,(10/(PERALTE!$X$18-PERALTE!$AB$18)*(RASANTE!F19-PERALTE!$AB$18)-2))))),IF(AND(AH!$H$24="Derecha",RASANTE!F19&lt;=PERALTE!$AB$22),IF(RASANTE!F19&lt;=PERALTE!$S$22,-2,IF(RASANTE!F19&lt;=PERALTE!$U$22,(-6/(PERALTE!$U$22-PERALTE!$S$22)*(RASANTE!F19-PERALTE!$S$22)-2),IF(RASANTE!F19&lt;=PERALTE!$X$22,-8,IF(RASANTE!F19&lt;=PERALTE!$Z$22,(-6/(PERALTE!$X$22-PERALTE!$Z$22)*(RASANTE!F19-PERALTE!$Z$22)-2),IF(RASANTE!F19&lt;=PERALTE!$AB$22,-2))))),IF(AND(AH!$H$24="Izquierda",RASANTE!F19&lt;=PERALTE!$AB$22),IF(RASANTE!F19&lt;=PERALTE!$Q$22,-2,IF(RASANTE!F19&lt;=PERALTE!$U$22,(10/(PERALTE!$U$22-PERALTE!$Q$22)*(RASANTE!F19-PERALTE!$Q$22)-2),IF(RASANTE!F19&lt;=PERALTE!$X$22,8,IF(RASANTE!F19&lt;=PERALTE!$AB$22,(10/(PERALTE!$X$22-PERALTE!$AB$22)*(RASANTE!F19-PERALTE!$AB$22)-2))))),IF(AND(AH!#REF!="Derecha",RASANTE!F19&lt;=PERALTE!#REF!),IF(RASANTE!F19&lt;=PERALTE!#REF!,-2,IF(RASANTE!F19&lt;=PERALTE!#REF!,(-6/(PERALTE!#REF!-PERALTE!#REF!)*(RASANTE!F19-PERALTE!#REF!)-2),IF(RASANTE!F19&lt;=PERALTE!#REF!,-8,IF(RASANTE!F19&lt;=PERALTE!#REF!,(-6/(PERALTE!#REF!-PERALTE!#REF!)*(RASANTE!F19-PERALTE!#REF!)-2),IF(RASANTE!F19&lt;=PERALTE!#REF!,-2))))),IF(AND(AH!#REF!="Izquierda",RASANTE!F19&lt;=PERALTE!#REF!),IF(RASANTE!F19&lt;=PERALTE!#REF!,-2,IF(RASANTE!F19&lt;=PERALTE!#REF!,(10/(PERALTE!#REF!-PERALTE!#REF!)*(RASANTE!F19-PERALTE!#REF!)-2),IF(RASANTE!F19&lt;=PERALTE!#REF!,8,IF(RASANTE!F19&lt;=PERALTE!#REF!,(10/(PERALTE!#REF!-PERALTE!#REF!)*(RASANTE!F19-PERALTE!#REF!)-2))))),IF(AND(AH!#REF!="Derecha",RASANTE!F19&lt;=PERALTE!$AB$26),IF(RASANTE!F19&lt;=PERALTE!$S$26,-2,IF(RASANTE!F19&lt;=PERALTE!$U$26,(-6/(PERALTE!$U$26-PERALTE!$S$26)*(RASANTE!F19-PERALTE!$S$26)-2),IF(RASANTE!F19&lt;=PERALTE!$X$26,-8,IF(RASANTE!F19&lt;=PERALTE!$Z$26,(-6/(PERALTE!$X$26-PERALTE!$Z$26)*(RASANTE!F19-PERALTE!$Z$26)-2),IF(RASANTE!F19&lt;=PERALTE!$AB$26,-2))))),IF(AND(AH!#REF!="Izquierda",RASANTE!F19&lt;=PERALTE!$AB$26),IF(RASANTE!F19&lt;=PERALTE!$Q$26,-2,IF(RASANTE!F19&lt;=PERALTE!$U$26,(10/(PERALTE!$U$26-PERALTE!$Q$26)*(RASANTE!F19-PERALTE!$Q$26)-2),IF(RASANTE!F19&lt;=PERALTE!$X$26,8,IF(RASANTE!F19&lt;=PERALTE!$AB$26,(10/(PERALTE!$X$26-PERALTE!$AB$26)*(RASANTE!F19-PERALTE!$AB$26)-2))))),IF(F19&lt;=PERALTE!#REF!,-2,"Abscisa fuera de la vía")))))))))))))))))))))</f>
        <v>1.3322676295501878E-15</v>
      </c>
      <c r="J19" s="28">
        <f t="shared" si="1"/>
        <v>1648.1596446802635</v>
      </c>
      <c r="K19" s="356">
        <f>+IF(AND(AV!$S$6&lt;F194,F194&lt;=AV!$T$6),AV!$P$6*((AV!$S$6-RASANTE!F194)/(AV!$N$6))^2,IF(AND(AV!$T$6&lt;RASANTE!F194,F194&lt;AV!$U$6),AV!$P$6*((AV!$U$6-RASANTE!F194)/(AV!$O$6))^2,IF(AND(AV!$S$8&lt;F194,F194&lt;=AV!$T$8),AV!$P$8*((AV!$S$8-RASANTE!F194)/(AV!$N$8))^2,IF(AND(AV!$T$8&lt;RASANTE!F194,F194&lt;AV!$U$8),AV!$P$8*((AV!$U$8-RASANTE!F194)/(AV!$O$8))^2,IF(AND(AV!$S$10&lt;F194,F194&lt;=AV!$T$10),AV!$P$10*((AV!$S$10-RASANTE!F194)/(AV!$N$10))^2,IF(AND(AV!$T$10&lt;RASANTE!F194,F194&lt;AV!$U$10),AV!$P$10*((AV!$U$10-RASANTE!F194)/(AV!$O$10))^2,IF(AND(AV!$S$12&lt;F194,F194&lt;=AV!$T$12),AV!$P$12*((AV!$S$12-RASANTE!F194)/(AV!$N$12))^2,IF(AND(AV!$T$12&lt;RASANTE!F194,F194&lt;AV!$U$12),AV!$P$12*((AV!$U$12-RASANTE!F194)/(AV!$O$12))^2,IF(AND(AV!$S$14&lt;F194,F194&lt;=AV!$T$14),AV!$P$14*((AV!$S$14-RASANTE!F194)/(AV!$N$14))^2,IF(AND(AV!$T$14&lt;RASANTE!F194,F194&lt;AV!$U$14),AV!$P$14*((AV!$U$14-RASANTE!F194)/(AV!$O$14))^2,IF(AND(AV!$S$16&lt;F194,F194&lt;=AV!$T$16),AV!$P$16*((AV!$S$16-RASANTE!F194)/(AV!$N$16))^2,IF(AND(AV!$T$16&lt;RASANTE!F194,F194&lt;AV!$U$16),AV!$P$16*((AV!$U$16-RASANTE!F194)/(AV!$O$16))^2,IF(AND(AV!$S$18&lt;F194,F194&lt;=AV!$T$18),AV!$P$18*((AV!$S$18-RASANTE!F194)/(AV!$N$18))^2,IF(AND(AV!$T$18&lt;RASANTE!F194,F194&lt;AV!$U$18),AV!$P$18*((AV!$U$18-RASANTE!F194)/(AV!$O$18))^2,IF(AND(AV!$S$20&lt;F194,F194&lt;=AV!$T$20),AV!$P$20*((AV!$S$20-RASANTE!F194)/(AV!$N$20))^2,IF(AND(AV!$T$20&lt;RASANTE!F194,F194&lt;AV!$U$20),AV!$P$20*((AV!$U$20-RASANTE!F194)/(AV!$O$20))^2,IF(AND(AV!$S$22&lt;F194,F194&lt;=AV!$T$22),AV!$P$22*((AV!$S$22-RASANTE!F194)/(AV!$N$22))^2,IF(AND(AV!$T$22&lt;RASANTE!F194,F194&lt;AV!$U$22),AV!$P$22*((AV!$U$22-RASANTE!F194)/(AV!$O$22))^2,IF(AND(AV!$S$24&lt;F194,F194&lt;=AV!$T$24),AV!$P$24*((AV!$S$24-RASANTE!F194)/(AV!$N$24))^2,IF(AND(AV!$T$24&lt;RASANTE!F194,F194&lt;AV!$U$24),AV!$P$24*((AV!$U$24-RASANTE!F194)/(AV!$O$24))^2,0))))))))))))))))))))</f>
        <v>0</v>
      </c>
      <c r="L19" s="28">
        <f>+M19+H19%*PERALTE!$C$32</f>
        <v>1648.0896446802635</v>
      </c>
      <c r="M19" s="28">
        <f t="shared" si="2"/>
        <v>1648.1596446802635</v>
      </c>
      <c r="N19" s="28">
        <f>+M19+I19%*PERALTE!$C$32</f>
        <v>1648.1596446802635</v>
      </c>
      <c r="O19" s="92"/>
      <c r="P19" s="84"/>
      <c r="Q19" s="84"/>
      <c r="R19" s="84"/>
      <c r="S19" s="84"/>
      <c r="T19" s="84"/>
      <c r="U19" s="84"/>
      <c r="V19" s="84"/>
      <c r="W19" s="84"/>
      <c r="X19" s="84"/>
      <c r="Y19" s="84"/>
    </row>
    <row r="20" spans="1:25" x14ac:dyDescent="0.2">
      <c r="A20" s="90" t="s">
        <v>316</v>
      </c>
      <c r="B20" s="86"/>
      <c r="C20" s="86"/>
      <c r="D20" s="86"/>
      <c r="E20" s="91"/>
      <c r="F20" s="34">
        <f>PERALTE!S6</f>
        <v>139.68010333958389</v>
      </c>
      <c r="G20" s="88">
        <f>IF(F20&lt;=AV!$T$6,AV!$C$5,IF(RASANTE!F20&lt;=AV!$T$8,AV!$C$7,IF(RASANTE!F20&lt;=AV!$T$10,AV!$C$9,IF(RASANTE!F20&lt;=AV!$T$12,AV!#REF!,IF(RASANTE!F20&lt;=AV!$T$14,AV!$C$11,IF(RASANTE!F20&lt;=AV!$T$16,AV!$C$13, IF(RASANTE!F20&lt;=AV!$T$18,AV!$C$15,IF(RASANTE!F20&lt;=AV!$T$20,AV!$C$19,IF(RASANTE!F20&lt;=AV!$T$22,AV!$C$21,IF(RASANTE!F20&lt;=AV!$T$24,AV!$C$23,AV!$C$25))))))))))</f>
        <v>3.1419999999999999</v>
      </c>
      <c r="H20" s="28">
        <f>+IF(AND(AH!$H$8="Izquierda",RASANTE!F20&lt;=PERALTE!$AB$6),IF(RASANTE!F20&lt;=PERALTE!$S$6,-2,IF(RASANTE!F20&lt;=PERALTE!$U$6,(-6/(PERALTE!$U$6-PERALTE!$S$6)*(RASANTE!F20-PERALTE!$S$6)-2),IF(RASANTE!F20&lt;=PERALTE!$X$6,-8,IF(RASANTE!F20&lt;=PERALTE!$Z$6,(-6/(PERALTE!$X$6-PERALTE!$Z$6)*(RASANTE!F20-PERALTE!$Z$6)-2),IF(RASANTE!F20&lt;=PERALTE!$AB$6,-2))))),IF(AND(AH!$H$8="Derecha",RASANTE!F20&lt;=PERALTE!$AB$6),IF(RASANTE!F20&lt;=PERALTE!$Q$6,-2,IF(RASANTE!F20&lt;=PERALTE!$U$6,(10/(PERALTE!$U$6-PERALTE!$Q$6)*(RASANTE!F20-PERALTE!$Q$6)-2),IF(RASANTE!F20&lt;=PERALTE!$X$6,8,IF(RASANTE!F20&lt;=PERALTE!$AB$6,(10/(PERALTE!$X$6-PERALTE!$AB$6)*(RASANTE!F20-PERALTE!$AB$6)-2))))),IF(AND(AH!$H$10="Izquierda",RASANTE!F20&lt;=PERALTE!$AB$8),IF(RASANTE!F20&lt;=PERALTE!$S$8,-2,IF(RASANTE!F20&lt;=PERALTE!$U$8,(-6/(PERALTE!$U$8-PERALTE!$S$8)*(RASANTE!F20-PERALTE!$S$8)-2),IF(RASANTE!F20&lt;=PERALTE!$X$8,-8,IF(RASANTE!F20&lt;=PERALTE!$Z$8,(-6/(PERALTE!$X$8-PERALTE!$Z$8)*(RASANTE!F20-PERALTE!$Z$8)-2),IF(RASANTE!F20&lt;=PERALTE!$AB$8,-2))))),IF(AND(AH!$H$10="Derecha",RASANTE!F20&lt;=PERALTE!$AB$8),IF(RASANTE!F20&lt;=PERALTE!$Q$8,-2,IF(RASANTE!F20&lt;=PERALTE!$U$8,(10/(PERALTE!$U$8-PERALTE!$Q$8)*(RASANTE!F20-PERALTE!$Q$8)-2),IF(RASANTE!F20&lt;=PERALTE!$X$8,8,IF(RASANTE!F20&lt;=PERALTE!$AB$8,(10/(PERALTE!$X$8-PERALTE!$AB$8)*(RASANTE!F20-PERALTE!$AB$8)-2))))),IF(AND(AH!$H$12="Izquierda",RASANTE!F20&lt;=PERALTE!$AB$10),IF(RASANTE!F20&lt;=PERALTE!$S$10,-2,IF(RASANTE!F20&lt;=PERALTE!$U$10,(-6/(PERALTE!$U$10-PERALTE!$S$10)*(RASANTE!F20-PERALTE!$S$10)-2),IF(RASANTE!F20&lt;=PERALTE!$X$10,-8,IF(RASANTE!F20&lt;=PERALTE!$Z$10,(-6/(PERALTE!$X$10-PERALTE!$Z$10)*(RASANTE!F20-PERALTE!$Z$10)-2),IF(RASANTE!F20&lt;=PERALTE!$AB$10,-2))))),IF(AND(AH!$H$12="Derecha",RASANTE!F20&lt;=PERALTE!$AB$10),IF(RASANTE!F20&lt;=PERALTE!$Q$10,-2,IF(RASANTE!F20&lt;=PERALTE!$U$10,(10/(PERALTE!$U$10-PERALTE!$Q$10)*(RASANTE!F20-PERALTE!$Q$10)-2),IF(RASANTE!F20&lt;=PERALTE!$X$10,8,IF(RASANTE!F20&lt;=PERALTE!$AB$10,(10/(PERALTE!$X$10-PERALTE!$AB$10)*(RASANTE!F20-PERALTE!$AB$10)-2))))),IF(AND(AH!$H$14="Izquierda",RASANTE!F20&lt;=PERALTE!$AB$12),IF(RASANTE!F20&lt;=PERALTE!$S$12,-2,IF(RASANTE!F20&lt;=PERALTE!$U$12,(-6/(PERALTE!$U$12-PERALTE!$S$12)*(RASANTE!F20-PERALTE!$S$12)-2),IF(RASANTE!F20&lt;=PERALTE!$X$12,-8,IF(RASANTE!F20&lt;=PERALTE!$Z$12,(-6/(PERALTE!$X$12-PERALTE!$Z$12)*(RASANTE!F20-PERALTE!$Z$12)-2),IF(RASANTE!F20&lt;=PERALTE!$AB$12,-2))))),IF(AND(AH!$H$14="Derecha",RASANTE!F20&lt;=PERALTE!$AB$12),IF(RASANTE!F20&lt;=PERALTE!$Q$12,-2,IF(RASANTE!F20&lt;=PERALTE!$U$12,(10/(PERALTE!$U$12-PERALTE!$Q$12)*(RASANTE!F20-PERALTE!$Q$12)-2),IF(RASANTE!F20&lt;=PERALTE!$X$12,8,IF(RASANTE!F20&lt;=PERALTE!$AB$12,(10/(PERALTE!$X$12-PERALTE!$AB$12)*(RASANTE!F20-PERALTE!$AB$12)-2))))),IF(AND(AH!$H$16="Izquierda",RASANTE!F20&lt;=PERALTE!$AB$14),IF(RASANTE!F20&lt;=PERALTE!$S$14,-2,IF(RASANTE!F20&lt;=PERALTE!$U$14,(-6/(PERALTE!$U$14-PERALTE!$S$14)*(RASANTE!F20-PERALTE!$S$14)-2),IF(RASANTE!F20&lt;=PERALTE!$X$14,-8,IF(RASANTE!F20&lt;=PERALTE!$Z$14,(-6/(PERALTE!$X$14-PERALTE!$Z$14)*(RASANTE!F20-PERALTE!$Z$14)-2),IF(RASANTE!F20&lt;=PERALTE!$AB$14,-2))))),IF(AND(AH!$H$16="Derecha",RASANTE!F20&lt;=PERALTE!$AB$14),IF(RASANTE!F20&lt;=PERALTE!$Q$14,-2,IF(RASANTE!F20&lt;=PERALTE!$U$14,(10/(PERALTE!$U$14-PERALTE!$Q$14)*(RASANTE!F20-PERALTE!$Q$14)-2),IF(RASANTE!F20&lt;=PERALTE!$X$14,8,IF(RASANTE!F20&lt;=PERALTE!$AB$14,(10/(PERALTE!$X$14-PERALTE!$AB$14)*(RASANTE!F20-PERALTE!$AB$14)-2))))),IF(AND(AH!$H$18="Izquierda",RASANTE!F20&lt;=PERALTE!$AB$16),IF(RASANTE!F20&lt;=PERALTE!$S$16,-2,IF(RASANTE!F20&lt;=PERALTE!$U$16,(-6/(PERALTE!$U$16-PERALTE!$S$16)*(RASANTE!F20-PERALTE!$S$16)-2),IF(RASANTE!F20&lt;=PERALTE!$X$16,-8,IF(RASANTE!F20&lt;=PERALTE!$Z$16,(-6/(PERALTE!$X$16-PERALTE!$Z$16)*(RASANTE!F20-PERALTE!$Z$16)-2),IF(RASANTE!F20&lt;=PERALTE!$AB$16,-2))))),IF(AND(AH!$H$18="Derecha",RASANTE!F20&lt;=PERALTE!$AB$16),IF(RASANTE!F20&lt;=PERALTE!$Q$16,-2,IF(RASANTE!F20&lt;=PERALTE!$U$16,(10/(PERALTE!$U$16-PERALTE!$Q$16)*(RASANTE!F20-PERALTE!$Q$16)-2),IF(RASANTE!F20&lt;=PERALTE!$X$16,8,IF(RASANTE!F20&lt;=PERALTE!$AB$16,(10/(PERALTE!$X$16-PERALTE!$AB$16)*(RASANTE!F20-PERALTE!$AB$16)-2))))),IF(AND(AH!$H$20="Izquierda",RASANTE!F20&lt;=PERALTE!$AB$18),IF(RASANTE!F20&lt;=PERALTE!$S$18,-2,IF(RASANTE!F20&lt;=PERALTE!$U$18,(-6/(PERALTE!$U$18-PERALTE!$S$18)*(RASANTE!F20-PERALTE!$S$18)-2),IF(RASANTE!F20&lt;=PERALTE!$X$18,-8,IF(RASANTE!F20&lt;=PERALTE!$Z$18,(-6/(PERALTE!$X$18-PERALTE!$Z$18)*(RASANTE!F20-PERALTE!$Z$18)-2),IF(RASANTE!F20&lt;=PERALTE!$AB$18,-2))))),IF(AND(AH!$H$20="Derecha",RASANTE!F20&lt;=PERALTE!$AB$18),IF(RASANTE!F20&lt;=PERALTE!$Q$18,-2,IF(RASANTE!F20&lt;=PERALTE!$U$18,(10/(PERALTE!$U$18-PERALTE!$Q$18)*(RASANTE!F20-PERALTE!$Q$18)-2),IF(RASANTE!F20&lt;=PERALTE!$X$18,8,IF(RASANTE!F20&lt;=PERALTE!$AB$18,(10/(PERALTE!$X$18-PERALTE!$AB$18)*(RASANTE!F20-PERALTE!$AB$18)-2))))),IF(AND(AH!$H$24="Izquierda",RASANTE!F20&lt;=PERALTE!$AB$22),IF(RASANTE!F20&lt;=PERALTE!$S$22,-2,IF(RASANTE!F20&lt;=PERALTE!$U$22,(-6/(PERALTE!$U$22-PERALTE!$S$22)*(RASANTE!F20-PERALTE!$S$22)-2),IF(RASANTE!F20&lt;=PERALTE!$X$22,-8,IF(RASANTE!F20&lt;=PERALTE!$Z$22,(-6/(PERALTE!$X$22-PERALTE!$Z$22)*(RASANTE!F20-PERALTE!$Z$22)-2),IF(RASANTE!F20&lt;=PERALTE!$AB$22,-2))))),IF(AND(AH!$H$24="Derecha",RASANTE!F20&lt;=PERALTE!$AB$22),IF(RASANTE!F20&lt;=PERALTE!$Q$22,-2,IF(RASANTE!F20&lt;=PERALTE!$U$22,(10/(PERALTE!$U$22-PERALTE!$Q$22)*(RASANTE!F20-PERALTE!$Q$22)-2),IF(RASANTE!F20&lt;=PERALTE!$X$22,8,IF(RASANTE!F20&lt;=PERALTE!$AB$22,(10/(PERALTE!$X$22-PERALTE!$AB$22)*(RASANTE!F20-PERALTE!$AB$22)-2))))),IF(AND(AH!#REF!="Izquierda",RASANTE!F20&lt;=PERALTE!#REF!),IF(RASANTE!F20&lt;=PERALTE!#REF!,-2,IF(RASANTE!F20&lt;=PERALTE!#REF!,(-6/(PERALTE!#REF!-PERALTE!#REF!)*(RASANTE!F20-PERALTE!#REF!)-2),IF(RASANTE!F20&lt;=PERALTE!#REF!,-8,IF(RASANTE!F20&lt;=PERALTE!#REF!,(-6/(PERALTE!#REF!-PERALTE!#REF!)*(RASANTE!F20-PERALTE!#REF!)-2),IF(RASANTE!F20&lt;=PERALTE!#REF!,-2))))),IF(AND(AH!#REF!="Derecha",RASANTE!F20&lt;=PERALTE!#REF!),IF(RASANTE!F20&lt;=PERALTE!#REF!,-2,IF(RASANTE!F20&lt;=PERALTE!#REF!,(10/(PERALTE!#REF!-PERALTE!#REF!)*(RASANTE!F20-PERALTE!#REF!)-2),IF(RASANTE!F20&lt;=PERALTE!#REF!,8,IF(RASANTE!F20&lt;=PERALTE!#REF!,(10/(PERALTE!#REF!-PERALTE!#REF!)*(RASANTE!F20-PERALTE!#REF!)-2))))),IF(AND(AH!#REF!="Izquierda",RASANTE!F20&lt;=PERALTE!$AB$26),IF(RASANTE!F20&lt;=PERALTE!$S$26,-2,IF(RASANTE!F20&lt;=PERALTE!$U$26,(-6/(PERALTE!$U$26-PERALTE!$S$26)*(RASANTE!F20-PERALTE!$S$26)-2),IF(RASANTE!F20&lt;=PERALTE!$X$26,-8,IF(RASANTE!F20&lt;=PERALTE!$Z$26,(-6/(PERALTE!$X$26-PERALTE!$Z$26)*(RASANTE!F20-PERALTE!$Z$26)-2),IF(RASANTE!F20&lt;=PERALTE!$AB$26,-2))))),IF(AND(AH!#REF!="Derecha",RASANTE!F20&lt;=PERALTE!$AB$26),IF(RASANTE!F20&lt;=PERALTE!$Q$26,-2,IF(RASANTE!F20&lt;=PERALTE!$U$26,(10/(PERALTE!$U$26-PERALTE!$Q$26)*(RASANTE!F20-PERALTE!$Q$26)-2),IF(RASANTE!F20&lt;=PERALTE!$X$26,8,IF(RASANTE!F20&lt;=PERALTE!$AB$26,(10/(PERALTE!$X$26-PERALTE!$AB$26)*(RASANTE!F20-PERALTE!$AB$26)-2))))),IF(F20&lt;=PERALTE!#REF!,-2,"Abscisa fuera de la vía")))))))))))))))))))))</f>
        <v>-2</v>
      </c>
      <c r="I20" s="28">
        <f>+IF(AND(AH!$H$8="Derecha",RASANTE!F20&lt;=PERALTE!$AB$6),IF(RASANTE!F20&lt;=PERALTE!$S$6,-2,IF(RASANTE!F20&lt;=PERALTE!$U$6,(-6/(PERALTE!$U$6-PERALTE!$S$6)*(RASANTE!F20-PERALTE!$S$6)-2),IF(RASANTE!F20&lt;=PERALTE!$X$6,-8,IF(RASANTE!F20&lt;=PERALTE!$Z$6,(-6/(PERALTE!$X$6-PERALTE!$Z$6)*(RASANTE!F20-PERALTE!$Z$6)-2),IF(RASANTE!F20&lt;=PERALTE!$AB$6,-2))))),IF(AND(AH!$H$8="Izquierda",RASANTE!F20&lt;=PERALTE!$AB$6),IF(RASANTE!F20&lt;=PERALTE!$Q$6,-2,IF(RASANTE!F20&lt;=PERALTE!$U$6,(10/(PERALTE!$U$6-PERALTE!$Q$6)*(RASANTE!F20-PERALTE!$Q$6)-2),IF(RASANTE!F20&lt;=PERALTE!$X$6,8,IF(RASANTE!F20&lt;=PERALTE!$AB$6,(10/(PERALTE!$X$6-PERALTE!$AB$6)*(RASANTE!F20-PERALTE!$AB$6)-2))))),IF(AND(AH!$H$10="Derecha",RASANTE!F20&lt;=PERALTE!$AB$8),IF(RASANTE!F20&lt;=PERALTE!$S$8,-2,IF(RASANTE!F20&lt;=PERALTE!$U$8,(-6/(PERALTE!$U$8-PERALTE!$S$8)*(RASANTE!F20-PERALTE!$S$8)-2),IF(RASANTE!F20&lt;=PERALTE!$X$8,-8,IF(RASANTE!F20&lt;=PERALTE!$Z$8,(-6/(PERALTE!$X$8-PERALTE!$Z$8)*(RASANTE!F20-PERALTE!$Z$8)-2),IF(RASANTE!F20&lt;=PERALTE!$AB$8,-2))))),IF(AND(AH!$H$10="Izquierda",RASANTE!F20&lt;=PERALTE!$AB$8),IF(RASANTE!F20&lt;=PERALTE!$Q$8,-2,IF(RASANTE!F20&lt;=PERALTE!$U$8,(10/(PERALTE!$U$8-PERALTE!$Q$8)*(RASANTE!F20-PERALTE!$Q$8)-2),IF(RASANTE!F20&lt;=PERALTE!$X$8,8,IF(RASANTE!F20&lt;=PERALTE!$AB$8,(10/(PERALTE!$X$8-PERALTE!$AB$8)*(RASANTE!F20-PERALTE!$AB$8)-2))))),IF(AND(AH!$H$12="Derecha",RASANTE!F20&lt;=PERALTE!$AB$10),IF(RASANTE!F20&lt;=PERALTE!$S$10,-2,IF(RASANTE!F20&lt;=PERALTE!$U$10,(-6/(PERALTE!$U$10-PERALTE!$S$10)*(RASANTE!F20-PERALTE!$S$10)-2),IF(RASANTE!F20&lt;=PERALTE!$X$10,-8,IF(RASANTE!F20&lt;=PERALTE!$Z$10,(-6/(PERALTE!$X$10-PERALTE!$Z$10)*(RASANTE!F20-PERALTE!$Z$10)-2),IF(RASANTE!F20&lt;=PERALTE!$AB$10,-2))))),IF(AND(AH!$H$12="Izquierda",RASANTE!F20&lt;=PERALTE!$AB$10),IF(RASANTE!F20&lt;=PERALTE!$Q$10,-2,IF(RASANTE!F20&lt;=PERALTE!$U$10,(10/(PERALTE!$U$10-PERALTE!$Q$10)*(RASANTE!F20-PERALTE!$Q$10)-2),IF(RASANTE!F20&lt;=PERALTE!$X$10,8,IF(RASANTE!F20&lt;=PERALTE!$AB$10,(10/(PERALTE!$X$10-PERALTE!$AB$10)*(RASANTE!F20-PERALTE!$AB$10)-2))))),IF(AND(AH!$H$14="Derecha",RASANTE!F20&lt;=PERALTE!$AB$12),IF(RASANTE!F20&lt;=PERALTE!$S$12,-2,IF(RASANTE!F20&lt;=PERALTE!$U$12,(-6/(PERALTE!$U$12-PERALTE!$S$12)*(RASANTE!F20-PERALTE!$S$12)-2),IF(RASANTE!F20&lt;=PERALTE!$X$12,-8,IF(RASANTE!F20&lt;=PERALTE!$Z$12,(-6/(PERALTE!$X$12-PERALTE!$Z$12)*(RASANTE!F20-PERALTE!$Z$12)-2),IF(RASANTE!F20&lt;=PERALTE!$AB$12,-2))))),IF(AND(AH!$H$14="Izquierda",RASANTE!F20&lt;=PERALTE!$AB$12),IF(RASANTE!F20&lt;=PERALTE!$Q$12,-2,IF(RASANTE!F20&lt;=PERALTE!$U$12,(10/(PERALTE!$U$12-PERALTE!$Q$12)*(RASANTE!F20-PERALTE!$Q$12)-2),IF(RASANTE!F20&lt;=PERALTE!$X$12,8,IF(RASANTE!F20&lt;=PERALTE!$AB$12,(10/(PERALTE!$X$12-PERALTE!$AB$12)*(RASANTE!F20-PERALTE!$AB$12)-2))))),IF(AND(AH!$H$16="Derecha",RASANTE!F20&lt;=PERALTE!$AB$14),IF(RASANTE!F20&lt;=PERALTE!$S$14,-2,IF(RASANTE!F20&lt;=PERALTE!$U$14,(-6/(PERALTE!$U$14-PERALTE!$S$14)*(RASANTE!F20-PERALTE!$S$14)-2),IF(RASANTE!F20&lt;=PERALTE!$X$14,-8,IF(RASANTE!F20&lt;=PERALTE!$Z$14,(-6/(PERALTE!$X$14-PERALTE!$Z$14)*(RASANTE!F20-PERALTE!$Z$14)-2),IF(RASANTE!F20&lt;=PERALTE!$AB$14,-2))))),IF(AND(AH!$H$16="Izquierda",RASANTE!F20&lt;=PERALTE!$AB$14),IF(RASANTE!F20&lt;=PERALTE!$Q$14,-2,IF(RASANTE!F20&lt;=PERALTE!$U$14,(10/(PERALTE!$U$14-PERALTE!$Q$14)*(RASANTE!F20-PERALTE!$Q$14)-2),IF(RASANTE!F20&lt;=PERALTE!$X$14,8,IF(RASANTE!F20&lt;=PERALTE!$AB$14,(10/(PERALTE!$X$14-PERALTE!$AB$14)*(RASANTE!F20-PERALTE!$AB$14)-2))))),IF(AND(AH!$H$18="Derecha",RASANTE!F20&lt;=PERALTE!$AB$16),IF(RASANTE!F20&lt;=PERALTE!$S$16,-2,IF(RASANTE!F20&lt;=PERALTE!$U$16,(-6/(PERALTE!$U$16-PERALTE!$S$16)*(RASANTE!F20-PERALTE!$S$16)-2),IF(RASANTE!F20&lt;=PERALTE!$X$16,-8,IF(RASANTE!F20&lt;=PERALTE!$Z$16,(-6/(PERALTE!$X$16-PERALTE!$Z$16)*(RASANTE!F20-PERALTE!$Z$16)-2),IF(RASANTE!F20&lt;=PERALTE!$AB$16,-2))))),IF(AND(AH!$H$18="Izquierda",RASANTE!F20&lt;=PERALTE!$AB$16),IF(RASANTE!F20&lt;=PERALTE!$Q$16,-2,IF(RASANTE!F20&lt;=PERALTE!$U$16,(10/(PERALTE!$U$16-PERALTE!$Q$16)*(RASANTE!F20-PERALTE!$Q$16)-2),IF(RASANTE!F20&lt;=PERALTE!$X$16,8,IF(RASANTE!F20&lt;=PERALTE!$AB$16,(10/(PERALTE!$X$16-PERALTE!$AB$16)*(RASANTE!F20-PERALTE!$AB$16)-2))))),IF(AND(AH!$H$20="Derecha",RASANTE!F20&lt;=PERALTE!$AB$18),IF(RASANTE!F20&lt;=PERALTE!$S$18,-2,IF(RASANTE!F20&lt;=PERALTE!$U$18,(-6/(PERALTE!$U$18-PERALTE!$S$18)*(RASANTE!F20-PERALTE!$S$18)-2),IF(RASANTE!F20&lt;=PERALTE!$X$18,-8,IF(RASANTE!F20&lt;=PERALTE!$Z$18,(-6/(PERALTE!$X$18-PERALTE!$Z$18)*(RASANTE!F20-PERALTE!$Z$18)-2),IF(RASANTE!F20&lt;=PERALTE!$AB$18,-2))))),IF(AND(AH!$H$20="Izquierda",RASANTE!F20&lt;=PERALTE!$AB$18),IF(RASANTE!F20&lt;=PERALTE!$Q$18,-2,IF(RASANTE!F20&lt;=PERALTE!$U$18,(10/(PERALTE!$U$18-PERALTE!$Q$18)*(RASANTE!F20-PERALTE!$Q$18)-2),IF(RASANTE!F20&lt;=PERALTE!$X$18,8,IF(RASANTE!F20&lt;=PERALTE!$AB$18,(10/(PERALTE!$X$18-PERALTE!$AB$18)*(RASANTE!F20-PERALTE!$AB$18)-2))))),IF(AND(AH!$H$24="Derecha",RASANTE!F20&lt;=PERALTE!$AB$22),IF(RASANTE!F20&lt;=PERALTE!$S$22,-2,IF(RASANTE!F20&lt;=PERALTE!$U$22,(-6/(PERALTE!$U$22-PERALTE!$S$22)*(RASANTE!F20-PERALTE!$S$22)-2),IF(RASANTE!F20&lt;=PERALTE!$X$22,-8,IF(RASANTE!F20&lt;=PERALTE!$Z$22,(-6/(PERALTE!$X$22-PERALTE!$Z$22)*(RASANTE!F20-PERALTE!$Z$22)-2),IF(RASANTE!F20&lt;=PERALTE!$AB$22,-2))))),IF(AND(AH!$H$24="Izquierda",RASANTE!F20&lt;=PERALTE!$AB$22),IF(RASANTE!F20&lt;=PERALTE!$Q$22,-2,IF(RASANTE!F20&lt;=PERALTE!$U$22,(10/(PERALTE!$U$22-PERALTE!$Q$22)*(RASANTE!F20-PERALTE!$Q$22)-2),IF(RASANTE!F20&lt;=PERALTE!$X$22,8,IF(RASANTE!F20&lt;=PERALTE!$AB$22,(10/(PERALTE!$X$22-PERALTE!$AB$22)*(RASANTE!F20-PERALTE!$AB$22)-2))))),IF(AND(AH!#REF!="Derecha",RASANTE!F20&lt;=PERALTE!#REF!),IF(RASANTE!F20&lt;=PERALTE!#REF!,-2,IF(RASANTE!F20&lt;=PERALTE!#REF!,(-6/(PERALTE!#REF!-PERALTE!#REF!)*(RASANTE!F20-PERALTE!#REF!)-2),IF(RASANTE!F20&lt;=PERALTE!#REF!,-8,IF(RASANTE!F20&lt;=PERALTE!#REF!,(-6/(PERALTE!#REF!-PERALTE!#REF!)*(RASANTE!F20-PERALTE!#REF!)-2),IF(RASANTE!F20&lt;=PERALTE!#REF!,-2))))),IF(AND(AH!#REF!="Izquierda",RASANTE!F20&lt;=PERALTE!#REF!),IF(RASANTE!F20&lt;=PERALTE!#REF!,-2,IF(RASANTE!F20&lt;=PERALTE!#REF!,(10/(PERALTE!#REF!-PERALTE!#REF!)*(RASANTE!F20-PERALTE!#REF!)-2),IF(RASANTE!F20&lt;=PERALTE!#REF!,8,IF(RASANTE!F20&lt;=PERALTE!#REF!,(10/(PERALTE!#REF!-PERALTE!#REF!)*(RASANTE!F20-PERALTE!#REF!)-2))))),IF(AND(AH!#REF!="Derecha",RASANTE!F20&lt;=PERALTE!$AB$26),IF(RASANTE!F20&lt;=PERALTE!$S$26,-2,IF(RASANTE!F20&lt;=PERALTE!$U$26,(-6/(PERALTE!$U$26-PERALTE!$S$26)*(RASANTE!F20-PERALTE!$S$26)-2),IF(RASANTE!F20&lt;=PERALTE!$X$26,-8,IF(RASANTE!F20&lt;=PERALTE!$Z$26,(-6/(PERALTE!$X$26-PERALTE!$Z$26)*(RASANTE!F20-PERALTE!$Z$26)-2),IF(RASANTE!F20&lt;=PERALTE!$AB$26,-2))))),IF(AND(AH!#REF!="Izquierda",RASANTE!F20&lt;=PERALTE!$AB$26),IF(RASANTE!F20&lt;=PERALTE!$Q$26,-2,IF(RASANTE!F20&lt;=PERALTE!$U$26,(10/(PERALTE!$U$26-PERALTE!$Q$26)*(RASANTE!F20-PERALTE!$Q$26)-2),IF(RASANTE!F20&lt;=PERALTE!$X$26,8,IF(RASANTE!F20&lt;=PERALTE!$AB$26,(10/(PERALTE!$X$26-PERALTE!$AB$26)*(RASANTE!F20-PERALTE!$AB$26)-2))))),IF(F20&lt;=PERALTE!#REF!,-2,"Abscisa fuera de la vía")))))))))))))))))))))</f>
        <v>1.9999999999999991</v>
      </c>
      <c r="J20" s="28">
        <f t="shared" si="1"/>
        <v>1648.3887488469302</v>
      </c>
      <c r="K20" s="356">
        <f>+IF(AND(AV!$S$6&lt;F195,F195&lt;=AV!$T$6),AV!$P$6*((AV!$S$6-RASANTE!F195)/(AV!$N$6))^2,IF(AND(AV!$T$6&lt;RASANTE!F195,F195&lt;AV!$U$6),AV!$P$6*((AV!$U$6-RASANTE!F195)/(AV!$O$6))^2,IF(AND(AV!$S$8&lt;F195,F195&lt;=AV!$T$8),AV!$P$8*((AV!$S$8-RASANTE!F195)/(AV!$N$8))^2,IF(AND(AV!$T$8&lt;RASANTE!F195,F195&lt;AV!$U$8),AV!$P$8*((AV!$U$8-RASANTE!F195)/(AV!$O$8))^2,IF(AND(AV!$S$10&lt;F195,F195&lt;=AV!$T$10),AV!$P$10*((AV!$S$10-RASANTE!F195)/(AV!$N$10))^2,IF(AND(AV!$T$10&lt;RASANTE!F195,F195&lt;AV!$U$10),AV!$P$10*((AV!$U$10-RASANTE!F195)/(AV!$O$10))^2,IF(AND(AV!$S$12&lt;F195,F195&lt;=AV!$T$12),AV!$P$12*((AV!$S$12-RASANTE!F195)/(AV!$N$12))^2,IF(AND(AV!$T$12&lt;RASANTE!F195,F195&lt;AV!$U$12),AV!$P$12*((AV!$U$12-RASANTE!F195)/(AV!$O$12))^2,IF(AND(AV!$S$14&lt;F195,F195&lt;=AV!$T$14),AV!$P$14*((AV!$S$14-RASANTE!F195)/(AV!$N$14))^2,IF(AND(AV!$T$14&lt;RASANTE!F195,F195&lt;AV!$U$14),AV!$P$14*((AV!$U$14-RASANTE!F195)/(AV!$O$14))^2,IF(AND(AV!$S$16&lt;F195,F195&lt;=AV!$T$16),AV!$P$16*((AV!$S$16-RASANTE!F195)/(AV!$N$16))^2,IF(AND(AV!$T$16&lt;RASANTE!F195,F195&lt;AV!$U$16),AV!$P$16*((AV!$U$16-RASANTE!F195)/(AV!$O$16))^2,IF(AND(AV!$S$18&lt;F195,F195&lt;=AV!$T$18),AV!$P$18*((AV!$S$18-RASANTE!F195)/(AV!$N$18))^2,IF(AND(AV!$T$18&lt;RASANTE!F195,F195&lt;AV!$U$18),AV!$P$18*((AV!$U$18-RASANTE!F195)/(AV!$O$18))^2,IF(AND(AV!$S$20&lt;F195,F195&lt;=AV!$T$20),AV!$P$20*((AV!$S$20-RASANTE!F195)/(AV!$N$20))^2,IF(AND(AV!$T$20&lt;RASANTE!F195,F195&lt;AV!$U$20),AV!$P$20*((AV!$U$20-RASANTE!F195)/(AV!$O$20))^2,IF(AND(AV!$S$22&lt;F195,F195&lt;=AV!$T$22),AV!$P$22*((AV!$S$22-RASANTE!F195)/(AV!$N$22))^2,IF(AND(AV!$T$22&lt;RASANTE!F195,F195&lt;AV!$U$22),AV!$P$22*((AV!$U$22-RASANTE!F195)/(AV!$O$22))^2,IF(AND(AV!$S$24&lt;F195,F195&lt;=AV!$T$24),AV!$P$24*((AV!$S$24-RASANTE!F195)/(AV!$N$24))^2,IF(AND(AV!$T$24&lt;RASANTE!F195,F195&lt;AV!$U$24),AV!$P$24*((AV!$U$24-RASANTE!F195)/(AV!$O$24))^2,0))))))))))))))))))))</f>
        <v>0</v>
      </c>
      <c r="L20" s="28">
        <f>+M20+H20%*PERALTE!$C$32</f>
        <v>1648.3187488469302</v>
      </c>
      <c r="M20" s="28">
        <f t="shared" si="2"/>
        <v>1648.3887488469302</v>
      </c>
      <c r="N20" s="28">
        <f>+M20+I20%*PERALTE!$C$32</f>
        <v>1648.4587488469301</v>
      </c>
      <c r="O20" s="92"/>
      <c r="P20" s="84"/>
      <c r="Q20" s="392" t="s">
        <v>162</v>
      </c>
      <c r="R20" s="360"/>
      <c r="S20" s="392" t="s">
        <v>163</v>
      </c>
      <c r="T20" s="360"/>
      <c r="U20" s="84"/>
      <c r="V20" s="84"/>
      <c r="W20" s="84"/>
      <c r="X20" s="84"/>
      <c r="Y20" s="84"/>
    </row>
    <row r="21" spans="1:25" ht="15.75" customHeight="1" x14ac:dyDescent="0.2">
      <c r="A21" s="90"/>
      <c r="B21" s="86"/>
      <c r="C21" s="86"/>
      <c r="D21" s="86"/>
      <c r="E21" s="91"/>
      <c r="F21" s="34">
        <v>140</v>
      </c>
      <c r="G21" s="88">
        <f>IF(F21&lt;=AV!$T$6,AV!$C$5,IF(RASANTE!F21&lt;=AV!$T$8,AV!$C$7,IF(RASANTE!F21&lt;=AV!$T$10,AV!$C$9,IF(RASANTE!F21&lt;=AV!$T$12,AV!#REF!,IF(RASANTE!F21&lt;=AV!$T$14,AV!$C$11,IF(RASANTE!F21&lt;=AV!$T$16,AV!$C$13, IF(RASANTE!F21&lt;=AV!$T$18,AV!$C$15,IF(RASANTE!F21&lt;=AV!$T$20,AV!$C$19,IF(RASANTE!F21&lt;=AV!$T$22,AV!$C$21,IF(RASANTE!F21&lt;=AV!$T$24,AV!$C$23,AV!$C$25))))))))))</f>
        <v>3.1419999999999999</v>
      </c>
      <c r="H21" s="28">
        <f>+IF(AND(AH!$H$8="Izquierda",RASANTE!F21&lt;=PERALTE!$AB$6),IF(RASANTE!F21&lt;=PERALTE!$S$6,-2,IF(RASANTE!F21&lt;=PERALTE!$U$6,(-6/(PERALTE!$U$6-PERALTE!$S$6)*(RASANTE!F21-PERALTE!$S$6)-2),IF(RASANTE!F21&lt;=PERALTE!$X$6,-8,IF(RASANTE!F21&lt;=PERALTE!$Z$6,(-6/(PERALTE!$X$6-PERALTE!$Z$6)*(RASANTE!F21-PERALTE!$Z$6)-2),IF(RASANTE!F21&lt;=PERALTE!$AB$6,-2))))),IF(AND(AH!$H$8="Derecha",RASANTE!F21&lt;=PERALTE!$AB$6),IF(RASANTE!F21&lt;=PERALTE!$Q$6,-2,IF(RASANTE!F21&lt;=PERALTE!$U$6,(10/(PERALTE!$U$6-PERALTE!$Q$6)*(RASANTE!F21-PERALTE!$Q$6)-2),IF(RASANTE!F21&lt;=PERALTE!$X$6,8,IF(RASANTE!F21&lt;=PERALTE!$AB$6,(10/(PERALTE!$X$6-PERALTE!$AB$6)*(RASANTE!F21-PERALTE!$AB$6)-2))))),IF(AND(AH!$H$10="Izquierda",RASANTE!F21&lt;=PERALTE!$AB$8),IF(RASANTE!F21&lt;=PERALTE!$S$8,-2,IF(RASANTE!F21&lt;=PERALTE!$U$8,(-6/(PERALTE!$U$8-PERALTE!$S$8)*(RASANTE!F21-PERALTE!$S$8)-2),IF(RASANTE!F21&lt;=PERALTE!$X$8,-8,IF(RASANTE!F21&lt;=PERALTE!$Z$8,(-6/(PERALTE!$X$8-PERALTE!$Z$8)*(RASANTE!F21-PERALTE!$Z$8)-2),IF(RASANTE!F21&lt;=PERALTE!$AB$8,-2))))),IF(AND(AH!$H$10="Derecha",RASANTE!F21&lt;=PERALTE!$AB$8),IF(RASANTE!F21&lt;=PERALTE!$Q$8,-2,IF(RASANTE!F21&lt;=PERALTE!$U$8,(10/(PERALTE!$U$8-PERALTE!$Q$8)*(RASANTE!F21-PERALTE!$Q$8)-2),IF(RASANTE!F21&lt;=PERALTE!$X$8,8,IF(RASANTE!F21&lt;=PERALTE!$AB$8,(10/(PERALTE!$X$8-PERALTE!$AB$8)*(RASANTE!F21-PERALTE!$AB$8)-2))))),IF(AND(AH!$H$12="Izquierda",RASANTE!F21&lt;=PERALTE!$AB$10),IF(RASANTE!F21&lt;=PERALTE!$S$10,-2,IF(RASANTE!F21&lt;=PERALTE!$U$10,(-6/(PERALTE!$U$10-PERALTE!$S$10)*(RASANTE!F21-PERALTE!$S$10)-2),IF(RASANTE!F21&lt;=PERALTE!$X$10,-8,IF(RASANTE!F21&lt;=PERALTE!$Z$10,(-6/(PERALTE!$X$10-PERALTE!$Z$10)*(RASANTE!F21-PERALTE!$Z$10)-2),IF(RASANTE!F21&lt;=PERALTE!$AB$10,-2))))),IF(AND(AH!$H$12="Derecha",RASANTE!F21&lt;=PERALTE!$AB$10),IF(RASANTE!F21&lt;=PERALTE!$Q$10,-2,IF(RASANTE!F21&lt;=PERALTE!$U$10,(10/(PERALTE!$U$10-PERALTE!$Q$10)*(RASANTE!F21-PERALTE!$Q$10)-2),IF(RASANTE!F21&lt;=PERALTE!$X$10,8,IF(RASANTE!F21&lt;=PERALTE!$AB$10,(10/(PERALTE!$X$10-PERALTE!$AB$10)*(RASANTE!F21-PERALTE!$AB$10)-2))))),IF(AND(AH!$H$14="Izquierda",RASANTE!F21&lt;=PERALTE!$AB$12),IF(RASANTE!F21&lt;=PERALTE!$S$12,-2,IF(RASANTE!F21&lt;=PERALTE!$U$12,(-6/(PERALTE!$U$12-PERALTE!$S$12)*(RASANTE!F21-PERALTE!$S$12)-2),IF(RASANTE!F21&lt;=PERALTE!$X$12,-8,IF(RASANTE!F21&lt;=PERALTE!$Z$12,(-6/(PERALTE!$X$12-PERALTE!$Z$12)*(RASANTE!F21-PERALTE!$Z$12)-2),IF(RASANTE!F21&lt;=PERALTE!$AB$12,-2))))),IF(AND(AH!$H$14="Derecha",RASANTE!F21&lt;=PERALTE!$AB$12),IF(RASANTE!F21&lt;=PERALTE!$Q$12,-2,IF(RASANTE!F21&lt;=PERALTE!$U$12,(10/(PERALTE!$U$12-PERALTE!$Q$12)*(RASANTE!F21-PERALTE!$Q$12)-2),IF(RASANTE!F21&lt;=PERALTE!$X$12,8,IF(RASANTE!F21&lt;=PERALTE!$AB$12,(10/(PERALTE!$X$12-PERALTE!$AB$12)*(RASANTE!F21-PERALTE!$AB$12)-2))))),IF(AND(AH!$H$16="Izquierda",RASANTE!F21&lt;=PERALTE!$AB$14),IF(RASANTE!F21&lt;=PERALTE!$S$14,-2,IF(RASANTE!F21&lt;=PERALTE!$U$14,(-6/(PERALTE!$U$14-PERALTE!$S$14)*(RASANTE!F21-PERALTE!$S$14)-2),IF(RASANTE!F21&lt;=PERALTE!$X$14,-8,IF(RASANTE!F21&lt;=PERALTE!$Z$14,(-6/(PERALTE!$X$14-PERALTE!$Z$14)*(RASANTE!F21-PERALTE!$Z$14)-2),IF(RASANTE!F21&lt;=PERALTE!$AB$14,-2))))),IF(AND(AH!$H$16="Derecha",RASANTE!F21&lt;=PERALTE!$AB$14),IF(RASANTE!F21&lt;=PERALTE!$Q$14,-2,IF(RASANTE!F21&lt;=PERALTE!$U$14,(10/(PERALTE!$U$14-PERALTE!$Q$14)*(RASANTE!F21-PERALTE!$Q$14)-2),IF(RASANTE!F21&lt;=PERALTE!$X$14,8,IF(RASANTE!F21&lt;=PERALTE!$AB$14,(10/(PERALTE!$X$14-PERALTE!$AB$14)*(RASANTE!F21-PERALTE!$AB$14)-2))))),IF(AND(AH!$H$18="Izquierda",RASANTE!F21&lt;=PERALTE!$AB$16),IF(RASANTE!F21&lt;=PERALTE!$S$16,-2,IF(RASANTE!F21&lt;=PERALTE!$U$16,(-6/(PERALTE!$U$16-PERALTE!$S$16)*(RASANTE!F21-PERALTE!$S$16)-2),IF(RASANTE!F21&lt;=PERALTE!$X$16,-8,IF(RASANTE!F21&lt;=PERALTE!$Z$16,(-6/(PERALTE!$X$16-PERALTE!$Z$16)*(RASANTE!F21-PERALTE!$Z$16)-2),IF(RASANTE!F21&lt;=PERALTE!$AB$16,-2))))),IF(AND(AH!$H$18="Derecha",RASANTE!F21&lt;=PERALTE!$AB$16),IF(RASANTE!F21&lt;=PERALTE!$Q$16,-2,IF(RASANTE!F21&lt;=PERALTE!$U$16,(10/(PERALTE!$U$16-PERALTE!$Q$16)*(RASANTE!F21-PERALTE!$Q$16)-2),IF(RASANTE!F21&lt;=PERALTE!$X$16,8,IF(RASANTE!F21&lt;=PERALTE!$AB$16,(10/(PERALTE!$X$16-PERALTE!$AB$16)*(RASANTE!F21-PERALTE!$AB$16)-2))))),IF(AND(AH!$H$20="Izquierda",RASANTE!F21&lt;=PERALTE!$AB$18),IF(RASANTE!F21&lt;=PERALTE!$S$18,-2,IF(RASANTE!F21&lt;=PERALTE!$U$18,(-6/(PERALTE!$U$18-PERALTE!$S$18)*(RASANTE!F21-PERALTE!$S$18)-2),IF(RASANTE!F21&lt;=PERALTE!$X$18,-8,IF(RASANTE!F21&lt;=PERALTE!$Z$18,(-6/(PERALTE!$X$18-PERALTE!$Z$18)*(RASANTE!F21-PERALTE!$Z$18)-2),IF(RASANTE!F21&lt;=PERALTE!$AB$18,-2))))),IF(AND(AH!$H$20="Derecha",RASANTE!F21&lt;=PERALTE!$AB$18),IF(RASANTE!F21&lt;=PERALTE!$Q$18,-2,IF(RASANTE!F21&lt;=PERALTE!$U$18,(10/(PERALTE!$U$18-PERALTE!$Q$18)*(RASANTE!F21-PERALTE!$Q$18)-2),IF(RASANTE!F21&lt;=PERALTE!$X$18,8,IF(RASANTE!F21&lt;=PERALTE!$AB$18,(10/(PERALTE!$X$18-PERALTE!$AB$18)*(RASANTE!F21-PERALTE!$AB$18)-2))))),IF(AND(AH!$H$24="Izquierda",RASANTE!F21&lt;=PERALTE!$AB$22),IF(RASANTE!F21&lt;=PERALTE!$S$22,-2,IF(RASANTE!F21&lt;=PERALTE!$U$22,(-6/(PERALTE!$U$22-PERALTE!$S$22)*(RASANTE!F21-PERALTE!$S$22)-2),IF(RASANTE!F21&lt;=PERALTE!$X$22,-8,IF(RASANTE!F21&lt;=PERALTE!$Z$22,(-6/(PERALTE!$X$22-PERALTE!$Z$22)*(RASANTE!F21-PERALTE!$Z$22)-2),IF(RASANTE!F21&lt;=PERALTE!$AB$22,-2))))),IF(AND(AH!$H$24="Derecha",RASANTE!F21&lt;=PERALTE!$AB$22),IF(RASANTE!F21&lt;=PERALTE!$Q$22,-2,IF(RASANTE!F21&lt;=PERALTE!$U$22,(10/(PERALTE!$U$22-PERALTE!$Q$22)*(RASANTE!F21-PERALTE!$Q$22)-2),IF(RASANTE!F21&lt;=PERALTE!$X$22,8,IF(RASANTE!F21&lt;=PERALTE!$AB$22,(10/(PERALTE!$X$22-PERALTE!$AB$22)*(RASANTE!F21-PERALTE!$AB$22)-2))))),IF(AND(AH!#REF!="Izquierda",RASANTE!F21&lt;=PERALTE!#REF!),IF(RASANTE!F21&lt;=PERALTE!#REF!,-2,IF(RASANTE!F21&lt;=PERALTE!#REF!,(-6/(PERALTE!#REF!-PERALTE!#REF!)*(RASANTE!F21-PERALTE!#REF!)-2),IF(RASANTE!F21&lt;=PERALTE!#REF!,-8,IF(RASANTE!F21&lt;=PERALTE!#REF!,(-6/(PERALTE!#REF!-PERALTE!#REF!)*(RASANTE!F21-PERALTE!#REF!)-2),IF(RASANTE!F21&lt;=PERALTE!#REF!,-2))))),IF(AND(AH!#REF!="Derecha",RASANTE!F21&lt;=PERALTE!#REF!),IF(RASANTE!F21&lt;=PERALTE!#REF!,-2,IF(RASANTE!F21&lt;=PERALTE!#REF!,(10/(PERALTE!#REF!-PERALTE!#REF!)*(RASANTE!F21-PERALTE!#REF!)-2),IF(RASANTE!F21&lt;=PERALTE!#REF!,8,IF(RASANTE!F21&lt;=PERALTE!#REF!,(10/(PERALTE!#REF!-PERALTE!#REF!)*(RASANTE!F21-PERALTE!#REF!)-2))))),IF(AND(AH!#REF!="Izquierda",RASANTE!F21&lt;=PERALTE!$AB$26),IF(RASANTE!F21&lt;=PERALTE!$S$26,-2,IF(RASANTE!F21&lt;=PERALTE!$U$26,(-6/(PERALTE!$U$26-PERALTE!$S$26)*(RASANTE!F21-PERALTE!$S$26)-2),IF(RASANTE!F21&lt;=PERALTE!$X$26,-8,IF(RASANTE!F21&lt;=PERALTE!$Z$26,(-6/(PERALTE!$X$26-PERALTE!$Z$26)*(RASANTE!F21-PERALTE!$Z$26)-2),IF(RASANTE!F21&lt;=PERALTE!$AB$26,-2))))),IF(AND(AH!#REF!="Derecha",RASANTE!F21&lt;=PERALTE!$AB$26),IF(RASANTE!F21&lt;=PERALTE!$Q$26,-2,IF(RASANTE!F21&lt;=PERALTE!$U$26,(10/(PERALTE!$U$26-PERALTE!$Q$26)*(RASANTE!F21-PERALTE!$Q$26)-2),IF(RASANTE!F21&lt;=PERALTE!$X$26,8,IF(RASANTE!F21&lt;=PERALTE!$AB$26,(10/(PERALTE!$X$26-PERALTE!$AB$26)*(RASANTE!F21-PERALTE!$AB$26)-2))))),IF(F21&lt;=PERALTE!#REF!,-2,"Abscisa fuera de la vía")))))))))))))))))))))</f>
        <v>-2.0877430839998463</v>
      </c>
      <c r="I21" s="28">
        <f>+IF(AND(AH!$H$8="Derecha",RASANTE!F21&lt;=PERALTE!$AB$6),IF(RASANTE!F21&lt;=PERALTE!$S$6,-2,IF(RASANTE!F21&lt;=PERALTE!$U$6,(-6/(PERALTE!$U$6-PERALTE!$S$6)*(RASANTE!F21-PERALTE!$S$6)-2),IF(RASANTE!F21&lt;=PERALTE!$X$6,-8,IF(RASANTE!F21&lt;=PERALTE!$Z$6,(-6/(PERALTE!$X$6-PERALTE!$Z$6)*(RASANTE!F21-PERALTE!$Z$6)-2),IF(RASANTE!F21&lt;=PERALTE!$AB$6,-2))))),IF(AND(AH!$H$8="Izquierda",RASANTE!F21&lt;=PERALTE!$AB$6),IF(RASANTE!F21&lt;=PERALTE!$Q$6,-2,IF(RASANTE!F21&lt;=PERALTE!$U$6,(10/(PERALTE!$U$6-PERALTE!$Q$6)*(RASANTE!F21-PERALTE!$Q$6)-2),IF(RASANTE!F21&lt;=PERALTE!$X$6,8,IF(RASANTE!F21&lt;=PERALTE!$AB$6,(10/(PERALTE!$X$6-PERALTE!$AB$6)*(RASANTE!F21-PERALTE!$AB$6)-2))))),IF(AND(AH!$H$10="Derecha",RASANTE!F21&lt;=PERALTE!$AB$8),IF(RASANTE!F21&lt;=PERALTE!$S$8,-2,IF(RASANTE!F21&lt;=PERALTE!$U$8,(-6/(PERALTE!$U$8-PERALTE!$S$8)*(RASANTE!F21-PERALTE!$S$8)-2),IF(RASANTE!F21&lt;=PERALTE!$X$8,-8,IF(RASANTE!F21&lt;=PERALTE!$Z$8,(-6/(PERALTE!$X$8-PERALTE!$Z$8)*(RASANTE!F21-PERALTE!$Z$8)-2),IF(RASANTE!F21&lt;=PERALTE!$AB$8,-2))))),IF(AND(AH!$H$10="Izquierda",RASANTE!F21&lt;=PERALTE!$AB$8),IF(RASANTE!F21&lt;=PERALTE!$Q$8,-2,IF(RASANTE!F21&lt;=PERALTE!$U$8,(10/(PERALTE!$U$8-PERALTE!$Q$8)*(RASANTE!F21-PERALTE!$Q$8)-2),IF(RASANTE!F21&lt;=PERALTE!$X$8,8,IF(RASANTE!F21&lt;=PERALTE!$AB$8,(10/(PERALTE!$X$8-PERALTE!$AB$8)*(RASANTE!F21-PERALTE!$AB$8)-2))))),IF(AND(AH!$H$12="Derecha",RASANTE!F21&lt;=PERALTE!$AB$10),IF(RASANTE!F21&lt;=PERALTE!$S$10,-2,IF(RASANTE!F21&lt;=PERALTE!$U$10,(-6/(PERALTE!$U$10-PERALTE!$S$10)*(RASANTE!F21-PERALTE!$S$10)-2),IF(RASANTE!F21&lt;=PERALTE!$X$10,-8,IF(RASANTE!F21&lt;=PERALTE!$Z$10,(-6/(PERALTE!$X$10-PERALTE!$Z$10)*(RASANTE!F21-PERALTE!$Z$10)-2),IF(RASANTE!F21&lt;=PERALTE!$AB$10,-2))))),IF(AND(AH!$H$12="Izquierda",RASANTE!F21&lt;=PERALTE!$AB$10),IF(RASANTE!F21&lt;=PERALTE!$Q$10,-2,IF(RASANTE!F21&lt;=PERALTE!$U$10,(10/(PERALTE!$U$10-PERALTE!$Q$10)*(RASANTE!F21-PERALTE!$Q$10)-2),IF(RASANTE!F21&lt;=PERALTE!$X$10,8,IF(RASANTE!F21&lt;=PERALTE!$AB$10,(10/(PERALTE!$X$10-PERALTE!$AB$10)*(RASANTE!F21-PERALTE!$AB$10)-2))))),IF(AND(AH!$H$14="Derecha",RASANTE!F21&lt;=PERALTE!$AB$12),IF(RASANTE!F21&lt;=PERALTE!$S$12,-2,IF(RASANTE!F21&lt;=PERALTE!$U$12,(-6/(PERALTE!$U$12-PERALTE!$S$12)*(RASANTE!F21-PERALTE!$S$12)-2),IF(RASANTE!F21&lt;=PERALTE!$X$12,-8,IF(RASANTE!F21&lt;=PERALTE!$Z$12,(-6/(PERALTE!$X$12-PERALTE!$Z$12)*(RASANTE!F21-PERALTE!$Z$12)-2),IF(RASANTE!F21&lt;=PERALTE!$AB$12,-2))))),IF(AND(AH!$H$14="Izquierda",RASANTE!F21&lt;=PERALTE!$AB$12),IF(RASANTE!F21&lt;=PERALTE!$Q$12,-2,IF(RASANTE!F21&lt;=PERALTE!$U$12,(10/(PERALTE!$U$12-PERALTE!$Q$12)*(RASANTE!F21-PERALTE!$Q$12)-2),IF(RASANTE!F21&lt;=PERALTE!$X$12,8,IF(RASANTE!F21&lt;=PERALTE!$AB$12,(10/(PERALTE!$X$12-PERALTE!$AB$12)*(RASANTE!F21-PERALTE!$AB$12)-2))))),IF(AND(AH!$H$16="Derecha",RASANTE!F21&lt;=PERALTE!$AB$14),IF(RASANTE!F21&lt;=PERALTE!$S$14,-2,IF(RASANTE!F21&lt;=PERALTE!$U$14,(-6/(PERALTE!$U$14-PERALTE!$S$14)*(RASANTE!F21-PERALTE!$S$14)-2),IF(RASANTE!F21&lt;=PERALTE!$X$14,-8,IF(RASANTE!F21&lt;=PERALTE!$Z$14,(-6/(PERALTE!$X$14-PERALTE!$Z$14)*(RASANTE!F21-PERALTE!$Z$14)-2),IF(RASANTE!F21&lt;=PERALTE!$AB$14,-2))))),IF(AND(AH!$H$16="Izquierda",RASANTE!F21&lt;=PERALTE!$AB$14),IF(RASANTE!F21&lt;=PERALTE!$Q$14,-2,IF(RASANTE!F21&lt;=PERALTE!$U$14,(10/(PERALTE!$U$14-PERALTE!$Q$14)*(RASANTE!F21-PERALTE!$Q$14)-2),IF(RASANTE!F21&lt;=PERALTE!$X$14,8,IF(RASANTE!F21&lt;=PERALTE!$AB$14,(10/(PERALTE!$X$14-PERALTE!$AB$14)*(RASANTE!F21-PERALTE!$AB$14)-2))))),IF(AND(AH!$H$18="Derecha",RASANTE!F21&lt;=PERALTE!$AB$16),IF(RASANTE!F21&lt;=PERALTE!$S$16,-2,IF(RASANTE!F21&lt;=PERALTE!$U$16,(-6/(PERALTE!$U$16-PERALTE!$S$16)*(RASANTE!F21-PERALTE!$S$16)-2),IF(RASANTE!F21&lt;=PERALTE!$X$16,-8,IF(RASANTE!F21&lt;=PERALTE!$Z$16,(-6/(PERALTE!$X$16-PERALTE!$Z$16)*(RASANTE!F21-PERALTE!$Z$16)-2),IF(RASANTE!F21&lt;=PERALTE!$AB$16,-2))))),IF(AND(AH!$H$18="Izquierda",RASANTE!F21&lt;=PERALTE!$AB$16),IF(RASANTE!F21&lt;=PERALTE!$Q$16,-2,IF(RASANTE!F21&lt;=PERALTE!$U$16,(10/(PERALTE!$U$16-PERALTE!$Q$16)*(RASANTE!F21-PERALTE!$Q$16)-2),IF(RASANTE!F21&lt;=PERALTE!$X$16,8,IF(RASANTE!F21&lt;=PERALTE!$AB$16,(10/(PERALTE!$X$16-PERALTE!$AB$16)*(RASANTE!F21-PERALTE!$AB$16)-2))))),IF(AND(AH!$H$20="Derecha",RASANTE!F21&lt;=PERALTE!$AB$18),IF(RASANTE!F21&lt;=PERALTE!$S$18,-2,IF(RASANTE!F21&lt;=PERALTE!$U$18,(-6/(PERALTE!$U$18-PERALTE!$S$18)*(RASANTE!F21-PERALTE!$S$18)-2),IF(RASANTE!F21&lt;=PERALTE!$X$18,-8,IF(RASANTE!F21&lt;=PERALTE!$Z$18,(-6/(PERALTE!$X$18-PERALTE!$Z$18)*(RASANTE!F21-PERALTE!$Z$18)-2),IF(RASANTE!F21&lt;=PERALTE!$AB$18,-2))))),IF(AND(AH!$H$20="Izquierda",RASANTE!F21&lt;=PERALTE!$AB$18),IF(RASANTE!F21&lt;=PERALTE!$Q$18,-2,IF(RASANTE!F21&lt;=PERALTE!$U$18,(10/(PERALTE!$U$18-PERALTE!$Q$18)*(RASANTE!F21-PERALTE!$Q$18)-2),IF(RASANTE!F21&lt;=PERALTE!$X$18,8,IF(RASANTE!F21&lt;=PERALTE!$AB$18,(10/(PERALTE!$X$18-PERALTE!$AB$18)*(RASANTE!F21-PERALTE!$AB$18)-2))))),IF(AND(AH!$H$24="Derecha",RASANTE!F21&lt;=PERALTE!$AB$22),IF(RASANTE!F21&lt;=PERALTE!$S$22,-2,IF(RASANTE!F21&lt;=PERALTE!$U$22,(-6/(PERALTE!$U$22-PERALTE!$S$22)*(RASANTE!F21-PERALTE!$S$22)-2),IF(RASANTE!F21&lt;=PERALTE!$X$22,-8,IF(RASANTE!F21&lt;=PERALTE!$Z$22,(-6/(PERALTE!$X$22-PERALTE!$Z$22)*(RASANTE!F21-PERALTE!$Z$22)-2),IF(RASANTE!F21&lt;=PERALTE!$AB$22,-2))))),IF(AND(AH!$H$24="Izquierda",RASANTE!F21&lt;=PERALTE!$AB$22),IF(RASANTE!F21&lt;=PERALTE!$Q$22,-2,IF(RASANTE!F21&lt;=PERALTE!$U$22,(10/(PERALTE!$U$22-PERALTE!$Q$22)*(RASANTE!F21-PERALTE!$Q$22)-2),IF(RASANTE!F21&lt;=PERALTE!$X$22,8,IF(RASANTE!F21&lt;=PERALTE!$AB$22,(10/(PERALTE!$X$22-PERALTE!$AB$22)*(RASANTE!F21-PERALTE!$AB$22)-2))))),IF(AND(AH!#REF!="Derecha",RASANTE!F21&lt;=PERALTE!#REF!),IF(RASANTE!F21&lt;=PERALTE!#REF!,-2,IF(RASANTE!F21&lt;=PERALTE!#REF!,(-6/(PERALTE!#REF!-PERALTE!#REF!)*(RASANTE!F21-PERALTE!#REF!)-2),IF(RASANTE!F21&lt;=PERALTE!#REF!,-8,IF(RASANTE!F21&lt;=PERALTE!#REF!,(-6/(PERALTE!#REF!-PERALTE!#REF!)*(RASANTE!F21-PERALTE!#REF!)-2),IF(RASANTE!F21&lt;=PERALTE!#REF!,-2))))),IF(AND(AH!#REF!="Izquierda",RASANTE!F21&lt;=PERALTE!#REF!),IF(RASANTE!F21&lt;=PERALTE!#REF!,-2,IF(RASANTE!F21&lt;=PERALTE!#REF!,(10/(PERALTE!#REF!-PERALTE!#REF!)*(RASANTE!F21-PERALTE!#REF!)-2),IF(RASANTE!F21&lt;=PERALTE!#REF!,8,IF(RASANTE!F21&lt;=PERALTE!#REF!,(10/(PERALTE!#REF!-PERALTE!#REF!)*(RASANTE!F21-PERALTE!#REF!)-2))))),IF(AND(AH!#REF!="Derecha",RASANTE!F21&lt;=PERALTE!$AB$26),IF(RASANTE!F21&lt;=PERALTE!$S$26,-2,IF(RASANTE!F21&lt;=PERALTE!$U$26,(-6/(PERALTE!$U$26-PERALTE!$S$26)*(RASANTE!F21-PERALTE!$S$26)-2),IF(RASANTE!F21&lt;=PERALTE!$X$26,-8,IF(RASANTE!F21&lt;=PERALTE!$Z$26,(-6/(PERALTE!$X$26-PERALTE!$Z$26)*(RASANTE!F21-PERALTE!$Z$26)-2),IF(RASANTE!F21&lt;=PERALTE!$AB$26,-2))))),IF(AND(AH!#REF!="Izquierda",RASANTE!F21&lt;=PERALTE!$AB$26),IF(RASANTE!F21&lt;=PERALTE!$Q$26,-2,IF(RASANTE!F21&lt;=PERALTE!$U$26,(10/(PERALTE!$U$26-PERALTE!$Q$26)*(RASANTE!F21-PERALTE!$Q$26)-2),IF(RASANTE!F21&lt;=PERALTE!$X$26,8,IF(RASANTE!F21&lt;=PERALTE!$AB$26,(10/(PERALTE!$X$26-PERALTE!$AB$26)*(RASANTE!F21-PERALTE!$AB$26)-2))))),IF(F21&lt;=PERALTE!#REF!,-2,"Abscisa fuera de la vía")))))))))))))))))))))</f>
        <v>2.087743083999845</v>
      </c>
      <c r="J21" s="28">
        <f t="shared" si="1"/>
        <v>1648.3988000000004</v>
      </c>
      <c r="K21" s="356">
        <f>+IF(AND(AV!$S$6&lt;F196,F196&lt;=AV!$T$6),AV!$P$6*((AV!$S$6-RASANTE!F196)/(AV!$N$6))^2,IF(AND(AV!$T$6&lt;RASANTE!F196,F196&lt;AV!$U$6),AV!$P$6*((AV!$U$6-RASANTE!F196)/(AV!$O$6))^2,IF(AND(AV!$S$8&lt;F196,F196&lt;=AV!$T$8),AV!$P$8*((AV!$S$8-RASANTE!F196)/(AV!$N$8))^2,IF(AND(AV!$T$8&lt;RASANTE!F196,F196&lt;AV!$U$8),AV!$P$8*((AV!$U$8-RASANTE!F196)/(AV!$O$8))^2,IF(AND(AV!$S$10&lt;F196,F196&lt;=AV!$T$10),AV!$P$10*((AV!$S$10-RASANTE!F196)/(AV!$N$10))^2,IF(AND(AV!$T$10&lt;RASANTE!F196,F196&lt;AV!$U$10),AV!$P$10*((AV!$U$10-RASANTE!F196)/(AV!$O$10))^2,IF(AND(AV!$S$12&lt;F196,F196&lt;=AV!$T$12),AV!$P$12*((AV!$S$12-RASANTE!F196)/(AV!$N$12))^2,IF(AND(AV!$T$12&lt;RASANTE!F196,F196&lt;AV!$U$12),AV!$P$12*((AV!$U$12-RASANTE!F196)/(AV!$O$12))^2,IF(AND(AV!$S$14&lt;F196,F196&lt;=AV!$T$14),AV!$P$14*((AV!$S$14-RASANTE!F196)/(AV!$N$14))^2,IF(AND(AV!$T$14&lt;RASANTE!F196,F196&lt;AV!$U$14),AV!$P$14*((AV!$U$14-RASANTE!F196)/(AV!$O$14))^2,IF(AND(AV!$S$16&lt;F196,F196&lt;=AV!$T$16),AV!$P$16*((AV!$S$16-RASANTE!F196)/(AV!$N$16))^2,IF(AND(AV!$T$16&lt;RASANTE!F196,F196&lt;AV!$U$16),AV!$P$16*((AV!$U$16-RASANTE!F196)/(AV!$O$16))^2,IF(AND(AV!$S$18&lt;F196,F196&lt;=AV!$T$18),AV!$P$18*((AV!$S$18-RASANTE!F196)/(AV!$N$18))^2,IF(AND(AV!$T$18&lt;RASANTE!F196,F196&lt;AV!$U$18),AV!$P$18*((AV!$U$18-RASANTE!F196)/(AV!$O$18))^2,IF(AND(AV!$S$20&lt;F196,F196&lt;=AV!$T$20),AV!$P$20*((AV!$S$20-RASANTE!F196)/(AV!$N$20))^2,IF(AND(AV!$T$20&lt;RASANTE!F196,F196&lt;AV!$U$20),AV!$P$20*((AV!$U$20-RASANTE!F196)/(AV!$O$20))^2,IF(AND(AV!$S$22&lt;F196,F196&lt;=AV!$T$22),AV!$P$22*((AV!$S$22-RASANTE!F196)/(AV!$N$22))^2,IF(AND(AV!$T$22&lt;RASANTE!F196,F196&lt;AV!$U$22),AV!$P$22*((AV!$U$22-RASANTE!F196)/(AV!$O$22))^2,IF(AND(AV!$S$24&lt;F196,F196&lt;=AV!$T$24),AV!$P$24*((AV!$S$24-RASANTE!F196)/(AV!$N$24))^2,IF(AND(AV!$T$24&lt;RASANTE!F196,F196&lt;AV!$U$24),AV!$P$24*((AV!$U$24-RASANTE!F196)/(AV!$O$24))^2,0))))))))))))))))))))</f>
        <v>0</v>
      </c>
      <c r="L21" s="28">
        <f>+M21+H21%*PERALTE!$C$32</f>
        <v>1648.3257289920605</v>
      </c>
      <c r="M21" s="28">
        <f t="shared" si="2"/>
        <v>1648.3988000000004</v>
      </c>
      <c r="N21" s="28">
        <f>+M21+I21%*PERALTE!$C$32</f>
        <v>1648.4718710079403</v>
      </c>
      <c r="O21" s="92"/>
      <c r="P21" s="84"/>
      <c r="Q21" s="106" t="s">
        <v>164</v>
      </c>
      <c r="R21" s="106" t="s">
        <v>29</v>
      </c>
      <c r="S21" s="90" t="s">
        <v>164</v>
      </c>
      <c r="T21" s="90" t="s">
        <v>109</v>
      </c>
      <c r="U21" s="84"/>
      <c r="V21" s="84"/>
      <c r="W21" s="84"/>
      <c r="X21" s="84"/>
      <c r="Y21" s="84"/>
    </row>
    <row r="22" spans="1:25" ht="15.75" customHeight="1" x14ac:dyDescent="0.2">
      <c r="A22" s="90" t="s">
        <v>311</v>
      </c>
      <c r="B22" s="86"/>
      <c r="C22" s="86"/>
      <c r="D22" s="86"/>
      <c r="E22" s="91"/>
      <c r="F22" s="34">
        <f>PERALTE!T6</f>
        <v>146.97177000625058</v>
      </c>
      <c r="G22" s="88">
        <f>IF(F22&lt;=AV!$T$6,AV!$C$5,IF(RASANTE!F22&lt;=AV!$T$8,AV!$C$7,IF(RASANTE!F22&lt;=AV!$T$10,AV!$C$9,IF(RASANTE!F22&lt;=AV!$T$12,AV!#REF!,IF(RASANTE!F22&lt;=AV!$T$14,AV!$C$11,IF(RASANTE!F22&lt;=AV!$T$16,AV!$C$13, IF(RASANTE!F22&lt;=AV!$T$18,AV!$C$15,IF(RASANTE!F22&lt;=AV!$T$20,AV!$C$19,IF(RASANTE!F22&lt;=AV!$T$22,AV!$C$21,IF(RASANTE!F22&lt;=AV!$T$24,AV!$C$23,AV!$C$25))))))))))</f>
        <v>3.1419999999999999</v>
      </c>
      <c r="H22" s="28">
        <f>+IF(AND(AH!$H$8="Izquierda",RASANTE!F22&lt;=PERALTE!$AB$6),IF(RASANTE!F22&lt;=PERALTE!$S$6,-2,IF(RASANTE!F22&lt;=PERALTE!$U$6,(-6/(PERALTE!$U$6-PERALTE!$S$6)*(RASANTE!F22-PERALTE!$S$6)-2),IF(RASANTE!F22&lt;=PERALTE!$X$6,-8,IF(RASANTE!F22&lt;=PERALTE!$Z$6,(-6/(PERALTE!$X$6-PERALTE!$Z$6)*(RASANTE!F22-PERALTE!$Z$6)-2),IF(RASANTE!F22&lt;=PERALTE!$AB$6,-2))))),IF(AND(AH!$H$8="Derecha",RASANTE!F22&lt;=PERALTE!$AB$6),IF(RASANTE!F22&lt;=PERALTE!$Q$6,-2,IF(RASANTE!F22&lt;=PERALTE!$U$6,(10/(PERALTE!$U$6-PERALTE!$Q$6)*(RASANTE!F22-PERALTE!$Q$6)-2),IF(RASANTE!F22&lt;=PERALTE!$X$6,8,IF(RASANTE!F22&lt;=PERALTE!$AB$6,(10/(PERALTE!$X$6-PERALTE!$AB$6)*(RASANTE!F22-PERALTE!$AB$6)-2))))),IF(AND(AH!$H$10="Izquierda",RASANTE!F22&lt;=PERALTE!$AB$8),IF(RASANTE!F22&lt;=PERALTE!$S$8,-2,IF(RASANTE!F22&lt;=PERALTE!$U$8,(-6/(PERALTE!$U$8-PERALTE!$S$8)*(RASANTE!F22-PERALTE!$S$8)-2),IF(RASANTE!F22&lt;=PERALTE!$X$8,-8,IF(RASANTE!F22&lt;=PERALTE!$Z$8,(-6/(PERALTE!$X$8-PERALTE!$Z$8)*(RASANTE!F22-PERALTE!$Z$8)-2),IF(RASANTE!F22&lt;=PERALTE!$AB$8,-2))))),IF(AND(AH!$H$10="Derecha",RASANTE!F22&lt;=PERALTE!$AB$8),IF(RASANTE!F22&lt;=PERALTE!$Q$8,-2,IF(RASANTE!F22&lt;=PERALTE!$U$8,(10/(PERALTE!$U$8-PERALTE!$Q$8)*(RASANTE!F22-PERALTE!$Q$8)-2),IF(RASANTE!F22&lt;=PERALTE!$X$8,8,IF(RASANTE!F22&lt;=PERALTE!$AB$8,(10/(PERALTE!$X$8-PERALTE!$AB$8)*(RASANTE!F22-PERALTE!$AB$8)-2))))),IF(AND(AH!$H$12="Izquierda",RASANTE!F22&lt;=PERALTE!$AB$10),IF(RASANTE!F22&lt;=PERALTE!$S$10,-2,IF(RASANTE!F22&lt;=PERALTE!$U$10,(-6/(PERALTE!$U$10-PERALTE!$S$10)*(RASANTE!F22-PERALTE!$S$10)-2),IF(RASANTE!F22&lt;=PERALTE!$X$10,-8,IF(RASANTE!F22&lt;=PERALTE!$Z$10,(-6/(PERALTE!$X$10-PERALTE!$Z$10)*(RASANTE!F22-PERALTE!$Z$10)-2),IF(RASANTE!F22&lt;=PERALTE!$AB$10,-2))))),IF(AND(AH!$H$12="Derecha",RASANTE!F22&lt;=PERALTE!$AB$10),IF(RASANTE!F22&lt;=PERALTE!$Q$10,-2,IF(RASANTE!F22&lt;=PERALTE!$U$10,(10/(PERALTE!$U$10-PERALTE!$Q$10)*(RASANTE!F22-PERALTE!$Q$10)-2),IF(RASANTE!F22&lt;=PERALTE!$X$10,8,IF(RASANTE!F22&lt;=PERALTE!$AB$10,(10/(PERALTE!$X$10-PERALTE!$AB$10)*(RASANTE!F22-PERALTE!$AB$10)-2))))),IF(AND(AH!$H$14="Izquierda",RASANTE!F22&lt;=PERALTE!$AB$12),IF(RASANTE!F22&lt;=PERALTE!$S$12,-2,IF(RASANTE!F22&lt;=PERALTE!$U$12,(-6/(PERALTE!$U$12-PERALTE!$S$12)*(RASANTE!F22-PERALTE!$S$12)-2),IF(RASANTE!F22&lt;=PERALTE!$X$12,-8,IF(RASANTE!F22&lt;=PERALTE!$Z$12,(-6/(PERALTE!$X$12-PERALTE!$Z$12)*(RASANTE!F22-PERALTE!$Z$12)-2),IF(RASANTE!F22&lt;=PERALTE!$AB$12,-2))))),IF(AND(AH!$H$14="Derecha",RASANTE!F22&lt;=PERALTE!$AB$12),IF(RASANTE!F22&lt;=PERALTE!$Q$12,-2,IF(RASANTE!F22&lt;=PERALTE!$U$12,(10/(PERALTE!$U$12-PERALTE!$Q$12)*(RASANTE!F22-PERALTE!$Q$12)-2),IF(RASANTE!F22&lt;=PERALTE!$X$12,8,IF(RASANTE!F22&lt;=PERALTE!$AB$12,(10/(PERALTE!$X$12-PERALTE!$AB$12)*(RASANTE!F22-PERALTE!$AB$12)-2))))),IF(AND(AH!$H$16="Izquierda",RASANTE!F22&lt;=PERALTE!$AB$14),IF(RASANTE!F22&lt;=PERALTE!$S$14,-2,IF(RASANTE!F22&lt;=PERALTE!$U$14,(-6/(PERALTE!$U$14-PERALTE!$S$14)*(RASANTE!F22-PERALTE!$S$14)-2),IF(RASANTE!F22&lt;=PERALTE!$X$14,-8,IF(RASANTE!F22&lt;=PERALTE!$Z$14,(-6/(PERALTE!$X$14-PERALTE!$Z$14)*(RASANTE!F22-PERALTE!$Z$14)-2),IF(RASANTE!F22&lt;=PERALTE!$AB$14,-2))))),IF(AND(AH!$H$16="Derecha",RASANTE!F22&lt;=PERALTE!$AB$14),IF(RASANTE!F22&lt;=PERALTE!$Q$14,-2,IF(RASANTE!F22&lt;=PERALTE!$U$14,(10/(PERALTE!$U$14-PERALTE!$Q$14)*(RASANTE!F22-PERALTE!$Q$14)-2),IF(RASANTE!F22&lt;=PERALTE!$X$14,8,IF(RASANTE!F22&lt;=PERALTE!$AB$14,(10/(PERALTE!$X$14-PERALTE!$AB$14)*(RASANTE!F22-PERALTE!$AB$14)-2))))),IF(AND(AH!$H$18="Izquierda",RASANTE!F22&lt;=PERALTE!$AB$16),IF(RASANTE!F22&lt;=PERALTE!$S$16,-2,IF(RASANTE!F22&lt;=PERALTE!$U$16,(-6/(PERALTE!$U$16-PERALTE!$S$16)*(RASANTE!F22-PERALTE!$S$16)-2),IF(RASANTE!F22&lt;=PERALTE!$X$16,-8,IF(RASANTE!F22&lt;=PERALTE!$Z$16,(-6/(PERALTE!$X$16-PERALTE!$Z$16)*(RASANTE!F22-PERALTE!$Z$16)-2),IF(RASANTE!F22&lt;=PERALTE!$AB$16,-2))))),IF(AND(AH!$H$18="Derecha",RASANTE!F22&lt;=PERALTE!$AB$16),IF(RASANTE!F22&lt;=PERALTE!$Q$16,-2,IF(RASANTE!F22&lt;=PERALTE!$U$16,(10/(PERALTE!$U$16-PERALTE!$Q$16)*(RASANTE!F22-PERALTE!$Q$16)-2),IF(RASANTE!F22&lt;=PERALTE!$X$16,8,IF(RASANTE!F22&lt;=PERALTE!$AB$16,(10/(PERALTE!$X$16-PERALTE!$AB$16)*(RASANTE!F22-PERALTE!$AB$16)-2))))),IF(AND(AH!$H$20="Izquierda",RASANTE!F22&lt;=PERALTE!$AB$18),IF(RASANTE!F22&lt;=PERALTE!$S$18,-2,IF(RASANTE!F22&lt;=PERALTE!$U$18,(-6/(PERALTE!$U$18-PERALTE!$S$18)*(RASANTE!F22-PERALTE!$S$18)-2),IF(RASANTE!F22&lt;=PERALTE!$X$18,-8,IF(RASANTE!F22&lt;=PERALTE!$Z$18,(-6/(PERALTE!$X$18-PERALTE!$Z$18)*(RASANTE!F22-PERALTE!$Z$18)-2),IF(RASANTE!F22&lt;=PERALTE!$AB$18,-2))))),IF(AND(AH!$H$20="Derecha",RASANTE!F22&lt;=PERALTE!$AB$18),IF(RASANTE!F22&lt;=PERALTE!$Q$18,-2,IF(RASANTE!F22&lt;=PERALTE!$U$18,(10/(PERALTE!$U$18-PERALTE!$Q$18)*(RASANTE!F22-PERALTE!$Q$18)-2),IF(RASANTE!F22&lt;=PERALTE!$X$18,8,IF(RASANTE!F22&lt;=PERALTE!$AB$18,(10/(PERALTE!$X$18-PERALTE!$AB$18)*(RASANTE!F22-PERALTE!$AB$18)-2))))),IF(AND(AH!$H$24="Izquierda",RASANTE!F22&lt;=PERALTE!$AB$22),IF(RASANTE!F22&lt;=PERALTE!$S$22,-2,IF(RASANTE!F22&lt;=PERALTE!$U$22,(-6/(PERALTE!$U$22-PERALTE!$S$22)*(RASANTE!F22-PERALTE!$S$22)-2),IF(RASANTE!F22&lt;=PERALTE!$X$22,-8,IF(RASANTE!F22&lt;=PERALTE!$Z$22,(-6/(PERALTE!$X$22-PERALTE!$Z$22)*(RASANTE!F22-PERALTE!$Z$22)-2),IF(RASANTE!F22&lt;=PERALTE!$AB$22,-2))))),IF(AND(AH!$H$24="Derecha",RASANTE!F22&lt;=PERALTE!$AB$22),IF(RASANTE!F22&lt;=PERALTE!$Q$22,-2,IF(RASANTE!F22&lt;=PERALTE!$U$22,(10/(PERALTE!$U$22-PERALTE!$Q$22)*(RASANTE!F22-PERALTE!$Q$22)-2),IF(RASANTE!F22&lt;=PERALTE!$X$22,8,IF(RASANTE!F22&lt;=PERALTE!$AB$22,(10/(PERALTE!$X$22-PERALTE!$AB$22)*(RASANTE!F22-PERALTE!$AB$22)-2))))),IF(AND(AH!#REF!="Izquierda",RASANTE!F22&lt;=PERALTE!#REF!),IF(RASANTE!F22&lt;=PERALTE!#REF!,-2,IF(RASANTE!F22&lt;=PERALTE!#REF!,(-6/(PERALTE!#REF!-PERALTE!#REF!)*(RASANTE!F22-PERALTE!#REF!)-2),IF(RASANTE!F22&lt;=PERALTE!#REF!,-8,IF(RASANTE!F22&lt;=PERALTE!#REF!,(-6/(PERALTE!#REF!-PERALTE!#REF!)*(RASANTE!F22-PERALTE!#REF!)-2),IF(RASANTE!F22&lt;=PERALTE!#REF!,-2))))),IF(AND(AH!#REF!="Derecha",RASANTE!F22&lt;=PERALTE!#REF!),IF(RASANTE!F22&lt;=PERALTE!#REF!,-2,IF(RASANTE!F22&lt;=PERALTE!#REF!,(10/(PERALTE!#REF!-PERALTE!#REF!)*(RASANTE!F22-PERALTE!#REF!)-2),IF(RASANTE!F22&lt;=PERALTE!#REF!,8,IF(RASANTE!F22&lt;=PERALTE!#REF!,(10/(PERALTE!#REF!-PERALTE!#REF!)*(RASANTE!F22-PERALTE!#REF!)-2))))),IF(AND(AH!#REF!="Izquierda",RASANTE!F22&lt;=PERALTE!$AB$26),IF(RASANTE!F22&lt;=PERALTE!$S$26,-2,IF(RASANTE!F22&lt;=PERALTE!$U$26,(-6/(PERALTE!$U$26-PERALTE!$S$26)*(RASANTE!F22-PERALTE!$S$26)-2),IF(RASANTE!F22&lt;=PERALTE!$X$26,-8,IF(RASANTE!F22&lt;=PERALTE!$Z$26,(-6/(PERALTE!$X$26-PERALTE!$Z$26)*(RASANTE!F22-PERALTE!$Z$26)-2),IF(RASANTE!F22&lt;=PERALTE!$AB$26,-2))))),IF(AND(AH!#REF!="Derecha",RASANTE!F22&lt;=PERALTE!$AB$26),IF(RASANTE!F22&lt;=PERALTE!$Q$26,-2,IF(RASANTE!F22&lt;=PERALTE!$U$26,(10/(PERALTE!$U$26-PERALTE!$Q$26)*(RASANTE!F22-PERALTE!$Q$26)-2),IF(RASANTE!F22&lt;=PERALTE!$X$26,8,IF(RASANTE!F22&lt;=PERALTE!$AB$26,(10/(PERALTE!$X$26-PERALTE!$AB$26)*(RASANTE!F22-PERALTE!$AB$26)-2))))),IF(F22&lt;=PERALTE!#REF!,-2,"Abscisa fuera de la vía")))))))))))))))))))))</f>
        <v>-4.0000000000000053</v>
      </c>
      <c r="I22" s="28">
        <f>+IF(AND(AH!$H$8="Derecha",RASANTE!F22&lt;=PERALTE!$AB$6),IF(RASANTE!F22&lt;=PERALTE!$S$6,-2,IF(RASANTE!F22&lt;=PERALTE!$U$6,(-6/(PERALTE!$U$6-PERALTE!$S$6)*(RASANTE!F22-PERALTE!$S$6)-2),IF(RASANTE!F22&lt;=PERALTE!$X$6,-8,IF(RASANTE!F22&lt;=PERALTE!$Z$6,(-6/(PERALTE!$X$6-PERALTE!$Z$6)*(RASANTE!F22-PERALTE!$Z$6)-2),IF(RASANTE!F22&lt;=PERALTE!$AB$6,-2))))),IF(AND(AH!$H$8="Izquierda",RASANTE!F22&lt;=PERALTE!$AB$6),IF(RASANTE!F22&lt;=PERALTE!$Q$6,-2,IF(RASANTE!F22&lt;=PERALTE!$U$6,(10/(PERALTE!$U$6-PERALTE!$Q$6)*(RASANTE!F22-PERALTE!$Q$6)-2),IF(RASANTE!F22&lt;=PERALTE!$X$6,8,IF(RASANTE!F22&lt;=PERALTE!$AB$6,(10/(PERALTE!$X$6-PERALTE!$AB$6)*(RASANTE!F22-PERALTE!$AB$6)-2))))),IF(AND(AH!$H$10="Derecha",RASANTE!F22&lt;=PERALTE!$AB$8),IF(RASANTE!F22&lt;=PERALTE!$S$8,-2,IF(RASANTE!F22&lt;=PERALTE!$U$8,(-6/(PERALTE!$U$8-PERALTE!$S$8)*(RASANTE!F22-PERALTE!$S$8)-2),IF(RASANTE!F22&lt;=PERALTE!$X$8,-8,IF(RASANTE!F22&lt;=PERALTE!$Z$8,(-6/(PERALTE!$X$8-PERALTE!$Z$8)*(RASANTE!F22-PERALTE!$Z$8)-2),IF(RASANTE!F22&lt;=PERALTE!$AB$8,-2))))),IF(AND(AH!$H$10="Izquierda",RASANTE!F22&lt;=PERALTE!$AB$8),IF(RASANTE!F22&lt;=PERALTE!$Q$8,-2,IF(RASANTE!F22&lt;=PERALTE!$U$8,(10/(PERALTE!$U$8-PERALTE!$Q$8)*(RASANTE!F22-PERALTE!$Q$8)-2),IF(RASANTE!F22&lt;=PERALTE!$X$8,8,IF(RASANTE!F22&lt;=PERALTE!$AB$8,(10/(PERALTE!$X$8-PERALTE!$AB$8)*(RASANTE!F22-PERALTE!$AB$8)-2))))),IF(AND(AH!$H$12="Derecha",RASANTE!F22&lt;=PERALTE!$AB$10),IF(RASANTE!F22&lt;=PERALTE!$S$10,-2,IF(RASANTE!F22&lt;=PERALTE!$U$10,(-6/(PERALTE!$U$10-PERALTE!$S$10)*(RASANTE!F22-PERALTE!$S$10)-2),IF(RASANTE!F22&lt;=PERALTE!$X$10,-8,IF(RASANTE!F22&lt;=PERALTE!$Z$10,(-6/(PERALTE!$X$10-PERALTE!$Z$10)*(RASANTE!F22-PERALTE!$Z$10)-2),IF(RASANTE!F22&lt;=PERALTE!$AB$10,-2))))),IF(AND(AH!$H$12="Izquierda",RASANTE!F22&lt;=PERALTE!$AB$10),IF(RASANTE!F22&lt;=PERALTE!$Q$10,-2,IF(RASANTE!F22&lt;=PERALTE!$U$10,(10/(PERALTE!$U$10-PERALTE!$Q$10)*(RASANTE!F22-PERALTE!$Q$10)-2),IF(RASANTE!F22&lt;=PERALTE!$X$10,8,IF(RASANTE!F22&lt;=PERALTE!$AB$10,(10/(PERALTE!$X$10-PERALTE!$AB$10)*(RASANTE!F22-PERALTE!$AB$10)-2))))),IF(AND(AH!$H$14="Derecha",RASANTE!F22&lt;=PERALTE!$AB$12),IF(RASANTE!F22&lt;=PERALTE!$S$12,-2,IF(RASANTE!F22&lt;=PERALTE!$U$12,(-6/(PERALTE!$U$12-PERALTE!$S$12)*(RASANTE!F22-PERALTE!$S$12)-2),IF(RASANTE!F22&lt;=PERALTE!$X$12,-8,IF(RASANTE!F22&lt;=PERALTE!$Z$12,(-6/(PERALTE!$X$12-PERALTE!$Z$12)*(RASANTE!F22-PERALTE!$Z$12)-2),IF(RASANTE!F22&lt;=PERALTE!$AB$12,-2))))),IF(AND(AH!$H$14="Izquierda",RASANTE!F22&lt;=PERALTE!$AB$12),IF(RASANTE!F22&lt;=PERALTE!$Q$12,-2,IF(RASANTE!F22&lt;=PERALTE!$U$12,(10/(PERALTE!$U$12-PERALTE!$Q$12)*(RASANTE!F22-PERALTE!$Q$12)-2),IF(RASANTE!F22&lt;=PERALTE!$X$12,8,IF(RASANTE!F22&lt;=PERALTE!$AB$12,(10/(PERALTE!$X$12-PERALTE!$AB$12)*(RASANTE!F22-PERALTE!$AB$12)-2))))),IF(AND(AH!$H$16="Derecha",RASANTE!F22&lt;=PERALTE!$AB$14),IF(RASANTE!F22&lt;=PERALTE!$S$14,-2,IF(RASANTE!F22&lt;=PERALTE!$U$14,(-6/(PERALTE!$U$14-PERALTE!$S$14)*(RASANTE!F22-PERALTE!$S$14)-2),IF(RASANTE!F22&lt;=PERALTE!$X$14,-8,IF(RASANTE!F22&lt;=PERALTE!$Z$14,(-6/(PERALTE!$X$14-PERALTE!$Z$14)*(RASANTE!F22-PERALTE!$Z$14)-2),IF(RASANTE!F22&lt;=PERALTE!$AB$14,-2))))),IF(AND(AH!$H$16="Izquierda",RASANTE!F22&lt;=PERALTE!$AB$14),IF(RASANTE!F22&lt;=PERALTE!$Q$14,-2,IF(RASANTE!F22&lt;=PERALTE!$U$14,(10/(PERALTE!$U$14-PERALTE!$Q$14)*(RASANTE!F22-PERALTE!$Q$14)-2),IF(RASANTE!F22&lt;=PERALTE!$X$14,8,IF(RASANTE!F22&lt;=PERALTE!$AB$14,(10/(PERALTE!$X$14-PERALTE!$AB$14)*(RASANTE!F22-PERALTE!$AB$14)-2))))),IF(AND(AH!$H$18="Derecha",RASANTE!F22&lt;=PERALTE!$AB$16),IF(RASANTE!F22&lt;=PERALTE!$S$16,-2,IF(RASANTE!F22&lt;=PERALTE!$U$16,(-6/(PERALTE!$U$16-PERALTE!$S$16)*(RASANTE!F22-PERALTE!$S$16)-2),IF(RASANTE!F22&lt;=PERALTE!$X$16,-8,IF(RASANTE!F22&lt;=PERALTE!$Z$16,(-6/(PERALTE!$X$16-PERALTE!$Z$16)*(RASANTE!F22-PERALTE!$Z$16)-2),IF(RASANTE!F22&lt;=PERALTE!$AB$16,-2))))),IF(AND(AH!$H$18="Izquierda",RASANTE!F22&lt;=PERALTE!$AB$16),IF(RASANTE!F22&lt;=PERALTE!$Q$16,-2,IF(RASANTE!F22&lt;=PERALTE!$U$16,(10/(PERALTE!$U$16-PERALTE!$Q$16)*(RASANTE!F22-PERALTE!$Q$16)-2),IF(RASANTE!F22&lt;=PERALTE!$X$16,8,IF(RASANTE!F22&lt;=PERALTE!$AB$16,(10/(PERALTE!$X$16-PERALTE!$AB$16)*(RASANTE!F22-PERALTE!$AB$16)-2))))),IF(AND(AH!$H$20="Derecha",RASANTE!F22&lt;=PERALTE!$AB$18),IF(RASANTE!F22&lt;=PERALTE!$S$18,-2,IF(RASANTE!F22&lt;=PERALTE!$U$18,(-6/(PERALTE!$U$18-PERALTE!$S$18)*(RASANTE!F22-PERALTE!$S$18)-2),IF(RASANTE!F22&lt;=PERALTE!$X$18,-8,IF(RASANTE!F22&lt;=PERALTE!$Z$18,(-6/(PERALTE!$X$18-PERALTE!$Z$18)*(RASANTE!F22-PERALTE!$Z$18)-2),IF(RASANTE!F22&lt;=PERALTE!$AB$18,-2))))),IF(AND(AH!$H$20="Izquierda",RASANTE!F22&lt;=PERALTE!$AB$18),IF(RASANTE!F22&lt;=PERALTE!$Q$18,-2,IF(RASANTE!F22&lt;=PERALTE!$U$18,(10/(PERALTE!$U$18-PERALTE!$Q$18)*(RASANTE!F22-PERALTE!$Q$18)-2),IF(RASANTE!F22&lt;=PERALTE!$X$18,8,IF(RASANTE!F22&lt;=PERALTE!$AB$18,(10/(PERALTE!$X$18-PERALTE!$AB$18)*(RASANTE!F22-PERALTE!$AB$18)-2))))),IF(AND(AH!$H$24="Derecha",RASANTE!F22&lt;=PERALTE!$AB$22),IF(RASANTE!F22&lt;=PERALTE!$S$22,-2,IF(RASANTE!F22&lt;=PERALTE!$U$22,(-6/(PERALTE!$U$22-PERALTE!$S$22)*(RASANTE!F22-PERALTE!$S$22)-2),IF(RASANTE!F22&lt;=PERALTE!$X$22,-8,IF(RASANTE!F22&lt;=PERALTE!$Z$22,(-6/(PERALTE!$X$22-PERALTE!$Z$22)*(RASANTE!F22-PERALTE!$Z$22)-2),IF(RASANTE!F22&lt;=PERALTE!$AB$22,-2))))),IF(AND(AH!$H$24="Izquierda",RASANTE!F22&lt;=PERALTE!$AB$22),IF(RASANTE!F22&lt;=PERALTE!$Q$22,-2,IF(RASANTE!F22&lt;=PERALTE!$U$22,(10/(PERALTE!$U$22-PERALTE!$Q$22)*(RASANTE!F22-PERALTE!$Q$22)-2),IF(RASANTE!F22&lt;=PERALTE!$X$22,8,IF(RASANTE!F22&lt;=PERALTE!$AB$22,(10/(PERALTE!$X$22-PERALTE!$AB$22)*(RASANTE!F22-PERALTE!$AB$22)-2))))),IF(AND(AH!#REF!="Derecha",RASANTE!F22&lt;=PERALTE!#REF!),IF(RASANTE!F22&lt;=PERALTE!#REF!,-2,IF(RASANTE!F22&lt;=PERALTE!#REF!,(-6/(PERALTE!#REF!-PERALTE!#REF!)*(RASANTE!F22-PERALTE!#REF!)-2),IF(RASANTE!F22&lt;=PERALTE!#REF!,-8,IF(RASANTE!F22&lt;=PERALTE!#REF!,(-6/(PERALTE!#REF!-PERALTE!#REF!)*(RASANTE!F22-PERALTE!#REF!)-2),IF(RASANTE!F22&lt;=PERALTE!#REF!,-2))))),IF(AND(AH!#REF!="Izquierda",RASANTE!F22&lt;=PERALTE!#REF!),IF(RASANTE!F22&lt;=PERALTE!#REF!,-2,IF(RASANTE!F22&lt;=PERALTE!#REF!,(10/(PERALTE!#REF!-PERALTE!#REF!)*(RASANTE!F22-PERALTE!#REF!)-2),IF(RASANTE!F22&lt;=PERALTE!#REF!,8,IF(RASANTE!F22&lt;=PERALTE!#REF!,(10/(PERALTE!#REF!-PERALTE!#REF!)*(RASANTE!F22-PERALTE!#REF!)-2))))),IF(AND(AH!#REF!="Derecha",RASANTE!F22&lt;=PERALTE!$AB$26),IF(RASANTE!F22&lt;=PERALTE!$S$26,-2,IF(RASANTE!F22&lt;=PERALTE!$U$26,(-6/(PERALTE!$U$26-PERALTE!$S$26)*(RASANTE!F22-PERALTE!$S$26)-2),IF(RASANTE!F22&lt;=PERALTE!$X$26,-8,IF(RASANTE!F22&lt;=PERALTE!$Z$26,(-6/(PERALTE!$X$26-PERALTE!$Z$26)*(RASANTE!F22-PERALTE!$Z$26)-2),IF(RASANTE!F22&lt;=PERALTE!$AB$26,-2))))),IF(AND(AH!#REF!="Izquierda",RASANTE!F22&lt;=PERALTE!$AB$26),IF(RASANTE!F22&lt;=PERALTE!$Q$26,-2,IF(RASANTE!F22&lt;=PERALTE!$U$26,(10/(PERALTE!$U$26-PERALTE!$Q$26)*(RASANTE!F22-PERALTE!$Q$26)-2),IF(RASANTE!F22&lt;=PERALTE!$X$26,8,IF(RASANTE!F22&lt;=PERALTE!$AB$26,(10/(PERALTE!$X$26-PERALTE!$AB$26)*(RASANTE!F22-PERALTE!$AB$26)-2))))),IF(F22&lt;=PERALTE!#REF!,-2,"Abscisa fuera de la vía")))))))))))))))))))))</f>
        <v>4.0000000000000044</v>
      </c>
      <c r="J22" s="28">
        <f t="shared" si="1"/>
        <v>1648.6178530135967</v>
      </c>
      <c r="K22" s="356">
        <f>+IF(AND(AV!$S$6&lt;F197,F197&lt;=AV!$T$6),AV!$P$6*((AV!$S$6-RASANTE!F197)/(AV!$N$6))^2,IF(AND(AV!$T$6&lt;RASANTE!F197,F197&lt;AV!$U$6),AV!$P$6*((AV!$U$6-RASANTE!F197)/(AV!$O$6))^2,IF(AND(AV!$S$8&lt;F197,F197&lt;=AV!$T$8),AV!$P$8*((AV!$S$8-RASANTE!F197)/(AV!$N$8))^2,IF(AND(AV!$T$8&lt;RASANTE!F197,F197&lt;AV!$U$8),AV!$P$8*((AV!$U$8-RASANTE!F197)/(AV!$O$8))^2,IF(AND(AV!$S$10&lt;F197,F197&lt;=AV!$T$10),AV!$P$10*((AV!$S$10-RASANTE!F197)/(AV!$N$10))^2,IF(AND(AV!$T$10&lt;RASANTE!F197,F197&lt;AV!$U$10),AV!$P$10*((AV!$U$10-RASANTE!F197)/(AV!$O$10))^2,IF(AND(AV!$S$12&lt;F197,F197&lt;=AV!$T$12),AV!$P$12*((AV!$S$12-RASANTE!F197)/(AV!$N$12))^2,IF(AND(AV!$T$12&lt;RASANTE!F197,F197&lt;AV!$U$12),AV!$P$12*((AV!$U$12-RASANTE!F197)/(AV!$O$12))^2,IF(AND(AV!$S$14&lt;F197,F197&lt;=AV!$T$14),AV!$P$14*((AV!$S$14-RASANTE!F197)/(AV!$N$14))^2,IF(AND(AV!$T$14&lt;RASANTE!F197,F197&lt;AV!$U$14),AV!$P$14*((AV!$U$14-RASANTE!F197)/(AV!$O$14))^2,IF(AND(AV!$S$16&lt;F197,F197&lt;=AV!$T$16),AV!$P$16*((AV!$S$16-RASANTE!F197)/(AV!$N$16))^2,IF(AND(AV!$T$16&lt;RASANTE!F197,F197&lt;AV!$U$16),AV!$P$16*((AV!$U$16-RASANTE!F197)/(AV!$O$16))^2,IF(AND(AV!$S$18&lt;F197,F197&lt;=AV!$T$18),AV!$P$18*((AV!$S$18-RASANTE!F197)/(AV!$N$18))^2,IF(AND(AV!$T$18&lt;RASANTE!F197,F197&lt;AV!$U$18),AV!$P$18*((AV!$U$18-RASANTE!F197)/(AV!$O$18))^2,IF(AND(AV!$S$20&lt;F197,F197&lt;=AV!$T$20),AV!$P$20*((AV!$S$20-RASANTE!F197)/(AV!$N$20))^2,IF(AND(AV!$T$20&lt;RASANTE!F197,F197&lt;AV!$U$20),AV!$P$20*((AV!$U$20-RASANTE!F197)/(AV!$O$20))^2,IF(AND(AV!$S$22&lt;F197,F197&lt;=AV!$T$22),AV!$P$22*((AV!$S$22-RASANTE!F197)/(AV!$N$22))^2,IF(AND(AV!$T$22&lt;RASANTE!F197,F197&lt;AV!$U$22),AV!$P$22*((AV!$U$22-RASANTE!F197)/(AV!$O$22))^2,IF(AND(AV!$S$24&lt;F197,F197&lt;=AV!$T$24),AV!$P$24*((AV!$S$24-RASANTE!F197)/(AV!$N$24))^2,IF(AND(AV!$T$24&lt;RASANTE!F197,F197&lt;AV!$U$24),AV!$P$24*((AV!$U$24-RASANTE!F197)/(AV!$O$24))^2,0))))))))))))))))))))</f>
        <v>0</v>
      </c>
      <c r="L22" s="28">
        <f>+M22+H22%*PERALTE!$C$32</f>
        <v>1648.4778530135966</v>
      </c>
      <c r="M22" s="28">
        <f t="shared" si="2"/>
        <v>1648.6178530135967</v>
      </c>
      <c r="N22" s="28">
        <f>+M22+I22%*PERALTE!$C$32</f>
        <v>1648.7578530135968</v>
      </c>
      <c r="O22" s="92"/>
      <c r="P22" s="84"/>
      <c r="Q22" s="106" t="s">
        <v>165</v>
      </c>
      <c r="R22" s="106" t="s">
        <v>166</v>
      </c>
      <c r="S22" s="90" t="s">
        <v>165</v>
      </c>
      <c r="T22" s="90" t="s">
        <v>96</v>
      </c>
      <c r="U22" s="84"/>
      <c r="V22" s="84"/>
      <c r="W22" s="84"/>
      <c r="X22" s="84"/>
      <c r="Y22" s="84"/>
    </row>
    <row r="23" spans="1:25" ht="15.75" customHeight="1" x14ac:dyDescent="0.2">
      <c r="A23" s="90"/>
      <c r="B23" s="86"/>
      <c r="C23" s="86"/>
      <c r="D23" s="86"/>
      <c r="E23" s="91"/>
      <c r="F23" s="34">
        <v>150</v>
      </c>
      <c r="G23" s="88">
        <f>IF(F23&lt;=AV!$T$6,AV!$C$5,IF(RASANTE!F23&lt;=AV!$T$8,AV!$C$7,IF(RASANTE!F23&lt;=AV!$T$10,AV!$C$9,IF(RASANTE!F23&lt;=AV!$T$12,AV!#REF!,IF(RASANTE!F23&lt;=AV!$T$14,AV!$C$11,IF(RASANTE!F23&lt;=AV!$T$16,AV!$C$13, IF(RASANTE!F23&lt;=AV!$T$18,AV!$C$15,IF(RASANTE!F23&lt;=AV!$T$20,AV!$C$19,IF(RASANTE!F23&lt;=AV!$T$22,AV!$C$21,IF(RASANTE!F23&lt;=AV!$T$24,AV!$C$23,AV!$C$25))))))))))</f>
        <v>3.1419999999999999</v>
      </c>
      <c r="H23" s="28">
        <f>+IF(AND(AH!$H$8="Izquierda",RASANTE!F23&lt;=PERALTE!$AB$6),IF(RASANTE!F23&lt;=PERALTE!$S$6,-2,IF(RASANTE!F23&lt;=PERALTE!$U$6,(-6/(PERALTE!$U$6-PERALTE!$S$6)*(RASANTE!F23-PERALTE!$S$6)-2),IF(RASANTE!F23&lt;=PERALTE!$X$6,-8,IF(RASANTE!F23&lt;=PERALTE!$Z$6,(-6/(PERALTE!$X$6-PERALTE!$Z$6)*(RASANTE!F23-PERALTE!$Z$6)-2),IF(RASANTE!F23&lt;=PERALTE!$AB$6,-2))))),IF(AND(AH!$H$8="Derecha",RASANTE!F23&lt;=PERALTE!$AB$6),IF(RASANTE!F23&lt;=PERALTE!$Q$6,-2,IF(RASANTE!F23&lt;=PERALTE!$U$6,(10/(PERALTE!$U$6-PERALTE!$Q$6)*(RASANTE!F23-PERALTE!$Q$6)-2),IF(RASANTE!F23&lt;=PERALTE!$X$6,8,IF(RASANTE!F23&lt;=PERALTE!$AB$6,(10/(PERALTE!$X$6-PERALTE!$AB$6)*(RASANTE!F23-PERALTE!$AB$6)-2))))),IF(AND(AH!$H$10="Izquierda",RASANTE!F23&lt;=PERALTE!$AB$8),IF(RASANTE!F23&lt;=PERALTE!$S$8,-2,IF(RASANTE!F23&lt;=PERALTE!$U$8,(-6/(PERALTE!$U$8-PERALTE!$S$8)*(RASANTE!F23-PERALTE!$S$8)-2),IF(RASANTE!F23&lt;=PERALTE!$X$8,-8,IF(RASANTE!F23&lt;=PERALTE!$Z$8,(-6/(PERALTE!$X$8-PERALTE!$Z$8)*(RASANTE!F23-PERALTE!$Z$8)-2),IF(RASANTE!F23&lt;=PERALTE!$AB$8,-2))))),IF(AND(AH!$H$10="Derecha",RASANTE!F23&lt;=PERALTE!$AB$8),IF(RASANTE!F23&lt;=PERALTE!$Q$8,-2,IF(RASANTE!F23&lt;=PERALTE!$U$8,(10/(PERALTE!$U$8-PERALTE!$Q$8)*(RASANTE!F23-PERALTE!$Q$8)-2),IF(RASANTE!F23&lt;=PERALTE!$X$8,8,IF(RASANTE!F23&lt;=PERALTE!$AB$8,(10/(PERALTE!$X$8-PERALTE!$AB$8)*(RASANTE!F23-PERALTE!$AB$8)-2))))),IF(AND(AH!$H$12="Izquierda",RASANTE!F23&lt;=PERALTE!$AB$10),IF(RASANTE!F23&lt;=PERALTE!$S$10,-2,IF(RASANTE!F23&lt;=PERALTE!$U$10,(-6/(PERALTE!$U$10-PERALTE!$S$10)*(RASANTE!F23-PERALTE!$S$10)-2),IF(RASANTE!F23&lt;=PERALTE!$X$10,-8,IF(RASANTE!F23&lt;=PERALTE!$Z$10,(-6/(PERALTE!$X$10-PERALTE!$Z$10)*(RASANTE!F23-PERALTE!$Z$10)-2),IF(RASANTE!F23&lt;=PERALTE!$AB$10,-2))))),IF(AND(AH!$H$12="Derecha",RASANTE!F23&lt;=PERALTE!$AB$10),IF(RASANTE!F23&lt;=PERALTE!$Q$10,-2,IF(RASANTE!F23&lt;=PERALTE!$U$10,(10/(PERALTE!$U$10-PERALTE!$Q$10)*(RASANTE!F23-PERALTE!$Q$10)-2),IF(RASANTE!F23&lt;=PERALTE!$X$10,8,IF(RASANTE!F23&lt;=PERALTE!$AB$10,(10/(PERALTE!$X$10-PERALTE!$AB$10)*(RASANTE!F23-PERALTE!$AB$10)-2))))),IF(AND(AH!$H$14="Izquierda",RASANTE!F23&lt;=PERALTE!$AB$12),IF(RASANTE!F23&lt;=PERALTE!$S$12,-2,IF(RASANTE!F23&lt;=PERALTE!$U$12,(-6/(PERALTE!$U$12-PERALTE!$S$12)*(RASANTE!F23-PERALTE!$S$12)-2),IF(RASANTE!F23&lt;=PERALTE!$X$12,-8,IF(RASANTE!F23&lt;=PERALTE!$Z$12,(-6/(PERALTE!$X$12-PERALTE!$Z$12)*(RASANTE!F23-PERALTE!$Z$12)-2),IF(RASANTE!F23&lt;=PERALTE!$AB$12,-2))))),IF(AND(AH!$H$14="Derecha",RASANTE!F23&lt;=PERALTE!$AB$12),IF(RASANTE!F23&lt;=PERALTE!$Q$12,-2,IF(RASANTE!F23&lt;=PERALTE!$U$12,(10/(PERALTE!$U$12-PERALTE!$Q$12)*(RASANTE!F23-PERALTE!$Q$12)-2),IF(RASANTE!F23&lt;=PERALTE!$X$12,8,IF(RASANTE!F23&lt;=PERALTE!$AB$12,(10/(PERALTE!$X$12-PERALTE!$AB$12)*(RASANTE!F23-PERALTE!$AB$12)-2))))),IF(AND(AH!$H$16="Izquierda",RASANTE!F23&lt;=PERALTE!$AB$14),IF(RASANTE!F23&lt;=PERALTE!$S$14,-2,IF(RASANTE!F23&lt;=PERALTE!$U$14,(-6/(PERALTE!$U$14-PERALTE!$S$14)*(RASANTE!F23-PERALTE!$S$14)-2),IF(RASANTE!F23&lt;=PERALTE!$X$14,-8,IF(RASANTE!F23&lt;=PERALTE!$Z$14,(-6/(PERALTE!$X$14-PERALTE!$Z$14)*(RASANTE!F23-PERALTE!$Z$14)-2),IF(RASANTE!F23&lt;=PERALTE!$AB$14,-2))))),IF(AND(AH!$H$16="Derecha",RASANTE!F23&lt;=PERALTE!$AB$14),IF(RASANTE!F23&lt;=PERALTE!$Q$14,-2,IF(RASANTE!F23&lt;=PERALTE!$U$14,(10/(PERALTE!$U$14-PERALTE!$Q$14)*(RASANTE!F23-PERALTE!$Q$14)-2),IF(RASANTE!F23&lt;=PERALTE!$X$14,8,IF(RASANTE!F23&lt;=PERALTE!$AB$14,(10/(PERALTE!$X$14-PERALTE!$AB$14)*(RASANTE!F23-PERALTE!$AB$14)-2))))),IF(AND(AH!$H$18="Izquierda",RASANTE!F23&lt;=PERALTE!$AB$16),IF(RASANTE!F23&lt;=PERALTE!$S$16,-2,IF(RASANTE!F23&lt;=PERALTE!$U$16,(-6/(PERALTE!$U$16-PERALTE!$S$16)*(RASANTE!F23-PERALTE!$S$16)-2),IF(RASANTE!F23&lt;=PERALTE!$X$16,-8,IF(RASANTE!F23&lt;=PERALTE!$Z$16,(-6/(PERALTE!$X$16-PERALTE!$Z$16)*(RASANTE!F23-PERALTE!$Z$16)-2),IF(RASANTE!F23&lt;=PERALTE!$AB$16,-2))))),IF(AND(AH!$H$18="Derecha",RASANTE!F23&lt;=PERALTE!$AB$16),IF(RASANTE!F23&lt;=PERALTE!$Q$16,-2,IF(RASANTE!F23&lt;=PERALTE!$U$16,(10/(PERALTE!$U$16-PERALTE!$Q$16)*(RASANTE!F23-PERALTE!$Q$16)-2),IF(RASANTE!F23&lt;=PERALTE!$X$16,8,IF(RASANTE!F23&lt;=PERALTE!$AB$16,(10/(PERALTE!$X$16-PERALTE!$AB$16)*(RASANTE!F23-PERALTE!$AB$16)-2))))),IF(AND(AH!$H$20="Izquierda",RASANTE!F23&lt;=PERALTE!$AB$18),IF(RASANTE!F23&lt;=PERALTE!$S$18,-2,IF(RASANTE!F23&lt;=PERALTE!$U$18,(-6/(PERALTE!$U$18-PERALTE!$S$18)*(RASANTE!F23-PERALTE!$S$18)-2),IF(RASANTE!F23&lt;=PERALTE!$X$18,-8,IF(RASANTE!F23&lt;=PERALTE!$Z$18,(-6/(PERALTE!$X$18-PERALTE!$Z$18)*(RASANTE!F23-PERALTE!$Z$18)-2),IF(RASANTE!F23&lt;=PERALTE!$AB$18,-2))))),IF(AND(AH!$H$20="Derecha",RASANTE!F23&lt;=PERALTE!$AB$18),IF(RASANTE!F23&lt;=PERALTE!$Q$18,-2,IF(RASANTE!F23&lt;=PERALTE!$U$18,(10/(PERALTE!$U$18-PERALTE!$Q$18)*(RASANTE!F23-PERALTE!$Q$18)-2),IF(RASANTE!F23&lt;=PERALTE!$X$18,8,IF(RASANTE!F23&lt;=PERALTE!$AB$18,(10/(PERALTE!$X$18-PERALTE!$AB$18)*(RASANTE!F23-PERALTE!$AB$18)-2))))),IF(AND(AH!$H$24="Izquierda",RASANTE!F23&lt;=PERALTE!$AB$22),IF(RASANTE!F23&lt;=PERALTE!$S$22,-2,IF(RASANTE!F23&lt;=PERALTE!$U$22,(-6/(PERALTE!$U$22-PERALTE!$S$22)*(RASANTE!F23-PERALTE!$S$22)-2),IF(RASANTE!F23&lt;=PERALTE!$X$22,-8,IF(RASANTE!F23&lt;=PERALTE!$Z$22,(-6/(PERALTE!$X$22-PERALTE!$Z$22)*(RASANTE!F23-PERALTE!$Z$22)-2),IF(RASANTE!F23&lt;=PERALTE!$AB$22,-2))))),IF(AND(AH!$H$24="Derecha",RASANTE!F23&lt;=PERALTE!$AB$22),IF(RASANTE!F23&lt;=PERALTE!$Q$22,-2,IF(RASANTE!F23&lt;=PERALTE!$U$22,(10/(PERALTE!$U$22-PERALTE!$Q$22)*(RASANTE!F23-PERALTE!$Q$22)-2),IF(RASANTE!F23&lt;=PERALTE!$X$22,8,IF(RASANTE!F23&lt;=PERALTE!$AB$22,(10/(PERALTE!$X$22-PERALTE!$AB$22)*(RASANTE!F23-PERALTE!$AB$22)-2))))),IF(AND(AH!#REF!="Izquierda",RASANTE!F23&lt;=PERALTE!#REF!),IF(RASANTE!F23&lt;=PERALTE!#REF!,-2,IF(RASANTE!F23&lt;=PERALTE!#REF!,(-6/(PERALTE!#REF!-PERALTE!#REF!)*(RASANTE!F23-PERALTE!#REF!)-2),IF(RASANTE!F23&lt;=PERALTE!#REF!,-8,IF(RASANTE!F23&lt;=PERALTE!#REF!,(-6/(PERALTE!#REF!-PERALTE!#REF!)*(RASANTE!F23-PERALTE!#REF!)-2),IF(RASANTE!F23&lt;=PERALTE!#REF!,-2))))),IF(AND(AH!#REF!="Derecha",RASANTE!F23&lt;=PERALTE!#REF!),IF(RASANTE!F23&lt;=PERALTE!#REF!,-2,IF(RASANTE!F23&lt;=PERALTE!#REF!,(10/(PERALTE!#REF!-PERALTE!#REF!)*(RASANTE!F23-PERALTE!#REF!)-2),IF(RASANTE!F23&lt;=PERALTE!#REF!,8,IF(RASANTE!F23&lt;=PERALTE!#REF!,(10/(PERALTE!#REF!-PERALTE!#REF!)*(RASANTE!F23-PERALTE!#REF!)-2))))),IF(AND(AH!#REF!="Izquierda",RASANTE!F23&lt;=PERALTE!$AB$26),IF(RASANTE!F23&lt;=PERALTE!$S$26,-2,IF(RASANTE!F23&lt;=PERALTE!$U$26,(-6/(PERALTE!$U$26-PERALTE!$S$26)*(RASANTE!F23-PERALTE!$S$26)-2),IF(RASANTE!F23&lt;=PERALTE!$X$26,-8,IF(RASANTE!F23&lt;=PERALTE!$Z$26,(-6/(PERALTE!$X$26-PERALTE!$Z$26)*(RASANTE!F23-PERALTE!$Z$26)-2),IF(RASANTE!F23&lt;=PERALTE!$AB$26,-2))))),IF(AND(AH!#REF!="Derecha",RASANTE!F23&lt;=PERALTE!$AB$26),IF(RASANTE!F23&lt;=PERALTE!$Q$26,-2,IF(RASANTE!F23&lt;=PERALTE!$U$26,(10/(PERALTE!$U$26-PERALTE!$Q$26)*(RASANTE!F23-PERALTE!$Q$26)-2),IF(RASANTE!F23&lt;=PERALTE!$X$26,8,IF(RASANTE!F23&lt;=PERALTE!$AB$26,(10/(PERALTE!$X$26-PERALTE!$AB$26)*(RASANTE!F23-PERALTE!$AB$26)-2))))),IF(F23&lt;=PERALTE!#REF!,-2,"Abscisa fuera de la vía")))))))))))))))))))))</f>
        <v>-4.8306002268569888</v>
      </c>
      <c r="I23" s="28">
        <f>+IF(AND(AH!$H$8="Derecha",RASANTE!F23&lt;=PERALTE!$AB$6),IF(RASANTE!F23&lt;=PERALTE!$S$6,-2,IF(RASANTE!F23&lt;=PERALTE!$U$6,(-6/(PERALTE!$U$6-PERALTE!$S$6)*(RASANTE!F23-PERALTE!$S$6)-2),IF(RASANTE!F23&lt;=PERALTE!$X$6,-8,IF(RASANTE!F23&lt;=PERALTE!$Z$6,(-6/(PERALTE!$X$6-PERALTE!$Z$6)*(RASANTE!F23-PERALTE!$Z$6)-2),IF(RASANTE!F23&lt;=PERALTE!$AB$6,-2))))),IF(AND(AH!$H$8="Izquierda",RASANTE!F23&lt;=PERALTE!$AB$6),IF(RASANTE!F23&lt;=PERALTE!$Q$6,-2,IF(RASANTE!F23&lt;=PERALTE!$U$6,(10/(PERALTE!$U$6-PERALTE!$Q$6)*(RASANTE!F23-PERALTE!$Q$6)-2),IF(RASANTE!F23&lt;=PERALTE!$X$6,8,IF(RASANTE!F23&lt;=PERALTE!$AB$6,(10/(PERALTE!$X$6-PERALTE!$AB$6)*(RASANTE!F23-PERALTE!$AB$6)-2))))),IF(AND(AH!$H$10="Derecha",RASANTE!F23&lt;=PERALTE!$AB$8),IF(RASANTE!F23&lt;=PERALTE!$S$8,-2,IF(RASANTE!F23&lt;=PERALTE!$U$8,(-6/(PERALTE!$U$8-PERALTE!$S$8)*(RASANTE!F23-PERALTE!$S$8)-2),IF(RASANTE!F23&lt;=PERALTE!$X$8,-8,IF(RASANTE!F23&lt;=PERALTE!$Z$8,(-6/(PERALTE!$X$8-PERALTE!$Z$8)*(RASANTE!F23-PERALTE!$Z$8)-2),IF(RASANTE!F23&lt;=PERALTE!$AB$8,-2))))),IF(AND(AH!$H$10="Izquierda",RASANTE!F23&lt;=PERALTE!$AB$8),IF(RASANTE!F23&lt;=PERALTE!$Q$8,-2,IF(RASANTE!F23&lt;=PERALTE!$U$8,(10/(PERALTE!$U$8-PERALTE!$Q$8)*(RASANTE!F23-PERALTE!$Q$8)-2),IF(RASANTE!F23&lt;=PERALTE!$X$8,8,IF(RASANTE!F23&lt;=PERALTE!$AB$8,(10/(PERALTE!$X$8-PERALTE!$AB$8)*(RASANTE!F23-PERALTE!$AB$8)-2))))),IF(AND(AH!$H$12="Derecha",RASANTE!F23&lt;=PERALTE!$AB$10),IF(RASANTE!F23&lt;=PERALTE!$S$10,-2,IF(RASANTE!F23&lt;=PERALTE!$U$10,(-6/(PERALTE!$U$10-PERALTE!$S$10)*(RASANTE!F23-PERALTE!$S$10)-2),IF(RASANTE!F23&lt;=PERALTE!$X$10,-8,IF(RASANTE!F23&lt;=PERALTE!$Z$10,(-6/(PERALTE!$X$10-PERALTE!$Z$10)*(RASANTE!F23-PERALTE!$Z$10)-2),IF(RASANTE!F23&lt;=PERALTE!$AB$10,-2))))),IF(AND(AH!$H$12="Izquierda",RASANTE!F23&lt;=PERALTE!$AB$10),IF(RASANTE!F23&lt;=PERALTE!$Q$10,-2,IF(RASANTE!F23&lt;=PERALTE!$U$10,(10/(PERALTE!$U$10-PERALTE!$Q$10)*(RASANTE!F23-PERALTE!$Q$10)-2),IF(RASANTE!F23&lt;=PERALTE!$X$10,8,IF(RASANTE!F23&lt;=PERALTE!$AB$10,(10/(PERALTE!$X$10-PERALTE!$AB$10)*(RASANTE!F23-PERALTE!$AB$10)-2))))),IF(AND(AH!$H$14="Derecha",RASANTE!F23&lt;=PERALTE!$AB$12),IF(RASANTE!F23&lt;=PERALTE!$S$12,-2,IF(RASANTE!F23&lt;=PERALTE!$U$12,(-6/(PERALTE!$U$12-PERALTE!$S$12)*(RASANTE!F23-PERALTE!$S$12)-2),IF(RASANTE!F23&lt;=PERALTE!$X$12,-8,IF(RASANTE!F23&lt;=PERALTE!$Z$12,(-6/(PERALTE!$X$12-PERALTE!$Z$12)*(RASANTE!F23-PERALTE!$Z$12)-2),IF(RASANTE!F23&lt;=PERALTE!$AB$12,-2))))),IF(AND(AH!$H$14="Izquierda",RASANTE!F23&lt;=PERALTE!$AB$12),IF(RASANTE!F23&lt;=PERALTE!$Q$12,-2,IF(RASANTE!F23&lt;=PERALTE!$U$12,(10/(PERALTE!$U$12-PERALTE!$Q$12)*(RASANTE!F23-PERALTE!$Q$12)-2),IF(RASANTE!F23&lt;=PERALTE!$X$12,8,IF(RASANTE!F23&lt;=PERALTE!$AB$12,(10/(PERALTE!$X$12-PERALTE!$AB$12)*(RASANTE!F23-PERALTE!$AB$12)-2))))),IF(AND(AH!$H$16="Derecha",RASANTE!F23&lt;=PERALTE!$AB$14),IF(RASANTE!F23&lt;=PERALTE!$S$14,-2,IF(RASANTE!F23&lt;=PERALTE!$U$14,(-6/(PERALTE!$U$14-PERALTE!$S$14)*(RASANTE!F23-PERALTE!$S$14)-2),IF(RASANTE!F23&lt;=PERALTE!$X$14,-8,IF(RASANTE!F23&lt;=PERALTE!$Z$14,(-6/(PERALTE!$X$14-PERALTE!$Z$14)*(RASANTE!F23-PERALTE!$Z$14)-2),IF(RASANTE!F23&lt;=PERALTE!$AB$14,-2))))),IF(AND(AH!$H$16="Izquierda",RASANTE!F23&lt;=PERALTE!$AB$14),IF(RASANTE!F23&lt;=PERALTE!$Q$14,-2,IF(RASANTE!F23&lt;=PERALTE!$U$14,(10/(PERALTE!$U$14-PERALTE!$Q$14)*(RASANTE!F23-PERALTE!$Q$14)-2),IF(RASANTE!F23&lt;=PERALTE!$X$14,8,IF(RASANTE!F23&lt;=PERALTE!$AB$14,(10/(PERALTE!$X$14-PERALTE!$AB$14)*(RASANTE!F23-PERALTE!$AB$14)-2))))),IF(AND(AH!$H$18="Derecha",RASANTE!F23&lt;=PERALTE!$AB$16),IF(RASANTE!F23&lt;=PERALTE!$S$16,-2,IF(RASANTE!F23&lt;=PERALTE!$U$16,(-6/(PERALTE!$U$16-PERALTE!$S$16)*(RASANTE!F23-PERALTE!$S$16)-2),IF(RASANTE!F23&lt;=PERALTE!$X$16,-8,IF(RASANTE!F23&lt;=PERALTE!$Z$16,(-6/(PERALTE!$X$16-PERALTE!$Z$16)*(RASANTE!F23-PERALTE!$Z$16)-2),IF(RASANTE!F23&lt;=PERALTE!$AB$16,-2))))),IF(AND(AH!$H$18="Izquierda",RASANTE!F23&lt;=PERALTE!$AB$16),IF(RASANTE!F23&lt;=PERALTE!$Q$16,-2,IF(RASANTE!F23&lt;=PERALTE!$U$16,(10/(PERALTE!$U$16-PERALTE!$Q$16)*(RASANTE!F23-PERALTE!$Q$16)-2),IF(RASANTE!F23&lt;=PERALTE!$X$16,8,IF(RASANTE!F23&lt;=PERALTE!$AB$16,(10/(PERALTE!$X$16-PERALTE!$AB$16)*(RASANTE!F23-PERALTE!$AB$16)-2))))),IF(AND(AH!$H$20="Derecha",RASANTE!F23&lt;=PERALTE!$AB$18),IF(RASANTE!F23&lt;=PERALTE!$S$18,-2,IF(RASANTE!F23&lt;=PERALTE!$U$18,(-6/(PERALTE!$U$18-PERALTE!$S$18)*(RASANTE!F23-PERALTE!$S$18)-2),IF(RASANTE!F23&lt;=PERALTE!$X$18,-8,IF(RASANTE!F23&lt;=PERALTE!$Z$18,(-6/(PERALTE!$X$18-PERALTE!$Z$18)*(RASANTE!F23-PERALTE!$Z$18)-2),IF(RASANTE!F23&lt;=PERALTE!$AB$18,-2))))),IF(AND(AH!$H$20="Izquierda",RASANTE!F23&lt;=PERALTE!$AB$18),IF(RASANTE!F23&lt;=PERALTE!$Q$18,-2,IF(RASANTE!F23&lt;=PERALTE!$U$18,(10/(PERALTE!$U$18-PERALTE!$Q$18)*(RASANTE!F23-PERALTE!$Q$18)-2),IF(RASANTE!F23&lt;=PERALTE!$X$18,8,IF(RASANTE!F23&lt;=PERALTE!$AB$18,(10/(PERALTE!$X$18-PERALTE!$AB$18)*(RASANTE!F23-PERALTE!$AB$18)-2))))),IF(AND(AH!$H$24="Derecha",RASANTE!F23&lt;=PERALTE!$AB$22),IF(RASANTE!F23&lt;=PERALTE!$S$22,-2,IF(RASANTE!F23&lt;=PERALTE!$U$22,(-6/(PERALTE!$U$22-PERALTE!$S$22)*(RASANTE!F23-PERALTE!$S$22)-2),IF(RASANTE!F23&lt;=PERALTE!$X$22,-8,IF(RASANTE!F23&lt;=PERALTE!$Z$22,(-6/(PERALTE!$X$22-PERALTE!$Z$22)*(RASANTE!F23-PERALTE!$Z$22)-2),IF(RASANTE!F23&lt;=PERALTE!$AB$22,-2))))),IF(AND(AH!$H$24="Izquierda",RASANTE!F23&lt;=PERALTE!$AB$22),IF(RASANTE!F23&lt;=PERALTE!$Q$22,-2,IF(RASANTE!F23&lt;=PERALTE!$U$22,(10/(PERALTE!$U$22-PERALTE!$Q$22)*(RASANTE!F23-PERALTE!$Q$22)-2),IF(RASANTE!F23&lt;=PERALTE!$X$22,8,IF(RASANTE!F23&lt;=PERALTE!$AB$22,(10/(PERALTE!$X$22-PERALTE!$AB$22)*(RASANTE!F23-PERALTE!$AB$22)-2))))),IF(AND(AH!#REF!="Derecha",RASANTE!F23&lt;=PERALTE!#REF!),IF(RASANTE!F23&lt;=PERALTE!#REF!,-2,IF(RASANTE!F23&lt;=PERALTE!#REF!,(-6/(PERALTE!#REF!-PERALTE!#REF!)*(RASANTE!F23-PERALTE!#REF!)-2),IF(RASANTE!F23&lt;=PERALTE!#REF!,-8,IF(RASANTE!F23&lt;=PERALTE!#REF!,(-6/(PERALTE!#REF!-PERALTE!#REF!)*(RASANTE!F23-PERALTE!#REF!)-2),IF(RASANTE!F23&lt;=PERALTE!#REF!,-2))))),IF(AND(AH!#REF!="Izquierda",RASANTE!F23&lt;=PERALTE!#REF!),IF(RASANTE!F23&lt;=PERALTE!#REF!,-2,IF(RASANTE!F23&lt;=PERALTE!#REF!,(10/(PERALTE!#REF!-PERALTE!#REF!)*(RASANTE!F23-PERALTE!#REF!)-2),IF(RASANTE!F23&lt;=PERALTE!#REF!,8,IF(RASANTE!F23&lt;=PERALTE!#REF!,(10/(PERALTE!#REF!-PERALTE!#REF!)*(RASANTE!F23-PERALTE!#REF!)-2))))),IF(AND(AH!#REF!="Derecha",RASANTE!F23&lt;=PERALTE!$AB$26),IF(RASANTE!F23&lt;=PERALTE!$S$26,-2,IF(RASANTE!F23&lt;=PERALTE!$U$26,(-6/(PERALTE!$U$26-PERALTE!$S$26)*(RASANTE!F23-PERALTE!$S$26)-2),IF(RASANTE!F23&lt;=PERALTE!$X$26,-8,IF(RASANTE!F23&lt;=PERALTE!$Z$26,(-6/(PERALTE!$X$26-PERALTE!$Z$26)*(RASANTE!F23-PERALTE!$Z$26)-2),IF(RASANTE!F23&lt;=PERALTE!$AB$26,-2))))),IF(AND(AH!#REF!="Izquierda",RASANTE!F23&lt;=PERALTE!$AB$26),IF(RASANTE!F23&lt;=PERALTE!$Q$26,-2,IF(RASANTE!F23&lt;=PERALTE!$U$26,(10/(PERALTE!$U$26-PERALTE!$Q$26)*(RASANTE!F23-PERALTE!$Q$26)-2),IF(RASANTE!F23&lt;=PERALTE!$X$26,8,IF(RASANTE!F23&lt;=PERALTE!$AB$26,(10/(PERALTE!$X$26-PERALTE!$AB$26)*(RASANTE!F23-PERALTE!$AB$26)-2))))),IF(F23&lt;=PERALTE!#REF!,-2,"Abscisa fuera de la vía")))))))))))))))))))))</f>
        <v>4.8306002268569879</v>
      </c>
      <c r="J23" s="28">
        <f t="shared" si="1"/>
        <v>1648.7130000000002</v>
      </c>
      <c r="K23" s="356">
        <f>+IF(AND(AV!$S$6&lt;F198,F198&lt;=AV!$T$6),AV!$P$6*((AV!$S$6-RASANTE!F198)/(AV!$N$6))^2,IF(AND(AV!$T$6&lt;RASANTE!F198,F198&lt;AV!$U$6),AV!$P$6*((AV!$U$6-RASANTE!F198)/(AV!$O$6))^2,IF(AND(AV!$S$8&lt;F198,F198&lt;=AV!$T$8),AV!$P$8*((AV!$S$8-RASANTE!F198)/(AV!$N$8))^2,IF(AND(AV!$T$8&lt;RASANTE!F198,F198&lt;AV!$U$8),AV!$P$8*((AV!$U$8-RASANTE!F198)/(AV!$O$8))^2,IF(AND(AV!$S$10&lt;F198,F198&lt;=AV!$T$10),AV!$P$10*((AV!$S$10-RASANTE!F198)/(AV!$N$10))^2,IF(AND(AV!$T$10&lt;RASANTE!F198,F198&lt;AV!$U$10),AV!$P$10*((AV!$U$10-RASANTE!F198)/(AV!$O$10))^2,IF(AND(AV!$S$12&lt;F198,F198&lt;=AV!$T$12),AV!$P$12*((AV!$S$12-RASANTE!F198)/(AV!$N$12))^2,IF(AND(AV!$T$12&lt;RASANTE!F198,F198&lt;AV!$U$12),AV!$P$12*((AV!$U$12-RASANTE!F198)/(AV!$O$12))^2,IF(AND(AV!$S$14&lt;F198,F198&lt;=AV!$T$14),AV!$P$14*((AV!$S$14-RASANTE!F198)/(AV!$N$14))^2,IF(AND(AV!$T$14&lt;RASANTE!F198,F198&lt;AV!$U$14),AV!$P$14*((AV!$U$14-RASANTE!F198)/(AV!$O$14))^2,IF(AND(AV!$S$16&lt;F198,F198&lt;=AV!$T$16),AV!$P$16*((AV!$S$16-RASANTE!F198)/(AV!$N$16))^2,IF(AND(AV!$T$16&lt;RASANTE!F198,F198&lt;AV!$U$16),AV!$P$16*((AV!$U$16-RASANTE!F198)/(AV!$O$16))^2,IF(AND(AV!$S$18&lt;F198,F198&lt;=AV!$T$18),AV!$P$18*((AV!$S$18-RASANTE!F198)/(AV!$N$18))^2,IF(AND(AV!$T$18&lt;RASANTE!F198,F198&lt;AV!$U$18),AV!$P$18*((AV!$U$18-RASANTE!F198)/(AV!$O$18))^2,IF(AND(AV!$S$20&lt;F198,F198&lt;=AV!$T$20),AV!$P$20*((AV!$S$20-RASANTE!F198)/(AV!$N$20))^2,IF(AND(AV!$T$20&lt;RASANTE!F198,F198&lt;AV!$U$20),AV!$P$20*((AV!$U$20-RASANTE!F198)/(AV!$O$20))^2,IF(AND(AV!$S$22&lt;F198,F198&lt;=AV!$T$22),AV!$P$22*((AV!$S$22-RASANTE!F198)/(AV!$N$22))^2,IF(AND(AV!$T$22&lt;RASANTE!F198,F198&lt;AV!$U$22),AV!$P$22*((AV!$U$22-RASANTE!F198)/(AV!$O$22))^2,IF(AND(AV!$S$24&lt;F198,F198&lt;=AV!$T$24),AV!$P$24*((AV!$S$24-RASANTE!F198)/(AV!$N$24))^2,IF(AND(AV!$T$24&lt;RASANTE!F198,F198&lt;AV!$U$24),AV!$P$24*((AV!$U$24-RASANTE!F198)/(AV!$O$24))^2,0))))))))))))))))))))</f>
        <v>0</v>
      </c>
      <c r="L23" s="28">
        <f>+M23+H23%*PERALTE!$C$32</f>
        <v>1648.5439289920603</v>
      </c>
      <c r="M23" s="28">
        <f t="shared" si="2"/>
        <v>1648.7130000000002</v>
      </c>
      <c r="N23" s="28">
        <f>+M23+I23%*PERALTE!$C$32</f>
        <v>1648.8820710079401</v>
      </c>
      <c r="O23" s="92"/>
      <c r="P23" s="84"/>
      <c r="Q23" s="106" t="s">
        <v>167</v>
      </c>
      <c r="R23" s="106" t="s">
        <v>30</v>
      </c>
      <c r="S23" s="90" t="s">
        <v>167</v>
      </c>
      <c r="T23" s="90" t="s">
        <v>110</v>
      </c>
      <c r="U23" s="84"/>
      <c r="V23" s="84"/>
      <c r="W23" s="84"/>
      <c r="X23" s="84"/>
      <c r="Y23" s="84"/>
    </row>
    <row r="24" spans="1:25" ht="15.75" customHeight="1" x14ac:dyDescent="0.2">
      <c r="A24" s="90"/>
      <c r="B24" s="86"/>
      <c r="C24" s="86"/>
      <c r="D24" s="86"/>
      <c r="E24" s="91"/>
      <c r="F24" s="34">
        <v>160</v>
      </c>
      <c r="G24" s="88">
        <f>IF(F24&lt;=AV!$T$6,AV!$C$5,IF(RASANTE!F24&lt;=AV!$T$8,AV!$C$7,IF(RASANTE!F24&lt;=AV!$T$10,AV!$C$9,IF(RASANTE!F24&lt;=AV!$T$12,AV!#REF!,IF(RASANTE!F24&lt;=AV!$T$14,AV!$C$11,IF(RASANTE!F24&lt;=AV!$T$16,AV!$C$13, IF(RASANTE!F24&lt;=AV!$T$18,AV!$C$15,IF(RASANTE!F24&lt;=AV!$T$20,AV!$C$19,IF(RASANTE!F24&lt;=AV!$T$22,AV!$C$21,IF(RASANTE!F24&lt;=AV!$T$24,AV!$C$23,AV!$C$25))))))))))</f>
        <v>3.1419999999999999</v>
      </c>
      <c r="H24" s="28">
        <f>+IF(AND(AH!$H$8="Izquierda",RASANTE!F24&lt;=PERALTE!$AB$6),IF(RASANTE!F24&lt;=PERALTE!$S$6,-2,IF(RASANTE!F24&lt;=PERALTE!$U$6,(-6/(PERALTE!$U$6-PERALTE!$S$6)*(RASANTE!F24-PERALTE!$S$6)-2),IF(RASANTE!F24&lt;=PERALTE!$X$6,-8,IF(RASANTE!F24&lt;=PERALTE!$Z$6,(-6/(PERALTE!$X$6-PERALTE!$Z$6)*(RASANTE!F24-PERALTE!$Z$6)-2),IF(RASANTE!F24&lt;=PERALTE!$AB$6,-2))))),IF(AND(AH!$H$8="Derecha",RASANTE!F24&lt;=PERALTE!$AB$6),IF(RASANTE!F24&lt;=PERALTE!$Q$6,-2,IF(RASANTE!F24&lt;=PERALTE!$U$6,(10/(PERALTE!$U$6-PERALTE!$Q$6)*(RASANTE!F24-PERALTE!$Q$6)-2),IF(RASANTE!F24&lt;=PERALTE!$X$6,8,IF(RASANTE!F24&lt;=PERALTE!$AB$6,(10/(PERALTE!$X$6-PERALTE!$AB$6)*(RASANTE!F24-PERALTE!$AB$6)-2))))),IF(AND(AH!$H$10="Izquierda",RASANTE!F24&lt;=PERALTE!$AB$8),IF(RASANTE!F24&lt;=PERALTE!$S$8,-2,IF(RASANTE!F24&lt;=PERALTE!$U$8,(-6/(PERALTE!$U$8-PERALTE!$S$8)*(RASANTE!F24-PERALTE!$S$8)-2),IF(RASANTE!F24&lt;=PERALTE!$X$8,-8,IF(RASANTE!F24&lt;=PERALTE!$Z$8,(-6/(PERALTE!$X$8-PERALTE!$Z$8)*(RASANTE!F24-PERALTE!$Z$8)-2),IF(RASANTE!F24&lt;=PERALTE!$AB$8,-2))))),IF(AND(AH!$H$10="Derecha",RASANTE!F24&lt;=PERALTE!$AB$8),IF(RASANTE!F24&lt;=PERALTE!$Q$8,-2,IF(RASANTE!F24&lt;=PERALTE!$U$8,(10/(PERALTE!$U$8-PERALTE!$Q$8)*(RASANTE!F24-PERALTE!$Q$8)-2),IF(RASANTE!F24&lt;=PERALTE!$X$8,8,IF(RASANTE!F24&lt;=PERALTE!$AB$8,(10/(PERALTE!$X$8-PERALTE!$AB$8)*(RASANTE!F24-PERALTE!$AB$8)-2))))),IF(AND(AH!$H$12="Izquierda",RASANTE!F24&lt;=PERALTE!$AB$10),IF(RASANTE!F24&lt;=PERALTE!$S$10,-2,IF(RASANTE!F24&lt;=PERALTE!$U$10,(-6/(PERALTE!$U$10-PERALTE!$S$10)*(RASANTE!F24-PERALTE!$S$10)-2),IF(RASANTE!F24&lt;=PERALTE!$X$10,-8,IF(RASANTE!F24&lt;=PERALTE!$Z$10,(-6/(PERALTE!$X$10-PERALTE!$Z$10)*(RASANTE!F24-PERALTE!$Z$10)-2),IF(RASANTE!F24&lt;=PERALTE!$AB$10,-2))))),IF(AND(AH!$H$12="Derecha",RASANTE!F24&lt;=PERALTE!$AB$10),IF(RASANTE!F24&lt;=PERALTE!$Q$10,-2,IF(RASANTE!F24&lt;=PERALTE!$U$10,(10/(PERALTE!$U$10-PERALTE!$Q$10)*(RASANTE!F24-PERALTE!$Q$10)-2),IF(RASANTE!F24&lt;=PERALTE!$X$10,8,IF(RASANTE!F24&lt;=PERALTE!$AB$10,(10/(PERALTE!$X$10-PERALTE!$AB$10)*(RASANTE!F24-PERALTE!$AB$10)-2))))),IF(AND(AH!$H$14="Izquierda",RASANTE!F24&lt;=PERALTE!$AB$12),IF(RASANTE!F24&lt;=PERALTE!$S$12,-2,IF(RASANTE!F24&lt;=PERALTE!$U$12,(-6/(PERALTE!$U$12-PERALTE!$S$12)*(RASANTE!F24-PERALTE!$S$12)-2),IF(RASANTE!F24&lt;=PERALTE!$X$12,-8,IF(RASANTE!F24&lt;=PERALTE!$Z$12,(-6/(PERALTE!$X$12-PERALTE!$Z$12)*(RASANTE!F24-PERALTE!$Z$12)-2),IF(RASANTE!F24&lt;=PERALTE!$AB$12,-2))))),IF(AND(AH!$H$14="Derecha",RASANTE!F24&lt;=PERALTE!$AB$12),IF(RASANTE!F24&lt;=PERALTE!$Q$12,-2,IF(RASANTE!F24&lt;=PERALTE!$U$12,(10/(PERALTE!$U$12-PERALTE!$Q$12)*(RASANTE!F24-PERALTE!$Q$12)-2),IF(RASANTE!F24&lt;=PERALTE!$X$12,8,IF(RASANTE!F24&lt;=PERALTE!$AB$12,(10/(PERALTE!$X$12-PERALTE!$AB$12)*(RASANTE!F24-PERALTE!$AB$12)-2))))),IF(AND(AH!$H$16="Izquierda",RASANTE!F24&lt;=PERALTE!$AB$14),IF(RASANTE!F24&lt;=PERALTE!$S$14,-2,IF(RASANTE!F24&lt;=PERALTE!$U$14,(-6/(PERALTE!$U$14-PERALTE!$S$14)*(RASANTE!F24-PERALTE!$S$14)-2),IF(RASANTE!F24&lt;=PERALTE!$X$14,-8,IF(RASANTE!F24&lt;=PERALTE!$Z$14,(-6/(PERALTE!$X$14-PERALTE!$Z$14)*(RASANTE!F24-PERALTE!$Z$14)-2),IF(RASANTE!F24&lt;=PERALTE!$AB$14,-2))))),IF(AND(AH!$H$16="Derecha",RASANTE!F24&lt;=PERALTE!$AB$14),IF(RASANTE!F24&lt;=PERALTE!$Q$14,-2,IF(RASANTE!F24&lt;=PERALTE!$U$14,(10/(PERALTE!$U$14-PERALTE!$Q$14)*(RASANTE!F24-PERALTE!$Q$14)-2),IF(RASANTE!F24&lt;=PERALTE!$X$14,8,IF(RASANTE!F24&lt;=PERALTE!$AB$14,(10/(PERALTE!$X$14-PERALTE!$AB$14)*(RASANTE!F24-PERALTE!$AB$14)-2))))),IF(AND(AH!$H$18="Izquierda",RASANTE!F24&lt;=PERALTE!$AB$16),IF(RASANTE!F24&lt;=PERALTE!$S$16,-2,IF(RASANTE!F24&lt;=PERALTE!$U$16,(-6/(PERALTE!$U$16-PERALTE!$S$16)*(RASANTE!F24-PERALTE!$S$16)-2),IF(RASANTE!F24&lt;=PERALTE!$X$16,-8,IF(RASANTE!F24&lt;=PERALTE!$Z$16,(-6/(PERALTE!$X$16-PERALTE!$Z$16)*(RASANTE!F24-PERALTE!$Z$16)-2),IF(RASANTE!F24&lt;=PERALTE!$AB$16,-2))))),IF(AND(AH!$H$18="Derecha",RASANTE!F24&lt;=PERALTE!$AB$16),IF(RASANTE!F24&lt;=PERALTE!$Q$16,-2,IF(RASANTE!F24&lt;=PERALTE!$U$16,(10/(PERALTE!$U$16-PERALTE!$Q$16)*(RASANTE!F24-PERALTE!$Q$16)-2),IF(RASANTE!F24&lt;=PERALTE!$X$16,8,IF(RASANTE!F24&lt;=PERALTE!$AB$16,(10/(PERALTE!$X$16-PERALTE!$AB$16)*(RASANTE!F24-PERALTE!$AB$16)-2))))),IF(AND(AH!$H$20="Izquierda",RASANTE!F24&lt;=PERALTE!$AB$18),IF(RASANTE!F24&lt;=PERALTE!$S$18,-2,IF(RASANTE!F24&lt;=PERALTE!$U$18,(-6/(PERALTE!$U$18-PERALTE!$S$18)*(RASANTE!F24-PERALTE!$S$18)-2),IF(RASANTE!F24&lt;=PERALTE!$X$18,-8,IF(RASANTE!F24&lt;=PERALTE!$Z$18,(-6/(PERALTE!$X$18-PERALTE!$Z$18)*(RASANTE!F24-PERALTE!$Z$18)-2),IF(RASANTE!F24&lt;=PERALTE!$AB$18,-2))))),IF(AND(AH!$H$20="Derecha",RASANTE!F24&lt;=PERALTE!$AB$18),IF(RASANTE!F24&lt;=PERALTE!$Q$18,-2,IF(RASANTE!F24&lt;=PERALTE!$U$18,(10/(PERALTE!$U$18-PERALTE!$Q$18)*(RASANTE!F24-PERALTE!$Q$18)-2),IF(RASANTE!F24&lt;=PERALTE!$X$18,8,IF(RASANTE!F24&lt;=PERALTE!$AB$18,(10/(PERALTE!$X$18-PERALTE!$AB$18)*(RASANTE!F24-PERALTE!$AB$18)-2))))),IF(AND(AH!$H$24="Izquierda",RASANTE!F24&lt;=PERALTE!$AB$22),IF(RASANTE!F24&lt;=PERALTE!$S$22,-2,IF(RASANTE!F24&lt;=PERALTE!$U$22,(-6/(PERALTE!$U$22-PERALTE!$S$22)*(RASANTE!F24-PERALTE!$S$22)-2),IF(RASANTE!F24&lt;=PERALTE!$X$22,-8,IF(RASANTE!F24&lt;=PERALTE!$Z$22,(-6/(PERALTE!$X$22-PERALTE!$Z$22)*(RASANTE!F24-PERALTE!$Z$22)-2),IF(RASANTE!F24&lt;=PERALTE!$AB$22,-2))))),IF(AND(AH!$H$24="Derecha",RASANTE!F24&lt;=PERALTE!$AB$22),IF(RASANTE!F24&lt;=PERALTE!$Q$22,-2,IF(RASANTE!F24&lt;=PERALTE!$U$22,(10/(PERALTE!$U$22-PERALTE!$Q$22)*(RASANTE!F24-PERALTE!$Q$22)-2),IF(RASANTE!F24&lt;=PERALTE!$X$22,8,IF(RASANTE!F24&lt;=PERALTE!$AB$22,(10/(PERALTE!$X$22-PERALTE!$AB$22)*(RASANTE!F24-PERALTE!$AB$22)-2))))),IF(AND(AH!#REF!="Izquierda",RASANTE!F24&lt;=PERALTE!#REF!),IF(RASANTE!F24&lt;=PERALTE!#REF!,-2,IF(RASANTE!F24&lt;=PERALTE!#REF!,(-6/(PERALTE!#REF!-PERALTE!#REF!)*(RASANTE!F24-PERALTE!#REF!)-2),IF(RASANTE!F24&lt;=PERALTE!#REF!,-8,IF(RASANTE!F24&lt;=PERALTE!#REF!,(-6/(PERALTE!#REF!-PERALTE!#REF!)*(RASANTE!F24-PERALTE!#REF!)-2),IF(RASANTE!F24&lt;=PERALTE!#REF!,-2))))),IF(AND(AH!#REF!="Derecha",RASANTE!F24&lt;=PERALTE!#REF!),IF(RASANTE!F24&lt;=PERALTE!#REF!,-2,IF(RASANTE!F24&lt;=PERALTE!#REF!,(10/(PERALTE!#REF!-PERALTE!#REF!)*(RASANTE!F24-PERALTE!#REF!)-2),IF(RASANTE!F24&lt;=PERALTE!#REF!,8,IF(RASANTE!F24&lt;=PERALTE!#REF!,(10/(PERALTE!#REF!-PERALTE!#REF!)*(RASANTE!F24-PERALTE!#REF!)-2))))),IF(AND(AH!#REF!="Izquierda",RASANTE!F24&lt;=PERALTE!$AB$26),IF(RASANTE!F24&lt;=PERALTE!$S$26,-2,IF(RASANTE!F24&lt;=PERALTE!$U$26,(-6/(PERALTE!$U$26-PERALTE!$S$26)*(RASANTE!F24-PERALTE!$S$26)-2),IF(RASANTE!F24&lt;=PERALTE!$X$26,-8,IF(RASANTE!F24&lt;=PERALTE!$Z$26,(-6/(PERALTE!$X$26-PERALTE!$Z$26)*(RASANTE!F24-PERALTE!$Z$26)-2),IF(RASANTE!F24&lt;=PERALTE!$AB$26,-2))))),IF(AND(AH!#REF!="Derecha",RASANTE!F24&lt;=PERALTE!$AB$26),IF(RASANTE!F24&lt;=PERALTE!$Q$26,-2,IF(RASANTE!F24&lt;=PERALTE!$U$26,(10/(PERALTE!$U$26-PERALTE!$Q$26)*(RASANTE!F24-PERALTE!$Q$26)-2),IF(RASANTE!F24&lt;=PERALTE!$X$26,8,IF(RASANTE!F24&lt;=PERALTE!$AB$26,(10/(PERALTE!$X$26-PERALTE!$AB$26)*(RASANTE!F24-PERALTE!$AB$26)-2))))),IF(F24&lt;=PERALTE!#REF!,-2,"Abscisa fuera de la vía")))))))))))))))))))))</f>
        <v>-7.5734573697141325</v>
      </c>
      <c r="I24" s="28">
        <f>+IF(AND(AH!$H$8="Derecha",RASANTE!F24&lt;=PERALTE!$AB$6),IF(RASANTE!F24&lt;=PERALTE!$S$6,-2,IF(RASANTE!F24&lt;=PERALTE!$U$6,(-6/(PERALTE!$U$6-PERALTE!$S$6)*(RASANTE!F24-PERALTE!$S$6)-2),IF(RASANTE!F24&lt;=PERALTE!$X$6,-8,IF(RASANTE!F24&lt;=PERALTE!$Z$6,(-6/(PERALTE!$X$6-PERALTE!$Z$6)*(RASANTE!F24-PERALTE!$Z$6)-2),IF(RASANTE!F24&lt;=PERALTE!$AB$6,-2))))),IF(AND(AH!$H$8="Izquierda",RASANTE!F24&lt;=PERALTE!$AB$6),IF(RASANTE!F24&lt;=PERALTE!$Q$6,-2,IF(RASANTE!F24&lt;=PERALTE!$U$6,(10/(PERALTE!$U$6-PERALTE!$Q$6)*(RASANTE!F24-PERALTE!$Q$6)-2),IF(RASANTE!F24&lt;=PERALTE!$X$6,8,IF(RASANTE!F24&lt;=PERALTE!$AB$6,(10/(PERALTE!$X$6-PERALTE!$AB$6)*(RASANTE!F24-PERALTE!$AB$6)-2))))),IF(AND(AH!$H$10="Derecha",RASANTE!F24&lt;=PERALTE!$AB$8),IF(RASANTE!F24&lt;=PERALTE!$S$8,-2,IF(RASANTE!F24&lt;=PERALTE!$U$8,(-6/(PERALTE!$U$8-PERALTE!$S$8)*(RASANTE!F24-PERALTE!$S$8)-2),IF(RASANTE!F24&lt;=PERALTE!$X$8,-8,IF(RASANTE!F24&lt;=PERALTE!$Z$8,(-6/(PERALTE!$X$8-PERALTE!$Z$8)*(RASANTE!F24-PERALTE!$Z$8)-2),IF(RASANTE!F24&lt;=PERALTE!$AB$8,-2))))),IF(AND(AH!$H$10="Izquierda",RASANTE!F24&lt;=PERALTE!$AB$8),IF(RASANTE!F24&lt;=PERALTE!$Q$8,-2,IF(RASANTE!F24&lt;=PERALTE!$U$8,(10/(PERALTE!$U$8-PERALTE!$Q$8)*(RASANTE!F24-PERALTE!$Q$8)-2),IF(RASANTE!F24&lt;=PERALTE!$X$8,8,IF(RASANTE!F24&lt;=PERALTE!$AB$8,(10/(PERALTE!$X$8-PERALTE!$AB$8)*(RASANTE!F24-PERALTE!$AB$8)-2))))),IF(AND(AH!$H$12="Derecha",RASANTE!F24&lt;=PERALTE!$AB$10),IF(RASANTE!F24&lt;=PERALTE!$S$10,-2,IF(RASANTE!F24&lt;=PERALTE!$U$10,(-6/(PERALTE!$U$10-PERALTE!$S$10)*(RASANTE!F24-PERALTE!$S$10)-2),IF(RASANTE!F24&lt;=PERALTE!$X$10,-8,IF(RASANTE!F24&lt;=PERALTE!$Z$10,(-6/(PERALTE!$X$10-PERALTE!$Z$10)*(RASANTE!F24-PERALTE!$Z$10)-2),IF(RASANTE!F24&lt;=PERALTE!$AB$10,-2))))),IF(AND(AH!$H$12="Izquierda",RASANTE!F24&lt;=PERALTE!$AB$10),IF(RASANTE!F24&lt;=PERALTE!$Q$10,-2,IF(RASANTE!F24&lt;=PERALTE!$U$10,(10/(PERALTE!$U$10-PERALTE!$Q$10)*(RASANTE!F24-PERALTE!$Q$10)-2),IF(RASANTE!F24&lt;=PERALTE!$X$10,8,IF(RASANTE!F24&lt;=PERALTE!$AB$10,(10/(PERALTE!$X$10-PERALTE!$AB$10)*(RASANTE!F24-PERALTE!$AB$10)-2))))),IF(AND(AH!$H$14="Derecha",RASANTE!F24&lt;=PERALTE!$AB$12),IF(RASANTE!F24&lt;=PERALTE!$S$12,-2,IF(RASANTE!F24&lt;=PERALTE!$U$12,(-6/(PERALTE!$U$12-PERALTE!$S$12)*(RASANTE!F24-PERALTE!$S$12)-2),IF(RASANTE!F24&lt;=PERALTE!$X$12,-8,IF(RASANTE!F24&lt;=PERALTE!$Z$12,(-6/(PERALTE!$X$12-PERALTE!$Z$12)*(RASANTE!F24-PERALTE!$Z$12)-2),IF(RASANTE!F24&lt;=PERALTE!$AB$12,-2))))),IF(AND(AH!$H$14="Izquierda",RASANTE!F24&lt;=PERALTE!$AB$12),IF(RASANTE!F24&lt;=PERALTE!$Q$12,-2,IF(RASANTE!F24&lt;=PERALTE!$U$12,(10/(PERALTE!$U$12-PERALTE!$Q$12)*(RASANTE!F24-PERALTE!$Q$12)-2),IF(RASANTE!F24&lt;=PERALTE!$X$12,8,IF(RASANTE!F24&lt;=PERALTE!$AB$12,(10/(PERALTE!$X$12-PERALTE!$AB$12)*(RASANTE!F24-PERALTE!$AB$12)-2))))),IF(AND(AH!$H$16="Derecha",RASANTE!F24&lt;=PERALTE!$AB$14),IF(RASANTE!F24&lt;=PERALTE!$S$14,-2,IF(RASANTE!F24&lt;=PERALTE!$U$14,(-6/(PERALTE!$U$14-PERALTE!$S$14)*(RASANTE!F24-PERALTE!$S$14)-2),IF(RASANTE!F24&lt;=PERALTE!$X$14,-8,IF(RASANTE!F24&lt;=PERALTE!$Z$14,(-6/(PERALTE!$X$14-PERALTE!$Z$14)*(RASANTE!F24-PERALTE!$Z$14)-2),IF(RASANTE!F24&lt;=PERALTE!$AB$14,-2))))),IF(AND(AH!$H$16="Izquierda",RASANTE!F24&lt;=PERALTE!$AB$14),IF(RASANTE!F24&lt;=PERALTE!$Q$14,-2,IF(RASANTE!F24&lt;=PERALTE!$U$14,(10/(PERALTE!$U$14-PERALTE!$Q$14)*(RASANTE!F24-PERALTE!$Q$14)-2),IF(RASANTE!F24&lt;=PERALTE!$X$14,8,IF(RASANTE!F24&lt;=PERALTE!$AB$14,(10/(PERALTE!$X$14-PERALTE!$AB$14)*(RASANTE!F24-PERALTE!$AB$14)-2))))),IF(AND(AH!$H$18="Derecha",RASANTE!F24&lt;=PERALTE!$AB$16),IF(RASANTE!F24&lt;=PERALTE!$S$16,-2,IF(RASANTE!F24&lt;=PERALTE!$U$16,(-6/(PERALTE!$U$16-PERALTE!$S$16)*(RASANTE!F24-PERALTE!$S$16)-2),IF(RASANTE!F24&lt;=PERALTE!$X$16,-8,IF(RASANTE!F24&lt;=PERALTE!$Z$16,(-6/(PERALTE!$X$16-PERALTE!$Z$16)*(RASANTE!F24-PERALTE!$Z$16)-2),IF(RASANTE!F24&lt;=PERALTE!$AB$16,-2))))),IF(AND(AH!$H$18="Izquierda",RASANTE!F24&lt;=PERALTE!$AB$16),IF(RASANTE!F24&lt;=PERALTE!$Q$16,-2,IF(RASANTE!F24&lt;=PERALTE!$U$16,(10/(PERALTE!$U$16-PERALTE!$Q$16)*(RASANTE!F24-PERALTE!$Q$16)-2),IF(RASANTE!F24&lt;=PERALTE!$X$16,8,IF(RASANTE!F24&lt;=PERALTE!$AB$16,(10/(PERALTE!$X$16-PERALTE!$AB$16)*(RASANTE!F24-PERALTE!$AB$16)-2))))),IF(AND(AH!$H$20="Derecha",RASANTE!F24&lt;=PERALTE!$AB$18),IF(RASANTE!F24&lt;=PERALTE!$S$18,-2,IF(RASANTE!F24&lt;=PERALTE!$U$18,(-6/(PERALTE!$U$18-PERALTE!$S$18)*(RASANTE!F24-PERALTE!$S$18)-2),IF(RASANTE!F24&lt;=PERALTE!$X$18,-8,IF(RASANTE!F24&lt;=PERALTE!$Z$18,(-6/(PERALTE!$X$18-PERALTE!$Z$18)*(RASANTE!F24-PERALTE!$Z$18)-2),IF(RASANTE!F24&lt;=PERALTE!$AB$18,-2))))),IF(AND(AH!$H$20="Izquierda",RASANTE!F24&lt;=PERALTE!$AB$18),IF(RASANTE!F24&lt;=PERALTE!$Q$18,-2,IF(RASANTE!F24&lt;=PERALTE!$U$18,(10/(PERALTE!$U$18-PERALTE!$Q$18)*(RASANTE!F24-PERALTE!$Q$18)-2),IF(RASANTE!F24&lt;=PERALTE!$X$18,8,IF(RASANTE!F24&lt;=PERALTE!$AB$18,(10/(PERALTE!$X$18-PERALTE!$AB$18)*(RASANTE!F24-PERALTE!$AB$18)-2))))),IF(AND(AH!$H$24="Derecha",RASANTE!F24&lt;=PERALTE!$AB$22),IF(RASANTE!F24&lt;=PERALTE!$S$22,-2,IF(RASANTE!F24&lt;=PERALTE!$U$22,(-6/(PERALTE!$U$22-PERALTE!$S$22)*(RASANTE!F24-PERALTE!$S$22)-2),IF(RASANTE!F24&lt;=PERALTE!$X$22,-8,IF(RASANTE!F24&lt;=PERALTE!$Z$22,(-6/(PERALTE!$X$22-PERALTE!$Z$22)*(RASANTE!F24-PERALTE!$Z$22)-2),IF(RASANTE!F24&lt;=PERALTE!$AB$22,-2))))),IF(AND(AH!$H$24="Izquierda",RASANTE!F24&lt;=PERALTE!$AB$22),IF(RASANTE!F24&lt;=PERALTE!$Q$22,-2,IF(RASANTE!F24&lt;=PERALTE!$U$22,(10/(PERALTE!$U$22-PERALTE!$Q$22)*(RASANTE!F24-PERALTE!$Q$22)-2),IF(RASANTE!F24&lt;=PERALTE!$X$22,8,IF(RASANTE!F24&lt;=PERALTE!$AB$22,(10/(PERALTE!$X$22-PERALTE!$AB$22)*(RASANTE!F24-PERALTE!$AB$22)-2))))),IF(AND(AH!#REF!="Derecha",RASANTE!F24&lt;=PERALTE!#REF!),IF(RASANTE!F24&lt;=PERALTE!#REF!,-2,IF(RASANTE!F24&lt;=PERALTE!#REF!,(-6/(PERALTE!#REF!-PERALTE!#REF!)*(RASANTE!F24-PERALTE!#REF!)-2),IF(RASANTE!F24&lt;=PERALTE!#REF!,-8,IF(RASANTE!F24&lt;=PERALTE!#REF!,(-6/(PERALTE!#REF!-PERALTE!#REF!)*(RASANTE!F24-PERALTE!#REF!)-2),IF(RASANTE!F24&lt;=PERALTE!#REF!,-2))))),IF(AND(AH!#REF!="Izquierda",RASANTE!F24&lt;=PERALTE!#REF!),IF(RASANTE!F24&lt;=PERALTE!#REF!,-2,IF(RASANTE!F24&lt;=PERALTE!#REF!,(10/(PERALTE!#REF!-PERALTE!#REF!)*(RASANTE!F24-PERALTE!#REF!)-2),IF(RASANTE!F24&lt;=PERALTE!#REF!,8,IF(RASANTE!F24&lt;=PERALTE!#REF!,(10/(PERALTE!#REF!-PERALTE!#REF!)*(RASANTE!F24-PERALTE!#REF!)-2))))),IF(AND(AH!#REF!="Derecha",RASANTE!F24&lt;=PERALTE!$AB$26),IF(RASANTE!F24&lt;=PERALTE!$S$26,-2,IF(RASANTE!F24&lt;=PERALTE!$U$26,(-6/(PERALTE!$U$26-PERALTE!$S$26)*(RASANTE!F24-PERALTE!$S$26)-2),IF(RASANTE!F24&lt;=PERALTE!$X$26,-8,IF(RASANTE!F24&lt;=PERALTE!$Z$26,(-6/(PERALTE!$X$26-PERALTE!$Z$26)*(RASANTE!F24-PERALTE!$Z$26)-2),IF(RASANTE!F24&lt;=PERALTE!$AB$26,-2))))),IF(AND(AH!#REF!="Izquierda",RASANTE!F24&lt;=PERALTE!$AB$26),IF(RASANTE!F24&lt;=PERALTE!$Q$26,-2,IF(RASANTE!F24&lt;=PERALTE!$U$26,(10/(PERALTE!$U$26-PERALTE!$Q$26)*(RASANTE!F24-PERALTE!$Q$26)-2),IF(RASANTE!F24&lt;=PERALTE!$X$26,8,IF(RASANTE!F24&lt;=PERALTE!$AB$26,(10/(PERALTE!$X$26-PERALTE!$AB$26)*(RASANTE!F24-PERALTE!$AB$26)-2))))),IF(F24&lt;=PERALTE!#REF!,-2,"Abscisa fuera de la vía")))))))))))))))))))))</f>
        <v>7.5734573697141307</v>
      </c>
      <c r="J24" s="28">
        <f t="shared" si="1"/>
        <v>1649.0272000000002</v>
      </c>
      <c r="K24" s="356">
        <f>+IF(AND(AV!$S$6&lt;F180,F180&lt;=AV!$T$6),AV!$P$6*((AV!$S$6-RASANTE!F180)/(AV!$N$6))^2,IF(AND(AV!$T$6&lt;RASANTE!F180,F180&lt;AV!$U$6),AV!$P$6*((AV!$U$6-RASANTE!F180)/(AV!$O$6))^2,IF(AND(AV!$S$8&lt;F180,F180&lt;=AV!$T$8),AV!$P$8*((AV!$S$8-RASANTE!F180)/(AV!$N$8))^2,IF(AND(AV!$T$8&lt;RASANTE!F180,F180&lt;AV!$U$8),AV!$P$8*((AV!$U$8-RASANTE!F180)/(AV!$O$8))^2,IF(AND(AV!$S$10&lt;F180,F180&lt;=AV!$T$10),AV!$P$10*((AV!$S$10-RASANTE!F180)/(AV!$N$10))^2,IF(AND(AV!$T$10&lt;RASANTE!F180,F180&lt;AV!$U$10),AV!$P$10*((AV!$U$10-RASANTE!F180)/(AV!$O$10))^2,IF(AND(AV!$S$12&lt;F180,F180&lt;=AV!$T$12),AV!$P$12*((AV!$S$12-RASANTE!F180)/(AV!$N$12))^2,IF(AND(AV!$T$12&lt;RASANTE!F180,F180&lt;AV!$U$12),AV!$P$12*((AV!$U$12-RASANTE!F180)/(AV!$O$12))^2,IF(AND(AV!$S$14&lt;F180,F180&lt;=AV!$T$14),AV!$P$14*((AV!$S$14-RASANTE!F180)/(AV!$N$14))^2,IF(AND(AV!$T$14&lt;RASANTE!F180,F180&lt;AV!$U$14),AV!$P$14*((AV!$U$14-RASANTE!F180)/(AV!$O$14))^2,IF(AND(AV!$S$16&lt;F180,F180&lt;=AV!$T$16),AV!$P$16*((AV!$S$16-RASANTE!F180)/(AV!$N$16))^2,IF(AND(AV!$T$16&lt;RASANTE!F180,F180&lt;AV!$U$16),AV!$P$16*((AV!$U$16-RASANTE!F180)/(AV!$O$16))^2,IF(AND(AV!$S$18&lt;F180,F180&lt;=AV!$T$18),AV!$P$18*((AV!$S$18-RASANTE!F180)/(AV!$N$18))^2,IF(AND(AV!$T$18&lt;RASANTE!F180,F180&lt;AV!$U$18),AV!$P$18*((AV!$U$18-RASANTE!F180)/(AV!$O$18))^2,IF(AND(AV!$S$20&lt;F180,F180&lt;=AV!$T$20),AV!$P$20*((AV!$S$20-RASANTE!F180)/(AV!$N$20))^2,IF(AND(AV!$T$20&lt;RASANTE!F180,F180&lt;AV!$U$20),AV!$P$20*((AV!$U$20-RASANTE!F180)/(AV!$O$20))^2,IF(AND(AV!$S$22&lt;F180,F180&lt;=AV!$T$22),AV!$P$22*((AV!$S$22-RASANTE!F180)/(AV!$N$22))^2,IF(AND(AV!$T$22&lt;RASANTE!F180,F180&lt;AV!$U$22),AV!$P$22*((AV!$U$22-RASANTE!F180)/(AV!$O$22))^2,IF(AND(AV!$S$24&lt;F180,F180&lt;=AV!$T$24),AV!$P$24*((AV!$S$24-RASANTE!F180)/(AV!$N$24))^2,IF(AND(AV!$T$24&lt;RASANTE!F180,F180&lt;AV!$U$24),AV!$P$24*((AV!$U$24-RASANTE!F180)/(AV!$O$24))^2,0))))))))))))))))))))</f>
        <v>0</v>
      </c>
      <c r="L24" s="28">
        <f>+M24+H24%*PERALTE!$C$32</f>
        <v>1648.7621289920603</v>
      </c>
      <c r="M24" s="28">
        <f t="shared" si="0"/>
        <v>1649.0272000000002</v>
      </c>
      <c r="N24" s="28">
        <f>+M24+I24%*PERALTE!$C$32</f>
        <v>1649.2922710079401</v>
      </c>
      <c r="O24" s="92"/>
      <c r="P24" s="84"/>
      <c r="Q24" s="108" t="s">
        <v>168</v>
      </c>
      <c r="R24" s="108" t="s">
        <v>169</v>
      </c>
      <c r="S24" s="4" t="s">
        <v>170</v>
      </c>
      <c r="T24" s="4" t="s">
        <v>171</v>
      </c>
      <c r="U24" s="84"/>
      <c r="V24" s="84"/>
      <c r="W24" s="84"/>
      <c r="X24" s="84"/>
      <c r="Y24" s="84"/>
    </row>
    <row r="25" spans="1:25" ht="15.75" customHeight="1" x14ac:dyDescent="0.2">
      <c r="A25" s="90" t="s">
        <v>312</v>
      </c>
      <c r="B25" s="86"/>
      <c r="C25" s="86"/>
      <c r="D25" s="86"/>
      <c r="E25" s="91"/>
      <c r="F25" s="34">
        <f>PERALTE!U6</f>
        <v>161.55510333958389</v>
      </c>
      <c r="G25" s="88">
        <f>IF(F25&lt;=AV!$T$6,AV!$C$5,IF(RASANTE!F25&lt;=AV!$T$8,AV!$C$7,IF(RASANTE!F25&lt;=AV!$T$10,AV!$C$9,IF(RASANTE!F25&lt;=AV!$T$12,AV!#REF!,IF(RASANTE!F25&lt;=AV!$T$14,AV!$C$11,IF(RASANTE!F25&lt;=AV!$T$16,AV!$C$13, IF(RASANTE!F25&lt;=AV!$T$18,AV!$C$15,IF(RASANTE!F25&lt;=AV!$T$20,AV!$C$19,IF(RASANTE!F25&lt;=AV!$T$22,AV!$C$21,IF(RASANTE!F25&lt;=AV!$T$24,AV!$C$23,AV!$C$25))))))))))</f>
        <v>3.1419999999999999</v>
      </c>
      <c r="H25" s="28">
        <f>+IF(AND(AH!$H$8="Izquierda",RASANTE!F25&lt;=PERALTE!$AB$6),IF(RASANTE!F25&lt;=PERALTE!$S$6,-2,IF(RASANTE!F25&lt;=PERALTE!$U$6,(-6/(PERALTE!$U$6-PERALTE!$S$6)*(RASANTE!F25-PERALTE!$S$6)-2),IF(RASANTE!F25&lt;=PERALTE!$X$6,-8,IF(RASANTE!F25&lt;=PERALTE!$Z$6,(-6/(PERALTE!$X$6-PERALTE!$Z$6)*(RASANTE!F25-PERALTE!$Z$6)-2),IF(RASANTE!F25&lt;=PERALTE!$AB$6,-2))))),IF(AND(AH!$H$8="Derecha",RASANTE!F25&lt;=PERALTE!$AB$6),IF(RASANTE!F25&lt;=PERALTE!$Q$6,-2,IF(RASANTE!F25&lt;=PERALTE!$U$6,(10/(PERALTE!$U$6-PERALTE!$Q$6)*(RASANTE!F25-PERALTE!$Q$6)-2),IF(RASANTE!F25&lt;=PERALTE!$X$6,8,IF(RASANTE!F25&lt;=PERALTE!$AB$6,(10/(PERALTE!$X$6-PERALTE!$AB$6)*(RASANTE!F25-PERALTE!$AB$6)-2))))),IF(AND(AH!$H$10="Izquierda",RASANTE!F25&lt;=PERALTE!$AB$8),IF(RASANTE!F25&lt;=PERALTE!$S$8,-2,IF(RASANTE!F25&lt;=PERALTE!$U$8,(-6/(PERALTE!$U$8-PERALTE!$S$8)*(RASANTE!F25-PERALTE!$S$8)-2),IF(RASANTE!F25&lt;=PERALTE!$X$8,-8,IF(RASANTE!F25&lt;=PERALTE!$Z$8,(-6/(PERALTE!$X$8-PERALTE!$Z$8)*(RASANTE!F25-PERALTE!$Z$8)-2),IF(RASANTE!F25&lt;=PERALTE!$AB$8,-2))))),IF(AND(AH!$H$10="Derecha",RASANTE!F25&lt;=PERALTE!$AB$8),IF(RASANTE!F25&lt;=PERALTE!$Q$8,-2,IF(RASANTE!F25&lt;=PERALTE!$U$8,(10/(PERALTE!$U$8-PERALTE!$Q$8)*(RASANTE!F25-PERALTE!$Q$8)-2),IF(RASANTE!F25&lt;=PERALTE!$X$8,8,IF(RASANTE!F25&lt;=PERALTE!$AB$8,(10/(PERALTE!$X$8-PERALTE!$AB$8)*(RASANTE!F25-PERALTE!$AB$8)-2))))),IF(AND(AH!$H$12="Izquierda",RASANTE!F25&lt;=PERALTE!$AB$10),IF(RASANTE!F25&lt;=PERALTE!$S$10,-2,IF(RASANTE!F25&lt;=PERALTE!$U$10,(-6/(PERALTE!$U$10-PERALTE!$S$10)*(RASANTE!F25-PERALTE!$S$10)-2),IF(RASANTE!F25&lt;=PERALTE!$X$10,-8,IF(RASANTE!F25&lt;=PERALTE!$Z$10,(-6/(PERALTE!$X$10-PERALTE!$Z$10)*(RASANTE!F25-PERALTE!$Z$10)-2),IF(RASANTE!F25&lt;=PERALTE!$AB$10,-2))))),IF(AND(AH!$H$12="Derecha",RASANTE!F25&lt;=PERALTE!$AB$10),IF(RASANTE!F25&lt;=PERALTE!$Q$10,-2,IF(RASANTE!F25&lt;=PERALTE!$U$10,(10/(PERALTE!$U$10-PERALTE!$Q$10)*(RASANTE!F25-PERALTE!$Q$10)-2),IF(RASANTE!F25&lt;=PERALTE!$X$10,8,IF(RASANTE!F25&lt;=PERALTE!$AB$10,(10/(PERALTE!$X$10-PERALTE!$AB$10)*(RASANTE!F25-PERALTE!$AB$10)-2))))),IF(AND(AH!$H$14="Izquierda",RASANTE!F25&lt;=PERALTE!$AB$12),IF(RASANTE!F25&lt;=PERALTE!$S$12,-2,IF(RASANTE!F25&lt;=PERALTE!$U$12,(-6/(PERALTE!$U$12-PERALTE!$S$12)*(RASANTE!F25-PERALTE!$S$12)-2),IF(RASANTE!F25&lt;=PERALTE!$X$12,-8,IF(RASANTE!F25&lt;=PERALTE!$Z$12,(-6/(PERALTE!$X$12-PERALTE!$Z$12)*(RASANTE!F25-PERALTE!$Z$12)-2),IF(RASANTE!F25&lt;=PERALTE!$AB$12,-2))))),IF(AND(AH!$H$14="Derecha",RASANTE!F25&lt;=PERALTE!$AB$12),IF(RASANTE!F25&lt;=PERALTE!$Q$12,-2,IF(RASANTE!F25&lt;=PERALTE!$U$12,(10/(PERALTE!$U$12-PERALTE!$Q$12)*(RASANTE!F25-PERALTE!$Q$12)-2),IF(RASANTE!F25&lt;=PERALTE!$X$12,8,IF(RASANTE!F25&lt;=PERALTE!$AB$12,(10/(PERALTE!$X$12-PERALTE!$AB$12)*(RASANTE!F25-PERALTE!$AB$12)-2))))),IF(AND(AH!$H$16="Izquierda",RASANTE!F25&lt;=PERALTE!$AB$14),IF(RASANTE!F25&lt;=PERALTE!$S$14,-2,IF(RASANTE!F25&lt;=PERALTE!$U$14,(-6/(PERALTE!$U$14-PERALTE!$S$14)*(RASANTE!F25-PERALTE!$S$14)-2),IF(RASANTE!F25&lt;=PERALTE!$X$14,-8,IF(RASANTE!F25&lt;=PERALTE!$Z$14,(-6/(PERALTE!$X$14-PERALTE!$Z$14)*(RASANTE!F25-PERALTE!$Z$14)-2),IF(RASANTE!F25&lt;=PERALTE!$AB$14,-2))))),IF(AND(AH!$H$16="Derecha",RASANTE!F25&lt;=PERALTE!$AB$14),IF(RASANTE!F25&lt;=PERALTE!$Q$14,-2,IF(RASANTE!F25&lt;=PERALTE!$U$14,(10/(PERALTE!$U$14-PERALTE!$Q$14)*(RASANTE!F25-PERALTE!$Q$14)-2),IF(RASANTE!F25&lt;=PERALTE!$X$14,8,IF(RASANTE!F25&lt;=PERALTE!$AB$14,(10/(PERALTE!$X$14-PERALTE!$AB$14)*(RASANTE!F25-PERALTE!$AB$14)-2))))),IF(AND(AH!$H$18="Izquierda",RASANTE!F25&lt;=PERALTE!$AB$16),IF(RASANTE!F25&lt;=PERALTE!$S$16,-2,IF(RASANTE!F25&lt;=PERALTE!$U$16,(-6/(PERALTE!$U$16-PERALTE!$S$16)*(RASANTE!F25-PERALTE!$S$16)-2),IF(RASANTE!F25&lt;=PERALTE!$X$16,-8,IF(RASANTE!F25&lt;=PERALTE!$Z$16,(-6/(PERALTE!$X$16-PERALTE!$Z$16)*(RASANTE!F25-PERALTE!$Z$16)-2),IF(RASANTE!F25&lt;=PERALTE!$AB$16,-2))))),IF(AND(AH!$H$18="Derecha",RASANTE!F25&lt;=PERALTE!$AB$16),IF(RASANTE!F25&lt;=PERALTE!$Q$16,-2,IF(RASANTE!F25&lt;=PERALTE!$U$16,(10/(PERALTE!$U$16-PERALTE!$Q$16)*(RASANTE!F25-PERALTE!$Q$16)-2),IF(RASANTE!F25&lt;=PERALTE!$X$16,8,IF(RASANTE!F25&lt;=PERALTE!$AB$16,(10/(PERALTE!$X$16-PERALTE!$AB$16)*(RASANTE!F25-PERALTE!$AB$16)-2))))),IF(AND(AH!$H$20="Izquierda",RASANTE!F25&lt;=PERALTE!$AB$18),IF(RASANTE!F25&lt;=PERALTE!$S$18,-2,IF(RASANTE!F25&lt;=PERALTE!$U$18,(-6/(PERALTE!$U$18-PERALTE!$S$18)*(RASANTE!F25-PERALTE!$S$18)-2),IF(RASANTE!F25&lt;=PERALTE!$X$18,-8,IF(RASANTE!F25&lt;=PERALTE!$Z$18,(-6/(PERALTE!$X$18-PERALTE!$Z$18)*(RASANTE!F25-PERALTE!$Z$18)-2),IF(RASANTE!F25&lt;=PERALTE!$AB$18,-2))))),IF(AND(AH!$H$20="Derecha",RASANTE!F25&lt;=PERALTE!$AB$18),IF(RASANTE!F25&lt;=PERALTE!$Q$18,-2,IF(RASANTE!F25&lt;=PERALTE!$U$18,(10/(PERALTE!$U$18-PERALTE!$Q$18)*(RASANTE!F25-PERALTE!$Q$18)-2),IF(RASANTE!F25&lt;=PERALTE!$X$18,8,IF(RASANTE!F25&lt;=PERALTE!$AB$18,(10/(PERALTE!$X$18-PERALTE!$AB$18)*(RASANTE!F25-PERALTE!$AB$18)-2))))),IF(AND(AH!$H$24="Izquierda",RASANTE!F25&lt;=PERALTE!$AB$22),IF(RASANTE!F25&lt;=PERALTE!$S$22,-2,IF(RASANTE!F25&lt;=PERALTE!$U$22,(-6/(PERALTE!$U$22-PERALTE!$S$22)*(RASANTE!F25-PERALTE!$S$22)-2),IF(RASANTE!F25&lt;=PERALTE!$X$22,-8,IF(RASANTE!F25&lt;=PERALTE!$Z$22,(-6/(PERALTE!$X$22-PERALTE!$Z$22)*(RASANTE!F25-PERALTE!$Z$22)-2),IF(RASANTE!F25&lt;=PERALTE!$AB$22,-2))))),IF(AND(AH!$H$24="Derecha",RASANTE!F25&lt;=PERALTE!$AB$22),IF(RASANTE!F25&lt;=PERALTE!$Q$22,-2,IF(RASANTE!F25&lt;=PERALTE!$U$22,(10/(PERALTE!$U$22-PERALTE!$Q$22)*(RASANTE!F25-PERALTE!$Q$22)-2),IF(RASANTE!F25&lt;=PERALTE!$X$22,8,IF(RASANTE!F25&lt;=PERALTE!$AB$22,(10/(PERALTE!$X$22-PERALTE!$AB$22)*(RASANTE!F25-PERALTE!$AB$22)-2))))),IF(AND(AH!#REF!="Izquierda",RASANTE!F25&lt;=PERALTE!#REF!),IF(RASANTE!F25&lt;=PERALTE!#REF!,-2,IF(RASANTE!F25&lt;=PERALTE!#REF!,(-6/(PERALTE!#REF!-PERALTE!#REF!)*(RASANTE!F25-PERALTE!#REF!)-2),IF(RASANTE!F25&lt;=PERALTE!#REF!,-8,IF(RASANTE!F25&lt;=PERALTE!#REF!,(-6/(PERALTE!#REF!-PERALTE!#REF!)*(RASANTE!F25-PERALTE!#REF!)-2),IF(RASANTE!F25&lt;=PERALTE!#REF!,-2))))),IF(AND(AH!#REF!="Derecha",RASANTE!F25&lt;=PERALTE!#REF!),IF(RASANTE!F25&lt;=PERALTE!#REF!,-2,IF(RASANTE!F25&lt;=PERALTE!#REF!,(10/(PERALTE!#REF!-PERALTE!#REF!)*(RASANTE!F25-PERALTE!#REF!)-2),IF(RASANTE!F25&lt;=PERALTE!#REF!,8,IF(RASANTE!F25&lt;=PERALTE!#REF!,(10/(PERALTE!#REF!-PERALTE!#REF!)*(RASANTE!F25-PERALTE!#REF!)-2))))),IF(AND(AH!#REF!="Izquierda",RASANTE!F25&lt;=PERALTE!$AB$26),IF(RASANTE!F25&lt;=PERALTE!$S$26,-2,IF(RASANTE!F25&lt;=PERALTE!$U$26,(-6/(PERALTE!$U$26-PERALTE!$S$26)*(RASANTE!F25-PERALTE!$S$26)-2),IF(RASANTE!F25&lt;=PERALTE!$X$26,-8,IF(RASANTE!F25&lt;=PERALTE!$Z$26,(-6/(PERALTE!$X$26-PERALTE!$Z$26)*(RASANTE!F25-PERALTE!$Z$26)-2),IF(RASANTE!F25&lt;=PERALTE!$AB$26,-2))))),IF(AND(AH!#REF!="Derecha",RASANTE!F25&lt;=PERALTE!$AB$26),IF(RASANTE!F25&lt;=PERALTE!$Q$26,-2,IF(RASANTE!F25&lt;=PERALTE!$U$26,(10/(PERALTE!$U$26-PERALTE!$Q$26)*(RASANTE!F25-PERALTE!$Q$26)-2),IF(RASANTE!F25&lt;=PERALTE!$X$26,8,IF(RASANTE!F25&lt;=PERALTE!$AB$26,(10/(PERALTE!$X$26-PERALTE!$AB$26)*(RASANTE!F25-PERALTE!$AB$26)-2))))),IF(F25&lt;=PERALTE!#REF!,-2,"Abscisa fuera de la vía")))))))))))))))))))))</f>
        <v>-8</v>
      </c>
      <c r="I25" s="28">
        <f>+IF(AND(AH!$H$8="Derecha",RASANTE!F25&lt;=PERALTE!$AB$6),IF(RASANTE!F25&lt;=PERALTE!$S$6,-2,IF(RASANTE!F25&lt;=PERALTE!$U$6,(-6/(PERALTE!$U$6-PERALTE!$S$6)*(RASANTE!F25-PERALTE!$S$6)-2),IF(RASANTE!F25&lt;=PERALTE!$X$6,-8,IF(RASANTE!F25&lt;=PERALTE!$Z$6,(-6/(PERALTE!$X$6-PERALTE!$Z$6)*(RASANTE!F25-PERALTE!$Z$6)-2),IF(RASANTE!F25&lt;=PERALTE!$AB$6,-2))))),IF(AND(AH!$H$8="Izquierda",RASANTE!F25&lt;=PERALTE!$AB$6),IF(RASANTE!F25&lt;=PERALTE!$Q$6,-2,IF(RASANTE!F25&lt;=PERALTE!$U$6,(10/(PERALTE!$U$6-PERALTE!$Q$6)*(RASANTE!F25-PERALTE!$Q$6)-2),IF(RASANTE!F25&lt;=PERALTE!$X$6,8,IF(RASANTE!F25&lt;=PERALTE!$AB$6,(10/(PERALTE!$X$6-PERALTE!$AB$6)*(RASANTE!F25-PERALTE!$AB$6)-2))))),IF(AND(AH!$H$10="Derecha",RASANTE!F25&lt;=PERALTE!$AB$8),IF(RASANTE!F25&lt;=PERALTE!$S$8,-2,IF(RASANTE!F25&lt;=PERALTE!$U$8,(-6/(PERALTE!$U$8-PERALTE!$S$8)*(RASANTE!F25-PERALTE!$S$8)-2),IF(RASANTE!F25&lt;=PERALTE!$X$8,-8,IF(RASANTE!F25&lt;=PERALTE!$Z$8,(-6/(PERALTE!$X$8-PERALTE!$Z$8)*(RASANTE!F25-PERALTE!$Z$8)-2),IF(RASANTE!F25&lt;=PERALTE!$AB$8,-2))))),IF(AND(AH!$H$10="Izquierda",RASANTE!F25&lt;=PERALTE!$AB$8),IF(RASANTE!F25&lt;=PERALTE!$Q$8,-2,IF(RASANTE!F25&lt;=PERALTE!$U$8,(10/(PERALTE!$U$8-PERALTE!$Q$8)*(RASANTE!F25-PERALTE!$Q$8)-2),IF(RASANTE!F25&lt;=PERALTE!$X$8,8,IF(RASANTE!F25&lt;=PERALTE!$AB$8,(10/(PERALTE!$X$8-PERALTE!$AB$8)*(RASANTE!F25-PERALTE!$AB$8)-2))))),IF(AND(AH!$H$12="Derecha",RASANTE!F25&lt;=PERALTE!$AB$10),IF(RASANTE!F25&lt;=PERALTE!$S$10,-2,IF(RASANTE!F25&lt;=PERALTE!$U$10,(-6/(PERALTE!$U$10-PERALTE!$S$10)*(RASANTE!F25-PERALTE!$S$10)-2),IF(RASANTE!F25&lt;=PERALTE!$X$10,-8,IF(RASANTE!F25&lt;=PERALTE!$Z$10,(-6/(PERALTE!$X$10-PERALTE!$Z$10)*(RASANTE!F25-PERALTE!$Z$10)-2),IF(RASANTE!F25&lt;=PERALTE!$AB$10,-2))))),IF(AND(AH!$H$12="Izquierda",RASANTE!F25&lt;=PERALTE!$AB$10),IF(RASANTE!F25&lt;=PERALTE!$Q$10,-2,IF(RASANTE!F25&lt;=PERALTE!$U$10,(10/(PERALTE!$U$10-PERALTE!$Q$10)*(RASANTE!F25-PERALTE!$Q$10)-2),IF(RASANTE!F25&lt;=PERALTE!$X$10,8,IF(RASANTE!F25&lt;=PERALTE!$AB$10,(10/(PERALTE!$X$10-PERALTE!$AB$10)*(RASANTE!F25-PERALTE!$AB$10)-2))))),IF(AND(AH!$H$14="Derecha",RASANTE!F25&lt;=PERALTE!$AB$12),IF(RASANTE!F25&lt;=PERALTE!$S$12,-2,IF(RASANTE!F25&lt;=PERALTE!$U$12,(-6/(PERALTE!$U$12-PERALTE!$S$12)*(RASANTE!F25-PERALTE!$S$12)-2),IF(RASANTE!F25&lt;=PERALTE!$X$12,-8,IF(RASANTE!F25&lt;=PERALTE!$Z$12,(-6/(PERALTE!$X$12-PERALTE!$Z$12)*(RASANTE!F25-PERALTE!$Z$12)-2),IF(RASANTE!F25&lt;=PERALTE!$AB$12,-2))))),IF(AND(AH!$H$14="Izquierda",RASANTE!F25&lt;=PERALTE!$AB$12),IF(RASANTE!F25&lt;=PERALTE!$Q$12,-2,IF(RASANTE!F25&lt;=PERALTE!$U$12,(10/(PERALTE!$U$12-PERALTE!$Q$12)*(RASANTE!F25-PERALTE!$Q$12)-2),IF(RASANTE!F25&lt;=PERALTE!$X$12,8,IF(RASANTE!F25&lt;=PERALTE!$AB$12,(10/(PERALTE!$X$12-PERALTE!$AB$12)*(RASANTE!F25-PERALTE!$AB$12)-2))))),IF(AND(AH!$H$16="Derecha",RASANTE!F25&lt;=PERALTE!$AB$14),IF(RASANTE!F25&lt;=PERALTE!$S$14,-2,IF(RASANTE!F25&lt;=PERALTE!$U$14,(-6/(PERALTE!$U$14-PERALTE!$S$14)*(RASANTE!F25-PERALTE!$S$14)-2),IF(RASANTE!F25&lt;=PERALTE!$X$14,-8,IF(RASANTE!F25&lt;=PERALTE!$Z$14,(-6/(PERALTE!$X$14-PERALTE!$Z$14)*(RASANTE!F25-PERALTE!$Z$14)-2),IF(RASANTE!F25&lt;=PERALTE!$AB$14,-2))))),IF(AND(AH!$H$16="Izquierda",RASANTE!F25&lt;=PERALTE!$AB$14),IF(RASANTE!F25&lt;=PERALTE!$Q$14,-2,IF(RASANTE!F25&lt;=PERALTE!$U$14,(10/(PERALTE!$U$14-PERALTE!$Q$14)*(RASANTE!F25-PERALTE!$Q$14)-2),IF(RASANTE!F25&lt;=PERALTE!$X$14,8,IF(RASANTE!F25&lt;=PERALTE!$AB$14,(10/(PERALTE!$X$14-PERALTE!$AB$14)*(RASANTE!F25-PERALTE!$AB$14)-2))))),IF(AND(AH!$H$18="Derecha",RASANTE!F25&lt;=PERALTE!$AB$16),IF(RASANTE!F25&lt;=PERALTE!$S$16,-2,IF(RASANTE!F25&lt;=PERALTE!$U$16,(-6/(PERALTE!$U$16-PERALTE!$S$16)*(RASANTE!F25-PERALTE!$S$16)-2),IF(RASANTE!F25&lt;=PERALTE!$X$16,-8,IF(RASANTE!F25&lt;=PERALTE!$Z$16,(-6/(PERALTE!$X$16-PERALTE!$Z$16)*(RASANTE!F25-PERALTE!$Z$16)-2),IF(RASANTE!F25&lt;=PERALTE!$AB$16,-2))))),IF(AND(AH!$H$18="Izquierda",RASANTE!F25&lt;=PERALTE!$AB$16),IF(RASANTE!F25&lt;=PERALTE!$Q$16,-2,IF(RASANTE!F25&lt;=PERALTE!$U$16,(10/(PERALTE!$U$16-PERALTE!$Q$16)*(RASANTE!F25-PERALTE!$Q$16)-2),IF(RASANTE!F25&lt;=PERALTE!$X$16,8,IF(RASANTE!F25&lt;=PERALTE!$AB$16,(10/(PERALTE!$X$16-PERALTE!$AB$16)*(RASANTE!F25-PERALTE!$AB$16)-2))))),IF(AND(AH!$H$20="Derecha",RASANTE!F25&lt;=PERALTE!$AB$18),IF(RASANTE!F25&lt;=PERALTE!$S$18,-2,IF(RASANTE!F25&lt;=PERALTE!$U$18,(-6/(PERALTE!$U$18-PERALTE!$S$18)*(RASANTE!F25-PERALTE!$S$18)-2),IF(RASANTE!F25&lt;=PERALTE!$X$18,-8,IF(RASANTE!F25&lt;=PERALTE!$Z$18,(-6/(PERALTE!$X$18-PERALTE!$Z$18)*(RASANTE!F25-PERALTE!$Z$18)-2),IF(RASANTE!F25&lt;=PERALTE!$AB$18,-2))))),IF(AND(AH!$H$20="Izquierda",RASANTE!F25&lt;=PERALTE!$AB$18),IF(RASANTE!F25&lt;=PERALTE!$Q$18,-2,IF(RASANTE!F25&lt;=PERALTE!$U$18,(10/(PERALTE!$U$18-PERALTE!$Q$18)*(RASANTE!F25-PERALTE!$Q$18)-2),IF(RASANTE!F25&lt;=PERALTE!$X$18,8,IF(RASANTE!F25&lt;=PERALTE!$AB$18,(10/(PERALTE!$X$18-PERALTE!$AB$18)*(RASANTE!F25-PERALTE!$AB$18)-2))))),IF(AND(AH!$H$24="Derecha",RASANTE!F25&lt;=PERALTE!$AB$22),IF(RASANTE!F25&lt;=PERALTE!$S$22,-2,IF(RASANTE!F25&lt;=PERALTE!$U$22,(-6/(PERALTE!$U$22-PERALTE!$S$22)*(RASANTE!F25-PERALTE!$S$22)-2),IF(RASANTE!F25&lt;=PERALTE!$X$22,-8,IF(RASANTE!F25&lt;=PERALTE!$Z$22,(-6/(PERALTE!$X$22-PERALTE!$Z$22)*(RASANTE!F25-PERALTE!$Z$22)-2),IF(RASANTE!F25&lt;=PERALTE!$AB$22,-2))))),IF(AND(AH!$H$24="Izquierda",RASANTE!F25&lt;=PERALTE!$AB$22),IF(RASANTE!F25&lt;=PERALTE!$Q$22,-2,IF(RASANTE!F25&lt;=PERALTE!$U$22,(10/(PERALTE!$U$22-PERALTE!$Q$22)*(RASANTE!F25-PERALTE!$Q$22)-2),IF(RASANTE!F25&lt;=PERALTE!$X$22,8,IF(RASANTE!F25&lt;=PERALTE!$AB$22,(10/(PERALTE!$X$22-PERALTE!$AB$22)*(RASANTE!F25-PERALTE!$AB$22)-2))))),IF(AND(AH!#REF!="Derecha",RASANTE!F25&lt;=PERALTE!#REF!),IF(RASANTE!F25&lt;=PERALTE!#REF!,-2,IF(RASANTE!F25&lt;=PERALTE!#REF!,(-6/(PERALTE!#REF!-PERALTE!#REF!)*(RASANTE!F25-PERALTE!#REF!)-2),IF(RASANTE!F25&lt;=PERALTE!#REF!,-8,IF(RASANTE!F25&lt;=PERALTE!#REF!,(-6/(PERALTE!#REF!-PERALTE!#REF!)*(RASANTE!F25-PERALTE!#REF!)-2),IF(RASANTE!F25&lt;=PERALTE!#REF!,-2))))),IF(AND(AH!#REF!="Izquierda",RASANTE!F25&lt;=PERALTE!#REF!),IF(RASANTE!F25&lt;=PERALTE!#REF!,-2,IF(RASANTE!F25&lt;=PERALTE!#REF!,(10/(PERALTE!#REF!-PERALTE!#REF!)*(RASANTE!F25-PERALTE!#REF!)-2),IF(RASANTE!F25&lt;=PERALTE!#REF!,8,IF(RASANTE!F25&lt;=PERALTE!#REF!,(10/(PERALTE!#REF!-PERALTE!#REF!)*(RASANTE!F25-PERALTE!#REF!)-2))))),IF(AND(AH!#REF!="Derecha",RASANTE!F25&lt;=PERALTE!$AB$26),IF(RASANTE!F25&lt;=PERALTE!$S$26,-2,IF(RASANTE!F25&lt;=PERALTE!$U$26,(-6/(PERALTE!$U$26-PERALTE!$S$26)*(RASANTE!F25-PERALTE!$S$26)-2),IF(RASANTE!F25&lt;=PERALTE!$X$26,-8,IF(RASANTE!F25&lt;=PERALTE!$Z$26,(-6/(PERALTE!$X$26-PERALTE!$Z$26)*(RASANTE!F25-PERALTE!$Z$26)-2),IF(RASANTE!F25&lt;=PERALTE!$AB$26,-2))))),IF(AND(AH!#REF!="Izquierda",RASANTE!F25&lt;=PERALTE!$AB$26),IF(RASANTE!F25&lt;=PERALTE!$Q$26,-2,IF(RASANTE!F25&lt;=PERALTE!$U$26,(10/(PERALTE!$U$26-PERALTE!$Q$26)*(RASANTE!F25-PERALTE!$Q$26)-2),IF(RASANTE!F25&lt;=PERALTE!$X$26,8,IF(RASANTE!F25&lt;=PERALTE!$AB$26,(10/(PERALTE!$X$26-PERALTE!$AB$26)*(RASANTE!F25-PERALTE!$AB$26)-2))))),IF(F25&lt;=PERALTE!#REF!,-2,"Abscisa fuera de la vía")))))))))))))))))))))</f>
        <v>8</v>
      </c>
      <c r="J25" s="28">
        <f t="shared" si="1"/>
        <v>1649.0760613469299</v>
      </c>
      <c r="K25" s="356">
        <f>+IF(AND(AV!$S$6&lt;F181,F181&lt;=AV!$T$6),AV!$P$6*((AV!$S$6-RASANTE!F181)/(AV!$N$6))^2,IF(AND(AV!$T$6&lt;RASANTE!F181,F181&lt;AV!$U$6),AV!$P$6*((AV!$U$6-RASANTE!F181)/(AV!$O$6))^2,IF(AND(AV!$S$8&lt;F181,F181&lt;=AV!$T$8),AV!$P$8*((AV!$S$8-RASANTE!F181)/(AV!$N$8))^2,IF(AND(AV!$T$8&lt;RASANTE!F181,F181&lt;AV!$U$8),AV!$P$8*((AV!$U$8-RASANTE!F181)/(AV!$O$8))^2,IF(AND(AV!$S$10&lt;F181,F181&lt;=AV!$T$10),AV!$P$10*((AV!$S$10-RASANTE!F181)/(AV!$N$10))^2,IF(AND(AV!$T$10&lt;RASANTE!F181,F181&lt;AV!$U$10),AV!$P$10*((AV!$U$10-RASANTE!F181)/(AV!$O$10))^2,IF(AND(AV!$S$12&lt;F181,F181&lt;=AV!$T$12),AV!$P$12*((AV!$S$12-RASANTE!F181)/(AV!$N$12))^2,IF(AND(AV!$T$12&lt;RASANTE!F181,F181&lt;AV!$U$12),AV!$P$12*((AV!$U$12-RASANTE!F181)/(AV!$O$12))^2,IF(AND(AV!$S$14&lt;F181,F181&lt;=AV!$T$14),AV!$P$14*((AV!$S$14-RASANTE!F181)/(AV!$N$14))^2,IF(AND(AV!$T$14&lt;RASANTE!F181,F181&lt;AV!$U$14),AV!$P$14*((AV!$U$14-RASANTE!F181)/(AV!$O$14))^2,IF(AND(AV!$S$16&lt;F181,F181&lt;=AV!$T$16),AV!$P$16*((AV!$S$16-RASANTE!F181)/(AV!$N$16))^2,IF(AND(AV!$T$16&lt;RASANTE!F181,F181&lt;AV!$U$16),AV!$P$16*((AV!$U$16-RASANTE!F181)/(AV!$O$16))^2,IF(AND(AV!$S$18&lt;F181,F181&lt;=AV!$T$18),AV!$P$18*((AV!$S$18-RASANTE!F181)/(AV!$N$18))^2,IF(AND(AV!$T$18&lt;RASANTE!F181,F181&lt;AV!$U$18),AV!$P$18*((AV!$U$18-RASANTE!F181)/(AV!$O$18))^2,IF(AND(AV!$S$20&lt;F181,F181&lt;=AV!$T$20),AV!$P$20*((AV!$S$20-RASANTE!F181)/(AV!$N$20))^2,IF(AND(AV!$T$20&lt;RASANTE!F181,F181&lt;AV!$U$20),AV!$P$20*((AV!$U$20-RASANTE!F181)/(AV!$O$20))^2,IF(AND(AV!$S$22&lt;F181,F181&lt;=AV!$T$22),AV!$P$22*((AV!$S$22-RASANTE!F181)/(AV!$N$22))^2,IF(AND(AV!$T$22&lt;RASANTE!F181,F181&lt;AV!$U$22),AV!$P$22*((AV!$U$22-RASANTE!F181)/(AV!$O$22))^2,IF(AND(AV!$S$24&lt;F181,F181&lt;=AV!$T$24),AV!$P$24*((AV!$S$24-RASANTE!F181)/(AV!$N$24))^2,IF(AND(AV!$T$24&lt;RASANTE!F181,F181&lt;AV!$U$24),AV!$P$24*((AV!$U$24-RASANTE!F181)/(AV!$O$24))^2,0))))))))))))))))))))</f>
        <v>0</v>
      </c>
      <c r="L25" s="28">
        <f>+M25+H25%*PERALTE!$C$32</f>
        <v>1648.7960613469299</v>
      </c>
      <c r="M25" s="28">
        <f>J25+K25</f>
        <v>1649.0760613469299</v>
      </c>
      <c r="N25" s="28">
        <f>+M25+I25%*PERALTE!$C$32</f>
        <v>1649.3560613469299</v>
      </c>
      <c r="O25" s="92"/>
      <c r="P25" s="84"/>
      <c r="Q25" s="108" t="s">
        <v>172</v>
      </c>
      <c r="R25" s="108" t="s">
        <v>173</v>
      </c>
      <c r="S25" s="4" t="s">
        <v>174</v>
      </c>
      <c r="T25" s="4" t="s">
        <v>175</v>
      </c>
      <c r="U25" s="84"/>
      <c r="V25" s="84"/>
      <c r="W25" s="84"/>
      <c r="X25" s="84"/>
      <c r="Y25" s="84"/>
    </row>
    <row r="26" spans="1:25" ht="15.75" customHeight="1" x14ac:dyDescent="0.2">
      <c r="A26" s="109" t="s">
        <v>180</v>
      </c>
      <c r="B26" s="387" t="s">
        <v>181</v>
      </c>
      <c r="C26" s="373"/>
      <c r="D26" s="374"/>
      <c r="E26" s="110"/>
      <c r="F26" s="34">
        <f>PERALTE!V6</f>
        <v>161.55510333958389</v>
      </c>
      <c r="G26" s="88">
        <f>IF(F26&lt;=AV!$T$6,AV!$C$5,IF(RASANTE!F26&lt;=AV!$T$8,AV!$C$7,IF(RASANTE!F26&lt;=AV!$T$10,AV!$C$9,IF(RASANTE!F26&lt;=AV!$T$12,AV!#REF!,IF(RASANTE!F26&lt;=AV!$T$14,AV!$C$11,IF(RASANTE!F26&lt;=AV!$T$16,AV!$C$13, IF(RASANTE!F26&lt;=AV!$T$18,AV!$C$15,IF(RASANTE!F26&lt;=AV!$T$20,AV!$C$19,IF(RASANTE!F26&lt;=AV!$T$22,AV!$C$21,IF(RASANTE!F26&lt;=AV!$T$24,AV!$C$23,AV!$C$25))))))))))</f>
        <v>3.1419999999999999</v>
      </c>
      <c r="H26" s="28">
        <f>+IF(AND(AH!$H$8="Izquierda",RASANTE!F26&lt;=PERALTE!$AB$6),IF(RASANTE!F26&lt;=PERALTE!$S$6,-2,IF(RASANTE!F26&lt;=PERALTE!$U$6,(-6/(PERALTE!$U$6-PERALTE!$S$6)*(RASANTE!F26-PERALTE!$S$6)-2),IF(RASANTE!F26&lt;=PERALTE!$X$6,-8,IF(RASANTE!F26&lt;=PERALTE!$Z$6,(-6/(PERALTE!$X$6-PERALTE!$Z$6)*(RASANTE!F26-PERALTE!$Z$6)-2),IF(RASANTE!F26&lt;=PERALTE!$AB$6,-2))))),IF(AND(AH!$H$8="Derecha",RASANTE!F26&lt;=PERALTE!$AB$6),IF(RASANTE!F26&lt;=PERALTE!$Q$6,-2,IF(RASANTE!F26&lt;=PERALTE!$U$6,(10/(PERALTE!$U$6-PERALTE!$Q$6)*(RASANTE!F26-PERALTE!$Q$6)-2),IF(RASANTE!F26&lt;=PERALTE!$X$6,8,IF(RASANTE!F26&lt;=PERALTE!$AB$6,(10/(PERALTE!$X$6-PERALTE!$AB$6)*(RASANTE!F26-PERALTE!$AB$6)-2))))),IF(AND(AH!$H$10="Izquierda",RASANTE!F26&lt;=PERALTE!$AB$8),IF(RASANTE!F26&lt;=PERALTE!$S$8,-2,IF(RASANTE!F26&lt;=PERALTE!$U$8,(-6/(PERALTE!$U$8-PERALTE!$S$8)*(RASANTE!F26-PERALTE!$S$8)-2),IF(RASANTE!F26&lt;=PERALTE!$X$8,-8,IF(RASANTE!F26&lt;=PERALTE!$Z$8,(-6/(PERALTE!$X$8-PERALTE!$Z$8)*(RASANTE!F26-PERALTE!$Z$8)-2),IF(RASANTE!F26&lt;=PERALTE!$AB$8,-2))))),IF(AND(AH!$H$10="Derecha",RASANTE!F26&lt;=PERALTE!$AB$8),IF(RASANTE!F26&lt;=PERALTE!$Q$8,-2,IF(RASANTE!F26&lt;=PERALTE!$U$8,(10/(PERALTE!$U$8-PERALTE!$Q$8)*(RASANTE!F26-PERALTE!$Q$8)-2),IF(RASANTE!F26&lt;=PERALTE!$X$8,8,IF(RASANTE!F26&lt;=PERALTE!$AB$8,(10/(PERALTE!$X$8-PERALTE!$AB$8)*(RASANTE!F26-PERALTE!$AB$8)-2))))),IF(AND(AH!$H$12="Izquierda",RASANTE!F26&lt;=PERALTE!$AB$10),IF(RASANTE!F26&lt;=PERALTE!$S$10,-2,IF(RASANTE!F26&lt;=PERALTE!$U$10,(-6/(PERALTE!$U$10-PERALTE!$S$10)*(RASANTE!F26-PERALTE!$S$10)-2),IF(RASANTE!F26&lt;=PERALTE!$X$10,-8,IF(RASANTE!F26&lt;=PERALTE!$Z$10,(-6/(PERALTE!$X$10-PERALTE!$Z$10)*(RASANTE!F26-PERALTE!$Z$10)-2),IF(RASANTE!F26&lt;=PERALTE!$AB$10,-2))))),IF(AND(AH!$H$12="Derecha",RASANTE!F26&lt;=PERALTE!$AB$10),IF(RASANTE!F26&lt;=PERALTE!$Q$10,-2,IF(RASANTE!F26&lt;=PERALTE!$U$10,(10/(PERALTE!$U$10-PERALTE!$Q$10)*(RASANTE!F26-PERALTE!$Q$10)-2),IF(RASANTE!F26&lt;=PERALTE!$X$10,8,IF(RASANTE!F26&lt;=PERALTE!$AB$10,(10/(PERALTE!$X$10-PERALTE!$AB$10)*(RASANTE!F26-PERALTE!$AB$10)-2))))),IF(AND(AH!$H$14="Izquierda",RASANTE!F26&lt;=PERALTE!$AB$12),IF(RASANTE!F26&lt;=PERALTE!$S$12,-2,IF(RASANTE!F26&lt;=PERALTE!$U$12,(-6/(PERALTE!$U$12-PERALTE!$S$12)*(RASANTE!F26-PERALTE!$S$12)-2),IF(RASANTE!F26&lt;=PERALTE!$X$12,-8,IF(RASANTE!F26&lt;=PERALTE!$Z$12,(-6/(PERALTE!$X$12-PERALTE!$Z$12)*(RASANTE!F26-PERALTE!$Z$12)-2),IF(RASANTE!F26&lt;=PERALTE!$AB$12,-2))))),IF(AND(AH!$H$14="Derecha",RASANTE!F26&lt;=PERALTE!$AB$12),IF(RASANTE!F26&lt;=PERALTE!$Q$12,-2,IF(RASANTE!F26&lt;=PERALTE!$U$12,(10/(PERALTE!$U$12-PERALTE!$Q$12)*(RASANTE!F26-PERALTE!$Q$12)-2),IF(RASANTE!F26&lt;=PERALTE!$X$12,8,IF(RASANTE!F26&lt;=PERALTE!$AB$12,(10/(PERALTE!$X$12-PERALTE!$AB$12)*(RASANTE!F26-PERALTE!$AB$12)-2))))),IF(AND(AH!$H$16="Izquierda",RASANTE!F26&lt;=PERALTE!$AB$14),IF(RASANTE!F26&lt;=PERALTE!$S$14,-2,IF(RASANTE!F26&lt;=PERALTE!$U$14,(-6/(PERALTE!$U$14-PERALTE!$S$14)*(RASANTE!F26-PERALTE!$S$14)-2),IF(RASANTE!F26&lt;=PERALTE!$X$14,-8,IF(RASANTE!F26&lt;=PERALTE!$Z$14,(-6/(PERALTE!$X$14-PERALTE!$Z$14)*(RASANTE!F26-PERALTE!$Z$14)-2),IF(RASANTE!F26&lt;=PERALTE!$AB$14,-2))))),IF(AND(AH!$H$16="Derecha",RASANTE!F26&lt;=PERALTE!$AB$14),IF(RASANTE!F26&lt;=PERALTE!$Q$14,-2,IF(RASANTE!F26&lt;=PERALTE!$U$14,(10/(PERALTE!$U$14-PERALTE!$Q$14)*(RASANTE!F26-PERALTE!$Q$14)-2),IF(RASANTE!F26&lt;=PERALTE!$X$14,8,IF(RASANTE!F26&lt;=PERALTE!$AB$14,(10/(PERALTE!$X$14-PERALTE!$AB$14)*(RASANTE!F26-PERALTE!$AB$14)-2))))),IF(AND(AH!$H$18="Izquierda",RASANTE!F26&lt;=PERALTE!$AB$16),IF(RASANTE!F26&lt;=PERALTE!$S$16,-2,IF(RASANTE!F26&lt;=PERALTE!$U$16,(-6/(PERALTE!$U$16-PERALTE!$S$16)*(RASANTE!F26-PERALTE!$S$16)-2),IF(RASANTE!F26&lt;=PERALTE!$X$16,-8,IF(RASANTE!F26&lt;=PERALTE!$Z$16,(-6/(PERALTE!$X$16-PERALTE!$Z$16)*(RASANTE!F26-PERALTE!$Z$16)-2),IF(RASANTE!F26&lt;=PERALTE!$AB$16,-2))))),IF(AND(AH!$H$18="Derecha",RASANTE!F26&lt;=PERALTE!$AB$16),IF(RASANTE!F26&lt;=PERALTE!$Q$16,-2,IF(RASANTE!F26&lt;=PERALTE!$U$16,(10/(PERALTE!$U$16-PERALTE!$Q$16)*(RASANTE!F26-PERALTE!$Q$16)-2),IF(RASANTE!F26&lt;=PERALTE!$X$16,8,IF(RASANTE!F26&lt;=PERALTE!$AB$16,(10/(PERALTE!$X$16-PERALTE!$AB$16)*(RASANTE!F26-PERALTE!$AB$16)-2))))),IF(AND(AH!$H$20="Izquierda",RASANTE!F26&lt;=PERALTE!$AB$18),IF(RASANTE!F26&lt;=PERALTE!$S$18,-2,IF(RASANTE!F26&lt;=PERALTE!$U$18,(-6/(PERALTE!$U$18-PERALTE!$S$18)*(RASANTE!F26-PERALTE!$S$18)-2),IF(RASANTE!F26&lt;=PERALTE!$X$18,-8,IF(RASANTE!F26&lt;=PERALTE!$Z$18,(-6/(PERALTE!$X$18-PERALTE!$Z$18)*(RASANTE!F26-PERALTE!$Z$18)-2),IF(RASANTE!F26&lt;=PERALTE!$AB$18,-2))))),IF(AND(AH!$H$20="Derecha",RASANTE!F26&lt;=PERALTE!$AB$18),IF(RASANTE!F26&lt;=PERALTE!$Q$18,-2,IF(RASANTE!F26&lt;=PERALTE!$U$18,(10/(PERALTE!$U$18-PERALTE!$Q$18)*(RASANTE!F26-PERALTE!$Q$18)-2),IF(RASANTE!F26&lt;=PERALTE!$X$18,8,IF(RASANTE!F26&lt;=PERALTE!$AB$18,(10/(PERALTE!$X$18-PERALTE!$AB$18)*(RASANTE!F26-PERALTE!$AB$18)-2))))),IF(AND(AH!$H$24="Izquierda",RASANTE!F26&lt;=PERALTE!$AB$22),IF(RASANTE!F26&lt;=PERALTE!$S$22,-2,IF(RASANTE!F26&lt;=PERALTE!$U$22,(-6/(PERALTE!$U$22-PERALTE!$S$22)*(RASANTE!F26-PERALTE!$S$22)-2),IF(RASANTE!F26&lt;=PERALTE!$X$22,-8,IF(RASANTE!F26&lt;=PERALTE!$Z$22,(-6/(PERALTE!$X$22-PERALTE!$Z$22)*(RASANTE!F26-PERALTE!$Z$22)-2),IF(RASANTE!F26&lt;=PERALTE!$AB$22,-2))))),IF(AND(AH!$H$24="Derecha",RASANTE!F26&lt;=PERALTE!$AB$22),IF(RASANTE!F26&lt;=PERALTE!$Q$22,-2,IF(RASANTE!F26&lt;=PERALTE!$U$22,(10/(PERALTE!$U$22-PERALTE!$Q$22)*(RASANTE!F26-PERALTE!$Q$22)-2),IF(RASANTE!F26&lt;=PERALTE!$X$22,8,IF(RASANTE!F26&lt;=PERALTE!$AB$22,(10/(PERALTE!$X$22-PERALTE!$AB$22)*(RASANTE!F26-PERALTE!$AB$22)-2))))),IF(AND(AH!#REF!="Izquierda",RASANTE!F26&lt;=PERALTE!#REF!),IF(RASANTE!F26&lt;=PERALTE!#REF!,-2,IF(RASANTE!F26&lt;=PERALTE!#REF!,(-6/(PERALTE!#REF!-PERALTE!#REF!)*(RASANTE!F26-PERALTE!#REF!)-2),IF(RASANTE!F26&lt;=PERALTE!#REF!,-8,IF(RASANTE!F26&lt;=PERALTE!#REF!,(-6/(PERALTE!#REF!-PERALTE!#REF!)*(RASANTE!F26-PERALTE!#REF!)-2),IF(RASANTE!F26&lt;=PERALTE!#REF!,-2))))),IF(AND(AH!#REF!="Derecha",RASANTE!F26&lt;=PERALTE!#REF!),IF(RASANTE!F26&lt;=PERALTE!#REF!,-2,IF(RASANTE!F26&lt;=PERALTE!#REF!,(10/(PERALTE!#REF!-PERALTE!#REF!)*(RASANTE!F26-PERALTE!#REF!)-2),IF(RASANTE!F26&lt;=PERALTE!#REF!,8,IF(RASANTE!F26&lt;=PERALTE!#REF!,(10/(PERALTE!#REF!-PERALTE!#REF!)*(RASANTE!F26-PERALTE!#REF!)-2))))),IF(AND(AH!#REF!="Izquierda",RASANTE!F26&lt;=PERALTE!$AB$26),IF(RASANTE!F26&lt;=PERALTE!$S$26,-2,IF(RASANTE!F26&lt;=PERALTE!$U$26,(-6/(PERALTE!$U$26-PERALTE!$S$26)*(RASANTE!F26-PERALTE!$S$26)-2),IF(RASANTE!F26&lt;=PERALTE!$X$26,-8,IF(RASANTE!F26&lt;=PERALTE!$Z$26,(-6/(PERALTE!$X$26-PERALTE!$Z$26)*(RASANTE!F26-PERALTE!$Z$26)-2),IF(RASANTE!F26&lt;=PERALTE!$AB$26,-2))))),IF(AND(AH!#REF!="Derecha",RASANTE!F26&lt;=PERALTE!$AB$26),IF(RASANTE!F26&lt;=PERALTE!$Q$26,-2,IF(RASANTE!F26&lt;=PERALTE!$U$26,(10/(PERALTE!$U$26-PERALTE!$Q$26)*(RASANTE!F26-PERALTE!$Q$26)-2),IF(RASANTE!F26&lt;=PERALTE!$X$26,8,IF(RASANTE!F26&lt;=PERALTE!$AB$26,(10/(PERALTE!$X$26-PERALTE!$AB$26)*(RASANTE!F26-PERALTE!$AB$26)-2))))),IF(F26&lt;=PERALTE!#REF!,-2,"Abscisa fuera de la vía")))))))))))))))))))))</f>
        <v>-8</v>
      </c>
      <c r="I26" s="28">
        <f>+IF(AND(AH!$H$8="Derecha",RASANTE!F26&lt;=PERALTE!$AB$6),IF(RASANTE!F26&lt;=PERALTE!$S$6,-2,IF(RASANTE!F26&lt;=PERALTE!$U$6,(-6/(PERALTE!$U$6-PERALTE!$S$6)*(RASANTE!F26-PERALTE!$S$6)-2),IF(RASANTE!F26&lt;=PERALTE!$X$6,-8,IF(RASANTE!F26&lt;=PERALTE!$Z$6,(-6/(PERALTE!$X$6-PERALTE!$Z$6)*(RASANTE!F26-PERALTE!$Z$6)-2),IF(RASANTE!F26&lt;=PERALTE!$AB$6,-2))))),IF(AND(AH!$H$8="Izquierda",RASANTE!F26&lt;=PERALTE!$AB$6),IF(RASANTE!F26&lt;=PERALTE!$Q$6,-2,IF(RASANTE!F26&lt;=PERALTE!$U$6,(10/(PERALTE!$U$6-PERALTE!$Q$6)*(RASANTE!F26-PERALTE!$Q$6)-2),IF(RASANTE!F26&lt;=PERALTE!$X$6,8,IF(RASANTE!F26&lt;=PERALTE!$AB$6,(10/(PERALTE!$X$6-PERALTE!$AB$6)*(RASANTE!F26-PERALTE!$AB$6)-2))))),IF(AND(AH!$H$10="Derecha",RASANTE!F26&lt;=PERALTE!$AB$8),IF(RASANTE!F26&lt;=PERALTE!$S$8,-2,IF(RASANTE!F26&lt;=PERALTE!$U$8,(-6/(PERALTE!$U$8-PERALTE!$S$8)*(RASANTE!F26-PERALTE!$S$8)-2),IF(RASANTE!F26&lt;=PERALTE!$X$8,-8,IF(RASANTE!F26&lt;=PERALTE!$Z$8,(-6/(PERALTE!$X$8-PERALTE!$Z$8)*(RASANTE!F26-PERALTE!$Z$8)-2),IF(RASANTE!F26&lt;=PERALTE!$AB$8,-2))))),IF(AND(AH!$H$10="Izquierda",RASANTE!F26&lt;=PERALTE!$AB$8),IF(RASANTE!F26&lt;=PERALTE!$Q$8,-2,IF(RASANTE!F26&lt;=PERALTE!$U$8,(10/(PERALTE!$U$8-PERALTE!$Q$8)*(RASANTE!F26-PERALTE!$Q$8)-2),IF(RASANTE!F26&lt;=PERALTE!$X$8,8,IF(RASANTE!F26&lt;=PERALTE!$AB$8,(10/(PERALTE!$X$8-PERALTE!$AB$8)*(RASANTE!F26-PERALTE!$AB$8)-2))))),IF(AND(AH!$H$12="Derecha",RASANTE!F26&lt;=PERALTE!$AB$10),IF(RASANTE!F26&lt;=PERALTE!$S$10,-2,IF(RASANTE!F26&lt;=PERALTE!$U$10,(-6/(PERALTE!$U$10-PERALTE!$S$10)*(RASANTE!F26-PERALTE!$S$10)-2),IF(RASANTE!F26&lt;=PERALTE!$X$10,-8,IF(RASANTE!F26&lt;=PERALTE!$Z$10,(-6/(PERALTE!$X$10-PERALTE!$Z$10)*(RASANTE!F26-PERALTE!$Z$10)-2),IF(RASANTE!F26&lt;=PERALTE!$AB$10,-2))))),IF(AND(AH!$H$12="Izquierda",RASANTE!F26&lt;=PERALTE!$AB$10),IF(RASANTE!F26&lt;=PERALTE!$Q$10,-2,IF(RASANTE!F26&lt;=PERALTE!$U$10,(10/(PERALTE!$U$10-PERALTE!$Q$10)*(RASANTE!F26-PERALTE!$Q$10)-2),IF(RASANTE!F26&lt;=PERALTE!$X$10,8,IF(RASANTE!F26&lt;=PERALTE!$AB$10,(10/(PERALTE!$X$10-PERALTE!$AB$10)*(RASANTE!F26-PERALTE!$AB$10)-2))))),IF(AND(AH!$H$14="Derecha",RASANTE!F26&lt;=PERALTE!$AB$12),IF(RASANTE!F26&lt;=PERALTE!$S$12,-2,IF(RASANTE!F26&lt;=PERALTE!$U$12,(-6/(PERALTE!$U$12-PERALTE!$S$12)*(RASANTE!F26-PERALTE!$S$12)-2),IF(RASANTE!F26&lt;=PERALTE!$X$12,-8,IF(RASANTE!F26&lt;=PERALTE!$Z$12,(-6/(PERALTE!$X$12-PERALTE!$Z$12)*(RASANTE!F26-PERALTE!$Z$12)-2),IF(RASANTE!F26&lt;=PERALTE!$AB$12,-2))))),IF(AND(AH!$H$14="Izquierda",RASANTE!F26&lt;=PERALTE!$AB$12),IF(RASANTE!F26&lt;=PERALTE!$Q$12,-2,IF(RASANTE!F26&lt;=PERALTE!$U$12,(10/(PERALTE!$U$12-PERALTE!$Q$12)*(RASANTE!F26-PERALTE!$Q$12)-2),IF(RASANTE!F26&lt;=PERALTE!$X$12,8,IF(RASANTE!F26&lt;=PERALTE!$AB$12,(10/(PERALTE!$X$12-PERALTE!$AB$12)*(RASANTE!F26-PERALTE!$AB$12)-2))))),IF(AND(AH!$H$16="Derecha",RASANTE!F26&lt;=PERALTE!$AB$14),IF(RASANTE!F26&lt;=PERALTE!$S$14,-2,IF(RASANTE!F26&lt;=PERALTE!$U$14,(-6/(PERALTE!$U$14-PERALTE!$S$14)*(RASANTE!F26-PERALTE!$S$14)-2),IF(RASANTE!F26&lt;=PERALTE!$X$14,-8,IF(RASANTE!F26&lt;=PERALTE!$Z$14,(-6/(PERALTE!$X$14-PERALTE!$Z$14)*(RASANTE!F26-PERALTE!$Z$14)-2),IF(RASANTE!F26&lt;=PERALTE!$AB$14,-2))))),IF(AND(AH!$H$16="Izquierda",RASANTE!F26&lt;=PERALTE!$AB$14),IF(RASANTE!F26&lt;=PERALTE!$Q$14,-2,IF(RASANTE!F26&lt;=PERALTE!$U$14,(10/(PERALTE!$U$14-PERALTE!$Q$14)*(RASANTE!F26-PERALTE!$Q$14)-2),IF(RASANTE!F26&lt;=PERALTE!$X$14,8,IF(RASANTE!F26&lt;=PERALTE!$AB$14,(10/(PERALTE!$X$14-PERALTE!$AB$14)*(RASANTE!F26-PERALTE!$AB$14)-2))))),IF(AND(AH!$H$18="Derecha",RASANTE!F26&lt;=PERALTE!$AB$16),IF(RASANTE!F26&lt;=PERALTE!$S$16,-2,IF(RASANTE!F26&lt;=PERALTE!$U$16,(-6/(PERALTE!$U$16-PERALTE!$S$16)*(RASANTE!F26-PERALTE!$S$16)-2),IF(RASANTE!F26&lt;=PERALTE!$X$16,-8,IF(RASANTE!F26&lt;=PERALTE!$Z$16,(-6/(PERALTE!$X$16-PERALTE!$Z$16)*(RASANTE!F26-PERALTE!$Z$16)-2),IF(RASANTE!F26&lt;=PERALTE!$AB$16,-2))))),IF(AND(AH!$H$18="Izquierda",RASANTE!F26&lt;=PERALTE!$AB$16),IF(RASANTE!F26&lt;=PERALTE!$Q$16,-2,IF(RASANTE!F26&lt;=PERALTE!$U$16,(10/(PERALTE!$U$16-PERALTE!$Q$16)*(RASANTE!F26-PERALTE!$Q$16)-2),IF(RASANTE!F26&lt;=PERALTE!$X$16,8,IF(RASANTE!F26&lt;=PERALTE!$AB$16,(10/(PERALTE!$X$16-PERALTE!$AB$16)*(RASANTE!F26-PERALTE!$AB$16)-2))))),IF(AND(AH!$H$20="Derecha",RASANTE!F26&lt;=PERALTE!$AB$18),IF(RASANTE!F26&lt;=PERALTE!$S$18,-2,IF(RASANTE!F26&lt;=PERALTE!$U$18,(-6/(PERALTE!$U$18-PERALTE!$S$18)*(RASANTE!F26-PERALTE!$S$18)-2),IF(RASANTE!F26&lt;=PERALTE!$X$18,-8,IF(RASANTE!F26&lt;=PERALTE!$Z$18,(-6/(PERALTE!$X$18-PERALTE!$Z$18)*(RASANTE!F26-PERALTE!$Z$18)-2),IF(RASANTE!F26&lt;=PERALTE!$AB$18,-2))))),IF(AND(AH!$H$20="Izquierda",RASANTE!F26&lt;=PERALTE!$AB$18),IF(RASANTE!F26&lt;=PERALTE!$Q$18,-2,IF(RASANTE!F26&lt;=PERALTE!$U$18,(10/(PERALTE!$U$18-PERALTE!$Q$18)*(RASANTE!F26-PERALTE!$Q$18)-2),IF(RASANTE!F26&lt;=PERALTE!$X$18,8,IF(RASANTE!F26&lt;=PERALTE!$AB$18,(10/(PERALTE!$X$18-PERALTE!$AB$18)*(RASANTE!F26-PERALTE!$AB$18)-2))))),IF(AND(AH!$H$24="Derecha",RASANTE!F26&lt;=PERALTE!$AB$22),IF(RASANTE!F26&lt;=PERALTE!$S$22,-2,IF(RASANTE!F26&lt;=PERALTE!$U$22,(-6/(PERALTE!$U$22-PERALTE!$S$22)*(RASANTE!F26-PERALTE!$S$22)-2),IF(RASANTE!F26&lt;=PERALTE!$X$22,-8,IF(RASANTE!F26&lt;=PERALTE!$Z$22,(-6/(PERALTE!$X$22-PERALTE!$Z$22)*(RASANTE!F26-PERALTE!$Z$22)-2),IF(RASANTE!F26&lt;=PERALTE!$AB$22,-2))))),IF(AND(AH!$H$24="Izquierda",RASANTE!F26&lt;=PERALTE!$AB$22),IF(RASANTE!F26&lt;=PERALTE!$Q$22,-2,IF(RASANTE!F26&lt;=PERALTE!$U$22,(10/(PERALTE!$U$22-PERALTE!$Q$22)*(RASANTE!F26-PERALTE!$Q$22)-2),IF(RASANTE!F26&lt;=PERALTE!$X$22,8,IF(RASANTE!F26&lt;=PERALTE!$AB$22,(10/(PERALTE!$X$22-PERALTE!$AB$22)*(RASANTE!F26-PERALTE!$AB$22)-2))))),IF(AND(AH!#REF!="Derecha",RASANTE!F26&lt;=PERALTE!#REF!),IF(RASANTE!F26&lt;=PERALTE!#REF!,-2,IF(RASANTE!F26&lt;=PERALTE!#REF!,(-6/(PERALTE!#REF!-PERALTE!#REF!)*(RASANTE!F26-PERALTE!#REF!)-2),IF(RASANTE!F26&lt;=PERALTE!#REF!,-8,IF(RASANTE!F26&lt;=PERALTE!#REF!,(-6/(PERALTE!#REF!-PERALTE!#REF!)*(RASANTE!F26-PERALTE!#REF!)-2),IF(RASANTE!F26&lt;=PERALTE!#REF!,-2))))),IF(AND(AH!#REF!="Izquierda",RASANTE!F26&lt;=PERALTE!#REF!),IF(RASANTE!F26&lt;=PERALTE!#REF!,-2,IF(RASANTE!F26&lt;=PERALTE!#REF!,(10/(PERALTE!#REF!-PERALTE!#REF!)*(RASANTE!F26-PERALTE!#REF!)-2),IF(RASANTE!F26&lt;=PERALTE!#REF!,8,IF(RASANTE!F26&lt;=PERALTE!#REF!,(10/(PERALTE!#REF!-PERALTE!#REF!)*(RASANTE!F26-PERALTE!#REF!)-2))))),IF(AND(AH!#REF!="Derecha",RASANTE!F26&lt;=PERALTE!$AB$26),IF(RASANTE!F26&lt;=PERALTE!$S$26,-2,IF(RASANTE!F26&lt;=PERALTE!$U$26,(-6/(PERALTE!$U$26-PERALTE!$S$26)*(RASANTE!F26-PERALTE!$S$26)-2),IF(RASANTE!F26&lt;=PERALTE!$X$26,-8,IF(RASANTE!F26&lt;=PERALTE!$Z$26,(-6/(PERALTE!$X$26-PERALTE!$Z$26)*(RASANTE!F26-PERALTE!$Z$26)-2),IF(RASANTE!F26&lt;=PERALTE!$AB$26,-2))))),IF(AND(AH!#REF!="Izquierda",RASANTE!F26&lt;=PERALTE!$AB$26),IF(RASANTE!F26&lt;=PERALTE!$Q$26,-2,IF(RASANTE!F26&lt;=PERALTE!$U$26,(10/(PERALTE!$U$26-PERALTE!$Q$26)*(RASANTE!F26-PERALTE!$Q$26)-2),IF(RASANTE!F26&lt;=PERALTE!$X$26,8,IF(RASANTE!F26&lt;=PERALTE!$AB$26,(10/(PERALTE!$X$26-PERALTE!$AB$26)*(RASANTE!F26-PERALTE!$AB$26)-2))))),IF(F26&lt;=PERALTE!#REF!,-2,"Abscisa fuera de la vía")))))))))))))))))))))</f>
        <v>8</v>
      </c>
      <c r="J26" s="28">
        <f t="shared" si="1"/>
        <v>1649.0760613469299</v>
      </c>
      <c r="K26" s="356">
        <f>+IF(AND(AV!$S$6&lt;F182,F182&lt;=AV!$T$6),AV!$P$6*((AV!$S$6-RASANTE!F182)/(AV!$N$6))^2,IF(AND(AV!$T$6&lt;RASANTE!F182,F182&lt;AV!$U$6),AV!$P$6*((AV!$U$6-RASANTE!F182)/(AV!$O$6))^2,IF(AND(AV!$S$8&lt;F182,F182&lt;=AV!$T$8),AV!$P$8*((AV!$S$8-RASANTE!F182)/(AV!$N$8))^2,IF(AND(AV!$T$8&lt;RASANTE!F182,F182&lt;AV!$U$8),AV!$P$8*((AV!$U$8-RASANTE!F182)/(AV!$O$8))^2,IF(AND(AV!$S$10&lt;F182,F182&lt;=AV!$T$10),AV!$P$10*((AV!$S$10-RASANTE!F182)/(AV!$N$10))^2,IF(AND(AV!$T$10&lt;RASANTE!F182,F182&lt;AV!$U$10),AV!$P$10*((AV!$U$10-RASANTE!F182)/(AV!$O$10))^2,IF(AND(AV!$S$12&lt;F182,F182&lt;=AV!$T$12),AV!$P$12*((AV!$S$12-RASANTE!F182)/(AV!$N$12))^2,IF(AND(AV!$T$12&lt;RASANTE!F182,F182&lt;AV!$U$12),AV!$P$12*((AV!$U$12-RASANTE!F182)/(AV!$O$12))^2,IF(AND(AV!$S$14&lt;F182,F182&lt;=AV!$T$14),AV!$P$14*((AV!$S$14-RASANTE!F182)/(AV!$N$14))^2,IF(AND(AV!$T$14&lt;RASANTE!F182,F182&lt;AV!$U$14),AV!$P$14*((AV!$U$14-RASANTE!F182)/(AV!$O$14))^2,IF(AND(AV!$S$16&lt;F182,F182&lt;=AV!$T$16),AV!$P$16*((AV!$S$16-RASANTE!F182)/(AV!$N$16))^2,IF(AND(AV!$T$16&lt;RASANTE!F182,F182&lt;AV!$U$16),AV!$P$16*((AV!$U$16-RASANTE!F182)/(AV!$O$16))^2,IF(AND(AV!$S$18&lt;F182,F182&lt;=AV!$T$18),AV!$P$18*((AV!$S$18-RASANTE!F182)/(AV!$N$18))^2,IF(AND(AV!$T$18&lt;RASANTE!F182,F182&lt;AV!$U$18),AV!$P$18*((AV!$U$18-RASANTE!F182)/(AV!$O$18))^2,IF(AND(AV!$S$20&lt;F182,F182&lt;=AV!$T$20),AV!$P$20*((AV!$S$20-RASANTE!F182)/(AV!$N$20))^2,IF(AND(AV!$T$20&lt;RASANTE!F182,F182&lt;AV!$U$20),AV!$P$20*((AV!$U$20-RASANTE!F182)/(AV!$O$20))^2,IF(AND(AV!$S$22&lt;F182,F182&lt;=AV!$T$22),AV!$P$22*((AV!$S$22-RASANTE!F182)/(AV!$N$22))^2,IF(AND(AV!$T$22&lt;RASANTE!F182,F182&lt;AV!$U$22),AV!$P$22*((AV!$U$22-RASANTE!F182)/(AV!$O$22))^2,IF(AND(AV!$S$24&lt;F182,F182&lt;=AV!$T$24),AV!$P$24*((AV!$S$24-RASANTE!F182)/(AV!$N$24))^2,IF(AND(AV!$T$24&lt;RASANTE!F182,F182&lt;AV!$U$24),AV!$P$24*((AV!$U$24-RASANTE!F182)/(AV!$O$24))^2,0))))))))))))))))))))</f>
        <v>0</v>
      </c>
      <c r="L26" s="28">
        <f>+M26+H26%*PERALTE!$C$32</f>
        <v>1648.7960613469299</v>
      </c>
      <c r="M26" s="28">
        <f>J26+K26</f>
        <v>1649.0760613469299</v>
      </c>
      <c r="N26" s="28">
        <f>+M26+I26%*PERALTE!$C$32</f>
        <v>1649.3560613469299</v>
      </c>
      <c r="O26" s="92"/>
      <c r="P26" s="84"/>
      <c r="Q26" s="108" t="s">
        <v>176</v>
      </c>
      <c r="R26" s="108" t="s">
        <v>177</v>
      </c>
      <c r="S26" s="4" t="s">
        <v>178</v>
      </c>
      <c r="T26" s="4" t="s">
        <v>179</v>
      </c>
      <c r="U26" s="84"/>
      <c r="V26" s="84"/>
      <c r="W26" s="84"/>
      <c r="X26" s="84"/>
      <c r="Y26" s="84"/>
    </row>
    <row r="27" spans="1:25" ht="15.75" customHeight="1" x14ac:dyDescent="0.2">
      <c r="A27" s="90"/>
      <c r="B27" s="112">
        <f>AH!L8</f>
        <v>3.1014300429218253</v>
      </c>
      <c r="C27" s="113">
        <f>AH!F2</f>
        <v>5</v>
      </c>
      <c r="D27" s="114"/>
      <c r="E27" s="91"/>
      <c r="F27" s="34">
        <v>170</v>
      </c>
      <c r="G27" s="88">
        <f>IF(F27&lt;=AV!$T$6,AV!$C$5,IF(RASANTE!F27&lt;=AV!$T$8,AV!$C$7,IF(RASANTE!F27&lt;=AV!$T$10,AV!$C$9,IF(RASANTE!F27&lt;=AV!$T$12,AV!#REF!,IF(RASANTE!F27&lt;=AV!$T$14,AV!$C$11,IF(RASANTE!F27&lt;=AV!$T$16,AV!$C$13, IF(RASANTE!F27&lt;=AV!$T$18,AV!$C$15,IF(RASANTE!F27&lt;=AV!$T$20,AV!$C$19,IF(RASANTE!F27&lt;=AV!$T$22,AV!$C$21,IF(RASANTE!F27&lt;=AV!$T$24,AV!$C$23,AV!$C$25))))))))))</f>
        <v>3.1419999999999999</v>
      </c>
      <c r="H27" s="28">
        <f>+IF(AND(AH!$H$8="Izquierda",RASANTE!F27&lt;=PERALTE!$AB$6),IF(RASANTE!F27&lt;=PERALTE!$S$6,-2,IF(RASANTE!F27&lt;=PERALTE!$U$6,(-6/(PERALTE!$U$6-PERALTE!$S$6)*(RASANTE!F27-PERALTE!$S$6)-2),IF(RASANTE!F27&lt;=PERALTE!$X$6,-8,IF(RASANTE!F27&lt;=PERALTE!$Z$6,(-6/(PERALTE!$X$6-PERALTE!$Z$6)*(RASANTE!F27-PERALTE!$Z$6)-2),IF(RASANTE!F27&lt;=PERALTE!$AB$6,-2))))),IF(AND(AH!$H$8="Derecha",RASANTE!F27&lt;=PERALTE!$AB$6),IF(RASANTE!F27&lt;=PERALTE!$Q$6,-2,IF(RASANTE!F27&lt;=PERALTE!$U$6,(10/(PERALTE!$U$6-PERALTE!$Q$6)*(RASANTE!F27-PERALTE!$Q$6)-2),IF(RASANTE!F27&lt;=PERALTE!$X$6,8,IF(RASANTE!F27&lt;=PERALTE!$AB$6,(10/(PERALTE!$X$6-PERALTE!$AB$6)*(RASANTE!F27-PERALTE!$AB$6)-2))))),IF(AND(AH!$H$10="Izquierda",RASANTE!F27&lt;=PERALTE!$AB$8),IF(RASANTE!F27&lt;=PERALTE!$S$8,-2,IF(RASANTE!F27&lt;=PERALTE!$U$8,(-6/(PERALTE!$U$8-PERALTE!$S$8)*(RASANTE!F27-PERALTE!$S$8)-2),IF(RASANTE!F27&lt;=PERALTE!$X$8,-8,IF(RASANTE!F27&lt;=PERALTE!$Z$8,(-6/(PERALTE!$X$8-PERALTE!$Z$8)*(RASANTE!F27-PERALTE!$Z$8)-2),IF(RASANTE!F27&lt;=PERALTE!$AB$8,-2))))),IF(AND(AH!$H$10="Derecha",RASANTE!F27&lt;=PERALTE!$AB$8),IF(RASANTE!F27&lt;=PERALTE!$Q$8,-2,IF(RASANTE!F27&lt;=PERALTE!$U$8,(10/(PERALTE!$U$8-PERALTE!$Q$8)*(RASANTE!F27-PERALTE!$Q$8)-2),IF(RASANTE!F27&lt;=PERALTE!$X$8,8,IF(RASANTE!F27&lt;=PERALTE!$AB$8,(10/(PERALTE!$X$8-PERALTE!$AB$8)*(RASANTE!F27-PERALTE!$AB$8)-2))))),IF(AND(AH!$H$12="Izquierda",RASANTE!F27&lt;=PERALTE!$AB$10),IF(RASANTE!F27&lt;=PERALTE!$S$10,-2,IF(RASANTE!F27&lt;=PERALTE!$U$10,(-6/(PERALTE!$U$10-PERALTE!$S$10)*(RASANTE!F27-PERALTE!$S$10)-2),IF(RASANTE!F27&lt;=PERALTE!$X$10,-8,IF(RASANTE!F27&lt;=PERALTE!$Z$10,(-6/(PERALTE!$X$10-PERALTE!$Z$10)*(RASANTE!F27-PERALTE!$Z$10)-2),IF(RASANTE!F27&lt;=PERALTE!$AB$10,-2))))),IF(AND(AH!$H$12="Derecha",RASANTE!F27&lt;=PERALTE!$AB$10),IF(RASANTE!F27&lt;=PERALTE!$Q$10,-2,IF(RASANTE!F27&lt;=PERALTE!$U$10,(10/(PERALTE!$U$10-PERALTE!$Q$10)*(RASANTE!F27-PERALTE!$Q$10)-2),IF(RASANTE!F27&lt;=PERALTE!$X$10,8,IF(RASANTE!F27&lt;=PERALTE!$AB$10,(10/(PERALTE!$X$10-PERALTE!$AB$10)*(RASANTE!F27-PERALTE!$AB$10)-2))))),IF(AND(AH!$H$14="Izquierda",RASANTE!F27&lt;=PERALTE!$AB$12),IF(RASANTE!F27&lt;=PERALTE!$S$12,-2,IF(RASANTE!F27&lt;=PERALTE!$U$12,(-6/(PERALTE!$U$12-PERALTE!$S$12)*(RASANTE!F27-PERALTE!$S$12)-2),IF(RASANTE!F27&lt;=PERALTE!$X$12,-8,IF(RASANTE!F27&lt;=PERALTE!$Z$12,(-6/(PERALTE!$X$12-PERALTE!$Z$12)*(RASANTE!F27-PERALTE!$Z$12)-2),IF(RASANTE!F27&lt;=PERALTE!$AB$12,-2))))),IF(AND(AH!$H$14="Derecha",RASANTE!F27&lt;=PERALTE!$AB$12),IF(RASANTE!F27&lt;=PERALTE!$Q$12,-2,IF(RASANTE!F27&lt;=PERALTE!$U$12,(10/(PERALTE!$U$12-PERALTE!$Q$12)*(RASANTE!F27-PERALTE!$Q$12)-2),IF(RASANTE!F27&lt;=PERALTE!$X$12,8,IF(RASANTE!F27&lt;=PERALTE!$AB$12,(10/(PERALTE!$X$12-PERALTE!$AB$12)*(RASANTE!F27-PERALTE!$AB$12)-2))))),IF(AND(AH!$H$16="Izquierda",RASANTE!F27&lt;=PERALTE!$AB$14),IF(RASANTE!F27&lt;=PERALTE!$S$14,-2,IF(RASANTE!F27&lt;=PERALTE!$U$14,(-6/(PERALTE!$U$14-PERALTE!$S$14)*(RASANTE!F27-PERALTE!$S$14)-2),IF(RASANTE!F27&lt;=PERALTE!$X$14,-8,IF(RASANTE!F27&lt;=PERALTE!$Z$14,(-6/(PERALTE!$X$14-PERALTE!$Z$14)*(RASANTE!F27-PERALTE!$Z$14)-2),IF(RASANTE!F27&lt;=PERALTE!$AB$14,-2))))),IF(AND(AH!$H$16="Derecha",RASANTE!F27&lt;=PERALTE!$AB$14),IF(RASANTE!F27&lt;=PERALTE!$Q$14,-2,IF(RASANTE!F27&lt;=PERALTE!$U$14,(10/(PERALTE!$U$14-PERALTE!$Q$14)*(RASANTE!F27-PERALTE!$Q$14)-2),IF(RASANTE!F27&lt;=PERALTE!$X$14,8,IF(RASANTE!F27&lt;=PERALTE!$AB$14,(10/(PERALTE!$X$14-PERALTE!$AB$14)*(RASANTE!F27-PERALTE!$AB$14)-2))))),IF(AND(AH!$H$18="Izquierda",RASANTE!F27&lt;=PERALTE!$AB$16),IF(RASANTE!F27&lt;=PERALTE!$S$16,-2,IF(RASANTE!F27&lt;=PERALTE!$U$16,(-6/(PERALTE!$U$16-PERALTE!$S$16)*(RASANTE!F27-PERALTE!$S$16)-2),IF(RASANTE!F27&lt;=PERALTE!$X$16,-8,IF(RASANTE!F27&lt;=PERALTE!$Z$16,(-6/(PERALTE!$X$16-PERALTE!$Z$16)*(RASANTE!F27-PERALTE!$Z$16)-2),IF(RASANTE!F27&lt;=PERALTE!$AB$16,-2))))),IF(AND(AH!$H$18="Derecha",RASANTE!F27&lt;=PERALTE!$AB$16),IF(RASANTE!F27&lt;=PERALTE!$Q$16,-2,IF(RASANTE!F27&lt;=PERALTE!$U$16,(10/(PERALTE!$U$16-PERALTE!$Q$16)*(RASANTE!F27-PERALTE!$Q$16)-2),IF(RASANTE!F27&lt;=PERALTE!$X$16,8,IF(RASANTE!F27&lt;=PERALTE!$AB$16,(10/(PERALTE!$X$16-PERALTE!$AB$16)*(RASANTE!F27-PERALTE!$AB$16)-2))))),IF(AND(AH!$H$20="Izquierda",RASANTE!F27&lt;=PERALTE!$AB$18),IF(RASANTE!F27&lt;=PERALTE!$S$18,-2,IF(RASANTE!F27&lt;=PERALTE!$U$18,(-6/(PERALTE!$U$18-PERALTE!$S$18)*(RASANTE!F27-PERALTE!$S$18)-2),IF(RASANTE!F27&lt;=PERALTE!$X$18,-8,IF(RASANTE!F27&lt;=PERALTE!$Z$18,(-6/(PERALTE!$X$18-PERALTE!$Z$18)*(RASANTE!F27-PERALTE!$Z$18)-2),IF(RASANTE!F27&lt;=PERALTE!$AB$18,-2))))),IF(AND(AH!$H$20="Derecha",RASANTE!F27&lt;=PERALTE!$AB$18),IF(RASANTE!F27&lt;=PERALTE!$Q$18,-2,IF(RASANTE!F27&lt;=PERALTE!$U$18,(10/(PERALTE!$U$18-PERALTE!$Q$18)*(RASANTE!F27-PERALTE!$Q$18)-2),IF(RASANTE!F27&lt;=PERALTE!$X$18,8,IF(RASANTE!F27&lt;=PERALTE!$AB$18,(10/(PERALTE!$X$18-PERALTE!$AB$18)*(RASANTE!F27-PERALTE!$AB$18)-2))))),IF(AND(AH!$H$24="Izquierda",RASANTE!F27&lt;=PERALTE!$AB$22),IF(RASANTE!F27&lt;=PERALTE!$S$22,-2,IF(RASANTE!F27&lt;=PERALTE!$U$22,(-6/(PERALTE!$U$22-PERALTE!$S$22)*(RASANTE!F27-PERALTE!$S$22)-2),IF(RASANTE!F27&lt;=PERALTE!$X$22,-8,IF(RASANTE!F27&lt;=PERALTE!$Z$22,(-6/(PERALTE!$X$22-PERALTE!$Z$22)*(RASANTE!F27-PERALTE!$Z$22)-2),IF(RASANTE!F27&lt;=PERALTE!$AB$22,-2))))),IF(AND(AH!$H$24="Derecha",RASANTE!F27&lt;=PERALTE!$AB$22),IF(RASANTE!F27&lt;=PERALTE!$Q$22,-2,IF(RASANTE!F27&lt;=PERALTE!$U$22,(10/(PERALTE!$U$22-PERALTE!$Q$22)*(RASANTE!F27-PERALTE!$Q$22)-2),IF(RASANTE!F27&lt;=PERALTE!$X$22,8,IF(RASANTE!F27&lt;=PERALTE!$AB$22,(10/(PERALTE!$X$22-PERALTE!$AB$22)*(RASANTE!F27-PERALTE!$AB$22)-2))))),IF(AND(AH!#REF!="Izquierda",RASANTE!F27&lt;=PERALTE!#REF!),IF(RASANTE!F27&lt;=PERALTE!#REF!,-2,IF(RASANTE!F27&lt;=PERALTE!#REF!,(-6/(PERALTE!#REF!-PERALTE!#REF!)*(RASANTE!F27-PERALTE!#REF!)-2),IF(RASANTE!F27&lt;=PERALTE!#REF!,-8,IF(RASANTE!F27&lt;=PERALTE!#REF!,(-6/(PERALTE!#REF!-PERALTE!#REF!)*(RASANTE!F27-PERALTE!#REF!)-2),IF(RASANTE!F27&lt;=PERALTE!#REF!,-2))))),IF(AND(AH!#REF!="Derecha",RASANTE!F27&lt;=PERALTE!#REF!),IF(RASANTE!F27&lt;=PERALTE!#REF!,-2,IF(RASANTE!F27&lt;=PERALTE!#REF!,(10/(PERALTE!#REF!-PERALTE!#REF!)*(RASANTE!F27-PERALTE!#REF!)-2),IF(RASANTE!F27&lt;=PERALTE!#REF!,8,IF(RASANTE!F27&lt;=PERALTE!#REF!,(10/(PERALTE!#REF!-PERALTE!#REF!)*(RASANTE!F27-PERALTE!#REF!)-2))))),IF(AND(AH!#REF!="Izquierda",RASANTE!F27&lt;=PERALTE!$AB$26),IF(RASANTE!F27&lt;=PERALTE!$S$26,-2,IF(RASANTE!F27&lt;=PERALTE!$U$26,(-6/(PERALTE!$U$26-PERALTE!$S$26)*(RASANTE!F27-PERALTE!$S$26)-2),IF(RASANTE!F27&lt;=PERALTE!$X$26,-8,IF(RASANTE!F27&lt;=PERALTE!$Z$26,(-6/(PERALTE!$X$26-PERALTE!$Z$26)*(RASANTE!F27-PERALTE!$Z$26)-2),IF(RASANTE!F27&lt;=PERALTE!$AB$26,-2))))),IF(AND(AH!#REF!="Derecha",RASANTE!F27&lt;=PERALTE!$AB$26),IF(RASANTE!F27&lt;=PERALTE!$Q$26,-2,IF(RASANTE!F27&lt;=PERALTE!$U$26,(10/(PERALTE!$U$26-PERALTE!$Q$26)*(RASANTE!F27-PERALTE!$Q$26)-2),IF(RASANTE!F27&lt;=PERALTE!$X$26,8,IF(RASANTE!F27&lt;=PERALTE!$AB$26,(10/(PERALTE!$X$26-PERALTE!$AB$26)*(RASANTE!F27-PERALTE!$AB$26)-2))))),IF(F27&lt;=PERALTE!#REF!,-2,"Abscisa fuera de la vía")))))))))))))))))))))</f>
        <v>-8</v>
      </c>
      <c r="I27" s="28">
        <f>+IF(AND(AH!$H$8="Derecha",RASANTE!F27&lt;=PERALTE!$AB$6),IF(RASANTE!F27&lt;=PERALTE!$S$6,-2,IF(RASANTE!F27&lt;=PERALTE!$U$6,(-6/(PERALTE!$U$6-PERALTE!$S$6)*(RASANTE!F27-PERALTE!$S$6)-2),IF(RASANTE!F27&lt;=PERALTE!$X$6,-8,IF(RASANTE!F27&lt;=PERALTE!$Z$6,(-6/(PERALTE!$X$6-PERALTE!$Z$6)*(RASANTE!F27-PERALTE!$Z$6)-2),IF(RASANTE!F27&lt;=PERALTE!$AB$6,-2))))),IF(AND(AH!$H$8="Izquierda",RASANTE!F27&lt;=PERALTE!$AB$6),IF(RASANTE!F27&lt;=PERALTE!$Q$6,-2,IF(RASANTE!F27&lt;=PERALTE!$U$6,(10/(PERALTE!$U$6-PERALTE!$Q$6)*(RASANTE!F27-PERALTE!$Q$6)-2),IF(RASANTE!F27&lt;=PERALTE!$X$6,8,IF(RASANTE!F27&lt;=PERALTE!$AB$6,(10/(PERALTE!$X$6-PERALTE!$AB$6)*(RASANTE!F27-PERALTE!$AB$6)-2))))),IF(AND(AH!$H$10="Derecha",RASANTE!F27&lt;=PERALTE!$AB$8),IF(RASANTE!F27&lt;=PERALTE!$S$8,-2,IF(RASANTE!F27&lt;=PERALTE!$U$8,(-6/(PERALTE!$U$8-PERALTE!$S$8)*(RASANTE!F27-PERALTE!$S$8)-2),IF(RASANTE!F27&lt;=PERALTE!$X$8,-8,IF(RASANTE!F27&lt;=PERALTE!$Z$8,(-6/(PERALTE!$X$8-PERALTE!$Z$8)*(RASANTE!F27-PERALTE!$Z$8)-2),IF(RASANTE!F27&lt;=PERALTE!$AB$8,-2))))),IF(AND(AH!$H$10="Izquierda",RASANTE!F27&lt;=PERALTE!$AB$8),IF(RASANTE!F27&lt;=PERALTE!$Q$8,-2,IF(RASANTE!F27&lt;=PERALTE!$U$8,(10/(PERALTE!$U$8-PERALTE!$Q$8)*(RASANTE!F27-PERALTE!$Q$8)-2),IF(RASANTE!F27&lt;=PERALTE!$X$8,8,IF(RASANTE!F27&lt;=PERALTE!$AB$8,(10/(PERALTE!$X$8-PERALTE!$AB$8)*(RASANTE!F27-PERALTE!$AB$8)-2))))),IF(AND(AH!$H$12="Derecha",RASANTE!F27&lt;=PERALTE!$AB$10),IF(RASANTE!F27&lt;=PERALTE!$S$10,-2,IF(RASANTE!F27&lt;=PERALTE!$U$10,(-6/(PERALTE!$U$10-PERALTE!$S$10)*(RASANTE!F27-PERALTE!$S$10)-2),IF(RASANTE!F27&lt;=PERALTE!$X$10,-8,IF(RASANTE!F27&lt;=PERALTE!$Z$10,(-6/(PERALTE!$X$10-PERALTE!$Z$10)*(RASANTE!F27-PERALTE!$Z$10)-2),IF(RASANTE!F27&lt;=PERALTE!$AB$10,-2))))),IF(AND(AH!$H$12="Izquierda",RASANTE!F27&lt;=PERALTE!$AB$10),IF(RASANTE!F27&lt;=PERALTE!$Q$10,-2,IF(RASANTE!F27&lt;=PERALTE!$U$10,(10/(PERALTE!$U$10-PERALTE!$Q$10)*(RASANTE!F27-PERALTE!$Q$10)-2),IF(RASANTE!F27&lt;=PERALTE!$X$10,8,IF(RASANTE!F27&lt;=PERALTE!$AB$10,(10/(PERALTE!$X$10-PERALTE!$AB$10)*(RASANTE!F27-PERALTE!$AB$10)-2))))),IF(AND(AH!$H$14="Derecha",RASANTE!F27&lt;=PERALTE!$AB$12),IF(RASANTE!F27&lt;=PERALTE!$S$12,-2,IF(RASANTE!F27&lt;=PERALTE!$U$12,(-6/(PERALTE!$U$12-PERALTE!$S$12)*(RASANTE!F27-PERALTE!$S$12)-2),IF(RASANTE!F27&lt;=PERALTE!$X$12,-8,IF(RASANTE!F27&lt;=PERALTE!$Z$12,(-6/(PERALTE!$X$12-PERALTE!$Z$12)*(RASANTE!F27-PERALTE!$Z$12)-2),IF(RASANTE!F27&lt;=PERALTE!$AB$12,-2))))),IF(AND(AH!$H$14="Izquierda",RASANTE!F27&lt;=PERALTE!$AB$12),IF(RASANTE!F27&lt;=PERALTE!$Q$12,-2,IF(RASANTE!F27&lt;=PERALTE!$U$12,(10/(PERALTE!$U$12-PERALTE!$Q$12)*(RASANTE!F27-PERALTE!$Q$12)-2),IF(RASANTE!F27&lt;=PERALTE!$X$12,8,IF(RASANTE!F27&lt;=PERALTE!$AB$12,(10/(PERALTE!$X$12-PERALTE!$AB$12)*(RASANTE!F27-PERALTE!$AB$12)-2))))),IF(AND(AH!$H$16="Derecha",RASANTE!F27&lt;=PERALTE!$AB$14),IF(RASANTE!F27&lt;=PERALTE!$S$14,-2,IF(RASANTE!F27&lt;=PERALTE!$U$14,(-6/(PERALTE!$U$14-PERALTE!$S$14)*(RASANTE!F27-PERALTE!$S$14)-2),IF(RASANTE!F27&lt;=PERALTE!$X$14,-8,IF(RASANTE!F27&lt;=PERALTE!$Z$14,(-6/(PERALTE!$X$14-PERALTE!$Z$14)*(RASANTE!F27-PERALTE!$Z$14)-2),IF(RASANTE!F27&lt;=PERALTE!$AB$14,-2))))),IF(AND(AH!$H$16="Izquierda",RASANTE!F27&lt;=PERALTE!$AB$14),IF(RASANTE!F27&lt;=PERALTE!$Q$14,-2,IF(RASANTE!F27&lt;=PERALTE!$U$14,(10/(PERALTE!$U$14-PERALTE!$Q$14)*(RASANTE!F27-PERALTE!$Q$14)-2),IF(RASANTE!F27&lt;=PERALTE!$X$14,8,IF(RASANTE!F27&lt;=PERALTE!$AB$14,(10/(PERALTE!$X$14-PERALTE!$AB$14)*(RASANTE!F27-PERALTE!$AB$14)-2))))),IF(AND(AH!$H$18="Derecha",RASANTE!F27&lt;=PERALTE!$AB$16),IF(RASANTE!F27&lt;=PERALTE!$S$16,-2,IF(RASANTE!F27&lt;=PERALTE!$U$16,(-6/(PERALTE!$U$16-PERALTE!$S$16)*(RASANTE!F27-PERALTE!$S$16)-2),IF(RASANTE!F27&lt;=PERALTE!$X$16,-8,IF(RASANTE!F27&lt;=PERALTE!$Z$16,(-6/(PERALTE!$X$16-PERALTE!$Z$16)*(RASANTE!F27-PERALTE!$Z$16)-2),IF(RASANTE!F27&lt;=PERALTE!$AB$16,-2))))),IF(AND(AH!$H$18="Izquierda",RASANTE!F27&lt;=PERALTE!$AB$16),IF(RASANTE!F27&lt;=PERALTE!$Q$16,-2,IF(RASANTE!F27&lt;=PERALTE!$U$16,(10/(PERALTE!$U$16-PERALTE!$Q$16)*(RASANTE!F27-PERALTE!$Q$16)-2),IF(RASANTE!F27&lt;=PERALTE!$X$16,8,IF(RASANTE!F27&lt;=PERALTE!$AB$16,(10/(PERALTE!$X$16-PERALTE!$AB$16)*(RASANTE!F27-PERALTE!$AB$16)-2))))),IF(AND(AH!$H$20="Derecha",RASANTE!F27&lt;=PERALTE!$AB$18),IF(RASANTE!F27&lt;=PERALTE!$S$18,-2,IF(RASANTE!F27&lt;=PERALTE!$U$18,(-6/(PERALTE!$U$18-PERALTE!$S$18)*(RASANTE!F27-PERALTE!$S$18)-2),IF(RASANTE!F27&lt;=PERALTE!$X$18,-8,IF(RASANTE!F27&lt;=PERALTE!$Z$18,(-6/(PERALTE!$X$18-PERALTE!$Z$18)*(RASANTE!F27-PERALTE!$Z$18)-2),IF(RASANTE!F27&lt;=PERALTE!$AB$18,-2))))),IF(AND(AH!$H$20="Izquierda",RASANTE!F27&lt;=PERALTE!$AB$18),IF(RASANTE!F27&lt;=PERALTE!$Q$18,-2,IF(RASANTE!F27&lt;=PERALTE!$U$18,(10/(PERALTE!$U$18-PERALTE!$Q$18)*(RASANTE!F27-PERALTE!$Q$18)-2),IF(RASANTE!F27&lt;=PERALTE!$X$18,8,IF(RASANTE!F27&lt;=PERALTE!$AB$18,(10/(PERALTE!$X$18-PERALTE!$AB$18)*(RASANTE!F27-PERALTE!$AB$18)-2))))),IF(AND(AH!$H$24="Derecha",RASANTE!F27&lt;=PERALTE!$AB$22),IF(RASANTE!F27&lt;=PERALTE!$S$22,-2,IF(RASANTE!F27&lt;=PERALTE!$U$22,(-6/(PERALTE!$U$22-PERALTE!$S$22)*(RASANTE!F27-PERALTE!$S$22)-2),IF(RASANTE!F27&lt;=PERALTE!$X$22,-8,IF(RASANTE!F27&lt;=PERALTE!$Z$22,(-6/(PERALTE!$X$22-PERALTE!$Z$22)*(RASANTE!F27-PERALTE!$Z$22)-2),IF(RASANTE!F27&lt;=PERALTE!$AB$22,-2))))),IF(AND(AH!$H$24="Izquierda",RASANTE!F27&lt;=PERALTE!$AB$22),IF(RASANTE!F27&lt;=PERALTE!$Q$22,-2,IF(RASANTE!F27&lt;=PERALTE!$U$22,(10/(PERALTE!$U$22-PERALTE!$Q$22)*(RASANTE!F27-PERALTE!$Q$22)-2),IF(RASANTE!F27&lt;=PERALTE!$X$22,8,IF(RASANTE!F27&lt;=PERALTE!$AB$22,(10/(PERALTE!$X$22-PERALTE!$AB$22)*(RASANTE!F27-PERALTE!$AB$22)-2))))),IF(AND(AH!#REF!="Derecha",RASANTE!F27&lt;=PERALTE!#REF!),IF(RASANTE!F27&lt;=PERALTE!#REF!,-2,IF(RASANTE!F27&lt;=PERALTE!#REF!,(-6/(PERALTE!#REF!-PERALTE!#REF!)*(RASANTE!F27-PERALTE!#REF!)-2),IF(RASANTE!F27&lt;=PERALTE!#REF!,-8,IF(RASANTE!F27&lt;=PERALTE!#REF!,(-6/(PERALTE!#REF!-PERALTE!#REF!)*(RASANTE!F27-PERALTE!#REF!)-2),IF(RASANTE!F27&lt;=PERALTE!#REF!,-2))))),IF(AND(AH!#REF!="Izquierda",RASANTE!F27&lt;=PERALTE!#REF!),IF(RASANTE!F27&lt;=PERALTE!#REF!,-2,IF(RASANTE!F27&lt;=PERALTE!#REF!,(10/(PERALTE!#REF!-PERALTE!#REF!)*(RASANTE!F27-PERALTE!#REF!)-2),IF(RASANTE!F27&lt;=PERALTE!#REF!,8,IF(RASANTE!F27&lt;=PERALTE!#REF!,(10/(PERALTE!#REF!-PERALTE!#REF!)*(RASANTE!F27-PERALTE!#REF!)-2))))),IF(AND(AH!#REF!="Derecha",RASANTE!F27&lt;=PERALTE!$AB$26),IF(RASANTE!F27&lt;=PERALTE!$S$26,-2,IF(RASANTE!F27&lt;=PERALTE!$U$26,(-6/(PERALTE!$U$26-PERALTE!$S$26)*(RASANTE!F27-PERALTE!$S$26)-2),IF(RASANTE!F27&lt;=PERALTE!$X$26,-8,IF(RASANTE!F27&lt;=PERALTE!$Z$26,(-6/(PERALTE!$X$26-PERALTE!$Z$26)*(RASANTE!F27-PERALTE!$Z$26)-2),IF(RASANTE!F27&lt;=PERALTE!$AB$26,-2))))),IF(AND(AH!#REF!="Izquierda",RASANTE!F27&lt;=PERALTE!$AB$26),IF(RASANTE!F27&lt;=PERALTE!$Q$26,-2,IF(RASANTE!F27&lt;=PERALTE!$U$26,(10/(PERALTE!$U$26-PERALTE!$Q$26)*(RASANTE!F27-PERALTE!$Q$26)-2),IF(RASANTE!F27&lt;=PERALTE!$X$26,8,IF(RASANTE!F27&lt;=PERALTE!$AB$26,(10/(PERALTE!$X$26-PERALTE!$AB$26)*(RASANTE!F27-PERALTE!$AB$26)-2))))),IF(F27&lt;=PERALTE!#REF!,-2,"Abscisa fuera de la vía")))))))))))))))))))))</f>
        <v>8</v>
      </c>
      <c r="J27" s="28">
        <f t="shared" si="1"/>
        <v>1649.3414000000002</v>
      </c>
      <c r="K27" s="356">
        <f>+IF(AND(AV!$S$6&lt;F183,F183&lt;=AV!$T$6),AV!$P$6*((AV!$S$6-RASANTE!F183)/(AV!$N$6))^2,IF(AND(AV!$T$6&lt;RASANTE!F183,F183&lt;AV!$U$6),AV!$P$6*((AV!$U$6-RASANTE!F183)/(AV!$O$6))^2,IF(AND(AV!$S$8&lt;F183,F183&lt;=AV!$T$8),AV!$P$8*((AV!$S$8-RASANTE!F183)/(AV!$N$8))^2,IF(AND(AV!$T$8&lt;RASANTE!F183,F183&lt;AV!$U$8),AV!$P$8*((AV!$U$8-RASANTE!F183)/(AV!$O$8))^2,IF(AND(AV!$S$10&lt;F183,F183&lt;=AV!$T$10),AV!$P$10*((AV!$S$10-RASANTE!F183)/(AV!$N$10))^2,IF(AND(AV!$T$10&lt;RASANTE!F183,F183&lt;AV!$U$10),AV!$P$10*((AV!$U$10-RASANTE!F183)/(AV!$O$10))^2,IF(AND(AV!$S$12&lt;F183,F183&lt;=AV!$T$12),AV!$P$12*((AV!$S$12-RASANTE!F183)/(AV!$N$12))^2,IF(AND(AV!$T$12&lt;RASANTE!F183,F183&lt;AV!$U$12),AV!$P$12*((AV!$U$12-RASANTE!F183)/(AV!$O$12))^2,IF(AND(AV!$S$14&lt;F183,F183&lt;=AV!$T$14),AV!$P$14*((AV!$S$14-RASANTE!F183)/(AV!$N$14))^2,IF(AND(AV!$T$14&lt;RASANTE!F183,F183&lt;AV!$U$14),AV!$P$14*((AV!$U$14-RASANTE!F183)/(AV!$O$14))^2,IF(AND(AV!$S$16&lt;F183,F183&lt;=AV!$T$16),AV!$P$16*((AV!$S$16-RASANTE!F183)/(AV!$N$16))^2,IF(AND(AV!$T$16&lt;RASANTE!F183,F183&lt;AV!$U$16),AV!$P$16*((AV!$U$16-RASANTE!F183)/(AV!$O$16))^2,IF(AND(AV!$S$18&lt;F183,F183&lt;=AV!$T$18),AV!$P$18*((AV!$S$18-RASANTE!F183)/(AV!$N$18))^2,IF(AND(AV!$T$18&lt;RASANTE!F183,F183&lt;AV!$U$18),AV!$P$18*((AV!$U$18-RASANTE!F183)/(AV!$O$18))^2,IF(AND(AV!$S$20&lt;F183,F183&lt;=AV!$T$20),AV!$P$20*((AV!$S$20-RASANTE!F183)/(AV!$N$20))^2,IF(AND(AV!$T$20&lt;RASANTE!F183,F183&lt;AV!$U$20),AV!$P$20*((AV!$U$20-RASANTE!F183)/(AV!$O$20))^2,IF(AND(AV!$S$22&lt;F183,F183&lt;=AV!$T$22),AV!$P$22*((AV!$S$22-RASANTE!F183)/(AV!$N$22))^2,IF(AND(AV!$T$22&lt;RASANTE!F183,F183&lt;AV!$U$22),AV!$P$22*((AV!$U$22-RASANTE!F183)/(AV!$O$22))^2,IF(AND(AV!$S$24&lt;F183,F183&lt;=AV!$T$24),AV!$P$24*((AV!$S$24-RASANTE!F183)/(AV!$N$24))^2,IF(AND(AV!$T$24&lt;RASANTE!F183,F183&lt;AV!$U$24),AV!$P$24*((AV!$U$24-RASANTE!F183)/(AV!$O$24))^2,0))))))))))))))))))))</f>
        <v>0</v>
      </c>
      <c r="L27" s="28">
        <f>+M27+H27%*PERALTE!$C$32</f>
        <v>1649.0614000000003</v>
      </c>
      <c r="M27" s="28">
        <f>J27+K27</f>
        <v>1649.3414000000002</v>
      </c>
      <c r="N27" s="28">
        <f>+M27+I27%*PERALTE!$C$32</f>
        <v>1649.6214000000002</v>
      </c>
      <c r="O27" s="92"/>
      <c r="P27" s="84"/>
      <c r="Q27" s="108" t="s">
        <v>91</v>
      </c>
      <c r="R27" s="108" t="s">
        <v>182</v>
      </c>
      <c r="S27" s="4" t="s">
        <v>183</v>
      </c>
      <c r="T27" s="4" t="s">
        <v>184</v>
      </c>
      <c r="U27" s="84"/>
      <c r="V27" s="84"/>
      <c r="W27" s="84"/>
      <c r="X27" s="84"/>
      <c r="Y27" s="84"/>
    </row>
    <row r="28" spans="1:25" ht="15.75" customHeight="1" x14ac:dyDescent="0.2">
      <c r="A28" s="111"/>
      <c r="B28" s="116">
        <f>AH!R8</f>
        <v>0.27083333333333331</v>
      </c>
      <c r="C28" s="117">
        <f>PERALTE!C34</f>
        <v>8</v>
      </c>
      <c r="D28" s="118"/>
      <c r="E28" s="115"/>
      <c r="F28" s="34">
        <v>180</v>
      </c>
      <c r="G28" s="88">
        <f>IF(F28&lt;=AV!$T$6,AV!$C$5,IF(RASANTE!F28&lt;=AV!$T$8,AV!$C$7,IF(RASANTE!F28&lt;=AV!$T$10,AV!$C$9,IF(RASANTE!F28&lt;=AV!$T$12,AV!#REF!,IF(RASANTE!F28&lt;=AV!$T$14,AV!$C$11,IF(RASANTE!F28&lt;=AV!$T$16,AV!$C$13, IF(RASANTE!F28&lt;=AV!$T$18,AV!$C$15,IF(RASANTE!F28&lt;=AV!$T$20,AV!$C$19,IF(RASANTE!F28&lt;=AV!$T$22,AV!$C$21,IF(RASANTE!F28&lt;=AV!$T$24,AV!$C$23,AV!$C$25))))))))))</f>
        <v>3.1419999999999999</v>
      </c>
      <c r="H28" s="28">
        <f>+IF(AND(AH!$H$8="Izquierda",RASANTE!F28&lt;=PERALTE!$AB$6),IF(RASANTE!F28&lt;=PERALTE!$S$6,-2,IF(RASANTE!F28&lt;=PERALTE!$U$6,(-6/(PERALTE!$U$6-PERALTE!$S$6)*(RASANTE!F28-PERALTE!$S$6)-2),IF(RASANTE!F28&lt;=PERALTE!$X$6,-8,IF(RASANTE!F28&lt;=PERALTE!$Z$6,(-6/(PERALTE!$X$6-PERALTE!$Z$6)*(RASANTE!F28-PERALTE!$Z$6)-2),IF(RASANTE!F28&lt;=PERALTE!$AB$6,-2))))),IF(AND(AH!$H$8="Derecha",RASANTE!F28&lt;=PERALTE!$AB$6),IF(RASANTE!F28&lt;=PERALTE!$Q$6,-2,IF(RASANTE!F28&lt;=PERALTE!$U$6,(10/(PERALTE!$U$6-PERALTE!$Q$6)*(RASANTE!F28-PERALTE!$Q$6)-2),IF(RASANTE!F28&lt;=PERALTE!$X$6,8,IF(RASANTE!F28&lt;=PERALTE!$AB$6,(10/(PERALTE!$X$6-PERALTE!$AB$6)*(RASANTE!F28-PERALTE!$AB$6)-2))))),IF(AND(AH!$H$10="Izquierda",RASANTE!F28&lt;=PERALTE!$AB$8),IF(RASANTE!F28&lt;=PERALTE!$S$8,-2,IF(RASANTE!F28&lt;=PERALTE!$U$8,(-6/(PERALTE!$U$8-PERALTE!$S$8)*(RASANTE!F28-PERALTE!$S$8)-2),IF(RASANTE!F28&lt;=PERALTE!$X$8,-8,IF(RASANTE!F28&lt;=PERALTE!$Z$8,(-6/(PERALTE!$X$8-PERALTE!$Z$8)*(RASANTE!F28-PERALTE!$Z$8)-2),IF(RASANTE!F28&lt;=PERALTE!$AB$8,-2))))),IF(AND(AH!$H$10="Derecha",RASANTE!F28&lt;=PERALTE!$AB$8),IF(RASANTE!F28&lt;=PERALTE!$Q$8,-2,IF(RASANTE!F28&lt;=PERALTE!$U$8,(10/(PERALTE!$U$8-PERALTE!$Q$8)*(RASANTE!F28-PERALTE!$Q$8)-2),IF(RASANTE!F28&lt;=PERALTE!$X$8,8,IF(RASANTE!F28&lt;=PERALTE!$AB$8,(10/(PERALTE!$X$8-PERALTE!$AB$8)*(RASANTE!F28-PERALTE!$AB$8)-2))))),IF(AND(AH!$H$12="Izquierda",RASANTE!F28&lt;=PERALTE!$AB$10),IF(RASANTE!F28&lt;=PERALTE!$S$10,-2,IF(RASANTE!F28&lt;=PERALTE!$U$10,(-6/(PERALTE!$U$10-PERALTE!$S$10)*(RASANTE!F28-PERALTE!$S$10)-2),IF(RASANTE!F28&lt;=PERALTE!$X$10,-8,IF(RASANTE!F28&lt;=PERALTE!$Z$10,(-6/(PERALTE!$X$10-PERALTE!$Z$10)*(RASANTE!F28-PERALTE!$Z$10)-2),IF(RASANTE!F28&lt;=PERALTE!$AB$10,-2))))),IF(AND(AH!$H$12="Derecha",RASANTE!F28&lt;=PERALTE!$AB$10),IF(RASANTE!F28&lt;=PERALTE!$Q$10,-2,IF(RASANTE!F28&lt;=PERALTE!$U$10,(10/(PERALTE!$U$10-PERALTE!$Q$10)*(RASANTE!F28-PERALTE!$Q$10)-2),IF(RASANTE!F28&lt;=PERALTE!$X$10,8,IF(RASANTE!F28&lt;=PERALTE!$AB$10,(10/(PERALTE!$X$10-PERALTE!$AB$10)*(RASANTE!F28-PERALTE!$AB$10)-2))))),IF(AND(AH!$H$14="Izquierda",RASANTE!F28&lt;=PERALTE!$AB$12),IF(RASANTE!F28&lt;=PERALTE!$S$12,-2,IF(RASANTE!F28&lt;=PERALTE!$U$12,(-6/(PERALTE!$U$12-PERALTE!$S$12)*(RASANTE!F28-PERALTE!$S$12)-2),IF(RASANTE!F28&lt;=PERALTE!$X$12,-8,IF(RASANTE!F28&lt;=PERALTE!$Z$12,(-6/(PERALTE!$X$12-PERALTE!$Z$12)*(RASANTE!F28-PERALTE!$Z$12)-2),IF(RASANTE!F28&lt;=PERALTE!$AB$12,-2))))),IF(AND(AH!$H$14="Derecha",RASANTE!F28&lt;=PERALTE!$AB$12),IF(RASANTE!F28&lt;=PERALTE!$Q$12,-2,IF(RASANTE!F28&lt;=PERALTE!$U$12,(10/(PERALTE!$U$12-PERALTE!$Q$12)*(RASANTE!F28-PERALTE!$Q$12)-2),IF(RASANTE!F28&lt;=PERALTE!$X$12,8,IF(RASANTE!F28&lt;=PERALTE!$AB$12,(10/(PERALTE!$X$12-PERALTE!$AB$12)*(RASANTE!F28-PERALTE!$AB$12)-2))))),IF(AND(AH!$H$16="Izquierda",RASANTE!F28&lt;=PERALTE!$AB$14),IF(RASANTE!F28&lt;=PERALTE!$S$14,-2,IF(RASANTE!F28&lt;=PERALTE!$U$14,(-6/(PERALTE!$U$14-PERALTE!$S$14)*(RASANTE!F28-PERALTE!$S$14)-2),IF(RASANTE!F28&lt;=PERALTE!$X$14,-8,IF(RASANTE!F28&lt;=PERALTE!$Z$14,(-6/(PERALTE!$X$14-PERALTE!$Z$14)*(RASANTE!F28-PERALTE!$Z$14)-2),IF(RASANTE!F28&lt;=PERALTE!$AB$14,-2))))),IF(AND(AH!$H$16="Derecha",RASANTE!F28&lt;=PERALTE!$AB$14),IF(RASANTE!F28&lt;=PERALTE!$Q$14,-2,IF(RASANTE!F28&lt;=PERALTE!$U$14,(10/(PERALTE!$U$14-PERALTE!$Q$14)*(RASANTE!F28-PERALTE!$Q$14)-2),IF(RASANTE!F28&lt;=PERALTE!$X$14,8,IF(RASANTE!F28&lt;=PERALTE!$AB$14,(10/(PERALTE!$X$14-PERALTE!$AB$14)*(RASANTE!F28-PERALTE!$AB$14)-2))))),IF(AND(AH!$H$18="Izquierda",RASANTE!F28&lt;=PERALTE!$AB$16),IF(RASANTE!F28&lt;=PERALTE!$S$16,-2,IF(RASANTE!F28&lt;=PERALTE!$U$16,(-6/(PERALTE!$U$16-PERALTE!$S$16)*(RASANTE!F28-PERALTE!$S$16)-2),IF(RASANTE!F28&lt;=PERALTE!$X$16,-8,IF(RASANTE!F28&lt;=PERALTE!$Z$16,(-6/(PERALTE!$X$16-PERALTE!$Z$16)*(RASANTE!F28-PERALTE!$Z$16)-2),IF(RASANTE!F28&lt;=PERALTE!$AB$16,-2))))),IF(AND(AH!$H$18="Derecha",RASANTE!F28&lt;=PERALTE!$AB$16),IF(RASANTE!F28&lt;=PERALTE!$Q$16,-2,IF(RASANTE!F28&lt;=PERALTE!$U$16,(10/(PERALTE!$U$16-PERALTE!$Q$16)*(RASANTE!F28-PERALTE!$Q$16)-2),IF(RASANTE!F28&lt;=PERALTE!$X$16,8,IF(RASANTE!F28&lt;=PERALTE!$AB$16,(10/(PERALTE!$X$16-PERALTE!$AB$16)*(RASANTE!F28-PERALTE!$AB$16)-2))))),IF(AND(AH!$H$20="Izquierda",RASANTE!F28&lt;=PERALTE!$AB$18),IF(RASANTE!F28&lt;=PERALTE!$S$18,-2,IF(RASANTE!F28&lt;=PERALTE!$U$18,(-6/(PERALTE!$U$18-PERALTE!$S$18)*(RASANTE!F28-PERALTE!$S$18)-2),IF(RASANTE!F28&lt;=PERALTE!$X$18,-8,IF(RASANTE!F28&lt;=PERALTE!$Z$18,(-6/(PERALTE!$X$18-PERALTE!$Z$18)*(RASANTE!F28-PERALTE!$Z$18)-2),IF(RASANTE!F28&lt;=PERALTE!$AB$18,-2))))),IF(AND(AH!$H$20="Derecha",RASANTE!F28&lt;=PERALTE!$AB$18),IF(RASANTE!F28&lt;=PERALTE!$Q$18,-2,IF(RASANTE!F28&lt;=PERALTE!$U$18,(10/(PERALTE!$U$18-PERALTE!$Q$18)*(RASANTE!F28-PERALTE!$Q$18)-2),IF(RASANTE!F28&lt;=PERALTE!$X$18,8,IF(RASANTE!F28&lt;=PERALTE!$AB$18,(10/(PERALTE!$X$18-PERALTE!$AB$18)*(RASANTE!F28-PERALTE!$AB$18)-2))))),IF(AND(AH!$H$24="Izquierda",RASANTE!F28&lt;=PERALTE!$AB$22),IF(RASANTE!F28&lt;=PERALTE!$S$22,-2,IF(RASANTE!F28&lt;=PERALTE!$U$22,(-6/(PERALTE!$U$22-PERALTE!$S$22)*(RASANTE!F28-PERALTE!$S$22)-2),IF(RASANTE!F28&lt;=PERALTE!$X$22,-8,IF(RASANTE!F28&lt;=PERALTE!$Z$22,(-6/(PERALTE!$X$22-PERALTE!$Z$22)*(RASANTE!F28-PERALTE!$Z$22)-2),IF(RASANTE!F28&lt;=PERALTE!$AB$22,-2))))),IF(AND(AH!$H$24="Derecha",RASANTE!F28&lt;=PERALTE!$AB$22),IF(RASANTE!F28&lt;=PERALTE!$Q$22,-2,IF(RASANTE!F28&lt;=PERALTE!$U$22,(10/(PERALTE!$U$22-PERALTE!$Q$22)*(RASANTE!F28-PERALTE!$Q$22)-2),IF(RASANTE!F28&lt;=PERALTE!$X$22,8,IF(RASANTE!F28&lt;=PERALTE!$AB$22,(10/(PERALTE!$X$22-PERALTE!$AB$22)*(RASANTE!F28-PERALTE!$AB$22)-2))))),IF(AND(AH!#REF!="Izquierda",RASANTE!F28&lt;=PERALTE!#REF!),IF(RASANTE!F28&lt;=PERALTE!#REF!,-2,IF(RASANTE!F28&lt;=PERALTE!#REF!,(-6/(PERALTE!#REF!-PERALTE!#REF!)*(RASANTE!F28-PERALTE!#REF!)-2),IF(RASANTE!F28&lt;=PERALTE!#REF!,-8,IF(RASANTE!F28&lt;=PERALTE!#REF!,(-6/(PERALTE!#REF!-PERALTE!#REF!)*(RASANTE!F28-PERALTE!#REF!)-2),IF(RASANTE!F28&lt;=PERALTE!#REF!,-2))))),IF(AND(AH!#REF!="Derecha",RASANTE!F28&lt;=PERALTE!#REF!),IF(RASANTE!F28&lt;=PERALTE!#REF!,-2,IF(RASANTE!F28&lt;=PERALTE!#REF!,(10/(PERALTE!#REF!-PERALTE!#REF!)*(RASANTE!F28-PERALTE!#REF!)-2),IF(RASANTE!F28&lt;=PERALTE!#REF!,8,IF(RASANTE!F28&lt;=PERALTE!#REF!,(10/(PERALTE!#REF!-PERALTE!#REF!)*(RASANTE!F28-PERALTE!#REF!)-2))))),IF(AND(AH!#REF!="Izquierda",RASANTE!F28&lt;=PERALTE!$AB$26),IF(RASANTE!F28&lt;=PERALTE!$S$26,-2,IF(RASANTE!F28&lt;=PERALTE!$U$26,(-6/(PERALTE!$U$26-PERALTE!$S$26)*(RASANTE!F28-PERALTE!$S$26)-2),IF(RASANTE!F28&lt;=PERALTE!$X$26,-8,IF(RASANTE!F28&lt;=PERALTE!$Z$26,(-6/(PERALTE!$X$26-PERALTE!$Z$26)*(RASANTE!F28-PERALTE!$Z$26)-2),IF(RASANTE!F28&lt;=PERALTE!$AB$26,-2))))),IF(AND(AH!#REF!="Derecha",RASANTE!F28&lt;=PERALTE!$AB$26),IF(RASANTE!F28&lt;=PERALTE!$Q$26,-2,IF(RASANTE!F28&lt;=PERALTE!$U$26,(10/(PERALTE!$U$26-PERALTE!$Q$26)*(RASANTE!F28-PERALTE!$Q$26)-2),IF(RASANTE!F28&lt;=PERALTE!$X$26,8,IF(RASANTE!F28&lt;=PERALTE!$AB$26,(10/(PERALTE!$X$26-PERALTE!$AB$26)*(RASANTE!F28-PERALTE!$AB$26)-2))))),IF(F28&lt;=PERALTE!#REF!,-2,"Abscisa fuera de la vía")))))))))))))))))))))</f>
        <v>-8</v>
      </c>
      <c r="I28" s="28">
        <f>+IF(AND(AH!$H$8="Derecha",RASANTE!F28&lt;=PERALTE!$AB$6),IF(RASANTE!F28&lt;=PERALTE!$S$6,-2,IF(RASANTE!F28&lt;=PERALTE!$U$6,(-6/(PERALTE!$U$6-PERALTE!$S$6)*(RASANTE!F28-PERALTE!$S$6)-2),IF(RASANTE!F28&lt;=PERALTE!$X$6,-8,IF(RASANTE!F28&lt;=PERALTE!$Z$6,(-6/(PERALTE!$X$6-PERALTE!$Z$6)*(RASANTE!F28-PERALTE!$Z$6)-2),IF(RASANTE!F28&lt;=PERALTE!$AB$6,-2))))),IF(AND(AH!$H$8="Izquierda",RASANTE!F28&lt;=PERALTE!$AB$6),IF(RASANTE!F28&lt;=PERALTE!$Q$6,-2,IF(RASANTE!F28&lt;=PERALTE!$U$6,(10/(PERALTE!$U$6-PERALTE!$Q$6)*(RASANTE!F28-PERALTE!$Q$6)-2),IF(RASANTE!F28&lt;=PERALTE!$X$6,8,IF(RASANTE!F28&lt;=PERALTE!$AB$6,(10/(PERALTE!$X$6-PERALTE!$AB$6)*(RASANTE!F28-PERALTE!$AB$6)-2))))),IF(AND(AH!$H$10="Derecha",RASANTE!F28&lt;=PERALTE!$AB$8),IF(RASANTE!F28&lt;=PERALTE!$S$8,-2,IF(RASANTE!F28&lt;=PERALTE!$U$8,(-6/(PERALTE!$U$8-PERALTE!$S$8)*(RASANTE!F28-PERALTE!$S$8)-2),IF(RASANTE!F28&lt;=PERALTE!$X$8,-8,IF(RASANTE!F28&lt;=PERALTE!$Z$8,(-6/(PERALTE!$X$8-PERALTE!$Z$8)*(RASANTE!F28-PERALTE!$Z$8)-2),IF(RASANTE!F28&lt;=PERALTE!$AB$8,-2))))),IF(AND(AH!$H$10="Izquierda",RASANTE!F28&lt;=PERALTE!$AB$8),IF(RASANTE!F28&lt;=PERALTE!$Q$8,-2,IF(RASANTE!F28&lt;=PERALTE!$U$8,(10/(PERALTE!$U$8-PERALTE!$Q$8)*(RASANTE!F28-PERALTE!$Q$8)-2),IF(RASANTE!F28&lt;=PERALTE!$X$8,8,IF(RASANTE!F28&lt;=PERALTE!$AB$8,(10/(PERALTE!$X$8-PERALTE!$AB$8)*(RASANTE!F28-PERALTE!$AB$8)-2))))),IF(AND(AH!$H$12="Derecha",RASANTE!F28&lt;=PERALTE!$AB$10),IF(RASANTE!F28&lt;=PERALTE!$S$10,-2,IF(RASANTE!F28&lt;=PERALTE!$U$10,(-6/(PERALTE!$U$10-PERALTE!$S$10)*(RASANTE!F28-PERALTE!$S$10)-2),IF(RASANTE!F28&lt;=PERALTE!$X$10,-8,IF(RASANTE!F28&lt;=PERALTE!$Z$10,(-6/(PERALTE!$X$10-PERALTE!$Z$10)*(RASANTE!F28-PERALTE!$Z$10)-2),IF(RASANTE!F28&lt;=PERALTE!$AB$10,-2))))),IF(AND(AH!$H$12="Izquierda",RASANTE!F28&lt;=PERALTE!$AB$10),IF(RASANTE!F28&lt;=PERALTE!$Q$10,-2,IF(RASANTE!F28&lt;=PERALTE!$U$10,(10/(PERALTE!$U$10-PERALTE!$Q$10)*(RASANTE!F28-PERALTE!$Q$10)-2),IF(RASANTE!F28&lt;=PERALTE!$X$10,8,IF(RASANTE!F28&lt;=PERALTE!$AB$10,(10/(PERALTE!$X$10-PERALTE!$AB$10)*(RASANTE!F28-PERALTE!$AB$10)-2))))),IF(AND(AH!$H$14="Derecha",RASANTE!F28&lt;=PERALTE!$AB$12),IF(RASANTE!F28&lt;=PERALTE!$S$12,-2,IF(RASANTE!F28&lt;=PERALTE!$U$12,(-6/(PERALTE!$U$12-PERALTE!$S$12)*(RASANTE!F28-PERALTE!$S$12)-2),IF(RASANTE!F28&lt;=PERALTE!$X$12,-8,IF(RASANTE!F28&lt;=PERALTE!$Z$12,(-6/(PERALTE!$X$12-PERALTE!$Z$12)*(RASANTE!F28-PERALTE!$Z$12)-2),IF(RASANTE!F28&lt;=PERALTE!$AB$12,-2))))),IF(AND(AH!$H$14="Izquierda",RASANTE!F28&lt;=PERALTE!$AB$12),IF(RASANTE!F28&lt;=PERALTE!$Q$12,-2,IF(RASANTE!F28&lt;=PERALTE!$U$12,(10/(PERALTE!$U$12-PERALTE!$Q$12)*(RASANTE!F28-PERALTE!$Q$12)-2),IF(RASANTE!F28&lt;=PERALTE!$X$12,8,IF(RASANTE!F28&lt;=PERALTE!$AB$12,(10/(PERALTE!$X$12-PERALTE!$AB$12)*(RASANTE!F28-PERALTE!$AB$12)-2))))),IF(AND(AH!$H$16="Derecha",RASANTE!F28&lt;=PERALTE!$AB$14),IF(RASANTE!F28&lt;=PERALTE!$S$14,-2,IF(RASANTE!F28&lt;=PERALTE!$U$14,(-6/(PERALTE!$U$14-PERALTE!$S$14)*(RASANTE!F28-PERALTE!$S$14)-2),IF(RASANTE!F28&lt;=PERALTE!$X$14,-8,IF(RASANTE!F28&lt;=PERALTE!$Z$14,(-6/(PERALTE!$X$14-PERALTE!$Z$14)*(RASANTE!F28-PERALTE!$Z$14)-2),IF(RASANTE!F28&lt;=PERALTE!$AB$14,-2))))),IF(AND(AH!$H$16="Izquierda",RASANTE!F28&lt;=PERALTE!$AB$14),IF(RASANTE!F28&lt;=PERALTE!$Q$14,-2,IF(RASANTE!F28&lt;=PERALTE!$U$14,(10/(PERALTE!$U$14-PERALTE!$Q$14)*(RASANTE!F28-PERALTE!$Q$14)-2),IF(RASANTE!F28&lt;=PERALTE!$X$14,8,IF(RASANTE!F28&lt;=PERALTE!$AB$14,(10/(PERALTE!$X$14-PERALTE!$AB$14)*(RASANTE!F28-PERALTE!$AB$14)-2))))),IF(AND(AH!$H$18="Derecha",RASANTE!F28&lt;=PERALTE!$AB$16),IF(RASANTE!F28&lt;=PERALTE!$S$16,-2,IF(RASANTE!F28&lt;=PERALTE!$U$16,(-6/(PERALTE!$U$16-PERALTE!$S$16)*(RASANTE!F28-PERALTE!$S$16)-2),IF(RASANTE!F28&lt;=PERALTE!$X$16,-8,IF(RASANTE!F28&lt;=PERALTE!$Z$16,(-6/(PERALTE!$X$16-PERALTE!$Z$16)*(RASANTE!F28-PERALTE!$Z$16)-2),IF(RASANTE!F28&lt;=PERALTE!$AB$16,-2))))),IF(AND(AH!$H$18="Izquierda",RASANTE!F28&lt;=PERALTE!$AB$16),IF(RASANTE!F28&lt;=PERALTE!$Q$16,-2,IF(RASANTE!F28&lt;=PERALTE!$U$16,(10/(PERALTE!$U$16-PERALTE!$Q$16)*(RASANTE!F28-PERALTE!$Q$16)-2),IF(RASANTE!F28&lt;=PERALTE!$X$16,8,IF(RASANTE!F28&lt;=PERALTE!$AB$16,(10/(PERALTE!$X$16-PERALTE!$AB$16)*(RASANTE!F28-PERALTE!$AB$16)-2))))),IF(AND(AH!$H$20="Derecha",RASANTE!F28&lt;=PERALTE!$AB$18),IF(RASANTE!F28&lt;=PERALTE!$S$18,-2,IF(RASANTE!F28&lt;=PERALTE!$U$18,(-6/(PERALTE!$U$18-PERALTE!$S$18)*(RASANTE!F28-PERALTE!$S$18)-2),IF(RASANTE!F28&lt;=PERALTE!$X$18,-8,IF(RASANTE!F28&lt;=PERALTE!$Z$18,(-6/(PERALTE!$X$18-PERALTE!$Z$18)*(RASANTE!F28-PERALTE!$Z$18)-2),IF(RASANTE!F28&lt;=PERALTE!$AB$18,-2))))),IF(AND(AH!$H$20="Izquierda",RASANTE!F28&lt;=PERALTE!$AB$18),IF(RASANTE!F28&lt;=PERALTE!$Q$18,-2,IF(RASANTE!F28&lt;=PERALTE!$U$18,(10/(PERALTE!$U$18-PERALTE!$Q$18)*(RASANTE!F28-PERALTE!$Q$18)-2),IF(RASANTE!F28&lt;=PERALTE!$X$18,8,IF(RASANTE!F28&lt;=PERALTE!$AB$18,(10/(PERALTE!$X$18-PERALTE!$AB$18)*(RASANTE!F28-PERALTE!$AB$18)-2))))),IF(AND(AH!$H$24="Derecha",RASANTE!F28&lt;=PERALTE!$AB$22),IF(RASANTE!F28&lt;=PERALTE!$S$22,-2,IF(RASANTE!F28&lt;=PERALTE!$U$22,(-6/(PERALTE!$U$22-PERALTE!$S$22)*(RASANTE!F28-PERALTE!$S$22)-2),IF(RASANTE!F28&lt;=PERALTE!$X$22,-8,IF(RASANTE!F28&lt;=PERALTE!$Z$22,(-6/(PERALTE!$X$22-PERALTE!$Z$22)*(RASANTE!F28-PERALTE!$Z$22)-2),IF(RASANTE!F28&lt;=PERALTE!$AB$22,-2))))),IF(AND(AH!$H$24="Izquierda",RASANTE!F28&lt;=PERALTE!$AB$22),IF(RASANTE!F28&lt;=PERALTE!$Q$22,-2,IF(RASANTE!F28&lt;=PERALTE!$U$22,(10/(PERALTE!$U$22-PERALTE!$Q$22)*(RASANTE!F28-PERALTE!$Q$22)-2),IF(RASANTE!F28&lt;=PERALTE!$X$22,8,IF(RASANTE!F28&lt;=PERALTE!$AB$22,(10/(PERALTE!$X$22-PERALTE!$AB$22)*(RASANTE!F28-PERALTE!$AB$22)-2))))),IF(AND(AH!#REF!="Derecha",RASANTE!F28&lt;=PERALTE!#REF!),IF(RASANTE!F28&lt;=PERALTE!#REF!,-2,IF(RASANTE!F28&lt;=PERALTE!#REF!,(-6/(PERALTE!#REF!-PERALTE!#REF!)*(RASANTE!F28-PERALTE!#REF!)-2),IF(RASANTE!F28&lt;=PERALTE!#REF!,-8,IF(RASANTE!F28&lt;=PERALTE!#REF!,(-6/(PERALTE!#REF!-PERALTE!#REF!)*(RASANTE!F28-PERALTE!#REF!)-2),IF(RASANTE!F28&lt;=PERALTE!#REF!,-2))))),IF(AND(AH!#REF!="Izquierda",RASANTE!F28&lt;=PERALTE!#REF!),IF(RASANTE!F28&lt;=PERALTE!#REF!,-2,IF(RASANTE!F28&lt;=PERALTE!#REF!,(10/(PERALTE!#REF!-PERALTE!#REF!)*(RASANTE!F28-PERALTE!#REF!)-2),IF(RASANTE!F28&lt;=PERALTE!#REF!,8,IF(RASANTE!F28&lt;=PERALTE!#REF!,(10/(PERALTE!#REF!-PERALTE!#REF!)*(RASANTE!F28-PERALTE!#REF!)-2))))),IF(AND(AH!#REF!="Derecha",RASANTE!F28&lt;=PERALTE!$AB$26),IF(RASANTE!F28&lt;=PERALTE!$S$26,-2,IF(RASANTE!F28&lt;=PERALTE!$U$26,(-6/(PERALTE!$U$26-PERALTE!$S$26)*(RASANTE!F28-PERALTE!$S$26)-2),IF(RASANTE!F28&lt;=PERALTE!$X$26,-8,IF(RASANTE!F28&lt;=PERALTE!$Z$26,(-6/(PERALTE!$X$26-PERALTE!$Z$26)*(RASANTE!F28-PERALTE!$Z$26)-2),IF(RASANTE!F28&lt;=PERALTE!$AB$26,-2))))),IF(AND(AH!#REF!="Izquierda",RASANTE!F28&lt;=PERALTE!$AB$26),IF(RASANTE!F28&lt;=PERALTE!$Q$26,-2,IF(RASANTE!F28&lt;=PERALTE!$U$26,(10/(PERALTE!$U$26-PERALTE!$Q$26)*(RASANTE!F28-PERALTE!$Q$26)-2),IF(RASANTE!F28&lt;=PERALTE!$X$26,8,IF(RASANTE!F28&lt;=PERALTE!$AB$26,(10/(PERALTE!$X$26-PERALTE!$AB$26)*(RASANTE!F28-PERALTE!$AB$26)-2))))),IF(F28&lt;=PERALTE!#REF!,-2,"Abscisa fuera de la vía")))))))))))))))))))))</f>
        <v>8</v>
      </c>
      <c r="J28" s="28">
        <f t="shared" si="1"/>
        <v>1649.6556000000003</v>
      </c>
      <c r="K28" s="356">
        <f>+IF(AND(AV!$S$6&lt;F184,F184&lt;=AV!$T$6),AV!$P$6*((AV!$S$6-RASANTE!F184)/(AV!$N$6))^2,IF(AND(AV!$T$6&lt;RASANTE!F184,F184&lt;AV!$U$6),AV!$P$6*((AV!$U$6-RASANTE!F184)/(AV!$O$6))^2,IF(AND(AV!$S$8&lt;F184,F184&lt;=AV!$T$8),AV!$P$8*((AV!$S$8-RASANTE!F184)/(AV!$N$8))^2,IF(AND(AV!$T$8&lt;RASANTE!F184,F184&lt;AV!$U$8),AV!$P$8*((AV!$U$8-RASANTE!F184)/(AV!$O$8))^2,IF(AND(AV!$S$10&lt;F184,F184&lt;=AV!$T$10),AV!$P$10*((AV!$S$10-RASANTE!F184)/(AV!$N$10))^2,IF(AND(AV!$T$10&lt;RASANTE!F184,F184&lt;AV!$U$10),AV!$P$10*((AV!$U$10-RASANTE!F184)/(AV!$O$10))^2,IF(AND(AV!$S$12&lt;F184,F184&lt;=AV!$T$12),AV!$P$12*((AV!$S$12-RASANTE!F184)/(AV!$N$12))^2,IF(AND(AV!$T$12&lt;RASANTE!F184,F184&lt;AV!$U$12),AV!$P$12*((AV!$U$12-RASANTE!F184)/(AV!$O$12))^2,IF(AND(AV!$S$14&lt;F184,F184&lt;=AV!$T$14),AV!$P$14*((AV!$S$14-RASANTE!F184)/(AV!$N$14))^2,IF(AND(AV!$T$14&lt;RASANTE!F184,F184&lt;AV!$U$14),AV!$P$14*((AV!$U$14-RASANTE!F184)/(AV!$O$14))^2,IF(AND(AV!$S$16&lt;F184,F184&lt;=AV!$T$16),AV!$P$16*((AV!$S$16-RASANTE!F184)/(AV!$N$16))^2,IF(AND(AV!$T$16&lt;RASANTE!F184,F184&lt;AV!$U$16),AV!$P$16*((AV!$U$16-RASANTE!F184)/(AV!$O$16))^2,IF(AND(AV!$S$18&lt;F184,F184&lt;=AV!$T$18),AV!$P$18*((AV!$S$18-RASANTE!F184)/(AV!$N$18))^2,IF(AND(AV!$T$18&lt;RASANTE!F184,F184&lt;AV!$U$18),AV!$P$18*((AV!$U$18-RASANTE!F184)/(AV!$O$18))^2,IF(AND(AV!$S$20&lt;F184,F184&lt;=AV!$T$20),AV!$P$20*((AV!$S$20-RASANTE!F184)/(AV!$N$20))^2,IF(AND(AV!$T$20&lt;RASANTE!F184,F184&lt;AV!$U$20),AV!$P$20*((AV!$U$20-RASANTE!F184)/(AV!$O$20))^2,IF(AND(AV!$S$22&lt;F184,F184&lt;=AV!$T$22),AV!$P$22*((AV!$S$22-RASANTE!F184)/(AV!$N$22))^2,IF(AND(AV!$T$22&lt;RASANTE!F184,F184&lt;AV!$U$22),AV!$P$22*((AV!$U$22-RASANTE!F184)/(AV!$O$22))^2,IF(AND(AV!$S$24&lt;F184,F184&lt;=AV!$T$24),AV!$P$24*((AV!$S$24-RASANTE!F184)/(AV!$N$24))^2,IF(AND(AV!$T$24&lt;RASANTE!F184,F184&lt;AV!$U$24),AV!$P$24*((AV!$U$24-RASANTE!F184)/(AV!$O$24))^2,0))))))))))))))))))))</f>
        <v>0</v>
      </c>
      <c r="L28" s="28">
        <f>+M28+H28%*PERALTE!$C$32</f>
        <v>1649.3756000000003</v>
      </c>
      <c r="M28" s="28">
        <f t="shared" si="0"/>
        <v>1649.6556000000003</v>
      </c>
      <c r="N28" s="28">
        <f>+M28+I28%*PERALTE!$C$32</f>
        <v>1649.9356000000002</v>
      </c>
      <c r="O28" s="92"/>
      <c r="P28" s="84"/>
      <c r="Q28" s="108" t="s">
        <v>170</v>
      </c>
      <c r="R28" s="108" t="s">
        <v>185</v>
      </c>
      <c r="S28" s="4" t="s">
        <v>186</v>
      </c>
      <c r="T28" s="4" t="s">
        <v>187</v>
      </c>
      <c r="U28" s="84"/>
      <c r="V28" s="84"/>
      <c r="W28" s="84"/>
      <c r="X28" s="84"/>
      <c r="Y28" s="84"/>
    </row>
    <row r="29" spans="1:25" ht="15.75" customHeight="1" x14ac:dyDescent="0.2">
      <c r="A29" s="111"/>
      <c r="B29" s="119">
        <f>AH!S8</f>
        <v>44.097320090412232</v>
      </c>
      <c r="C29" s="120">
        <f>PERALTE!N6</f>
        <v>29.166666666666668</v>
      </c>
      <c r="D29" s="118"/>
      <c r="E29" s="115"/>
      <c r="F29" s="34">
        <v>190</v>
      </c>
      <c r="G29" s="88">
        <f>IF(F29&lt;=AV!$T$6,AV!$C$5,IF(RASANTE!F29&lt;=AV!$T$8,AV!$C$7,IF(RASANTE!F29&lt;=AV!$T$10,AV!$C$9,IF(RASANTE!F29&lt;=AV!$T$12,AV!#REF!,IF(RASANTE!F29&lt;=AV!$T$14,AV!$C$11,IF(RASANTE!F29&lt;=AV!$T$16,AV!$C$13, IF(RASANTE!F29&lt;=AV!$T$18,AV!$C$15,IF(RASANTE!F29&lt;=AV!$T$20,AV!$C$19,IF(RASANTE!F29&lt;=AV!$T$22,AV!$C$21,IF(RASANTE!F29&lt;=AV!$T$24,AV!$C$23,AV!$C$25))))))))))</f>
        <v>3.1419999999999999</v>
      </c>
      <c r="H29" s="28">
        <f>+IF(AND(AH!$H$8="Izquierda",RASANTE!F29&lt;=PERALTE!$AB$6),IF(RASANTE!F29&lt;=PERALTE!$S$6,-2,IF(RASANTE!F29&lt;=PERALTE!$U$6,(-6/(PERALTE!$U$6-PERALTE!$S$6)*(RASANTE!F29-PERALTE!$S$6)-2),IF(RASANTE!F29&lt;=PERALTE!$X$6,-8,IF(RASANTE!F29&lt;=PERALTE!$Z$6,(-6/(PERALTE!$X$6-PERALTE!$Z$6)*(RASANTE!F29-PERALTE!$Z$6)-2),IF(RASANTE!F29&lt;=PERALTE!$AB$6,-2))))),IF(AND(AH!$H$8="Derecha",RASANTE!F29&lt;=PERALTE!$AB$6),IF(RASANTE!F29&lt;=PERALTE!$Q$6,-2,IF(RASANTE!F29&lt;=PERALTE!$U$6,(10/(PERALTE!$U$6-PERALTE!$Q$6)*(RASANTE!F29-PERALTE!$Q$6)-2),IF(RASANTE!F29&lt;=PERALTE!$X$6,8,IF(RASANTE!F29&lt;=PERALTE!$AB$6,(10/(PERALTE!$X$6-PERALTE!$AB$6)*(RASANTE!F29-PERALTE!$AB$6)-2))))),IF(AND(AH!$H$10="Izquierda",RASANTE!F29&lt;=PERALTE!$AB$8),IF(RASANTE!F29&lt;=PERALTE!$S$8,-2,IF(RASANTE!F29&lt;=PERALTE!$U$8,(-6/(PERALTE!$U$8-PERALTE!$S$8)*(RASANTE!F29-PERALTE!$S$8)-2),IF(RASANTE!F29&lt;=PERALTE!$X$8,-8,IF(RASANTE!F29&lt;=PERALTE!$Z$8,(-6/(PERALTE!$X$8-PERALTE!$Z$8)*(RASANTE!F29-PERALTE!$Z$8)-2),IF(RASANTE!F29&lt;=PERALTE!$AB$8,-2))))),IF(AND(AH!$H$10="Derecha",RASANTE!F29&lt;=PERALTE!$AB$8),IF(RASANTE!F29&lt;=PERALTE!$Q$8,-2,IF(RASANTE!F29&lt;=PERALTE!$U$8,(10/(PERALTE!$U$8-PERALTE!$Q$8)*(RASANTE!F29-PERALTE!$Q$8)-2),IF(RASANTE!F29&lt;=PERALTE!$X$8,8,IF(RASANTE!F29&lt;=PERALTE!$AB$8,(10/(PERALTE!$X$8-PERALTE!$AB$8)*(RASANTE!F29-PERALTE!$AB$8)-2))))),IF(AND(AH!$H$12="Izquierda",RASANTE!F29&lt;=PERALTE!$AB$10),IF(RASANTE!F29&lt;=PERALTE!$S$10,-2,IF(RASANTE!F29&lt;=PERALTE!$U$10,(-6/(PERALTE!$U$10-PERALTE!$S$10)*(RASANTE!F29-PERALTE!$S$10)-2),IF(RASANTE!F29&lt;=PERALTE!$X$10,-8,IF(RASANTE!F29&lt;=PERALTE!$Z$10,(-6/(PERALTE!$X$10-PERALTE!$Z$10)*(RASANTE!F29-PERALTE!$Z$10)-2),IF(RASANTE!F29&lt;=PERALTE!$AB$10,-2))))),IF(AND(AH!$H$12="Derecha",RASANTE!F29&lt;=PERALTE!$AB$10),IF(RASANTE!F29&lt;=PERALTE!$Q$10,-2,IF(RASANTE!F29&lt;=PERALTE!$U$10,(10/(PERALTE!$U$10-PERALTE!$Q$10)*(RASANTE!F29-PERALTE!$Q$10)-2),IF(RASANTE!F29&lt;=PERALTE!$X$10,8,IF(RASANTE!F29&lt;=PERALTE!$AB$10,(10/(PERALTE!$X$10-PERALTE!$AB$10)*(RASANTE!F29-PERALTE!$AB$10)-2))))),IF(AND(AH!$H$14="Izquierda",RASANTE!F29&lt;=PERALTE!$AB$12),IF(RASANTE!F29&lt;=PERALTE!$S$12,-2,IF(RASANTE!F29&lt;=PERALTE!$U$12,(-6/(PERALTE!$U$12-PERALTE!$S$12)*(RASANTE!F29-PERALTE!$S$12)-2),IF(RASANTE!F29&lt;=PERALTE!$X$12,-8,IF(RASANTE!F29&lt;=PERALTE!$Z$12,(-6/(PERALTE!$X$12-PERALTE!$Z$12)*(RASANTE!F29-PERALTE!$Z$12)-2),IF(RASANTE!F29&lt;=PERALTE!$AB$12,-2))))),IF(AND(AH!$H$14="Derecha",RASANTE!F29&lt;=PERALTE!$AB$12),IF(RASANTE!F29&lt;=PERALTE!$Q$12,-2,IF(RASANTE!F29&lt;=PERALTE!$U$12,(10/(PERALTE!$U$12-PERALTE!$Q$12)*(RASANTE!F29-PERALTE!$Q$12)-2),IF(RASANTE!F29&lt;=PERALTE!$X$12,8,IF(RASANTE!F29&lt;=PERALTE!$AB$12,(10/(PERALTE!$X$12-PERALTE!$AB$12)*(RASANTE!F29-PERALTE!$AB$12)-2))))),IF(AND(AH!$H$16="Izquierda",RASANTE!F29&lt;=PERALTE!$AB$14),IF(RASANTE!F29&lt;=PERALTE!$S$14,-2,IF(RASANTE!F29&lt;=PERALTE!$U$14,(-6/(PERALTE!$U$14-PERALTE!$S$14)*(RASANTE!F29-PERALTE!$S$14)-2),IF(RASANTE!F29&lt;=PERALTE!$X$14,-8,IF(RASANTE!F29&lt;=PERALTE!$Z$14,(-6/(PERALTE!$X$14-PERALTE!$Z$14)*(RASANTE!F29-PERALTE!$Z$14)-2),IF(RASANTE!F29&lt;=PERALTE!$AB$14,-2))))),IF(AND(AH!$H$16="Derecha",RASANTE!F29&lt;=PERALTE!$AB$14),IF(RASANTE!F29&lt;=PERALTE!$Q$14,-2,IF(RASANTE!F29&lt;=PERALTE!$U$14,(10/(PERALTE!$U$14-PERALTE!$Q$14)*(RASANTE!F29-PERALTE!$Q$14)-2),IF(RASANTE!F29&lt;=PERALTE!$X$14,8,IF(RASANTE!F29&lt;=PERALTE!$AB$14,(10/(PERALTE!$X$14-PERALTE!$AB$14)*(RASANTE!F29-PERALTE!$AB$14)-2))))),IF(AND(AH!$H$18="Izquierda",RASANTE!F29&lt;=PERALTE!$AB$16),IF(RASANTE!F29&lt;=PERALTE!$S$16,-2,IF(RASANTE!F29&lt;=PERALTE!$U$16,(-6/(PERALTE!$U$16-PERALTE!$S$16)*(RASANTE!F29-PERALTE!$S$16)-2),IF(RASANTE!F29&lt;=PERALTE!$X$16,-8,IF(RASANTE!F29&lt;=PERALTE!$Z$16,(-6/(PERALTE!$X$16-PERALTE!$Z$16)*(RASANTE!F29-PERALTE!$Z$16)-2),IF(RASANTE!F29&lt;=PERALTE!$AB$16,-2))))),IF(AND(AH!$H$18="Derecha",RASANTE!F29&lt;=PERALTE!$AB$16),IF(RASANTE!F29&lt;=PERALTE!$Q$16,-2,IF(RASANTE!F29&lt;=PERALTE!$U$16,(10/(PERALTE!$U$16-PERALTE!$Q$16)*(RASANTE!F29-PERALTE!$Q$16)-2),IF(RASANTE!F29&lt;=PERALTE!$X$16,8,IF(RASANTE!F29&lt;=PERALTE!$AB$16,(10/(PERALTE!$X$16-PERALTE!$AB$16)*(RASANTE!F29-PERALTE!$AB$16)-2))))),IF(AND(AH!$H$20="Izquierda",RASANTE!F29&lt;=PERALTE!$AB$18),IF(RASANTE!F29&lt;=PERALTE!$S$18,-2,IF(RASANTE!F29&lt;=PERALTE!$U$18,(-6/(PERALTE!$U$18-PERALTE!$S$18)*(RASANTE!F29-PERALTE!$S$18)-2),IF(RASANTE!F29&lt;=PERALTE!$X$18,-8,IF(RASANTE!F29&lt;=PERALTE!$Z$18,(-6/(PERALTE!$X$18-PERALTE!$Z$18)*(RASANTE!F29-PERALTE!$Z$18)-2),IF(RASANTE!F29&lt;=PERALTE!$AB$18,-2))))),IF(AND(AH!$H$20="Derecha",RASANTE!F29&lt;=PERALTE!$AB$18),IF(RASANTE!F29&lt;=PERALTE!$Q$18,-2,IF(RASANTE!F29&lt;=PERALTE!$U$18,(10/(PERALTE!$U$18-PERALTE!$Q$18)*(RASANTE!F29-PERALTE!$Q$18)-2),IF(RASANTE!F29&lt;=PERALTE!$X$18,8,IF(RASANTE!F29&lt;=PERALTE!$AB$18,(10/(PERALTE!$X$18-PERALTE!$AB$18)*(RASANTE!F29-PERALTE!$AB$18)-2))))),IF(AND(AH!$H$24="Izquierda",RASANTE!F29&lt;=PERALTE!$AB$22),IF(RASANTE!F29&lt;=PERALTE!$S$22,-2,IF(RASANTE!F29&lt;=PERALTE!$U$22,(-6/(PERALTE!$U$22-PERALTE!$S$22)*(RASANTE!F29-PERALTE!$S$22)-2),IF(RASANTE!F29&lt;=PERALTE!$X$22,-8,IF(RASANTE!F29&lt;=PERALTE!$Z$22,(-6/(PERALTE!$X$22-PERALTE!$Z$22)*(RASANTE!F29-PERALTE!$Z$22)-2),IF(RASANTE!F29&lt;=PERALTE!$AB$22,-2))))),IF(AND(AH!$H$24="Derecha",RASANTE!F29&lt;=PERALTE!$AB$22),IF(RASANTE!F29&lt;=PERALTE!$Q$22,-2,IF(RASANTE!F29&lt;=PERALTE!$U$22,(10/(PERALTE!$U$22-PERALTE!$Q$22)*(RASANTE!F29-PERALTE!$Q$22)-2),IF(RASANTE!F29&lt;=PERALTE!$X$22,8,IF(RASANTE!F29&lt;=PERALTE!$AB$22,(10/(PERALTE!$X$22-PERALTE!$AB$22)*(RASANTE!F29-PERALTE!$AB$22)-2))))),IF(AND(AH!#REF!="Izquierda",RASANTE!F29&lt;=PERALTE!#REF!),IF(RASANTE!F29&lt;=PERALTE!#REF!,-2,IF(RASANTE!F29&lt;=PERALTE!#REF!,(-6/(PERALTE!#REF!-PERALTE!#REF!)*(RASANTE!F29-PERALTE!#REF!)-2),IF(RASANTE!F29&lt;=PERALTE!#REF!,-8,IF(RASANTE!F29&lt;=PERALTE!#REF!,(-6/(PERALTE!#REF!-PERALTE!#REF!)*(RASANTE!F29-PERALTE!#REF!)-2),IF(RASANTE!F29&lt;=PERALTE!#REF!,-2))))),IF(AND(AH!#REF!="Derecha",RASANTE!F29&lt;=PERALTE!#REF!),IF(RASANTE!F29&lt;=PERALTE!#REF!,-2,IF(RASANTE!F29&lt;=PERALTE!#REF!,(10/(PERALTE!#REF!-PERALTE!#REF!)*(RASANTE!F29-PERALTE!#REF!)-2),IF(RASANTE!F29&lt;=PERALTE!#REF!,8,IF(RASANTE!F29&lt;=PERALTE!#REF!,(10/(PERALTE!#REF!-PERALTE!#REF!)*(RASANTE!F29-PERALTE!#REF!)-2))))),IF(AND(AH!#REF!="Izquierda",RASANTE!F29&lt;=PERALTE!$AB$26),IF(RASANTE!F29&lt;=PERALTE!$S$26,-2,IF(RASANTE!F29&lt;=PERALTE!$U$26,(-6/(PERALTE!$U$26-PERALTE!$S$26)*(RASANTE!F29-PERALTE!$S$26)-2),IF(RASANTE!F29&lt;=PERALTE!$X$26,-8,IF(RASANTE!F29&lt;=PERALTE!$Z$26,(-6/(PERALTE!$X$26-PERALTE!$Z$26)*(RASANTE!F29-PERALTE!$Z$26)-2),IF(RASANTE!F29&lt;=PERALTE!$AB$26,-2))))),IF(AND(AH!#REF!="Derecha",RASANTE!F29&lt;=PERALTE!$AB$26),IF(RASANTE!F29&lt;=PERALTE!$Q$26,-2,IF(RASANTE!F29&lt;=PERALTE!$U$26,(10/(PERALTE!$U$26-PERALTE!$Q$26)*(RASANTE!F29-PERALTE!$Q$26)-2),IF(RASANTE!F29&lt;=PERALTE!$X$26,8,IF(RASANTE!F29&lt;=PERALTE!$AB$26,(10/(PERALTE!$X$26-PERALTE!$AB$26)*(RASANTE!F29-PERALTE!$AB$26)-2))))),IF(F29&lt;=PERALTE!#REF!,-2,"Abscisa fuera de la vía")))))))))))))))))))))</f>
        <v>-8</v>
      </c>
      <c r="I29" s="28">
        <f>+IF(AND(AH!$H$8="Derecha",RASANTE!F29&lt;=PERALTE!$AB$6),IF(RASANTE!F29&lt;=PERALTE!$S$6,-2,IF(RASANTE!F29&lt;=PERALTE!$U$6,(-6/(PERALTE!$U$6-PERALTE!$S$6)*(RASANTE!F29-PERALTE!$S$6)-2),IF(RASANTE!F29&lt;=PERALTE!$X$6,-8,IF(RASANTE!F29&lt;=PERALTE!$Z$6,(-6/(PERALTE!$X$6-PERALTE!$Z$6)*(RASANTE!F29-PERALTE!$Z$6)-2),IF(RASANTE!F29&lt;=PERALTE!$AB$6,-2))))),IF(AND(AH!$H$8="Izquierda",RASANTE!F29&lt;=PERALTE!$AB$6),IF(RASANTE!F29&lt;=PERALTE!$Q$6,-2,IF(RASANTE!F29&lt;=PERALTE!$U$6,(10/(PERALTE!$U$6-PERALTE!$Q$6)*(RASANTE!F29-PERALTE!$Q$6)-2),IF(RASANTE!F29&lt;=PERALTE!$X$6,8,IF(RASANTE!F29&lt;=PERALTE!$AB$6,(10/(PERALTE!$X$6-PERALTE!$AB$6)*(RASANTE!F29-PERALTE!$AB$6)-2))))),IF(AND(AH!$H$10="Derecha",RASANTE!F29&lt;=PERALTE!$AB$8),IF(RASANTE!F29&lt;=PERALTE!$S$8,-2,IF(RASANTE!F29&lt;=PERALTE!$U$8,(-6/(PERALTE!$U$8-PERALTE!$S$8)*(RASANTE!F29-PERALTE!$S$8)-2),IF(RASANTE!F29&lt;=PERALTE!$X$8,-8,IF(RASANTE!F29&lt;=PERALTE!$Z$8,(-6/(PERALTE!$X$8-PERALTE!$Z$8)*(RASANTE!F29-PERALTE!$Z$8)-2),IF(RASANTE!F29&lt;=PERALTE!$AB$8,-2))))),IF(AND(AH!$H$10="Izquierda",RASANTE!F29&lt;=PERALTE!$AB$8),IF(RASANTE!F29&lt;=PERALTE!$Q$8,-2,IF(RASANTE!F29&lt;=PERALTE!$U$8,(10/(PERALTE!$U$8-PERALTE!$Q$8)*(RASANTE!F29-PERALTE!$Q$8)-2),IF(RASANTE!F29&lt;=PERALTE!$X$8,8,IF(RASANTE!F29&lt;=PERALTE!$AB$8,(10/(PERALTE!$X$8-PERALTE!$AB$8)*(RASANTE!F29-PERALTE!$AB$8)-2))))),IF(AND(AH!$H$12="Derecha",RASANTE!F29&lt;=PERALTE!$AB$10),IF(RASANTE!F29&lt;=PERALTE!$S$10,-2,IF(RASANTE!F29&lt;=PERALTE!$U$10,(-6/(PERALTE!$U$10-PERALTE!$S$10)*(RASANTE!F29-PERALTE!$S$10)-2),IF(RASANTE!F29&lt;=PERALTE!$X$10,-8,IF(RASANTE!F29&lt;=PERALTE!$Z$10,(-6/(PERALTE!$X$10-PERALTE!$Z$10)*(RASANTE!F29-PERALTE!$Z$10)-2),IF(RASANTE!F29&lt;=PERALTE!$AB$10,-2))))),IF(AND(AH!$H$12="Izquierda",RASANTE!F29&lt;=PERALTE!$AB$10),IF(RASANTE!F29&lt;=PERALTE!$Q$10,-2,IF(RASANTE!F29&lt;=PERALTE!$U$10,(10/(PERALTE!$U$10-PERALTE!$Q$10)*(RASANTE!F29-PERALTE!$Q$10)-2),IF(RASANTE!F29&lt;=PERALTE!$X$10,8,IF(RASANTE!F29&lt;=PERALTE!$AB$10,(10/(PERALTE!$X$10-PERALTE!$AB$10)*(RASANTE!F29-PERALTE!$AB$10)-2))))),IF(AND(AH!$H$14="Derecha",RASANTE!F29&lt;=PERALTE!$AB$12),IF(RASANTE!F29&lt;=PERALTE!$S$12,-2,IF(RASANTE!F29&lt;=PERALTE!$U$12,(-6/(PERALTE!$U$12-PERALTE!$S$12)*(RASANTE!F29-PERALTE!$S$12)-2),IF(RASANTE!F29&lt;=PERALTE!$X$12,-8,IF(RASANTE!F29&lt;=PERALTE!$Z$12,(-6/(PERALTE!$X$12-PERALTE!$Z$12)*(RASANTE!F29-PERALTE!$Z$12)-2),IF(RASANTE!F29&lt;=PERALTE!$AB$12,-2))))),IF(AND(AH!$H$14="Izquierda",RASANTE!F29&lt;=PERALTE!$AB$12),IF(RASANTE!F29&lt;=PERALTE!$Q$12,-2,IF(RASANTE!F29&lt;=PERALTE!$U$12,(10/(PERALTE!$U$12-PERALTE!$Q$12)*(RASANTE!F29-PERALTE!$Q$12)-2),IF(RASANTE!F29&lt;=PERALTE!$X$12,8,IF(RASANTE!F29&lt;=PERALTE!$AB$12,(10/(PERALTE!$X$12-PERALTE!$AB$12)*(RASANTE!F29-PERALTE!$AB$12)-2))))),IF(AND(AH!$H$16="Derecha",RASANTE!F29&lt;=PERALTE!$AB$14),IF(RASANTE!F29&lt;=PERALTE!$S$14,-2,IF(RASANTE!F29&lt;=PERALTE!$U$14,(-6/(PERALTE!$U$14-PERALTE!$S$14)*(RASANTE!F29-PERALTE!$S$14)-2),IF(RASANTE!F29&lt;=PERALTE!$X$14,-8,IF(RASANTE!F29&lt;=PERALTE!$Z$14,(-6/(PERALTE!$X$14-PERALTE!$Z$14)*(RASANTE!F29-PERALTE!$Z$14)-2),IF(RASANTE!F29&lt;=PERALTE!$AB$14,-2))))),IF(AND(AH!$H$16="Izquierda",RASANTE!F29&lt;=PERALTE!$AB$14),IF(RASANTE!F29&lt;=PERALTE!$Q$14,-2,IF(RASANTE!F29&lt;=PERALTE!$U$14,(10/(PERALTE!$U$14-PERALTE!$Q$14)*(RASANTE!F29-PERALTE!$Q$14)-2),IF(RASANTE!F29&lt;=PERALTE!$X$14,8,IF(RASANTE!F29&lt;=PERALTE!$AB$14,(10/(PERALTE!$X$14-PERALTE!$AB$14)*(RASANTE!F29-PERALTE!$AB$14)-2))))),IF(AND(AH!$H$18="Derecha",RASANTE!F29&lt;=PERALTE!$AB$16),IF(RASANTE!F29&lt;=PERALTE!$S$16,-2,IF(RASANTE!F29&lt;=PERALTE!$U$16,(-6/(PERALTE!$U$16-PERALTE!$S$16)*(RASANTE!F29-PERALTE!$S$16)-2),IF(RASANTE!F29&lt;=PERALTE!$X$16,-8,IF(RASANTE!F29&lt;=PERALTE!$Z$16,(-6/(PERALTE!$X$16-PERALTE!$Z$16)*(RASANTE!F29-PERALTE!$Z$16)-2),IF(RASANTE!F29&lt;=PERALTE!$AB$16,-2))))),IF(AND(AH!$H$18="Izquierda",RASANTE!F29&lt;=PERALTE!$AB$16),IF(RASANTE!F29&lt;=PERALTE!$Q$16,-2,IF(RASANTE!F29&lt;=PERALTE!$U$16,(10/(PERALTE!$U$16-PERALTE!$Q$16)*(RASANTE!F29-PERALTE!$Q$16)-2),IF(RASANTE!F29&lt;=PERALTE!$X$16,8,IF(RASANTE!F29&lt;=PERALTE!$AB$16,(10/(PERALTE!$X$16-PERALTE!$AB$16)*(RASANTE!F29-PERALTE!$AB$16)-2))))),IF(AND(AH!$H$20="Derecha",RASANTE!F29&lt;=PERALTE!$AB$18),IF(RASANTE!F29&lt;=PERALTE!$S$18,-2,IF(RASANTE!F29&lt;=PERALTE!$U$18,(-6/(PERALTE!$U$18-PERALTE!$S$18)*(RASANTE!F29-PERALTE!$S$18)-2),IF(RASANTE!F29&lt;=PERALTE!$X$18,-8,IF(RASANTE!F29&lt;=PERALTE!$Z$18,(-6/(PERALTE!$X$18-PERALTE!$Z$18)*(RASANTE!F29-PERALTE!$Z$18)-2),IF(RASANTE!F29&lt;=PERALTE!$AB$18,-2))))),IF(AND(AH!$H$20="Izquierda",RASANTE!F29&lt;=PERALTE!$AB$18),IF(RASANTE!F29&lt;=PERALTE!$Q$18,-2,IF(RASANTE!F29&lt;=PERALTE!$U$18,(10/(PERALTE!$U$18-PERALTE!$Q$18)*(RASANTE!F29-PERALTE!$Q$18)-2),IF(RASANTE!F29&lt;=PERALTE!$X$18,8,IF(RASANTE!F29&lt;=PERALTE!$AB$18,(10/(PERALTE!$X$18-PERALTE!$AB$18)*(RASANTE!F29-PERALTE!$AB$18)-2))))),IF(AND(AH!$H$24="Derecha",RASANTE!F29&lt;=PERALTE!$AB$22),IF(RASANTE!F29&lt;=PERALTE!$S$22,-2,IF(RASANTE!F29&lt;=PERALTE!$U$22,(-6/(PERALTE!$U$22-PERALTE!$S$22)*(RASANTE!F29-PERALTE!$S$22)-2),IF(RASANTE!F29&lt;=PERALTE!$X$22,-8,IF(RASANTE!F29&lt;=PERALTE!$Z$22,(-6/(PERALTE!$X$22-PERALTE!$Z$22)*(RASANTE!F29-PERALTE!$Z$22)-2),IF(RASANTE!F29&lt;=PERALTE!$AB$22,-2))))),IF(AND(AH!$H$24="Izquierda",RASANTE!F29&lt;=PERALTE!$AB$22),IF(RASANTE!F29&lt;=PERALTE!$Q$22,-2,IF(RASANTE!F29&lt;=PERALTE!$U$22,(10/(PERALTE!$U$22-PERALTE!$Q$22)*(RASANTE!F29-PERALTE!$Q$22)-2),IF(RASANTE!F29&lt;=PERALTE!$X$22,8,IF(RASANTE!F29&lt;=PERALTE!$AB$22,(10/(PERALTE!$X$22-PERALTE!$AB$22)*(RASANTE!F29-PERALTE!$AB$22)-2))))),IF(AND(AH!#REF!="Derecha",RASANTE!F29&lt;=PERALTE!#REF!),IF(RASANTE!F29&lt;=PERALTE!#REF!,-2,IF(RASANTE!F29&lt;=PERALTE!#REF!,(-6/(PERALTE!#REF!-PERALTE!#REF!)*(RASANTE!F29-PERALTE!#REF!)-2),IF(RASANTE!F29&lt;=PERALTE!#REF!,-8,IF(RASANTE!F29&lt;=PERALTE!#REF!,(-6/(PERALTE!#REF!-PERALTE!#REF!)*(RASANTE!F29-PERALTE!#REF!)-2),IF(RASANTE!F29&lt;=PERALTE!#REF!,-2))))),IF(AND(AH!#REF!="Izquierda",RASANTE!F29&lt;=PERALTE!#REF!),IF(RASANTE!F29&lt;=PERALTE!#REF!,-2,IF(RASANTE!F29&lt;=PERALTE!#REF!,(10/(PERALTE!#REF!-PERALTE!#REF!)*(RASANTE!F29-PERALTE!#REF!)-2),IF(RASANTE!F29&lt;=PERALTE!#REF!,8,IF(RASANTE!F29&lt;=PERALTE!#REF!,(10/(PERALTE!#REF!-PERALTE!#REF!)*(RASANTE!F29-PERALTE!#REF!)-2))))),IF(AND(AH!#REF!="Derecha",RASANTE!F29&lt;=PERALTE!$AB$26),IF(RASANTE!F29&lt;=PERALTE!$S$26,-2,IF(RASANTE!F29&lt;=PERALTE!$U$26,(-6/(PERALTE!$U$26-PERALTE!$S$26)*(RASANTE!F29-PERALTE!$S$26)-2),IF(RASANTE!F29&lt;=PERALTE!$X$26,-8,IF(RASANTE!F29&lt;=PERALTE!$Z$26,(-6/(PERALTE!$X$26-PERALTE!$Z$26)*(RASANTE!F29-PERALTE!$Z$26)-2),IF(RASANTE!F29&lt;=PERALTE!$AB$26,-2))))),IF(AND(AH!#REF!="Izquierda",RASANTE!F29&lt;=PERALTE!$AB$26),IF(RASANTE!F29&lt;=PERALTE!$Q$26,-2,IF(RASANTE!F29&lt;=PERALTE!$U$26,(10/(PERALTE!$U$26-PERALTE!$Q$26)*(RASANTE!F29-PERALTE!$Q$26)-2),IF(RASANTE!F29&lt;=PERALTE!$X$26,8,IF(RASANTE!F29&lt;=PERALTE!$AB$26,(10/(PERALTE!$X$26-PERALTE!$AB$26)*(RASANTE!F29-PERALTE!$AB$26)-2))))),IF(F29&lt;=PERALTE!#REF!,-2,"Abscisa fuera de la vía")))))))))))))))))))))</f>
        <v>8</v>
      </c>
      <c r="J29" s="28">
        <f t="shared" si="1"/>
        <v>1649.9698000000003</v>
      </c>
      <c r="K29" s="356">
        <f>+IF(AND(AV!$S$6&lt;F185,F185&lt;=AV!$T$6),AV!$P$6*((AV!$S$6-RASANTE!F185)/(AV!$N$6))^2,IF(AND(AV!$T$6&lt;RASANTE!F185,F185&lt;AV!$U$6),AV!$P$6*((AV!$U$6-RASANTE!F185)/(AV!$O$6))^2,IF(AND(AV!$S$8&lt;F185,F185&lt;=AV!$T$8),AV!$P$8*((AV!$S$8-RASANTE!F185)/(AV!$N$8))^2,IF(AND(AV!$T$8&lt;RASANTE!F185,F185&lt;AV!$U$8),AV!$P$8*((AV!$U$8-RASANTE!F185)/(AV!$O$8))^2,IF(AND(AV!$S$10&lt;F185,F185&lt;=AV!$T$10),AV!$P$10*((AV!$S$10-RASANTE!F185)/(AV!$N$10))^2,IF(AND(AV!$T$10&lt;RASANTE!F185,F185&lt;AV!$U$10),AV!$P$10*((AV!$U$10-RASANTE!F185)/(AV!$O$10))^2,IF(AND(AV!$S$12&lt;F185,F185&lt;=AV!$T$12),AV!$P$12*((AV!$S$12-RASANTE!F185)/(AV!$N$12))^2,IF(AND(AV!$T$12&lt;RASANTE!F185,F185&lt;AV!$U$12),AV!$P$12*((AV!$U$12-RASANTE!F185)/(AV!$O$12))^2,IF(AND(AV!$S$14&lt;F185,F185&lt;=AV!$T$14),AV!$P$14*((AV!$S$14-RASANTE!F185)/(AV!$N$14))^2,IF(AND(AV!$T$14&lt;RASANTE!F185,F185&lt;AV!$U$14),AV!$P$14*((AV!$U$14-RASANTE!F185)/(AV!$O$14))^2,IF(AND(AV!$S$16&lt;F185,F185&lt;=AV!$T$16),AV!$P$16*((AV!$S$16-RASANTE!F185)/(AV!$N$16))^2,IF(AND(AV!$T$16&lt;RASANTE!F185,F185&lt;AV!$U$16),AV!$P$16*((AV!$U$16-RASANTE!F185)/(AV!$O$16))^2,IF(AND(AV!$S$18&lt;F185,F185&lt;=AV!$T$18),AV!$P$18*((AV!$S$18-RASANTE!F185)/(AV!$N$18))^2,IF(AND(AV!$T$18&lt;RASANTE!F185,F185&lt;AV!$U$18),AV!$P$18*((AV!$U$18-RASANTE!F185)/(AV!$O$18))^2,IF(AND(AV!$S$20&lt;F185,F185&lt;=AV!$T$20),AV!$P$20*((AV!$S$20-RASANTE!F185)/(AV!$N$20))^2,IF(AND(AV!$T$20&lt;RASANTE!F185,F185&lt;AV!$U$20),AV!$P$20*((AV!$U$20-RASANTE!F185)/(AV!$O$20))^2,IF(AND(AV!$S$22&lt;F185,F185&lt;=AV!$T$22),AV!$P$22*((AV!$S$22-RASANTE!F185)/(AV!$N$22))^2,IF(AND(AV!$T$22&lt;RASANTE!F185,F185&lt;AV!$U$22),AV!$P$22*((AV!$U$22-RASANTE!F185)/(AV!$O$22))^2,IF(AND(AV!$S$24&lt;F185,F185&lt;=AV!$T$24),AV!$P$24*((AV!$S$24-RASANTE!F185)/(AV!$N$24))^2,IF(AND(AV!$T$24&lt;RASANTE!F185,F185&lt;AV!$U$24),AV!$P$24*((AV!$U$24-RASANTE!F185)/(AV!$O$24))^2,0))))))))))))))))))))</f>
        <v>0</v>
      </c>
      <c r="L29" s="28">
        <f>+M29+H29%*PERALTE!$C$32</f>
        <v>1649.6898000000003</v>
      </c>
      <c r="M29" s="28">
        <f t="shared" si="0"/>
        <v>1649.9698000000003</v>
      </c>
      <c r="N29" s="28">
        <f>+M29+I29%*PERALTE!$C$32</f>
        <v>1650.2498000000003</v>
      </c>
      <c r="O29" s="92"/>
      <c r="P29" s="84"/>
      <c r="Q29" s="108" t="s">
        <v>188</v>
      </c>
      <c r="R29" s="108" t="s">
        <v>154</v>
      </c>
      <c r="S29" s="4" t="s">
        <v>189</v>
      </c>
      <c r="T29" s="4" t="s">
        <v>190</v>
      </c>
      <c r="U29" s="84"/>
      <c r="V29" s="84"/>
      <c r="W29" s="84"/>
      <c r="X29" s="84"/>
      <c r="Y29" s="84"/>
    </row>
    <row r="30" spans="1:25" ht="15.75" customHeight="1" x14ac:dyDescent="0.2">
      <c r="A30" s="111"/>
      <c r="B30" s="121">
        <f>AH!U8</f>
        <v>33.492509360524302</v>
      </c>
      <c r="C30" s="122" t="str">
        <f>AH!H8</f>
        <v>Izquierda</v>
      </c>
      <c r="D30" s="118"/>
      <c r="E30" s="115"/>
      <c r="F30" s="34">
        <v>200</v>
      </c>
      <c r="G30" s="88">
        <f>IF(F30&lt;=AV!$T$6,AV!$C$5,IF(RASANTE!F30&lt;=AV!$T$8,AV!$C$7,IF(RASANTE!F30&lt;=AV!$T$10,AV!$C$9,IF(RASANTE!F30&lt;=AV!$T$12,AV!#REF!,IF(RASANTE!F30&lt;=AV!$T$14,AV!$C$11,IF(RASANTE!F30&lt;=AV!$T$16,AV!$C$13, IF(RASANTE!F30&lt;=AV!$T$18,AV!$C$15,IF(RASANTE!F30&lt;=AV!$T$20,AV!$C$19,IF(RASANTE!F30&lt;=AV!$T$22,AV!$C$21,IF(RASANTE!F30&lt;=AV!$T$24,AV!$C$23,AV!$C$25))))))))))</f>
        <v>3.1419999999999999</v>
      </c>
      <c r="H30" s="28">
        <f>+IF(AND(AH!$H$8="Izquierda",RASANTE!F30&lt;=PERALTE!$AB$6),IF(RASANTE!F30&lt;=PERALTE!$S$6,-2,IF(RASANTE!F30&lt;=PERALTE!$U$6,(-6/(PERALTE!$U$6-PERALTE!$S$6)*(RASANTE!F30-PERALTE!$S$6)-2),IF(RASANTE!F30&lt;=PERALTE!$X$6,-8,IF(RASANTE!F30&lt;=PERALTE!$Z$6,(-6/(PERALTE!$X$6-PERALTE!$Z$6)*(RASANTE!F30-PERALTE!$Z$6)-2),IF(RASANTE!F30&lt;=PERALTE!$AB$6,-2))))),IF(AND(AH!$H$8="Derecha",RASANTE!F30&lt;=PERALTE!$AB$6),IF(RASANTE!F30&lt;=PERALTE!$Q$6,-2,IF(RASANTE!F30&lt;=PERALTE!$U$6,(10/(PERALTE!$U$6-PERALTE!$Q$6)*(RASANTE!F30-PERALTE!$Q$6)-2),IF(RASANTE!F30&lt;=PERALTE!$X$6,8,IF(RASANTE!F30&lt;=PERALTE!$AB$6,(10/(PERALTE!$X$6-PERALTE!$AB$6)*(RASANTE!F30-PERALTE!$AB$6)-2))))),IF(AND(AH!$H$10="Izquierda",RASANTE!F30&lt;=PERALTE!$AB$8),IF(RASANTE!F30&lt;=PERALTE!$S$8,-2,IF(RASANTE!F30&lt;=PERALTE!$U$8,(-6/(PERALTE!$U$8-PERALTE!$S$8)*(RASANTE!F30-PERALTE!$S$8)-2),IF(RASANTE!F30&lt;=PERALTE!$X$8,-8,IF(RASANTE!F30&lt;=PERALTE!$Z$8,(-6/(PERALTE!$X$8-PERALTE!$Z$8)*(RASANTE!F30-PERALTE!$Z$8)-2),IF(RASANTE!F30&lt;=PERALTE!$AB$8,-2))))),IF(AND(AH!$H$10="Derecha",RASANTE!F30&lt;=PERALTE!$AB$8),IF(RASANTE!F30&lt;=PERALTE!$Q$8,-2,IF(RASANTE!F30&lt;=PERALTE!$U$8,(10/(PERALTE!$U$8-PERALTE!$Q$8)*(RASANTE!F30-PERALTE!$Q$8)-2),IF(RASANTE!F30&lt;=PERALTE!$X$8,8,IF(RASANTE!F30&lt;=PERALTE!$AB$8,(10/(PERALTE!$X$8-PERALTE!$AB$8)*(RASANTE!F30-PERALTE!$AB$8)-2))))),IF(AND(AH!$H$12="Izquierda",RASANTE!F30&lt;=PERALTE!$AB$10),IF(RASANTE!F30&lt;=PERALTE!$S$10,-2,IF(RASANTE!F30&lt;=PERALTE!$U$10,(-6/(PERALTE!$U$10-PERALTE!$S$10)*(RASANTE!F30-PERALTE!$S$10)-2),IF(RASANTE!F30&lt;=PERALTE!$X$10,-8,IF(RASANTE!F30&lt;=PERALTE!$Z$10,(-6/(PERALTE!$X$10-PERALTE!$Z$10)*(RASANTE!F30-PERALTE!$Z$10)-2),IF(RASANTE!F30&lt;=PERALTE!$AB$10,-2))))),IF(AND(AH!$H$12="Derecha",RASANTE!F30&lt;=PERALTE!$AB$10),IF(RASANTE!F30&lt;=PERALTE!$Q$10,-2,IF(RASANTE!F30&lt;=PERALTE!$U$10,(10/(PERALTE!$U$10-PERALTE!$Q$10)*(RASANTE!F30-PERALTE!$Q$10)-2),IF(RASANTE!F30&lt;=PERALTE!$X$10,8,IF(RASANTE!F30&lt;=PERALTE!$AB$10,(10/(PERALTE!$X$10-PERALTE!$AB$10)*(RASANTE!F30-PERALTE!$AB$10)-2))))),IF(AND(AH!$H$14="Izquierda",RASANTE!F30&lt;=PERALTE!$AB$12),IF(RASANTE!F30&lt;=PERALTE!$S$12,-2,IF(RASANTE!F30&lt;=PERALTE!$U$12,(-6/(PERALTE!$U$12-PERALTE!$S$12)*(RASANTE!F30-PERALTE!$S$12)-2),IF(RASANTE!F30&lt;=PERALTE!$X$12,-8,IF(RASANTE!F30&lt;=PERALTE!$Z$12,(-6/(PERALTE!$X$12-PERALTE!$Z$12)*(RASANTE!F30-PERALTE!$Z$12)-2),IF(RASANTE!F30&lt;=PERALTE!$AB$12,-2))))),IF(AND(AH!$H$14="Derecha",RASANTE!F30&lt;=PERALTE!$AB$12),IF(RASANTE!F30&lt;=PERALTE!$Q$12,-2,IF(RASANTE!F30&lt;=PERALTE!$U$12,(10/(PERALTE!$U$12-PERALTE!$Q$12)*(RASANTE!F30-PERALTE!$Q$12)-2),IF(RASANTE!F30&lt;=PERALTE!$X$12,8,IF(RASANTE!F30&lt;=PERALTE!$AB$12,(10/(PERALTE!$X$12-PERALTE!$AB$12)*(RASANTE!F30-PERALTE!$AB$12)-2))))),IF(AND(AH!$H$16="Izquierda",RASANTE!F30&lt;=PERALTE!$AB$14),IF(RASANTE!F30&lt;=PERALTE!$S$14,-2,IF(RASANTE!F30&lt;=PERALTE!$U$14,(-6/(PERALTE!$U$14-PERALTE!$S$14)*(RASANTE!F30-PERALTE!$S$14)-2),IF(RASANTE!F30&lt;=PERALTE!$X$14,-8,IF(RASANTE!F30&lt;=PERALTE!$Z$14,(-6/(PERALTE!$X$14-PERALTE!$Z$14)*(RASANTE!F30-PERALTE!$Z$14)-2),IF(RASANTE!F30&lt;=PERALTE!$AB$14,-2))))),IF(AND(AH!$H$16="Derecha",RASANTE!F30&lt;=PERALTE!$AB$14),IF(RASANTE!F30&lt;=PERALTE!$Q$14,-2,IF(RASANTE!F30&lt;=PERALTE!$U$14,(10/(PERALTE!$U$14-PERALTE!$Q$14)*(RASANTE!F30-PERALTE!$Q$14)-2),IF(RASANTE!F30&lt;=PERALTE!$X$14,8,IF(RASANTE!F30&lt;=PERALTE!$AB$14,(10/(PERALTE!$X$14-PERALTE!$AB$14)*(RASANTE!F30-PERALTE!$AB$14)-2))))),IF(AND(AH!$H$18="Izquierda",RASANTE!F30&lt;=PERALTE!$AB$16),IF(RASANTE!F30&lt;=PERALTE!$S$16,-2,IF(RASANTE!F30&lt;=PERALTE!$U$16,(-6/(PERALTE!$U$16-PERALTE!$S$16)*(RASANTE!F30-PERALTE!$S$16)-2),IF(RASANTE!F30&lt;=PERALTE!$X$16,-8,IF(RASANTE!F30&lt;=PERALTE!$Z$16,(-6/(PERALTE!$X$16-PERALTE!$Z$16)*(RASANTE!F30-PERALTE!$Z$16)-2),IF(RASANTE!F30&lt;=PERALTE!$AB$16,-2))))),IF(AND(AH!$H$18="Derecha",RASANTE!F30&lt;=PERALTE!$AB$16),IF(RASANTE!F30&lt;=PERALTE!$Q$16,-2,IF(RASANTE!F30&lt;=PERALTE!$U$16,(10/(PERALTE!$U$16-PERALTE!$Q$16)*(RASANTE!F30-PERALTE!$Q$16)-2),IF(RASANTE!F30&lt;=PERALTE!$X$16,8,IF(RASANTE!F30&lt;=PERALTE!$AB$16,(10/(PERALTE!$X$16-PERALTE!$AB$16)*(RASANTE!F30-PERALTE!$AB$16)-2))))),IF(AND(AH!$H$20="Izquierda",RASANTE!F30&lt;=PERALTE!$AB$18),IF(RASANTE!F30&lt;=PERALTE!$S$18,-2,IF(RASANTE!F30&lt;=PERALTE!$U$18,(-6/(PERALTE!$U$18-PERALTE!$S$18)*(RASANTE!F30-PERALTE!$S$18)-2),IF(RASANTE!F30&lt;=PERALTE!$X$18,-8,IF(RASANTE!F30&lt;=PERALTE!$Z$18,(-6/(PERALTE!$X$18-PERALTE!$Z$18)*(RASANTE!F30-PERALTE!$Z$18)-2),IF(RASANTE!F30&lt;=PERALTE!$AB$18,-2))))),IF(AND(AH!$H$20="Derecha",RASANTE!F30&lt;=PERALTE!$AB$18),IF(RASANTE!F30&lt;=PERALTE!$Q$18,-2,IF(RASANTE!F30&lt;=PERALTE!$U$18,(10/(PERALTE!$U$18-PERALTE!$Q$18)*(RASANTE!F30-PERALTE!$Q$18)-2),IF(RASANTE!F30&lt;=PERALTE!$X$18,8,IF(RASANTE!F30&lt;=PERALTE!$AB$18,(10/(PERALTE!$X$18-PERALTE!$AB$18)*(RASANTE!F30-PERALTE!$AB$18)-2))))),IF(AND(AH!$H$24="Izquierda",RASANTE!F30&lt;=PERALTE!$AB$22),IF(RASANTE!F30&lt;=PERALTE!$S$22,-2,IF(RASANTE!F30&lt;=PERALTE!$U$22,(-6/(PERALTE!$U$22-PERALTE!$S$22)*(RASANTE!F30-PERALTE!$S$22)-2),IF(RASANTE!F30&lt;=PERALTE!$X$22,-8,IF(RASANTE!F30&lt;=PERALTE!$Z$22,(-6/(PERALTE!$X$22-PERALTE!$Z$22)*(RASANTE!F30-PERALTE!$Z$22)-2),IF(RASANTE!F30&lt;=PERALTE!$AB$22,-2))))),IF(AND(AH!$H$24="Derecha",RASANTE!F30&lt;=PERALTE!$AB$22),IF(RASANTE!F30&lt;=PERALTE!$Q$22,-2,IF(RASANTE!F30&lt;=PERALTE!$U$22,(10/(PERALTE!$U$22-PERALTE!$Q$22)*(RASANTE!F30-PERALTE!$Q$22)-2),IF(RASANTE!F30&lt;=PERALTE!$X$22,8,IF(RASANTE!F30&lt;=PERALTE!$AB$22,(10/(PERALTE!$X$22-PERALTE!$AB$22)*(RASANTE!F30-PERALTE!$AB$22)-2))))),IF(AND(AH!#REF!="Izquierda",RASANTE!F30&lt;=PERALTE!#REF!),IF(RASANTE!F30&lt;=PERALTE!#REF!,-2,IF(RASANTE!F30&lt;=PERALTE!#REF!,(-6/(PERALTE!#REF!-PERALTE!#REF!)*(RASANTE!F30-PERALTE!#REF!)-2),IF(RASANTE!F30&lt;=PERALTE!#REF!,-8,IF(RASANTE!F30&lt;=PERALTE!#REF!,(-6/(PERALTE!#REF!-PERALTE!#REF!)*(RASANTE!F30-PERALTE!#REF!)-2),IF(RASANTE!F30&lt;=PERALTE!#REF!,-2))))),IF(AND(AH!#REF!="Derecha",RASANTE!F30&lt;=PERALTE!#REF!),IF(RASANTE!F30&lt;=PERALTE!#REF!,-2,IF(RASANTE!F30&lt;=PERALTE!#REF!,(10/(PERALTE!#REF!-PERALTE!#REF!)*(RASANTE!F30-PERALTE!#REF!)-2),IF(RASANTE!F30&lt;=PERALTE!#REF!,8,IF(RASANTE!F30&lt;=PERALTE!#REF!,(10/(PERALTE!#REF!-PERALTE!#REF!)*(RASANTE!F30-PERALTE!#REF!)-2))))),IF(AND(AH!#REF!="Izquierda",RASANTE!F30&lt;=PERALTE!$AB$26),IF(RASANTE!F30&lt;=PERALTE!$S$26,-2,IF(RASANTE!F30&lt;=PERALTE!$U$26,(-6/(PERALTE!$U$26-PERALTE!$S$26)*(RASANTE!F30-PERALTE!$S$26)-2),IF(RASANTE!F30&lt;=PERALTE!$X$26,-8,IF(RASANTE!F30&lt;=PERALTE!$Z$26,(-6/(PERALTE!$X$26-PERALTE!$Z$26)*(RASANTE!F30-PERALTE!$Z$26)-2),IF(RASANTE!F30&lt;=PERALTE!$AB$26,-2))))),IF(AND(AH!#REF!="Derecha",RASANTE!F30&lt;=PERALTE!$AB$26),IF(RASANTE!F30&lt;=PERALTE!$Q$26,-2,IF(RASANTE!F30&lt;=PERALTE!$U$26,(10/(PERALTE!$U$26-PERALTE!$Q$26)*(RASANTE!F30-PERALTE!$Q$26)-2),IF(RASANTE!F30&lt;=PERALTE!$X$26,8,IF(RASANTE!F30&lt;=PERALTE!$AB$26,(10/(PERALTE!$X$26-PERALTE!$AB$26)*(RASANTE!F30-PERALTE!$AB$26)-2))))),IF(F30&lt;=PERALTE!#REF!,-2,"Abscisa fuera de la vía")))))))))))))))))))))</f>
        <v>-8</v>
      </c>
      <c r="I30" s="28">
        <f>+IF(AND(AH!$H$8="Derecha",RASANTE!F30&lt;=PERALTE!$AB$6),IF(RASANTE!F30&lt;=PERALTE!$S$6,-2,IF(RASANTE!F30&lt;=PERALTE!$U$6,(-6/(PERALTE!$U$6-PERALTE!$S$6)*(RASANTE!F30-PERALTE!$S$6)-2),IF(RASANTE!F30&lt;=PERALTE!$X$6,-8,IF(RASANTE!F30&lt;=PERALTE!$Z$6,(-6/(PERALTE!$X$6-PERALTE!$Z$6)*(RASANTE!F30-PERALTE!$Z$6)-2),IF(RASANTE!F30&lt;=PERALTE!$AB$6,-2))))),IF(AND(AH!$H$8="Izquierda",RASANTE!F30&lt;=PERALTE!$AB$6),IF(RASANTE!F30&lt;=PERALTE!$Q$6,-2,IF(RASANTE!F30&lt;=PERALTE!$U$6,(10/(PERALTE!$U$6-PERALTE!$Q$6)*(RASANTE!F30-PERALTE!$Q$6)-2),IF(RASANTE!F30&lt;=PERALTE!$X$6,8,IF(RASANTE!F30&lt;=PERALTE!$AB$6,(10/(PERALTE!$X$6-PERALTE!$AB$6)*(RASANTE!F30-PERALTE!$AB$6)-2))))),IF(AND(AH!$H$10="Derecha",RASANTE!F30&lt;=PERALTE!$AB$8),IF(RASANTE!F30&lt;=PERALTE!$S$8,-2,IF(RASANTE!F30&lt;=PERALTE!$U$8,(-6/(PERALTE!$U$8-PERALTE!$S$8)*(RASANTE!F30-PERALTE!$S$8)-2),IF(RASANTE!F30&lt;=PERALTE!$X$8,-8,IF(RASANTE!F30&lt;=PERALTE!$Z$8,(-6/(PERALTE!$X$8-PERALTE!$Z$8)*(RASANTE!F30-PERALTE!$Z$8)-2),IF(RASANTE!F30&lt;=PERALTE!$AB$8,-2))))),IF(AND(AH!$H$10="Izquierda",RASANTE!F30&lt;=PERALTE!$AB$8),IF(RASANTE!F30&lt;=PERALTE!$Q$8,-2,IF(RASANTE!F30&lt;=PERALTE!$U$8,(10/(PERALTE!$U$8-PERALTE!$Q$8)*(RASANTE!F30-PERALTE!$Q$8)-2),IF(RASANTE!F30&lt;=PERALTE!$X$8,8,IF(RASANTE!F30&lt;=PERALTE!$AB$8,(10/(PERALTE!$X$8-PERALTE!$AB$8)*(RASANTE!F30-PERALTE!$AB$8)-2))))),IF(AND(AH!$H$12="Derecha",RASANTE!F30&lt;=PERALTE!$AB$10),IF(RASANTE!F30&lt;=PERALTE!$S$10,-2,IF(RASANTE!F30&lt;=PERALTE!$U$10,(-6/(PERALTE!$U$10-PERALTE!$S$10)*(RASANTE!F30-PERALTE!$S$10)-2),IF(RASANTE!F30&lt;=PERALTE!$X$10,-8,IF(RASANTE!F30&lt;=PERALTE!$Z$10,(-6/(PERALTE!$X$10-PERALTE!$Z$10)*(RASANTE!F30-PERALTE!$Z$10)-2),IF(RASANTE!F30&lt;=PERALTE!$AB$10,-2))))),IF(AND(AH!$H$12="Izquierda",RASANTE!F30&lt;=PERALTE!$AB$10),IF(RASANTE!F30&lt;=PERALTE!$Q$10,-2,IF(RASANTE!F30&lt;=PERALTE!$U$10,(10/(PERALTE!$U$10-PERALTE!$Q$10)*(RASANTE!F30-PERALTE!$Q$10)-2),IF(RASANTE!F30&lt;=PERALTE!$X$10,8,IF(RASANTE!F30&lt;=PERALTE!$AB$10,(10/(PERALTE!$X$10-PERALTE!$AB$10)*(RASANTE!F30-PERALTE!$AB$10)-2))))),IF(AND(AH!$H$14="Derecha",RASANTE!F30&lt;=PERALTE!$AB$12),IF(RASANTE!F30&lt;=PERALTE!$S$12,-2,IF(RASANTE!F30&lt;=PERALTE!$U$12,(-6/(PERALTE!$U$12-PERALTE!$S$12)*(RASANTE!F30-PERALTE!$S$12)-2),IF(RASANTE!F30&lt;=PERALTE!$X$12,-8,IF(RASANTE!F30&lt;=PERALTE!$Z$12,(-6/(PERALTE!$X$12-PERALTE!$Z$12)*(RASANTE!F30-PERALTE!$Z$12)-2),IF(RASANTE!F30&lt;=PERALTE!$AB$12,-2))))),IF(AND(AH!$H$14="Izquierda",RASANTE!F30&lt;=PERALTE!$AB$12),IF(RASANTE!F30&lt;=PERALTE!$Q$12,-2,IF(RASANTE!F30&lt;=PERALTE!$U$12,(10/(PERALTE!$U$12-PERALTE!$Q$12)*(RASANTE!F30-PERALTE!$Q$12)-2),IF(RASANTE!F30&lt;=PERALTE!$X$12,8,IF(RASANTE!F30&lt;=PERALTE!$AB$12,(10/(PERALTE!$X$12-PERALTE!$AB$12)*(RASANTE!F30-PERALTE!$AB$12)-2))))),IF(AND(AH!$H$16="Derecha",RASANTE!F30&lt;=PERALTE!$AB$14),IF(RASANTE!F30&lt;=PERALTE!$S$14,-2,IF(RASANTE!F30&lt;=PERALTE!$U$14,(-6/(PERALTE!$U$14-PERALTE!$S$14)*(RASANTE!F30-PERALTE!$S$14)-2),IF(RASANTE!F30&lt;=PERALTE!$X$14,-8,IF(RASANTE!F30&lt;=PERALTE!$Z$14,(-6/(PERALTE!$X$14-PERALTE!$Z$14)*(RASANTE!F30-PERALTE!$Z$14)-2),IF(RASANTE!F30&lt;=PERALTE!$AB$14,-2))))),IF(AND(AH!$H$16="Izquierda",RASANTE!F30&lt;=PERALTE!$AB$14),IF(RASANTE!F30&lt;=PERALTE!$Q$14,-2,IF(RASANTE!F30&lt;=PERALTE!$U$14,(10/(PERALTE!$U$14-PERALTE!$Q$14)*(RASANTE!F30-PERALTE!$Q$14)-2),IF(RASANTE!F30&lt;=PERALTE!$X$14,8,IF(RASANTE!F30&lt;=PERALTE!$AB$14,(10/(PERALTE!$X$14-PERALTE!$AB$14)*(RASANTE!F30-PERALTE!$AB$14)-2))))),IF(AND(AH!$H$18="Derecha",RASANTE!F30&lt;=PERALTE!$AB$16),IF(RASANTE!F30&lt;=PERALTE!$S$16,-2,IF(RASANTE!F30&lt;=PERALTE!$U$16,(-6/(PERALTE!$U$16-PERALTE!$S$16)*(RASANTE!F30-PERALTE!$S$16)-2),IF(RASANTE!F30&lt;=PERALTE!$X$16,-8,IF(RASANTE!F30&lt;=PERALTE!$Z$16,(-6/(PERALTE!$X$16-PERALTE!$Z$16)*(RASANTE!F30-PERALTE!$Z$16)-2),IF(RASANTE!F30&lt;=PERALTE!$AB$16,-2))))),IF(AND(AH!$H$18="Izquierda",RASANTE!F30&lt;=PERALTE!$AB$16),IF(RASANTE!F30&lt;=PERALTE!$Q$16,-2,IF(RASANTE!F30&lt;=PERALTE!$U$16,(10/(PERALTE!$U$16-PERALTE!$Q$16)*(RASANTE!F30-PERALTE!$Q$16)-2),IF(RASANTE!F30&lt;=PERALTE!$X$16,8,IF(RASANTE!F30&lt;=PERALTE!$AB$16,(10/(PERALTE!$X$16-PERALTE!$AB$16)*(RASANTE!F30-PERALTE!$AB$16)-2))))),IF(AND(AH!$H$20="Derecha",RASANTE!F30&lt;=PERALTE!$AB$18),IF(RASANTE!F30&lt;=PERALTE!$S$18,-2,IF(RASANTE!F30&lt;=PERALTE!$U$18,(-6/(PERALTE!$U$18-PERALTE!$S$18)*(RASANTE!F30-PERALTE!$S$18)-2),IF(RASANTE!F30&lt;=PERALTE!$X$18,-8,IF(RASANTE!F30&lt;=PERALTE!$Z$18,(-6/(PERALTE!$X$18-PERALTE!$Z$18)*(RASANTE!F30-PERALTE!$Z$18)-2),IF(RASANTE!F30&lt;=PERALTE!$AB$18,-2))))),IF(AND(AH!$H$20="Izquierda",RASANTE!F30&lt;=PERALTE!$AB$18),IF(RASANTE!F30&lt;=PERALTE!$Q$18,-2,IF(RASANTE!F30&lt;=PERALTE!$U$18,(10/(PERALTE!$U$18-PERALTE!$Q$18)*(RASANTE!F30-PERALTE!$Q$18)-2),IF(RASANTE!F30&lt;=PERALTE!$X$18,8,IF(RASANTE!F30&lt;=PERALTE!$AB$18,(10/(PERALTE!$X$18-PERALTE!$AB$18)*(RASANTE!F30-PERALTE!$AB$18)-2))))),IF(AND(AH!$H$24="Derecha",RASANTE!F30&lt;=PERALTE!$AB$22),IF(RASANTE!F30&lt;=PERALTE!$S$22,-2,IF(RASANTE!F30&lt;=PERALTE!$U$22,(-6/(PERALTE!$U$22-PERALTE!$S$22)*(RASANTE!F30-PERALTE!$S$22)-2),IF(RASANTE!F30&lt;=PERALTE!$X$22,-8,IF(RASANTE!F30&lt;=PERALTE!$Z$22,(-6/(PERALTE!$X$22-PERALTE!$Z$22)*(RASANTE!F30-PERALTE!$Z$22)-2),IF(RASANTE!F30&lt;=PERALTE!$AB$22,-2))))),IF(AND(AH!$H$24="Izquierda",RASANTE!F30&lt;=PERALTE!$AB$22),IF(RASANTE!F30&lt;=PERALTE!$Q$22,-2,IF(RASANTE!F30&lt;=PERALTE!$U$22,(10/(PERALTE!$U$22-PERALTE!$Q$22)*(RASANTE!F30-PERALTE!$Q$22)-2),IF(RASANTE!F30&lt;=PERALTE!$X$22,8,IF(RASANTE!F30&lt;=PERALTE!$AB$22,(10/(PERALTE!$X$22-PERALTE!$AB$22)*(RASANTE!F30-PERALTE!$AB$22)-2))))),IF(AND(AH!#REF!="Derecha",RASANTE!F30&lt;=PERALTE!#REF!),IF(RASANTE!F30&lt;=PERALTE!#REF!,-2,IF(RASANTE!F30&lt;=PERALTE!#REF!,(-6/(PERALTE!#REF!-PERALTE!#REF!)*(RASANTE!F30-PERALTE!#REF!)-2),IF(RASANTE!F30&lt;=PERALTE!#REF!,-8,IF(RASANTE!F30&lt;=PERALTE!#REF!,(-6/(PERALTE!#REF!-PERALTE!#REF!)*(RASANTE!F30-PERALTE!#REF!)-2),IF(RASANTE!F30&lt;=PERALTE!#REF!,-2))))),IF(AND(AH!#REF!="Izquierda",RASANTE!F30&lt;=PERALTE!#REF!),IF(RASANTE!F30&lt;=PERALTE!#REF!,-2,IF(RASANTE!F30&lt;=PERALTE!#REF!,(10/(PERALTE!#REF!-PERALTE!#REF!)*(RASANTE!F30-PERALTE!#REF!)-2),IF(RASANTE!F30&lt;=PERALTE!#REF!,8,IF(RASANTE!F30&lt;=PERALTE!#REF!,(10/(PERALTE!#REF!-PERALTE!#REF!)*(RASANTE!F30-PERALTE!#REF!)-2))))),IF(AND(AH!#REF!="Derecha",RASANTE!F30&lt;=PERALTE!$AB$26),IF(RASANTE!F30&lt;=PERALTE!$S$26,-2,IF(RASANTE!F30&lt;=PERALTE!$U$26,(-6/(PERALTE!$U$26-PERALTE!$S$26)*(RASANTE!F30-PERALTE!$S$26)-2),IF(RASANTE!F30&lt;=PERALTE!$X$26,-8,IF(RASANTE!F30&lt;=PERALTE!$Z$26,(-6/(PERALTE!$X$26-PERALTE!$Z$26)*(RASANTE!F30-PERALTE!$Z$26)-2),IF(RASANTE!F30&lt;=PERALTE!$AB$26,-2))))),IF(AND(AH!#REF!="Izquierda",RASANTE!F30&lt;=PERALTE!$AB$26),IF(RASANTE!F30&lt;=PERALTE!$Q$26,-2,IF(RASANTE!F30&lt;=PERALTE!$U$26,(10/(PERALTE!$U$26-PERALTE!$Q$26)*(RASANTE!F30-PERALTE!$Q$26)-2),IF(RASANTE!F30&lt;=PERALTE!$X$26,8,IF(RASANTE!F30&lt;=PERALTE!$AB$26,(10/(PERALTE!$X$26-PERALTE!$AB$26)*(RASANTE!F30-PERALTE!$AB$26)-2))))),IF(F30&lt;=PERALTE!#REF!,-2,"Abscisa fuera de la vía")))))))))))))))))))))</f>
        <v>8</v>
      </c>
      <c r="J30" s="28">
        <f t="shared" si="1"/>
        <v>1650.2840000000003</v>
      </c>
      <c r="K30" s="356">
        <f>+IF(AND(AV!$S$6&lt;F186,F186&lt;=AV!$T$6),AV!$P$6*((AV!$S$6-RASANTE!F186)/(AV!$N$6))^2,IF(AND(AV!$T$6&lt;RASANTE!F186,F186&lt;AV!$U$6),AV!$P$6*((AV!$U$6-RASANTE!F186)/(AV!$O$6))^2,IF(AND(AV!$S$8&lt;F186,F186&lt;=AV!$T$8),AV!$P$8*((AV!$S$8-RASANTE!F186)/(AV!$N$8))^2,IF(AND(AV!$T$8&lt;RASANTE!F186,F186&lt;AV!$U$8),AV!$P$8*((AV!$U$8-RASANTE!F186)/(AV!$O$8))^2,IF(AND(AV!$S$10&lt;F186,F186&lt;=AV!$T$10),AV!$P$10*((AV!$S$10-RASANTE!F186)/(AV!$N$10))^2,IF(AND(AV!$T$10&lt;RASANTE!F186,F186&lt;AV!$U$10),AV!$P$10*((AV!$U$10-RASANTE!F186)/(AV!$O$10))^2,IF(AND(AV!$S$12&lt;F186,F186&lt;=AV!$T$12),AV!$P$12*((AV!$S$12-RASANTE!F186)/(AV!$N$12))^2,IF(AND(AV!$T$12&lt;RASANTE!F186,F186&lt;AV!$U$12),AV!$P$12*((AV!$U$12-RASANTE!F186)/(AV!$O$12))^2,IF(AND(AV!$S$14&lt;F186,F186&lt;=AV!$T$14),AV!$P$14*((AV!$S$14-RASANTE!F186)/(AV!$N$14))^2,IF(AND(AV!$T$14&lt;RASANTE!F186,F186&lt;AV!$U$14),AV!$P$14*((AV!$U$14-RASANTE!F186)/(AV!$O$14))^2,IF(AND(AV!$S$16&lt;F186,F186&lt;=AV!$T$16),AV!$P$16*((AV!$S$16-RASANTE!F186)/(AV!$N$16))^2,IF(AND(AV!$T$16&lt;RASANTE!F186,F186&lt;AV!$U$16),AV!$P$16*((AV!$U$16-RASANTE!F186)/(AV!$O$16))^2,IF(AND(AV!$S$18&lt;F186,F186&lt;=AV!$T$18),AV!$P$18*((AV!$S$18-RASANTE!F186)/(AV!$N$18))^2,IF(AND(AV!$T$18&lt;RASANTE!F186,F186&lt;AV!$U$18),AV!$P$18*((AV!$U$18-RASANTE!F186)/(AV!$O$18))^2,IF(AND(AV!$S$20&lt;F186,F186&lt;=AV!$T$20),AV!$P$20*((AV!$S$20-RASANTE!F186)/(AV!$N$20))^2,IF(AND(AV!$T$20&lt;RASANTE!F186,F186&lt;AV!$U$20),AV!$P$20*((AV!$U$20-RASANTE!F186)/(AV!$O$20))^2,IF(AND(AV!$S$22&lt;F186,F186&lt;=AV!$T$22),AV!$P$22*((AV!$S$22-RASANTE!F186)/(AV!$N$22))^2,IF(AND(AV!$T$22&lt;RASANTE!F186,F186&lt;AV!$U$22),AV!$P$22*((AV!$U$22-RASANTE!F186)/(AV!$O$22))^2,IF(AND(AV!$S$24&lt;F186,F186&lt;=AV!$T$24),AV!$P$24*((AV!$S$24-RASANTE!F186)/(AV!$N$24))^2,IF(AND(AV!$T$24&lt;RASANTE!F186,F186&lt;AV!$U$24),AV!$P$24*((AV!$U$24-RASANTE!F186)/(AV!$O$24))^2,0))))))))))))))))))))</f>
        <v>0</v>
      </c>
      <c r="L30" s="28">
        <f>+M30+H30%*PERALTE!$C$32</f>
        <v>1650.0040000000004</v>
      </c>
      <c r="M30" s="28">
        <f t="shared" si="0"/>
        <v>1650.2840000000003</v>
      </c>
      <c r="N30" s="28">
        <f>+M30+I30%*PERALTE!$C$32</f>
        <v>1650.5640000000003</v>
      </c>
      <c r="O30" s="92"/>
      <c r="P30" s="84"/>
      <c r="Q30" s="108" t="s">
        <v>191</v>
      </c>
      <c r="R30" s="108" t="s">
        <v>386</v>
      </c>
      <c r="S30" s="84"/>
      <c r="T30" s="84"/>
      <c r="U30" s="84"/>
      <c r="V30" s="84"/>
      <c r="W30" s="84"/>
      <c r="X30" s="84"/>
      <c r="Y30" s="84"/>
    </row>
    <row r="31" spans="1:25" ht="15.75" customHeight="1" x14ac:dyDescent="0.2">
      <c r="A31" s="111"/>
      <c r="B31" s="123">
        <f>AH!V8</f>
        <v>57.257170023172158</v>
      </c>
      <c r="C31" s="124"/>
      <c r="D31" s="118"/>
      <c r="E31" s="115"/>
      <c r="F31" s="34">
        <v>210</v>
      </c>
      <c r="G31" s="88">
        <f>IF(F31&lt;=AV!$T$6,AV!$C$5,IF(RASANTE!F31&lt;=AV!$T$8,AV!$C$7,IF(RASANTE!F31&lt;=AV!$T$10,AV!$C$9,IF(RASANTE!F31&lt;=AV!$T$12,AV!#REF!,IF(RASANTE!F31&lt;=AV!$T$14,AV!$C$11,IF(RASANTE!F31&lt;=AV!$T$16,AV!$C$13, IF(RASANTE!F31&lt;=AV!$T$18,AV!$C$15,IF(RASANTE!F31&lt;=AV!$T$20,AV!$C$19,IF(RASANTE!F31&lt;=AV!$T$22,AV!$C$21,IF(RASANTE!F31&lt;=AV!$T$24,AV!$C$23,AV!$C$25))))))))))</f>
        <v>3.1419999999999999</v>
      </c>
      <c r="H31" s="28">
        <f>+IF(AND(AH!$H$8="Izquierda",RASANTE!F31&lt;=PERALTE!$AB$6),IF(RASANTE!F31&lt;=PERALTE!$S$6,-2,IF(RASANTE!F31&lt;=PERALTE!$U$6,(-6/(PERALTE!$U$6-PERALTE!$S$6)*(RASANTE!F31-PERALTE!$S$6)-2),IF(RASANTE!F31&lt;=PERALTE!$X$6,-8,IF(RASANTE!F31&lt;=PERALTE!$Z$6,(-6/(PERALTE!$X$6-PERALTE!$Z$6)*(RASANTE!F31-PERALTE!$Z$6)-2),IF(RASANTE!F31&lt;=PERALTE!$AB$6,-2))))),IF(AND(AH!$H$8="Derecha",RASANTE!F31&lt;=PERALTE!$AB$6),IF(RASANTE!F31&lt;=PERALTE!$Q$6,-2,IF(RASANTE!F31&lt;=PERALTE!$U$6,(10/(PERALTE!$U$6-PERALTE!$Q$6)*(RASANTE!F31-PERALTE!$Q$6)-2),IF(RASANTE!F31&lt;=PERALTE!$X$6,8,IF(RASANTE!F31&lt;=PERALTE!$AB$6,(10/(PERALTE!$X$6-PERALTE!$AB$6)*(RASANTE!F31-PERALTE!$AB$6)-2))))),IF(AND(AH!$H$10="Izquierda",RASANTE!F31&lt;=PERALTE!$AB$8),IF(RASANTE!F31&lt;=PERALTE!$S$8,-2,IF(RASANTE!F31&lt;=PERALTE!$U$8,(-6/(PERALTE!$U$8-PERALTE!$S$8)*(RASANTE!F31-PERALTE!$S$8)-2),IF(RASANTE!F31&lt;=PERALTE!$X$8,-8,IF(RASANTE!F31&lt;=PERALTE!$Z$8,(-6/(PERALTE!$X$8-PERALTE!$Z$8)*(RASANTE!F31-PERALTE!$Z$8)-2),IF(RASANTE!F31&lt;=PERALTE!$AB$8,-2))))),IF(AND(AH!$H$10="Derecha",RASANTE!F31&lt;=PERALTE!$AB$8),IF(RASANTE!F31&lt;=PERALTE!$Q$8,-2,IF(RASANTE!F31&lt;=PERALTE!$U$8,(10/(PERALTE!$U$8-PERALTE!$Q$8)*(RASANTE!F31-PERALTE!$Q$8)-2),IF(RASANTE!F31&lt;=PERALTE!$X$8,8,IF(RASANTE!F31&lt;=PERALTE!$AB$8,(10/(PERALTE!$X$8-PERALTE!$AB$8)*(RASANTE!F31-PERALTE!$AB$8)-2))))),IF(AND(AH!$H$12="Izquierda",RASANTE!F31&lt;=PERALTE!$AB$10),IF(RASANTE!F31&lt;=PERALTE!$S$10,-2,IF(RASANTE!F31&lt;=PERALTE!$U$10,(-6/(PERALTE!$U$10-PERALTE!$S$10)*(RASANTE!F31-PERALTE!$S$10)-2),IF(RASANTE!F31&lt;=PERALTE!$X$10,-8,IF(RASANTE!F31&lt;=PERALTE!$Z$10,(-6/(PERALTE!$X$10-PERALTE!$Z$10)*(RASANTE!F31-PERALTE!$Z$10)-2),IF(RASANTE!F31&lt;=PERALTE!$AB$10,-2))))),IF(AND(AH!$H$12="Derecha",RASANTE!F31&lt;=PERALTE!$AB$10),IF(RASANTE!F31&lt;=PERALTE!$Q$10,-2,IF(RASANTE!F31&lt;=PERALTE!$U$10,(10/(PERALTE!$U$10-PERALTE!$Q$10)*(RASANTE!F31-PERALTE!$Q$10)-2),IF(RASANTE!F31&lt;=PERALTE!$X$10,8,IF(RASANTE!F31&lt;=PERALTE!$AB$10,(10/(PERALTE!$X$10-PERALTE!$AB$10)*(RASANTE!F31-PERALTE!$AB$10)-2))))),IF(AND(AH!$H$14="Izquierda",RASANTE!F31&lt;=PERALTE!$AB$12),IF(RASANTE!F31&lt;=PERALTE!$S$12,-2,IF(RASANTE!F31&lt;=PERALTE!$U$12,(-6/(PERALTE!$U$12-PERALTE!$S$12)*(RASANTE!F31-PERALTE!$S$12)-2),IF(RASANTE!F31&lt;=PERALTE!$X$12,-8,IF(RASANTE!F31&lt;=PERALTE!$Z$12,(-6/(PERALTE!$X$12-PERALTE!$Z$12)*(RASANTE!F31-PERALTE!$Z$12)-2),IF(RASANTE!F31&lt;=PERALTE!$AB$12,-2))))),IF(AND(AH!$H$14="Derecha",RASANTE!F31&lt;=PERALTE!$AB$12),IF(RASANTE!F31&lt;=PERALTE!$Q$12,-2,IF(RASANTE!F31&lt;=PERALTE!$U$12,(10/(PERALTE!$U$12-PERALTE!$Q$12)*(RASANTE!F31-PERALTE!$Q$12)-2),IF(RASANTE!F31&lt;=PERALTE!$X$12,8,IF(RASANTE!F31&lt;=PERALTE!$AB$12,(10/(PERALTE!$X$12-PERALTE!$AB$12)*(RASANTE!F31-PERALTE!$AB$12)-2))))),IF(AND(AH!$H$16="Izquierda",RASANTE!F31&lt;=PERALTE!$AB$14),IF(RASANTE!F31&lt;=PERALTE!$S$14,-2,IF(RASANTE!F31&lt;=PERALTE!$U$14,(-6/(PERALTE!$U$14-PERALTE!$S$14)*(RASANTE!F31-PERALTE!$S$14)-2),IF(RASANTE!F31&lt;=PERALTE!$X$14,-8,IF(RASANTE!F31&lt;=PERALTE!$Z$14,(-6/(PERALTE!$X$14-PERALTE!$Z$14)*(RASANTE!F31-PERALTE!$Z$14)-2),IF(RASANTE!F31&lt;=PERALTE!$AB$14,-2))))),IF(AND(AH!$H$16="Derecha",RASANTE!F31&lt;=PERALTE!$AB$14),IF(RASANTE!F31&lt;=PERALTE!$Q$14,-2,IF(RASANTE!F31&lt;=PERALTE!$U$14,(10/(PERALTE!$U$14-PERALTE!$Q$14)*(RASANTE!F31-PERALTE!$Q$14)-2),IF(RASANTE!F31&lt;=PERALTE!$X$14,8,IF(RASANTE!F31&lt;=PERALTE!$AB$14,(10/(PERALTE!$X$14-PERALTE!$AB$14)*(RASANTE!F31-PERALTE!$AB$14)-2))))),IF(AND(AH!$H$18="Izquierda",RASANTE!F31&lt;=PERALTE!$AB$16),IF(RASANTE!F31&lt;=PERALTE!$S$16,-2,IF(RASANTE!F31&lt;=PERALTE!$U$16,(-6/(PERALTE!$U$16-PERALTE!$S$16)*(RASANTE!F31-PERALTE!$S$16)-2),IF(RASANTE!F31&lt;=PERALTE!$X$16,-8,IF(RASANTE!F31&lt;=PERALTE!$Z$16,(-6/(PERALTE!$X$16-PERALTE!$Z$16)*(RASANTE!F31-PERALTE!$Z$16)-2),IF(RASANTE!F31&lt;=PERALTE!$AB$16,-2))))),IF(AND(AH!$H$18="Derecha",RASANTE!F31&lt;=PERALTE!$AB$16),IF(RASANTE!F31&lt;=PERALTE!$Q$16,-2,IF(RASANTE!F31&lt;=PERALTE!$U$16,(10/(PERALTE!$U$16-PERALTE!$Q$16)*(RASANTE!F31-PERALTE!$Q$16)-2),IF(RASANTE!F31&lt;=PERALTE!$X$16,8,IF(RASANTE!F31&lt;=PERALTE!$AB$16,(10/(PERALTE!$X$16-PERALTE!$AB$16)*(RASANTE!F31-PERALTE!$AB$16)-2))))),IF(AND(AH!$H$20="Izquierda",RASANTE!F31&lt;=PERALTE!$AB$18),IF(RASANTE!F31&lt;=PERALTE!$S$18,-2,IF(RASANTE!F31&lt;=PERALTE!$U$18,(-6/(PERALTE!$U$18-PERALTE!$S$18)*(RASANTE!F31-PERALTE!$S$18)-2),IF(RASANTE!F31&lt;=PERALTE!$X$18,-8,IF(RASANTE!F31&lt;=PERALTE!$Z$18,(-6/(PERALTE!$X$18-PERALTE!$Z$18)*(RASANTE!F31-PERALTE!$Z$18)-2),IF(RASANTE!F31&lt;=PERALTE!$AB$18,-2))))),IF(AND(AH!$H$20="Derecha",RASANTE!F31&lt;=PERALTE!$AB$18),IF(RASANTE!F31&lt;=PERALTE!$Q$18,-2,IF(RASANTE!F31&lt;=PERALTE!$U$18,(10/(PERALTE!$U$18-PERALTE!$Q$18)*(RASANTE!F31-PERALTE!$Q$18)-2),IF(RASANTE!F31&lt;=PERALTE!$X$18,8,IF(RASANTE!F31&lt;=PERALTE!$AB$18,(10/(PERALTE!$X$18-PERALTE!$AB$18)*(RASANTE!F31-PERALTE!$AB$18)-2))))),IF(AND(AH!$H$24="Izquierda",RASANTE!F31&lt;=PERALTE!$AB$22),IF(RASANTE!F31&lt;=PERALTE!$S$22,-2,IF(RASANTE!F31&lt;=PERALTE!$U$22,(-6/(PERALTE!$U$22-PERALTE!$S$22)*(RASANTE!F31-PERALTE!$S$22)-2),IF(RASANTE!F31&lt;=PERALTE!$X$22,-8,IF(RASANTE!F31&lt;=PERALTE!$Z$22,(-6/(PERALTE!$X$22-PERALTE!$Z$22)*(RASANTE!F31-PERALTE!$Z$22)-2),IF(RASANTE!F31&lt;=PERALTE!$AB$22,-2))))),IF(AND(AH!$H$24="Derecha",RASANTE!F31&lt;=PERALTE!$AB$22),IF(RASANTE!F31&lt;=PERALTE!$Q$22,-2,IF(RASANTE!F31&lt;=PERALTE!$U$22,(10/(PERALTE!$U$22-PERALTE!$Q$22)*(RASANTE!F31-PERALTE!$Q$22)-2),IF(RASANTE!F31&lt;=PERALTE!$X$22,8,IF(RASANTE!F31&lt;=PERALTE!$AB$22,(10/(PERALTE!$X$22-PERALTE!$AB$22)*(RASANTE!F31-PERALTE!$AB$22)-2))))),IF(AND(AH!#REF!="Izquierda",RASANTE!F31&lt;=PERALTE!#REF!),IF(RASANTE!F31&lt;=PERALTE!#REF!,-2,IF(RASANTE!F31&lt;=PERALTE!#REF!,(-6/(PERALTE!#REF!-PERALTE!#REF!)*(RASANTE!F31-PERALTE!#REF!)-2),IF(RASANTE!F31&lt;=PERALTE!#REF!,-8,IF(RASANTE!F31&lt;=PERALTE!#REF!,(-6/(PERALTE!#REF!-PERALTE!#REF!)*(RASANTE!F31-PERALTE!#REF!)-2),IF(RASANTE!F31&lt;=PERALTE!#REF!,-2))))),IF(AND(AH!#REF!="Derecha",RASANTE!F31&lt;=PERALTE!#REF!),IF(RASANTE!F31&lt;=PERALTE!#REF!,-2,IF(RASANTE!F31&lt;=PERALTE!#REF!,(10/(PERALTE!#REF!-PERALTE!#REF!)*(RASANTE!F31-PERALTE!#REF!)-2),IF(RASANTE!F31&lt;=PERALTE!#REF!,8,IF(RASANTE!F31&lt;=PERALTE!#REF!,(10/(PERALTE!#REF!-PERALTE!#REF!)*(RASANTE!F31-PERALTE!#REF!)-2))))),IF(AND(AH!#REF!="Izquierda",RASANTE!F31&lt;=PERALTE!$AB$26),IF(RASANTE!F31&lt;=PERALTE!$S$26,-2,IF(RASANTE!F31&lt;=PERALTE!$U$26,(-6/(PERALTE!$U$26-PERALTE!$S$26)*(RASANTE!F31-PERALTE!$S$26)-2),IF(RASANTE!F31&lt;=PERALTE!$X$26,-8,IF(RASANTE!F31&lt;=PERALTE!$Z$26,(-6/(PERALTE!$X$26-PERALTE!$Z$26)*(RASANTE!F31-PERALTE!$Z$26)-2),IF(RASANTE!F31&lt;=PERALTE!$AB$26,-2))))),IF(AND(AH!#REF!="Derecha",RASANTE!F31&lt;=PERALTE!$AB$26),IF(RASANTE!F31&lt;=PERALTE!$Q$26,-2,IF(RASANTE!F31&lt;=PERALTE!$U$26,(10/(PERALTE!$U$26-PERALTE!$Q$26)*(RASANTE!F31-PERALTE!$Q$26)-2),IF(RASANTE!F31&lt;=PERALTE!$X$26,8,IF(RASANTE!F31&lt;=PERALTE!$AB$26,(10/(PERALTE!$X$26-PERALTE!$AB$26)*(RASANTE!F31-PERALTE!$AB$26)-2))))),IF(F31&lt;=PERALTE!#REF!,-2,"Abscisa fuera de la vía")))))))))))))))))))))</f>
        <v>-8</v>
      </c>
      <c r="I31" s="28">
        <f>+IF(AND(AH!$H$8="Derecha",RASANTE!F31&lt;=PERALTE!$AB$6),IF(RASANTE!F31&lt;=PERALTE!$S$6,-2,IF(RASANTE!F31&lt;=PERALTE!$U$6,(-6/(PERALTE!$U$6-PERALTE!$S$6)*(RASANTE!F31-PERALTE!$S$6)-2),IF(RASANTE!F31&lt;=PERALTE!$X$6,-8,IF(RASANTE!F31&lt;=PERALTE!$Z$6,(-6/(PERALTE!$X$6-PERALTE!$Z$6)*(RASANTE!F31-PERALTE!$Z$6)-2),IF(RASANTE!F31&lt;=PERALTE!$AB$6,-2))))),IF(AND(AH!$H$8="Izquierda",RASANTE!F31&lt;=PERALTE!$AB$6),IF(RASANTE!F31&lt;=PERALTE!$Q$6,-2,IF(RASANTE!F31&lt;=PERALTE!$U$6,(10/(PERALTE!$U$6-PERALTE!$Q$6)*(RASANTE!F31-PERALTE!$Q$6)-2),IF(RASANTE!F31&lt;=PERALTE!$X$6,8,IF(RASANTE!F31&lt;=PERALTE!$AB$6,(10/(PERALTE!$X$6-PERALTE!$AB$6)*(RASANTE!F31-PERALTE!$AB$6)-2))))),IF(AND(AH!$H$10="Derecha",RASANTE!F31&lt;=PERALTE!$AB$8),IF(RASANTE!F31&lt;=PERALTE!$S$8,-2,IF(RASANTE!F31&lt;=PERALTE!$U$8,(-6/(PERALTE!$U$8-PERALTE!$S$8)*(RASANTE!F31-PERALTE!$S$8)-2),IF(RASANTE!F31&lt;=PERALTE!$X$8,-8,IF(RASANTE!F31&lt;=PERALTE!$Z$8,(-6/(PERALTE!$X$8-PERALTE!$Z$8)*(RASANTE!F31-PERALTE!$Z$8)-2),IF(RASANTE!F31&lt;=PERALTE!$AB$8,-2))))),IF(AND(AH!$H$10="Izquierda",RASANTE!F31&lt;=PERALTE!$AB$8),IF(RASANTE!F31&lt;=PERALTE!$Q$8,-2,IF(RASANTE!F31&lt;=PERALTE!$U$8,(10/(PERALTE!$U$8-PERALTE!$Q$8)*(RASANTE!F31-PERALTE!$Q$8)-2),IF(RASANTE!F31&lt;=PERALTE!$X$8,8,IF(RASANTE!F31&lt;=PERALTE!$AB$8,(10/(PERALTE!$X$8-PERALTE!$AB$8)*(RASANTE!F31-PERALTE!$AB$8)-2))))),IF(AND(AH!$H$12="Derecha",RASANTE!F31&lt;=PERALTE!$AB$10),IF(RASANTE!F31&lt;=PERALTE!$S$10,-2,IF(RASANTE!F31&lt;=PERALTE!$U$10,(-6/(PERALTE!$U$10-PERALTE!$S$10)*(RASANTE!F31-PERALTE!$S$10)-2),IF(RASANTE!F31&lt;=PERALTE!$X$10,-8,IF(RASANTE!F31&lt;=PERALTE!$Z$10,(-6/(PERALTE!$X$10-PERALTE!$Z$10)*(RASANTE!F31-PERALTE!$Z$10)-2),IF(RASANTE!F31&lt;=PERALTE!$AB$10,-2))))),IF(AND(AH!$H$12="Izquierda",RASANTE!F31&lt;=PERALTE!$AB$10),IF(RASANTE!F31&lt;=PERALTE!$Q$10,-2,IF(RASANTE!F31&lt;=PERALTE!$U$10,(10/(PERALTE!$U$10-PERALTE!$Q$10)*(RASANTE!F31-PERALTE!$Q$10)-2),IF(RASANTE!F31&lt;=PERALTE!$X$10,8,IF(RASANTE!F31&lt;=PERALTE!$AB$10,(10/(PERALTE!$X$10-PERALTE!$AB$10)*(RASANTE!F31-PERALTE!$AB$10)-2))))),IF(AND(AH!$H$14="Derecha",RASANTE!F31&lt;=PERALTE!$AB$12),IF(RASANTE!F31&lt;=PERALTE!$S$12,-2,IF(RASANTE!F31&lt;=PERALTE!$U$12,(-6/(PERALTE!$U$12-PERALTE!$S$12)*(RASANTE!F31-PERALTE!$S$12)-2),IF(RASANTE!F31&lt;=PERALTE!$X$12,-8,IF(RASANTE!F31&lt;=PERALTE!$Z$12,(-6/(PERALTE!$X$12-PERALTE!$Z$12)*(RASANTE!F31-PERALTE!$Z$12)-2),IF(RASANTE!F31&lt;=PERALTE!$AB$12,-2))))),IF(AND(AH!$H$14="Izquierda",RASANTE!F31&lt;=PERALTE!$AB$12),IF(RASANTE!F31&lt;=PERALTE!$Q$12,-2,IF(RASANTE!F31&lt;=PERALTE!$U$12,(10/(PERALTE!$U$12-PERALTE!$Q$12)*(RASANTE!F31-PERALTE!$Q$12)-2),IF(RASANTE!F31&lt;=PERALTE!$X$12,8,IF(RASANTE!F31&lt;=PERALTE!$AB$12,(10/(PERALTE!$X$12-PERALTE!$AB$12)*(RASANTE!F31-PERALTE!$AB$12)-2))))),IF(AND(AH!$H$16="Derecha",RASANTE!F31&lt;=PERALTE!$AB$14),IF(RASANTE!F31&lt;=PERALTE!$S$14,-2,IF(RASANTE!F31&lt;=PERALTE!$U$14,(-6/(PERALTE!$U$14-PERALTE!$S$14)*(RASANTE!F31-PERALTE!$S$14)-2),IF(RASANTE!F31&lt;=PERALTE!$X$14,-8,IF(RASANTE!F31&lt;=PERALTE!$Z$14,(-6/(PERALTE!$X$14-PERALTE!$Z$14)*(RASANTE!F31-PERALTE!$Z$14)-2),IF(RASANTE!F31&lt;=PERALTE!$AB$14,-2))))),IF(AND(AH!$H$16="Izquierda",RASANTE!F31&lt;=PERALTE!$AB$14),IF(RASANTE!F31&lt;=PERALTE!$Q$14,-2,IF(RASANTE!F31&lt;=PERALTE!$U$14,(10/(PERALTE!$U$14-PERALTE!$Q$14)*(RASANTE!F31-PERALTE!$Q$14)-2),IF(RASANTE!F31&lt;=PERALTE!$X$14,8,IF(RASANTE!F31&lt;=PERALTE!$AB$14,(10/(PERALTE!$X$14-PERALTE!$AB$14)*(RASANTE!F31-PERALTE!$AB$14)-2))))),IF(AND(AH!$H$18="Derecha",RASANTE!F31&lt;=PERALTE!$AB$16),IF(RASANTE!F31&lt;=PERALTE!$S$16,-2,IF(RASANTE!F31&lt;=PERALTE!$U$16,(-6/(PERALTE!$U$16-PERALTE!$S$16)*(RASANTE!F31-PERALTE!$S$16)-2),IF(RASANTE!F31&lt;=PERALTE!$X$16,-8,IF(RASANTE!F31&lt;=PERALTE!$Z$16,(-6/(PERALTE!$X$16-PERALTE!$Z$16)*(RASANTE!F31-PERALTE!$Z$16)-2),IF(RASANTE!F31&lt;=PERALTE!$AB$16,-2))))),IF(AND(AH!$H$18="Izquierda",RASANTE!F31&lt;=PERALTE!$AB$16),IF(RASANTE!F31&lt;=PERALTE!$Q$16,-2,IF(RASANTE!F31&lt;=PERALTE!$U$16,(10/(PERALTE!$U$16-PERALTE!$Q$16)*(RASANTE!F31-PERALTE!$Q$16)-2),IF(RASANTE!F31&lt;=PERALTE!$X$16,8,IF(RASANTE!F31&lt;=PERALTE!$AB$16,(10/(PERALTE!$X$16-PERALTE!$AB$16)*(RASANTE!F31-PERALTE!$AB$16)-2))))),IF(AND(AH!$H$20="Derecha",RASANTE!F31&lt;=PERALTE!$AB$18),IF(RASANTE!F31&lt;=PERALTE!$S$18,-2,IF(RASANTE!F31&lt;=PERALTE!$U$18,(-6/(PERALTE!$U$18-PERALTE!$S$18)*(RASANTE!F31-PERALTE!$S$18)-2),IF(RASANTE!F31&lt;=PERALTE!$X$18,-8,IF(RASANTE!F31&lt;=PERALTE!$Z$18,(-6/(PERALTE!$X$18-PERALTE!$Z$18)*(RASANTE!F31-PERALTE!$Z$18)-2),IF(RASANTE!F31&lt;=PERALTE!$AB$18,-2))))),IF(AND(AH!$H$20="Izquierda",RASANTE!F31&lt;=PERALTE!$AB$18),IF(RASANTE!F31&lt;=PERALTE!$Q$18,-2,IF(RASANTE!F31&lt;=PERALTE!$U$18,(10/(PERALTE!$U$18-PERALTE!$Q$18)*(RASANTE!F31-PERALTE!$Q$18)-2),IF(RASANTE!F31&lt;=PERALTE!$X$18,8,IF(RASANTE!F31&lt;=PERALTE!$AB$18,(10/(PERALTE!$X$18-PERALTE!$AB$18)*(RASANTE!F31-PERALTE!$AB$18)-2))))),IF(AND(AH!$H$24="Derecha",RASANTE!F31&lt;=PERALTE!$AB$22),IF(RASANTE!F31&lt;=PERALTE!$S$22,-2,IF(RASANTE!F31&lt;=PERALTE!$U$22,(-6/(PERALTE!$U$22-PERALTE!$S$22)*(RASANTE!F31-PERALTE!$S$22)-2),IF(RASANTE!F31&lt;=PERALTE!$X$22,-8,IF(RASANTE!F31&lt;=PERALTE!$Z$22,(-6/(PERALTE!$X$22-PERALTE!$Z$22)*(RASANTE!F31-PERALTE!$Z$22)-2),IF(RASANTE!F31&lt;=PERALTE!$AB$22,-2))))),IF(AND(AH!$H$24="Izquierda",RASANTE!F31&lt;=PERALTE!$AB$22),IF(RASANTE!F31&lt;=PERALTE!$Q$22,-2,IF(RASANTE!F31&lt;=PERALTE!$U$22,(10/(PERALTE!$U$22-PERALTE!$Q$22)*(RASANTE!F31-PERALTE!$Q$22)-2),IF(RASANTE!F31&lt;=PERALTE!$X$22,8,IF(RASANTE!F31&lt;=PERALTE!$AB$22,(10/(PERALTE!$X$22-PERALTE!$AB$22)*(RASANTE!F31-PERALTE!$AB$22)-2))))),IF(AND(AH!#REF!="Derecha",RASANTE!F31&lt;=PERALTE!#REF!),IF(RASANTE!F31&lt;=PERALTE!#REF!,-2,IF(RASANTE!F31&lt;=PERALTE!#REF!,(-6/(PERALTE!#REF!-PERALTE!#REF!)*(RASANTE!F31-PERALTE!#REF!)-2),IF(RASANTE!F31&lt;=PERALTE!#REF!,-8,IF(RASANTE!F31&lt;=PERALTE!#REF!,(-6/(PERALTE!#REF!-PERALTE!#REF!)*(RASANTE!F31-PERALTE!#REF!)-2),IF(RASANTE!F31&lt;=PERALTE!#REF!,-2))))),IF(AND(AH!#REF!="Izquierda",RASANTE!F31&lt;=PERALTE!#REF!),IF(RASANTE!F31&lt;=PERALTE!#REF!,-2,IF(RASANTE!F31&lt;=PERALTE!#REF!,(10/(PERALTE!#REF!-PERALTE!#REF!)*(RASANTE!F31-PERALTE!#REF!)-2),IF(RASANTE!F31&lt;=PERALTE!#REF!,8,IF(RASANTE!F31&lt;=PERALTE!#REF!,(10/(PERALTE!#REF!-PERALTE!#REF!)*(RASANTE!F31-PERALTE!#REF!)-2))))),IF(AND(AH!#REF!="Derecha",RASANTE!F31&lt;=PERALTE!$AB$26),IF(RASANTE!F31&lt;=PERALTE!$S$26,-2,IF(RASANTE!F31&lt;=PERALTE!$U$26,(-6/(PERALTE!$U$26-PERALTE!$S$26)*(RASANTE!F31-PERALTE!$S$26)-2),IF(RASANTE!F31&lt;=PERALTE!$X$26,-8,IF(RASANTE!F31&lt;=PERALTE!$Z$26,(-6/(PERALTE!$X$26-PERALTE!$Z$26)*(RASANTE!F31-PERALTE!$Z$26)-2),IF(RASANTE!F31&lt;=PERALTE!$AB$26,-2))))),IF(AND(AH!#REF!="Izquierda",RASANTE!F31&lt;=PERALTE!$AB$26),IF(RASANTE!F31&lt;=PERALTE!$Q$26,-2,IF(RASANTE!F31&lt;=PERALTE!$U$26,(10/(PERALTE!$U$26-PERALTE!$Q$26)*(RASANTE!F31-PERALTE!$Q$26)-2),IF(RASANTE!F31&lt;=PERALTE!$X$26,8,IF(RASANTE!F31&lt;=PERALTE!$AB$26,(10/(PERALTE!$X$26-PERALTE!$AB$26)*(RASANTE!F31-PERALTE!$AB$26)-2))))),IF(F31&lt;=PERALTE!#REF!,-2,"Abscisa fuera de la vía")))))))))))))))))))))</f>
        <v>8</v>
      </c>
      <c r="J31" s="28">
        <f t="shared" si="1"/>
        <v>1650.5982000000004</v>
      </c>
      <c r="K31" s="356">
        <f>+IF(AND(AV!$S$6&lt;F187,F187&lt;=AV!$T$6),AV!$P$6*((AV!$S$6-RASANTE!F187)/(AV!$N$6))^2,IF(AND(AV!$T$6&lt;RASANTE!F187,F187&lt;AV!$U$6),AV!$P$6*((AV!$U$6-RASANTE!F187)/(AV!$O$6))^2,IF(AND(AV!$S$8&lt;F187,F187&lt;=AV!$T$8),AV!$P$8*((AV!$S$8-RASANTE!F187)/(AV!$N$8))^2,IF(AND(AV!$T$8&lt;RASANTE!F187,F187&lt;AV!$U$8),AV!$P$8*((AV!$U$8-RASANTE!F187)/(AV!$O$8))^2,IF(AND(AV!$S$10&lt;F187,F187&lt;=AV!$T$10),AV!$P$10*((AV!$S$10-RASANTE!F187)/(AV!$N$10))^2,IF(AND(AV!$T$10&lt;RASANTE!F187,F187&lt;AV!$U$10),AV!$P$10*((AV!$U$10-RASANTE!F187)/(AV!$O$10))^2,IF(AND(AV!$S$12&lt;F187,F187&lt;=AV!$T$12),AV!$P$12*((AV!$S$12-RASANTE!F187)/(AV!$N$12))^2,IF(AND(AV!$T$12&lt;RASANTE!F187,F187&lt;AV!$U$12),AV!$P$12*((AV!$U$12-RASANTE!F187)/(AV!$O$12))^2,IF(AND(AV!$S$14&lt;F187,F187&lt;=AV!$T$14),AV!$P$14*((AV!$S$14-RASANTE!F187)/(AV!$N$14))^2,IF(AND(AV!$T$14&lt;RASANTE!F187,F187&lt;AV!$U$14),AV!$P$14*((AV!$U$14-RASANTE!F187)/(AV!$O$14))^2,IF(AND(AV!$S$16&lt;F187,F187&lt;=AV!$T$16),AV!$P$16*((AV!$S$16-RASANTE!F187)/(AV!$N$16))^2,IF(AND(AV!$T$16&lt;RASANTE!F187,F187&lt;AV!$U$16),AV!$P$16*((AV!$U$16-RASANTE!F187)/(AV!$O$16))^2,IF(AND(AV!$S$18&lt;F187,F187&lt;=AV!$T$18),AV!$P$18*((AV!$S$18-RASANTE!F187)/(AV!$N$18))^2,IF(AND(AV!$T$18&lt;RASANTE!F187,F187&lt;AV!$U$18),AV!$P$18*((AV!$U$18-RASANTE!F187)/(AV!$O$18))^2,IF(AND(AV!$S$20&lt;F187,F187&lt;=AV!$T$20),AV!$P$20*((AV!$S$20-RASANTE!F187)/(AV!$N$20))^2,IF(AND(AV!$T$20&lt;RASANTE!F187,F187&lt;AV!$U$20),AV!$P$20*((AV!$U$20-RASANTE!F187)/(AV!$O$20))^2,IF(AND(AV!$S$22&lt;F187,F187&lt;=AV!$T$22),AV!$P$22*((AV!$S$22-RASANTE!F187)/(AV!$N$22))^2,IF(AND(AV!$T$22&lt;RASANTE!F187,F187&lt;AV!$U$22),AV!$P$22*((AV!$U$22-RASANTE!F187)/(AV!$O$22))^2,IF(AND(AV!$S$24&lt;F187,F187&lt;=AV!$T$24),AV!$P$24*((AV!$S$24-RASANTE!F187)/(AV!$N$24))^2,IF(AND(AV!$T$24&lt;RASANTE!F187,F187&lt;AV!$U$24),AV!$P$24*((AV!$U$24-RASANTE!F187)/(AV!$O$24))^2,0))))))))))))))))))))</f>
        <v>0</v>
      </c>
      <c r="L31" s="28">
        <f>+M31+H31%*PERALTE!$C$32</f>
        <v>1650.3182000000004</v>
      </c>
      <c r="M31" s="28">
        <f t="shared" si="0"/>
        <v>1650.5982000000004</v>
      </c>
      <c r="N31" s="28">
        <f>+M31+I31%*PERALTE!$C$32</f>
        <v>1650.8782000000003</v>
      </c>
      <c r="O31" s="92"/>
      <c r="P31" s="84"/>
      <c r="Q31" s="108" t="s">
        <v>192</v>
      </c>
      <c r="R31" s="108" t="s">
        <v>193</v>
      </c>
      <c r="S31" s="84"/>
      <c r="T31" s="84"/>
      <c r="U31" s="84"/>
      <c r="V31" s="84"/>
      <c r="W31" s="84"/>
      <c r="X31" s="84"/>
      <c r="Y31" s="84"/>
    </row>
    <row r="32" spans="1:25" ht="15.75" customHeight="1" x14ac:dyDescent="0.2">
      <c r="A32" s="111" t="s">
        <v>313</v>
      </c>
      <c r="B32" s="126"/>
      <c r="C32" s="127"/>
      <c r="D32" s="128"/>
      <c r="E32" s="115"/>
      <c r="F32" s="34">
        <f>PERALTE!X6</f>
        <v>218.81227336275606</v>
      </c>
      <c r="G32" s="88">
        <f>IF(F32&lt;=AV!$T$6,AV!$C$5,IF(RASANTE!F32&lt;=AV!$T$8,AV!$C$7,IF(RASANTE!F32&lt;=AV!$T$10,AV!$C$9,IF(RASANTE!F32&lt;=AV!$T$12,AV!#REF!,IF(RASANTE!F32&lt;=AV!$T$14,AV!$C$11,IF(RASANTE!F32&lt;=AV!$T$16,AV!$C$13, IF(RASANTE!F32&lt;=AV!$T$18,AV!$C$15,IF(RASANTE!F32&lt;=AV!$T$20,AV!$C$19,IF(RASANTE!F32&lt;=AV!$T$22,AV!$C$21,IF(RASANTE!F32&lt;=AV!$T$24,AV!$C$23,AV!$C$25))))))))))</f>
        <v>3.1419999999999999</v>
      </c>
      <c r="H32" s="28">
        <f>+IF(AND(AH!$H$8="Izquierda",RASANTE!F32&lt;=PERALTE!$AB$6),IF(RASANTE!F32&lt;=PERALTE!$S$6,-2,IF(RASANTE!F32&lt;=PERALTE!$U$6,(-6/(PERALTE!$U$6-PERALTE!$S$6)*(RASANTE!F32-PERALTE!$S$6)-2),IF(RASANTE!F32&lt;=PERALTE!$X$6,-8,IF(RASANTE!F32&lt;=PERALTE!$Z$6,(-6/(PERALTE!$X$6-PERALTE!$Z$6)*(RASANTE!F32-PERALTE!$Z$6)-2),IF(RASANTE!F32&lt;=PERALTE!$AB$6,-2))))),IF(AND(AH!$H$8="Derecha",RASANTE!F32&lt;=PERALTE!$AB$6),IF(RASANTE!F32&lt;=PERALTE!$Q$6,-2,IF(RASANTE!F32&lt;=PERALTE!$U$6,(10/(PERALTE!$U$6-PERALTE!$Q$6)*(RASANTE!F32-PERALTE!$Q$6)-2),IF(RASANTE!F32&lt;=PERALTE!$X$6,8,IF(RASANTE!F32&lt;=PERALTE!$AB$6,(10/(PERALTE!$X$6-PERALTE!$AB$6)*(RASANTE!F32-PERALTE!$AB$6)-2))))),IF(AND(AH!$H$10="Izquierda",RASANTE!F32&lt;=PERALTE!$AB$8),IF(RASANTE!F32&lt;=PERALTE!$S$8,-2,IF(RASANTE!F32&lt;=PERALTE!$U$8,(-6/(PERALTE!$U$8-PERALTE!$S$8)*(RASANTE!F32-PERALTE!$S$8)-2),IF(RASANTE!F32&lt;=PERALTE!$X$8,-8,IF(RASANTE!F32&lt;=PERALTE!$Z$8,(-6/(PERALTE!$X$8-PERALTE!$Z$8)*(RASANTE!F32-PERALTE!$Z$8)-2),IF(RASANTE!F32&lt;=PERALTE!$AB$8,-2))))),IF(AND(AH!$H$10="Derecha",RASANTE!F32&lt;=PERALTE!$AB$8),IF(RASANTE!F32&lt;=PERALTE!$Q$8,-2,IF(RASANTE!F32&lt;=PERALTE!$U$8,(10/(PERALTE!$U$8-PERALTE!$Q$8)*(RASANTE!F32-PERALTE!$Q$8)-2),IF(RASANTE!F32&lt;=PERALTE!$X$8,8,IF(RASANTE!F32&lt;=PERALTE!$AB$8,(10/(PERALTE!$X$8-PERALTE!$AB$8)*(RASANTE!F32-PERALTE!$AB$8)-2))))),IF(AND(AH!$H$12="Izquierda",RASANTE!F32&lt;=PERALTE!$AB$10),IF(RASANTE!F32&lt;=PERALTE!$S$10,-2,IF(RASANTE!F32&lt;=PERALTE!$U$10,(-6/(PERALTE!$U$10-PERALTE!$S$10)*(RASANTE!F32-PERALTE!$S$10)-2),IF(RASANTE!F32&lt;=PERALTE!$X$10,-8,IF(RASANTE!F32&lt;=PERALTE!$Z$10,(-6/(PERALTE!$X$10-PERALTE!$Z$10)*(RASANTE!F32-PERALTE!$Z$10)-2),IF(RASANTE!F32&lt;=PERALTE!$AB$10,-2))))),IF(AND(AH!$H$12="Derecha",RASANTE!F32&lt;=PERALTE!$AB$10),IF(RASANTE!F32&lt;=PERALTE!$Q$10,-2,IF(RASANTE!F32&lt;=PERALTE!$U$10,(10/(PERALTE!$U$10-PERALTE!$Q$10)*(RASANTE!F32-PERALTE!$Q$10)-2),IF(RASANTE!F32&lt;=PERALTE!$X$10,8,IF(RASANTE!F32&lt;=PERALTE!$AB$10,(10/(PERALTE!$X$10-PERALTE!$AB$10)*(RASANTE!F32-PERALTE!$AB$10)-2))))),IF(AND(AH!$H$14="Izquierda",RASANTE!F32&lt;=PERALTE!$AB$12),IF(RASANTE!F32&lt;=PERALTE!$S$12,-2,IF(RASANTE!F32&lt;=PERALTE!$U$12,(-6/(PERALTE!$U$12-PERALTE!$S$12)*(RASANTE!F32-PERALTE!$S$12)-2),IF(RASANTE!F32&lt;=PERALTE!$X$12,-8,IF(RASANTE!F32&lt;=PERALTE!$Z$12,(-6/(PERALTE!$X$12-PERALTE!$Z$12)*(RASANTE!F32-PERALTE!$Z$12)-2),IF(RASANTE!F32&lt;=PERALTE!$AB$12,-2))))),IF(AND(AH!$H$14="Derecha",RASANTE!F32&lt;=PERALTE!$AB$12),IF(RASANTE!F32&lt;=PERALTE!$Q$12,-2,IF(RASANTE!F32&lt;=PERALTE!$U$12,(10/(PERALTE!$U$12-PERALTE!$Q$12)*(RASANTE!F32-PERALTE!$Q$12)-2),IF(RASANTE!F32&lt;=PERALTE!$X$12,8,IF(RASANTE!F32&lt;=PERALTE!$AB$12,(10/(PERALTE!$X$12-PERALTE!$AB$12)*(RASANTE!F32-PERALTE!$AB$12)-2))))),IF(AND(AH!$H$16="Izquierda",RASANTE!F32&lt;=PERALTE!$AB$14),IF(RASANTE!F32&lt;=PERALTE!$S$14,-2,IF(RASANTE!F32&lt;=PERALTE!$U$14,(-6/(PERALTE!$U$14-PERALTE!$S$14)*(RASANTE!F32-PERALTE!$S$14)-2),IF(RASANTE!F32&lt;=PERALTE!$X$14,-8,IF(RASANTE!F32&lt;=PERALTE!$Z$14,(-6/(PERALTE!$X$14-PERALTE!$Z$14)*(RASANTE!F32-PERALTE!$Z$14)-2),IF(RASANTE!F32&lt;=PERALTE!$AB$14,-2))))),IF(AND(AH!$H$16="Derecha",RASANTE!F32&lt;=PERALTE!$AB$14),IF(RASANTE!F32&lt;=PERALTE!$Q$14,-2,IF(RASANTE!F32&lt;=PERALTE!$U$14,(10/(PERALTE!$U$14-PERALTE!$Q$14)*(RASANTE!F32-PERALTE!$Q$14)-2),IF(RASANTE!F32&lt;=PERALTE!$X$14,8,IF(RASANTE!F32&lt;=PERALTE!$AB$14,(10/(PERALTE!$X$14-PERALTE!$AB$14)*(RASANTE!F32-PERALTE!$AB$14)-2))))),IF(AND(AH!$H$18="Izquierda",RASANTE!F32&lt;=PERALTE!$AB$16),IF(RASANTE!F32&lt;=PERALTE!$S$16,-2,IF(RASANTE!F32&lt;=PERALTE!$U$16,(-6/(PERALTE!$U$16-PERALTE!$S$16)*(RASANTE!F32-PERALTE!$S$16)-2),IF(RASANTE!F32&lt;=PERALTE!$X$16,-8,IF(RASANTE!F32&lt;=PERALTE!$Z$16,(-6/(PERALTE!$X$16-PERALTE!$Z$16)*(RASANTE!F32-PERALTE!$Z$16)-2),IF(RASANTE!F32&lt;=PERALTE!$AB$16,-2))))),IF(AND(AH!$H$18="Derecha",RASANTE!F32&lt;=PERALTE!$AB$16),IF(RASANTE!F32&lt;=PERALTE!$Q$16,-2,IF(RASANTE!F32&lt;=PERALTE!$U$16,(10/(PERALTE!$U$16-PERALTE!$Q$16)*(RASANTE!F32-PERALTE!$Q$16)-2),IF(RASANTE!F32&lt;=PERALTE!$X$16,8,IF(RASANTE!F32&lt;=PERALTE!$AB$16,(10/(PERALTE!$X$16-PERALTE!$AB$16)*(RASANTE!F32-PERALTE!$AB$16)-2))))),IF(AND(AH!$H$20="Izquierda",RASANTE!F32&lt;=PERALTE!$AB$18),IF(RASANTE!F32&lt;=PERALTE!$S$18,-2,IF(RASANTE!F32&lt;=PERALTE!$U$18,(-6/(PERALTE!$U$18-PERALTE!$S$18)*(RASANTE!F32-PERALTE!$S$18)-2),IF(RASANTE!F32&lt;=PERALTE!$X$18,-8,IF(RASANTE!F32&lt;=PERALTE!$Z$18,(-6/(PERALTE!$X$18-PERALTE!$Z$18)*(RASANTE!F32-PERALTE!$Z$18)-2),IF(RASANTE!F32&lt;=PERALTE!$AB$18,-2))))),IF(AND(AH!$H$20="Derecha",RASANTE!F32&lt;=PERALTE!$AB$18),IF(RASANTE!F32&lt;=PERALTE!$Q$18,-2,IF(RASANTE!F32&lt;=PERALTE!$U$18,(10/(PERALTE!$U$18-PERALTE!$Q$18)*(RASANTE!F32-PERALTE!$Q$18)-2),IF(RASANTE!F32&lt;=PERALTE!$X$18,8,IF(RASANTE!F32&lt;=PERALTE!$AB$18,(10/(PERALTE!$X$18-PERALTE!$AB$18)*(RASANTE!F32-PERALTE!$AB$18)-2))))),IF(AND(AH!$H$24="Izquierda",RASANTE!F32&lt;=PERALTE!$AB$22),IF(RASANTE!F32&lt;=PERALTE!$S$22,-2,IF(RASANTE!F32&lt;=PERALTE!$U$22,(-6/(PERALTE!$U$22-PERALTE!$S$22)*(RASANTE!F32-PERALTE!$S$22)-2),IF(RASANTE!F32&lt;=PERALTE!$X$22,-8,IF(RASANTE!F32&lt;=PERALTE!$Z$22,(-6/(PERALTE!$X$22-PERALTE!$Z$22)*(RASANTE!F32-PERALTE!$Z$22)-2),IF(RASANTE!F32&lt;=PERALTE!$AB$22,-2))))),IF(AND(AH!$H$24="Derecha",RASANTE!F32&lt;=PERALTE!$AB$22),IF(RASANTE!F32&lt;=PERALTE!$Q$22,-2,IF(RASANTE!F32&lt;=PERALTE!$U$22,(10/(PERALTE!$U$22-PERALTE!$Q$22)*(RASANTE!F32-PERALTE!$Q$22)-2),IF(RASANTE!F32&lt;=PERALTE!$X$22,8,IF(RASANTE!F32&lt;=PERALTE!$AB$22,(10/(PERALTE!$X$22-PERALTE!$AB$22)*(RASANTE!F32-PERALTE!$AB$22)-2))))),IF(AND(AH!#REF!="Izquierda",RASANTE!F32&lt;=PERALTE!#REF!),IF(RASANTE!F32&lt;=PERALTE!#REF!,-2,IF(RASANTE!F32&lt;=PERALTE!#REF!,(-6/(PERALTE!#REF!-PERALTE!#REF!)*(RASANTE!F32-PERALTE!#REF!)-2),IF(RASANTE!F32&lt;=PERALTE!#REF!,-8,IF(RASANTE!F32&lt;=PERALTE!#REF!,(-6/(PERALTE!#REF!-PERALTE!#REF!)*(RASANTE!F32-PERALTE!#REF!)-2),IF(RASANTE!F32&lt;=PERALTE!#REF!,-2))))),IF(AND(AH!#REF!="Derecha",RASANTE!F32&lt;=PERALTE!#REF!),IF(RASANTE!F32&lt;=PERALTE!#REF!,-2,IF(RASANTE!F32&lt;=PERALTE!#REF!,(10/(PERALTE!#REF!-PERALTE!#REF!)*(RASANTE!F32-PERALTE!#REF!)-2),IF(RASANTE!F32&lt;=PERALTE!#REF!,8,IF(RASANTE!F32&lt;=PERALTE!#REF!,(10/(PERALTE!#REF!-PERALTE!#REF!)*(RASANTE!F32-PERALTE!#REF!)-2))))),IF(AND(AH!#REF!="Izquierda",RASANTE!F32&lt;=PERALTE!$AB$26),IF(RASANTE!F32&lt;=PERALTE!$S$26,-2,IF(RASANTE!F32&lt;=PERALTE!$U$26,(-6/(PERALTE!$U$26-PERALTE!$S$26)*(RASANTE!F32-PERALTE!$S$26)-2),IF(RASANTE!F32&lt;=PERALTE!$X$26,-8,IF(RASANTE!F32&lt;=PERALTE!$Z$26,(-6/(PERALTE!$X$26-PERALTE!$Z$26)*(RASANTE!F32-PERALTE!$Z$26)-2),IF(RASANTE!F32&lt;=PERALTE!$AB$26,-2))))),IF(AND(AH!#REF!="Derecha",RASANTE!F32&lt;=PERALTE!$AB$26),IF(RASANTE!F32&lt;=PERALTE!$Q$26,-2,IF(RASANTE!F32&lt;=PERALTE!$U$26,(10/(PERALTE!$U$26-PERALTE!$Q$26)*(RASANTE!F32-PERALTE!$Q$26)-2),IF(RASANTE!F32&lt;=PERALTE!$X$26,8,IF(RASANTE!F32&lt;=PERALTE!$AB$26,(10/(PERALTE!$X$26-PERALTE!$AB$26)*(RASANTE!F32-PERALTE!$AB$26)-2))))),IF(F32&lt;=PERALTE!#REF!,-2,"Abscisa fuera de la vía")))))))))))))))))))))</f>
        <v>-8</v>
      </c>
      <c r="I32" s="28">
        <f>+IF(AND(AH!$H$8="Derecha",RASANTE!F32&lt;=PERALTE!$AB$6),IF(RASANTE!F32&lt;=PERALTE!$S$6,-2,IF(RASANTE!F32&lt;=PERALTE!$U$6,(-6/(PERALTE!$U$6-PERALTE!$S$6)*(RASANTE!F32-PERALTE!$S$6)-2),IF(RASANTE!F32&lt;=PERALTE!$X$6,-8,IF(RASANTE!F32&lt;=PERALTE!$Z$6,(-6/(PERALTE!$X$6-PERALTE!$Z$6)*(RASANTE!F32-PERALTE!$Z$6)-2),IF(RASANTE!F32&lt;=PERALTE!$AB$6,-2))))),IF(AND(AH!$H$8="Izquierda",RASANTE!F32&lt;=PERALTE!$AB$6),IF(RASANTE!F32&lt;=PERALTE!$Q$6,-2,IF(RASANTE!F32&lt;=PERALTE!$U$6,(10/(PERALTE!$U$6-PERALTE!$Q$6)*(RASANTE!F32-PERALTE!$Q$6)-2),IF(RASANTE!F32&lt;=PERALTE!$X$6,8,IF(RASANTE!F32&lt;=PERALTE!$AB$6,(10/(PERALTE!$X$6-PERALTE!$AB$6)*(RASANTE!F32-PERALTE!$AB$6)-2))))),IF(AND(AH!$H$10="Derecha",RASANTE!F32&lt;=PERALTE!$AB$8),IF(RASANTE!F32&lt;=PERALTE!$S$8,-2,IF(RASANTE!F32&lt;=PERALTE!$U$8,(-6/(PERALTE!$U$8-PERALTE!$S$8)*(RASANTE!F32-PERALTE!$S$8)-2),IF(RASANTE!F32&lt;=PERALTE!$X$8,-8,IF(RASANTE!F32&lt;=PERALTE!$Z$8,(-6/(PERALTE!$X$8-PERALTE!$Z$8)*(RASANTE!F32-PERALTE!$Z$8)-2),IF(RASANTE!F32&lt;=PERALTE!$AB$8,-2))))),IF(AND(AH!$H$10="Izquierda",RASANTE!F32&lt;=PERALTE!$AB$8),IF(RASANTE!F32&lt;=PERALTE!$Q$8,-2,IF(RASANTE!F32&lt;=PERALTE!$U$8,(10/(PERALTE!$U$8-PERALTE!$Q$8)*(RASANTE!F32-PERALTE!$Q$8)-2),IF(RASANTE!F32&lt;=PERALTE!$X$8,8,IF(RASANTE!F32&lt;=PERALTE!$AB$8,(10/(PERALTE!$X$8-PERALTE!$AB$8)*(RASANTE!F32-PERALTE!$AB$8)-2))))),IF(AND(AH!$H$12="Derecha",RASANTE!F32&lt;=PERALTE!$AB$10),IF(RASANTE!F32&lt;=PERALTE!$S$10,-2,IF(RASANTE!F32&lt;=PERALTE!$U$10,(-6/(PERALTE!$U$10-PERALTE!$S$10)*(RASANTE!F32-PERALTE!$S$10)-2),IF(RASANTE!F32&lt;=PERALTE!$X$10,-8,IF(RASANTE!F32&lt;=PERALTE!$Z$10,(-6/(PERALTE!$X$10-PERALTE!$Z$10)*(RASANTE!F32-PERALTE!$Z$10)-2),IF(RASANTE!F32&lt;=PERALTE!$AB$10,-2))))),IF(AND(AH!$H$12="Izquierda",RASANTE!F32&lt;=PERALTE!$AB$10),IF(RASANTE!F32&lt;=PERALTE!$Q$10,-2,IF(RASANTE!F32&lt;=PERALTE!$U$10,(10/(PERALTE!$U$10-PERALTE!$Q$10)*(RASANTE!F32-PERALTE!$Q$10)-2),IF(RASANTE!F32&lt;=PERALTE!$X$10,8,IF(RASANTE!F32&lt;=PERALTE!$AB$10,(10/(PERALTE!$X$10-PERALTE!$AB$10)*(RASANTE!F32-PERALTE!$AB$10)-2))))),IF(AND(AH!$H$14="Derecha",RASANTE!F32&lt;=PERALTE!$AB$12),IF(RASANTE!F32&lt;=PERALTE!$S$12,-2,IF(RASANTE!F32&lt;=PERALTE!$U$12,(-6/(PERALTE!$U$12-PERALTE!$S$12)*(RASANTE!F32-PERALTE!$S$12)-2),IF(RASANTE!F32&lt;=PERALTE!$X$12,-8,IF(RASANTE!F32&lt;=PERALTE!$Z$12,(-6/(PERALTE!$X$12-PERALTE!$Z$12)*(RASANTE!F32-PERALTE!$Z$12)-2),IF(RASANTE!F32&lt;=PERALTE!$AB$12,-2))))),IF(AND(AH!$H$14="Izquierda",RASANTE!F32&lt;=PERALTE!$AB$12),IF(RASANTE!F32&lt;=PERALTE!$Q$12,-2,IF(RASANTE!F32&lt;=PERALTE!$U$12,(10/(PERALTE!$U$12-PERALTE!$Q$12)*(RASANTE!F32-PERALTE!$Q$12)-2),IF(RASANTE!F32&lt;=PERALTE!$X$12,8,IF(RASANTE!F32&lt;=PERALTE!$AB$12,(10/(PERALTE!$X$12-PERALTE!$AB$12)*(RASANTE!F32-PERALTE!$AB$12)-2))))),IF(AND(AH!$H$16="Derecha",RASANTE!F32&lt;=PERALTE!$AB$14),IF(RASANTE!F32&lt;=PERALTE!$S$14,-2,IF(RASANTE!F32&lt;=PERALTE!$U$14,(-6/(PERALTE!$U$14-PERALTE!$S$14)*(RASANTE!F32-PERALTE!$S$14)-2),IF(RASANTE!F32&lt;=PERALTE!$X$14,-8,IF(RASANTE!F32&lt;=PERALTE!$Z$14,(-6/(PERALTE!$X$14-PERALTE!$Z$14)*(RASANTE!F32-PERALTE!$Z$14)-2),IF(RASANTE!F32&lt;=PERALTE!$AB$14,-2))))),IF(AND(AH!$H$16="Izquierda",RASANTE!F32&lt;=PERALTE!$AB$14),IF(RASANTE!F32&lt;=PERALTE!$Q$14,-2,IF(RASANTE!F32&lt;=PERALTE!$U$14,(10/(PERALTE!$U$14-PERALTE!$Q$14)*(RASANTE!F32-PERALTE!$Q$14)-2),IF(RASANTE!F32&lt;=PERALTE!$X$14,8,IF(RASANTE!F32&lt;=PERALTE!$AB$14,(10/(PERALTE!$X$14-PERALTE!$AB$14)*(RASANTE!F32-PERALTE!$AB$14)-2))))),IF(AND(AH!$H$18="Derecha",RASANTE!F32&lt;=PERALTE!$AB$16),IF(RASANTE!F32&lt;=PERALTE!$S$16,-2,IF(RASANTE!F32&lt;=PERALTE!$U$16,(-6/(PERALTE!$U$16-PERALTE!$S$16)*(RASANTE!F32-PERALTE!$S$16)-2),IF(RASANTE!F32&lt;=PERALTE!$X$16,-8,IF(RASANTE!F32&lt;=PERALTE!$Z$16,(-6/(PERALTE!$X$16-PERALTE!$Z$16)*(RASANTE!F32-PERALTE!$Z$16)-2),IF(RASANTE!F32&lt;=PERALTE!$AB$16,-2))))),IF(AND(AH!$H$18="Izquierda",RASANTE!F32&lt;=PERALTE!$AB$16),IF(RASANTE!F32&lt;=PERALTE!$Q$16,-2,IF(RASANTE!F32&lt;=PERALTE!$U$16,(10/(PERALTE!$U$16-PERALTE!$Q$16)*(RASANTE!F32-PERALTE!$Q$16)-2),IF(RASANTE!F32&lt;=PERALTE!$X$16,8,IF(RASANTE!F32&lt;=PERALTE!$AB$16,(10/(PERALTE!$X$16-PERALTE!$AB$16)*(RASANTE!F32-PERALTE!$AB$16)-2))))),IF(AND(AH!$H$20="Derecha",RASANTE!F32&lt;=PERALTE!$AB$18),IF(RASANTE!F32&lt;=PERALTE!$S$18,-2,IF(RASANTE!F32&lt;=PERALTE!$U$18,(-6/(PERALTE!$U$18-PERALTE!$S$18)*(RASANTE!F32-PERALTE!$S$18)-2),IF(RASANTE!F32&lt;=PERALTE!$X$18,-8,IF(RASANTE!F32&lt;=PERALTE!$Z$18,(-6/(PERALTE!$X$18-PERALTE!$Z$18)*(RASANTE!F32-PERALTE!$Z$18)-2),IF(RASANTE!F32&lt;=PERALTE!$AB$18,-2))))),IF(AND(AH!$H$20="Izquierda",RASANTE!F32&lt;=PERALTE!$AB$18),IF(RASANTE!F32&lt;=PERALTE!$Q$18,-2,IF(RASANTE!F32&lt;=PERALTE!$U$18,(10/(PERALTE!$U$18-PERALTE!$Q$18)*(RASANTE!F32-PERALTE!$Q$18)-2),IF(RASANTE!F32&lt;=PERALTE!$X$18,8,IF(RASANTE!F32&lt;=PERALTE!$AB$18,(10/(PERALTE!$X$18-PERALTE!$AB$18)*(RASANTE!F32-PERALTE!$AB$18)-2))))),IF(AND(AH!$H$24="Derecha",RASANTE!F32&lt;=PERALTE!$AB$22),IF(RASANTE!F32&lt;=PERALTE!$S$22,-2,IF(RASANTE!F32&lt;=PERALTE!$U$22,(-6/(PERALTE!$U$22-PERALTE!$S$22)*(RASANTE!F32-PERALTE!$S$22)-2),IF(RASANTE!F32&lt;=PERALTE!$X$22,-8,IF(RASANTE!F32&lt;=PERALTE!$Z$22,(-6/(PERALTE!$X$22-PERALTE!$Z$22)*(RASANTE!F32-PERALTE!$Z$22)-2),IF(RASANTE!F32&lt;=PERALTE!$AB$22,-2))))),IF(AND(AH!$H$24="Izquierda",RASANTE!F32&lt;=PERALTE!$AB$22),IF(RASANTE!F32&lt;=PERALTE!$Q$22,-2,IF(RASANTE!F32&lt;=PERALTE!$U$22,(10/(PERALTE!$U$22-PERALTE!$Q$22)*(RASANTE!F32-PERALTE!$Q$22)-2),IF(RASANTE!F32&lt;=PERALTE!$X$22,8,IF(RASANTE!F32&lt;=PERALTE!$AB$22,(10/(PERALTE!$X$22-PERALTE!$AB$22)*(RASANTE!F32-PERALTE!$AB$22)-2))))),IF(AND(AH!#REF!="Derecha",RASANTE!F32&lt;=PERALTE!#REF!),IF(RASANTE!F32&lt;=PERALTE!#REF!,-2,IF(RASANTE!F32&lt;=PERALTE!#REF!,(-6/(PERALTE!#REF!-PERALTE!#REF!)*(RASANTE!F32-PERALTE!#REF!)-2),IF(RASANTE!F32&lt;=PERALTE!#REF!,-8,IF(RASANTE!F32&lt;=PERALTE!#REF!,(-6/(PERALTE!#REF!-PERALTE!#REF!)*(RASANTE!F32-PERALTE!#REF!)-2),IF(RASANTE!F32&lt;=PERALTE!#REF!,-2))))),IF(AND(AH!#REF!="Izquierda",RASANTE!F32&lt;=PERALTE!#REF!),IF(RASANTE!F32&lt;=PERALTE!#REF!,-2,IF(RASANTE!F32&lt;=PERALTE!#REF!,(10/(PERALTE!#REF!-PERALTE!#REF!)*(RASANTE!F32-PERALTE!#REF!)-2),IF(RASANTE!F32&lt;=PERALTE!#REF!,8,IF(RASANTE!F32&lt;=PERALTE!#REF!,(10/(PERALTE!#REF!-PERALTE!#REF!)*(RASANTE!F32-PERALTE!#REF!)-2))))),IF(AND(AH!#REF!="Derecha",RASANTE!F32&lt;=PERALTE!$AB$26),IF(RASANTE!F32&lt;=PERALTE!$S$26,-2,IF(RASANTE!F32&lt;=PERALTE!$U$26,(-6/(PERALTE!$U$26-PERALTE!$S$26)*(RASANTE!F32-PERALTE!$S$26)-2),IF(RASANTE!F32&lt;=PERALTE!$X$26,-8,IF(RASANTE!F32&lt;=PERALTE!$Z$26,(-6/(PERALTE!$X$26-PERALTE!$Z$26)*(RASANTE!F32-PERALTE!$Z$26)-2),IF(RASANTE!F32&lt;=PERALTE!$AB$26,-2))))),IF(AND(AH!#REF!="Izquierda",RASANTE!F32&lt;=PERALTE!$AB$26),IF(RASANTE!F32&lt;=PERALTE!$Q$26,-2,IF(RASANTE!F32&lt;=PERALTE!$U$26,(10/(PERALTE!$U$26-PERALTE!$Q$26)*(RASANTE!F32-PERALTE!$Q$26)-2),IF(RASANTE!F32&lt;=PERALTE!$X$26,8,IF(RASANTE!F32&lt;=PERALTE!$AB$26,(10/(PERALTE!$X$26-PERALTE!$AB$26)*(RASANTE!F32-PERALTE!$AB$26)-2))))),IF(F32&lt;=PERALTE!#REF!,-2,"Abscisa fuera de la vía")))))))))))))))))))))</f>
        <v>8</v>
      </c>
      <c r="J32" s="28">
        <f t="shared" si="1"/>
        <v>1650.8750816290581</v>
      </c>
      <c r="K32" s="356">
        <f>+IF(AND(AV!$S$6&lt;F188,F188&lt;=AV!$T$6),AV!$P$6*((AV!$S$6-RASANTE!F188)/(AV!$N$6))^2,IF(AND(AV!$T$6&lt;RASANTE!F188,F188&lt;AV!$U$6),AV!$P$6*((AV!$U$6-RASANTE!F188)/(AV!$O$6))^2,IF(AND(AV!$S$8&lt;F188,F188&lt;=AV!$T$8),AV!$P$8*((AV!$S$8-RASANTE!F188)/(AV!$N$8))^2,IF(AND(AV!$T$8&lt;RASANTE!F188,F188&lt;AV!$U$8),AV!$P$8*((AV!$U$8-RASANTE!F188)/(AV!$O$8))^2,IF(AND(AV!$S$10&lt;F188,F188&lt;=AV!$T$10),AV!$P$10*((AV!$S$10-RASANTE!F188)/(AV!$N$10))^2,IF(AND(AV!$T$10&lt;RASANTE!F188,F188&lt;AV!$U$10),AV!$P$10*((AV!$U$10-RASANTE!F188)/(AV!$O$10))^2,IF(AND(AV!$S$12&lt;F188,F188&lt;=AV!$T$12),AV!$P$12*((AV!$S$12-RASANTE!F188)/(AV!$N$12))^2,IF(AND(AV!$T$12&lt;RASANTE!F188,F188&lt;AV!$U$12),AV!$P$12*((AV!$U$12-RASANTE!F188)/(AV!$O$12))^2,IF(AND(AV!$S$14&lt;F188,F188&lt;=AV!$T$14),AV!$P$14*((AV!$S$14-RASANTE!F188)/(AV!$N$14))^2,IF(AND(AV!$T$14&lt;RASANTE!F188,F188&lt;AV!$U$14),AV!$P$14*((AV!$U$14-RASANTE!F188)/(AV!$O$14))^2,IF(AND(AV!$S$16&lt;F188,F188&lt;=AV!$T$16),AV!$P$16*((AV!$S$16-RASANTE!F188)/(AV!$N$16))^2,IF(AND(AV!$T$16&lt;RASANTE!F188,F188&lt;AV!$U$16),AV!$P$16*((AV!$U$16-RASANTE!F188)/(AV!$O$16))^2,IF(AND(AV!$S$18&lt;F188,F188&lt;=AV!$T$18),AV!$P$18*((AV!$S$18-RASANTE!F188)/(AV!$N$18))^2,IF(AND(AV!$T$18&lt;RASANTE!F188,F188&lt;AV!$U$18),AV!$P$18*((AV!$U$18-RASANTE!F188)/(AV!$O$18))^2,IF(AND(AV!$S$20&lt;F188,F188&lt;=AV!$T$20),AV!$P$20*((AV!$S$20-RASANTE!F188)/(AV!$N$20))^2,IF(AND(AV!$T$20&lt;RASANTE!F188,F188&lt;AV!$U$20),AV!$P$20*((AV!$U$20-RASANTE!F188)/(AV!$O$20))^2,IF(AND(AV!$S$22&lt;F188,F188&lt;=AV!$T$22),AV!$P$22*((AV!$S$22-RASANTE!F188)/(AV!$N$22))^2,IF(AND(AV!$T$22&lt;RASANTE!F188,F188&lt;AV!$U$22),AV!$P$22*((AV!$U$22-RASANTE!F188)/(AV!$O$22))^2,IF(AND(AV!$S$24&lt;F188,F188&lt;=AV!$T$24),AV!$P$24*((AV!$S$24-RASANTE!F188)/(AV!$N$24))^2,IF(AND(AV!$T$24&lt;RASANTE!F188,F188&lt;AV!$U$24),AV!$P$24*((AV!$U$24-RASANTE!F188)/(AV!$O$24))^2,0))))))))))))))))))))</f>
        <v>0</v>
      </c>
      <c r="L32" s="28">
        <f>+M32+H32%*PERALTE!$C$32</f>
        <v>1650.5950816290581</v>
      </c>
      <c r="M32" s="28">
        <f>J32+K32</f>
        <v>1650.8750816290581</v>
      </c>
      <c r="N32" s="28">
        <f>+M32+I32%*PERALTE!$C$32</f>
        <v>1651.155081629058</v>
      </c>
      <c r="O32" s="92"/>
      <c r="P32" s="84"/>
      <c r="Q32" s="84"/>
      <c r="R32" s="84"/>
      <c r="S32" s="84"/>
      <c r="T32" s="84"/>
      <c r="U32" s="84"/>
      <c r="V32" s="84"/>
      <c r="W32" s="84"/>
      <c r="X32" s="84"/>
      <c r="Y32" s="84"/>
    </row>
    <row r="33" spans="1:25" ht="15.75" customHeight="1" x14ac:dyDescent="0.2">
      <c r="A33" s="109" t="s">
        <v>194</v>
      </c>
      <c r="B33" s="125"/>
      <c r="C33" s="124"/>
      <c r="D33" s="118"/>
      <c r="E33" s="110"/>
      <c r="F33" s="34">
        <f>PERALTE!W6</f>
        <v>218.81227336275606</v>
      </c>
      <c r="G33" s="88">
        <f>IF(F33&lt;=AV!$T$6,AV!$C$5,IF(RASANTE!F33&lt;=AV!$T$8,AV!$C$7,IF(RASANTE!F33&lt;=AV!$T$10,AV!$C$9,IF(RASANTE!F33&lt;=AV!$T$12,AV!#REF!,IF(RASANTE!F33&lt;=AV!$T$14,AV!$C$11,IF(RASANTE!F33&lt;=AV!$T$16,AV!$C$13, IF(RASANTE!F33&lt;=AV!$T$18,AV!$C$15,IF(RASANTE!F33&lt;=AV!$T$20,AV!$C$19,IF(RASANTE!F33&lt;=AV!$T$22,AV!$C$21,IF(RASANTE!F33&lt;=AV!$T$24,AV!$C$23,AV!$C$25))))))))))</f>
        <v>3.1419999999999999</v>
      </c>
      <c r="H33" s="28">
        <f>+IF(AND(AH!$H$8="Izquierda",RASANTE!F33&lt;=PERALTE!$AB$6),IF(RASANTE!F33&lt;=PERALTE!$S$6,-2,IF(RASANTE!F33&lt;=PERALTE!$U$6,(-6/(PERALTE!$U$6-PERALTE!$S$6)*(RASANTE!F33-PERALTE!$S$6)-2),IF(RASANTE!F33&lt;=PERALTE!$X$6,-8,IF(RASANTE!F33&lt;=PERALTE!$Z$6,(-6/(PERALTE!$X$6-PERALTE!$Z$6)*(RASANTE!F33-PERALTE!$Z$6)-2),IF(RASANTE!F33&lt;=PERALTE!$AB$6,-2))))),IF(AND(AH!$H$8="Derecha",RASANTE!F33&lt;=PERALTE!$AB$6),IF(RASANTE!F33&lt;=PERALTE!$Q$6,-2,IF(RASANTE!F33&lt;=PERALTE!$U$6,(10/(PERALTE!$U$6-PERALTE!$Q$6)*(RASANTE!F33-PERALTE!$Q$6)-2),IF(RASANTE!F33&lt;=PERALTE!$X$6,8,IF(RASANTE!F33&lt;=PERALTE!$AB$6,(10/(PERALTE!$X$6-PERALTE!$AB$6)*(RASANTE!F33-PERALTE!$AB$6)-2))))),IF(AND(AH!$H$10="Izquierda",RASANTE!F33&lt;=PERALTE!$AB$8),IF(RASANTE!F33&lt;=PERALTE!$S$8,-2,IF(RASANTE!F33&lt;=PERALTE!$U$8,(-6/(PERALTE!$U$8-PERALTE!$S$8)*(RASANTE!F33-PERALTE!$S$8)-2),IF(RASANTE!F33&lt;=PERALTE!$X$8,-8,IF(RASANTE!F33&lt;=PERALTE!$Z$8,(-6/(PERALTE!$X$8-PERALTE!$Z$8)*(RASANTE!F33-PERALTE!$Z$8)-2),IF(RASANTE!F33&lt;=PERALTE!$AB$8,-2))))),IF(AND(AH!$H$10="Derecha",RASANTE!F33&lt;=PERALTE!$AB$8),IF(RASANTE!F33&lt;=PERALTE!$Q$8,-2,IF(RASANTE!F33&lt;=PERALTE!$U$8,(10/(PERALTE!$U$8-PERALTE!$Q$8)*(RASANTE!F33-PERALTE!$Q$8)-2),IF(RASANTE!F33&lt;=PERALTE!$X$8,8,IF(RASANTE!F33&lt;=PERALTE!$AB$8,(10/(PERALTE!$X$8-PERALTE!$AB$8)*(RASANTE!F33-PERALTE!$AB$8)-2))))),IF(AND(AH!$H$12="Izquierda",RASANTE!F33&lt;=PERALTE!$AB$10),IF(RASANTE!F33&lt;=PERALTE!$S$10,-2,IF(RASANTE!F33&lt;=PERALTE!$U$10,(-6/(PERALTE!$U$10-PERALTE!$S$10)*(RASANTE!F33-PERALTE!$S$10)-2),IF(RASANTE!F33&lt;=PERALTE!$X$10,-8,IF(RASANTE!F33&lt;=PERALTE!$Z$10,(-6/(PERALTE!$X$10-PERALTE!$Z$10)*(RASANTE!F33-PERALTE!$Z$10)-2),IF(RASANTE!F33&lt;=PERALTE!$AB$10,-2))))),IF(AND(AH!$H$12="Derecha",RASANTE!F33&lt;=PERALTE!$AB$10),IF(RASANTE!F33&lt;=PERALTE!$Q$10,-2,IF(RASANTE!F33&lt;=PERALTE!$U$10,(10/(PERALTE!$U$10-PERALTE!$Q$10)*(RASANTE!F33-PERALTE!$Q$10)-2),IF(RASANTE!F33&lt;=PERALTE!$X$10,8,IF(RASANTE!F33&lt;=PERALTE!$AB$10,(10/(PERALTE!$X$10-PERALTE!$AB$10)*(RASANTE!F33-PERALTE!$AB$10)-2))))),IF(AND(AH!$H$14="Izquierda",RASANTE!F33&lt;=PERALTE!$AB$12),IF(RASANTE!F33&lt;=PERALTE!$S$12,-2,IF(RASANTE!F33&lt;=PERALTE!$U$12,(-6/(PERALTE!$U$12-PERALTE!$S$12)*(RASANTE!F33-PERALTE!$S$12)-2),IF(RASANTE!F33&lt;=PERALTE!$X$12,-8,IF(RASANTE!F33&lt;=PERALTE!$Z$12,(-6/(PERALTE!$X$12-PERALTE!$Z$12)*(RASANTE!F33-PERALTE!$Z$12)-2),IF(RASANTE!F33&lt;=PERALTE!$AB$12,-2))))),IF(AND(AH!$H$14="Derecha",RASANTE!F33&lt;=PERALTE!$AB$12),IF(RASANTE!F33&lt;=PERALTE!$Q$12,-2,IF(RASANTE!F33&lt;=PERALTE!$U$12,(10/(PERALTE!$U$12-PERALTE!$Q$12)*(RASANTE!F33-PERALTE!$Q$12)-2),IF(RASANTE!F33&lt;=PERALTE!$X$12,8,IF(RASANTE!F33&lt;=PERALTE!$AB$12,(10/(PERALTE!$X$12-PERALTE!$AB$12)*(RASANTE!F33-PERALTE!$AB$12)-2))))),IF(AND(AH!$H$16="Izquierda",RASANTE!F33&lt;=PERALTE!$AB$14),IF(RASANTE!F33&lt;=PERALTE!$S$14,-2,IF(RASANTE!F33&lt;=PERALTE!$U$14,(-6/(PERALTE!$U$14-PERALTE!$S$14)*(RASANTE!F33-PERALTE!$S$14)-2),IF(RASANTE!F33&lt;=PERALTE!$X$14,-8,IF(RASANTE!F33&lt;=PERALTE!$Z$14,(-6/(PERALTE!$X$14-PERALTE!$Z$14)*(RASANTE!F33-PERALTE!$Z$14)-2),IF(RASANTE!F33&lt;=PERALTE!$AB$14,-2))))),IF(AND(AH!$H$16="Derecha",RASANTE!F33&lt;=PERALTE!$AB$14),IF(RASANTE!F33&lt;=PERALTE!$Q$14,-2,IF(RASANTE!F33&lt;=PERALTE!$U$14,(10/(PERALTE!$U$14-PERALTE!$Q$14)*(RASANTE!F33-PERALTE!$Q$14)-2),IF(RASANTE!F33&lt;=PERALTE!$X$14,8,IF(RASANTE!F33&lt;=PERALTE!$AB$14,(10/(PERALTE!$X$14-PERALTE!$AB$14)*(RASANTE!F33-PERALTE!$AB$14)-2))))),IF(AND(AH!$H$18="Izquierda",RASANTE!F33&lt;=PERALTE!$AB$16),IF(RASANTE!F33&lt;=PERALTE!$S$16,-2,IF(RASANTE!F33&lt;=PERALTE!$U$16,(-6/(PERALTE!$U$16-PERALTE!$S$16)*(RASANTE!F33-PERALTE!$S$16)-2),IF(RASANTE!F33&lt;=PERALTE!$X$16,-8,IF(RASANTE!F33&lt;=PERALTE!$Z$16,(-6/(PERALTE!$X$16-PERALTE!$Z$16)*(RASANTE!F33-PERALTE!$Z$16)-2),IF(RASANTE!F33&lt;=PERALTE!$AB$16,-2))))),IF(AND(AH!$H$18="Derecha",RASANTE!F33&lt;=PERALTE!$AB$16),IF(RASANTE!F33&lt;=PERALTE!$Q$16,-2,IF(RASANTE!F33&lt;=PERALTE!$U$16,(10/(PERALTE!$U$16-PERALTE!$Q$16)*(RASANTE!F33-PERALTE!$Q$16)-2),IF(RASANTE!F33&lt;=PERALTE!$X$16,8,IF(RASANTE!F33&lt;=PERALTE!$AB$16,(10/(PERALTE!$X$16-PERALTE!$AB$16)*(RASANTE!F33-PERALTE!$AB$16)-2))))),IF(AND(AH!$H$20="Izquierda",RASANTE!F33&lt;=PERALTE!$AB$18),IF(RASANTE!F33&lt;=PERALTE!$S$18,-2,IF(RASANTE!F33&lt;=PERALTE!$U$18,(-6/(PERALTE!$U$18-PERALTE!$S$18)*(RASANTE!F33-PERALTE!$S$18)-2),IF(RASANTE!F33&lt;=PERALTE!$X$18,-8,IF(RASANTE!F33&lt;=PERALTE!$Z$18,(-6/(PERALTE!$X$18-PERALTE!$Z$18)*(RASANTE!F33-PERALTE!$Z$18)-2),IF(RASANTE!F33&lt;=PERALTE!$AB$18,-2))))),IF(AND(AH!$H$20="Derecha",RASANTE!F33&lt;=PERALTE!$AB$18),IF(RASANTE!F33&lt;=PERALTE!$Q$18,-2,IF(RASANTE!F33&lt;=PERALTE!$U$18,(10/(PERALTE!$U$18-PERALTE!$Q$18)*(RASANTE!F33-PERALTE!$Q$18)-2),IF(RASANTE!F33&lt;=PERALTE!$X$18,8,IF(RASANTE!F33&lt;=PERALTE!$AB$18,(10/(PERALTE!$X$18-PERALTE!$AB$18)*(RASANTE!F33-PERALTE!$AB$18)-2))))),IF(AND(AH!$H$24="Izquierda",RASANTE!F33&lt;=PERALTE!$AB$22),IF(RASANTE!F33&lt;=PERALTE!$S$22,-2,IF(RASANTE!F33&lt;=PERALTE!$U$22,(-6/(PERALTE!$U$22-PERALTE!$S$22)*(RASANTE!F33-PERALTE!$S$22)-2),IF(RASANTE!F33&lt;=PERALTE!$X$22,-8,IF(RASANTE!F33&lt;=PERALTE!$Z$22,(-6/(PERALTE!$X$22-PERALTE!$Z$22)*(RASANTE!F33-PERALTE!$Z$22)-2),IF(RASANTE!F33&lt;=PERALTE!$AB$22,-2))))),IF(AND(AH!$H$24="Derecha",RASANTE!F33&lt;=PERALTE!$AB$22),IF(RASANTE!F33&lt;=PERALTE!$Q$22,-2,IF(RASANTE!F33&lt;=PERALTE!$U$22,(10/(PERALTE!$U$22-PERALTE!$Q$22)*(RASANTE!F33-PERALTE!$Q$22)-2),IF(RASANTE!F33&lt;=PERALTE!$X$22,8,IF(RASANTE!F33&lt;=PERALTE!$AB$22,(10/(PERALTE!$X$22-PERALTE!$AB$22)*(RASANTE!F33-PERALTE!$AB$22)-2))))),IF(AND(AH!#REF!="Izquierda",RASANTE!F33&lt;=PERALTE!#REF!),IF(RASANTE!F33&lt;=PERALTE!#REF!,-2,IF(RASANTE!F33&lt;=PERALTE!#REF!,(-6/(PERALTE!#REF!-PERALTE!#REF!)*(RASANTE!F33-PERALTE!#REF!)-2),IF(RASANTE!F33&lt;=PERALTE!#REF!,-8,IF(RASANTE!F33&lt;=PERALTE!#REF!,(-6/(PERALTE!#REF!-PERALTE!#REF!)*(RASANTE!F33-PERALTE!#REF!)-2),IF(RASANTE!F33&lt;=PERALTE!#REF!,-2))))),IF(AND(AH!#REF!="Derecha",RASANTE!F33&lt;=PERALTE!#REF!),IF(RASANTE!F33&lt;=PERALTE!#REF!,-2,IF(RASANTE!F33&lt;=PERALTE!#REF!,(10/(PERALTE!#REF!-PERALTE!#REF!)*(RASANTE!F33-PERALTE!#REF!)-2),IF(RASANTE!F33&lt;=PERALTE!#REF!,8,IF(RASANTE!F33&lt;=PERALTE!#REF!,(10/(PERALTE!#REF!-PERALTE!#REF!)*(RASANTE!F33-PERALTE!#REF!)-2))))),IF(AND(AH!#REF!="Izquierda",RASANTE!F33&lt;=PERALTE!$AB$26),IF(RASANTE!F33&lt;=PERALTE!$S$26,-2,IF(RASANTE!F33&lt;=PERALTE!$U$26,(-6/(PERALTE!$U$26-PERALTE!$S$26)*(RASANTE!F33-PERALTE!$S$26)-2),IF(RASANTE!F33&lt;=PERALTE!$X$26,-8,IF(RASANTE!F33&lt;=PERALTE!$Z$26,(-6/(PERALTE!$X$26-PERALTE!$Z$26)*(RASANTE!F33-PERALTE!$Z$26)-2),IF(RASANTE!F33&lt;=PERALTE!$AB$26,-2))))),IF(AND(AH!#REF!="Derecha",RASANTE!F33&lt;=PERALTE!$AB$26),IF(RASANTE!F33&lt;=PERALTE!$Q$26,-2,IF(RASANTE!F33&lt;=PERALTE!$U$26,(10/(PERALTE!$U$26-PERALTE!$Q$26)*(RASANTE!F33-PERALTE!$Q$26)-2),IF(RASANTE!F33&lt;=PERALTE!$X$26,8,IF(RASANTE!F33&lt;=PERALTE!$AB$26,(10/(PERALTE!$X$26-PERALTE!$AB$26)*(RASANTE!F33-PERALTE!$AB$26)-2))))),IF(F33&lt;=PERALTE!#REF!,-2,"Abscisa fuera de la vía")))))))))))))))))))))</f>
        <v>-8</v>
      </c>
      <c r="I33" s="28">
        <f>+IF(AND(AH!$H$8="Derecha",RASANTE!F33&lt;=PERALTE!$AB$6),IF(RASANTE!F33&lt;=PERALTE!$S$6,-2,IF(RASANTE!F33&lt;=PERALTE!$U$6,(-6/(PERALTE!$U$6-PERALTE!$S$6)*(RASANTE!F33-PERALTE!$S$6)-2),IF(RASANTE!F33&lt;=PERALTE!$X$6,-8,IF(RASANTE!F33&lt;=PERALTE!$Z$6,(-6/(PERALTE!$X$6-PERALTE!$Z$6)*(RASANTE!F33-PERALTE!$Z$6)-2),IF(RASANTE!F33&lt;=PERALTE!$AB$6,-2))))),IF(AND(AH!$H$8="Izquierda",RASANTE!F33&lt;=PERALTE!$AB$6),IF(RASANTE!F33&lt;=PERALTE!$Q$6,-2,IF(RASANTE!F33&lt;=PERALTE!$U$6,(10/(PERALTE!$U$6-PERALTE!$Q$6)*(RASANTE!F33-PERALTE!$Q$6)-2),IF(RASANTE!F33&lt;=PERALTE!$X$6,8,IF(RASANTE!F33&lt;=PERALTE!$AB$6,(10/(PERALTE!$X$6-PERALTE!$AB$6)*(RASANTE!F33-PERALTE!$AB$6)-2))))),IF(AND(AH!$H$10="Derecha",RASANTE!F33&lt;=PERALTE!$AB$8),IF(RASANTE!F33&lt;=PERALTE!$S$8,-2,IF(RASANTE!F33&lt;=PERALTE!$U$8,(-6/(PERALTE!$U$8-PERALTE!$S$8)*(RASANTE!F33-PERALTE!$S$8)-2),IF(RASANTE!F33&lt;=PERALTE!$X$8,-8,IF(RASANTE!F33&lt;=PERALTE!$Z$8,(-6/(PERALTE!$X$8-PERALTE!$Z$8)*(RASANTE!F33-PERALTE!$Z$8)-2),IF(RASANTE!F33&lt;=PERALTE!$AB$8,-2))))),IF(AND(AH!$H$10="Izquierda",RASANTE!F33&lt;=PERALTE!$AB$8),IF(RASANTE!F33&lt;=PERALTE!$Q$8,-2,IF(RASANTE!F33&lt;=PERALTE!$U$8,(10/(PERALTE!$U$8-PERALTE!$Q$8)*(RASANTE!F33-PERALTE!$Q$8)-2),IF(RASANTE!F33&lt;=PERALTE!$X$8,8,IF(RASANTE!F33&lt;=PERALTE!$AB$8,(10/(PERALTE!$X$8-PERALTE!$AB$8)*(RASANTE!F33-PERALTE!$AB$8)-2))))),IF(AND(AH!$H$12="Derecha",RASANTE!F33&lt;=PERALTE!$AB$10),IF(RASANTE!F33&lt;=PERALTE!$S$10,-2,IF(RASANTE!F33&lt;=PERALTE!$U$10,(-6/(PERALTE!$U$10-PERALTE!$S$10)*(RASANTE!F33-PERALTE!$S$10)-2),IF(RASANTE!F33&lt;=PERALTE!$X$10,-8,IF(RASANTE!F33&lt;=PERALTE!$Z$10,(-6/(PERALTE!$X$10-PERALTE!$Z$10)*(RASANTE!F33-PERALTE!$Z$10)-2),IF(RASANTE!F33&lt;=PERALTE!$AB$10,-2))))),IF(AND(AH!$H$12="Izquierda",RASANTE!F33&lt;=PERALTE!$AB$10),IF(RASANTE!F33&lt;=PERALTE!$Q$10,-2,IF(RASANTE!F33&lt;=PERALTE!$U$10,(10/(PERALTE!$U$10-PERALTE!$Q$10)*(RASANTE!F33-PERALTE!$Q$10)-2),IF(RASANTE!F33&lt;=PERALTE!$X$10,8,IF(RASANTE!F33&lt;=PERALTE!$AB$10,(10/(PERALTE!$X$10-PERALTE!$AB$10)*(RASANTE!F33-PERALTE!$AB$10)-2))))),IF(AND(AH!$H$14="Derecha",RASANTE!F33&lt;=PERALTE!$AB$12),IF(RASANTE!F33&lt;=PERALTE!$S$12,-2,IF(RASANTE!F33&lt;=PERALTE!$U$12,(-6/(PERALTE!$U$12-PERALTE!$S$12)*(RASANTE!F33-PERALTE!$S$12)-2),IF(RASANTE!F33&lt;=PERALTE!$X$12,-8,IF(RASANTE!F33&lt;=PERALTE!$Z$12,(-6/(PERALTE!$X$12-PERALTE!$Z$12)*(RASANTE!F33-PERALTE!$Z$12)-2),IF(RASANTE!F33&lt;=PERALTE!$AB$12,-2))))),IF(AND(AH!$H$14="Izquierda",RASANTE!F33&lt;=PERALTE!$AB$12),IF(RASANTE!F33&lt;=PERALTE!$Q$12,-2,IF(RASANTE!F33&lt;=PERALTE!$U$12,(10/(PERALTE!$U$12-PERALTE!$Q$12)*(RASANTE!F33-PERALTE!$Q$12)-2),IF(RASANTE!F33&lt;=PERALTE!$X$12,8,IF(RASANTE!F33&lt;=PERALTE!$AB$12,(10/(PERALTE!$X$12-PERALTE!$AB$12)*(RASANTE!F33-PERALTE!$AB$12)-2))))),IF(AND(AH!$H$16="Derecha",RASANTE!F33&lt;=PERALTE!$AB$14),IF(RASANTE!F33&lt;=PERALTE!$S$14,-2,IF(RASANTE!F33&lt;=PERALTE!$U$14,(-6/(PERALTE!$U$14-PERALTE!$S$14)*(RASANTE!F33-PERALTE!$S$14)-2),IF(RASANTE!F33&lt;=PERALTE!$X$14,-8,IF(RASANTE!F33&lt;=PERALTE!$Z$14,(-6/(PERALTE!$X$14-PERALTE!$Z$14)*(RASANTE!F33-PERALTE!$Z$14)-2),IF(RASANTE!F33&lt;=PERALTE!$AB$14,-2))))),IF(AND(AH!$H$16="Izquierda",RASANTE!F33&lt;=PERALTE!$AB$14),IF(RASANTE!F33&lt;=PERALTE!$Q$14,-2,IF(RASANTE!F33&lt;=PERALTE!$U$14,(10/(PERALTE!$U$14-PERALTE!$Q$14)*(RASANTE!F33-PERALTE!$Q$14)-2),IF(RASANTE!F33&lt;=PERALTE!$X$14,8,IF(RASANTE!F33&lt;=PERALTE!$AB$14,(10/(PERALTE!$X$14-PERALTE!$AB$14)*(RASANTE!F33-PERALTE!$AB$14)-2))))),IF(AND(AH!$H$18="Derecha",RASANTE!F33&lt;=PERALTE!$AB$16),IF(RASANTE!F33&lt;=PERALTE!$S$16,-2,IF(RASANTE!F33&lt;=PERALTE!$U$16,(-6/(PERALTE!$U$16-PERALTE!$S$16)*(RASANTE!F33-PERALTE!$S$16)-2),IF(RASANTE!F33&lt;=PERALTE!$X$16,-8,IF(RASANTE!F33&lt;=PERALTE!$Z$16,(-6/(PERALTE!$X$16-PERALTE!$Z$16)*(RASANTE!F33-PERALTE!$Z$16)-2),IF(RASANTE!F33&lt;=PERALTE!$AB$16,-2))))),IF(AND(AH!$H$18="Izquierda",RASANTE!F33&lt;=PERALTE!$AB$16),IF(RASANTE!F33&lt;=PERALTE!$Q$16,-2,IF(RASANTE!F33&lt;=PERALTE!$U$16,(10/(PERALTE!$U$16-PERALTE!$Q$16)*(RASANTE!F33-PERALTE!$Q$16)-2),IF(RASANTE!F33&lt;=PERALTE!$X$16,8,IF(RASANTE!F33&lt;=PERALTE!$AB$16,(10/(PERALTE!$X$16-PERALTE!$AB$16)*(RASANTE!F33-PERALTE!$AB$16)-2))))),IF(AND(AH!$H$20="Derecha",RASANTE!F33&lt;=PERALTE!$AB$18),IF(RASANTE!F33&lt;=PERALTE!$S$18,-2,IF(RASANTE!F33&lt;=PERALTE!$U$18,(-6/(PERALTE!$U$18-PERALTE!$S$18)*(RASANTE!F33-PERALTE!$S$18)-2),IF(RASANTE!F33&lt;=PERALTE!$X$18,-8,IF(RASANTE!F33&lt;=PERALTE!$Z$18,(-6/(PERALTE!$X$18-PERALTE!$Z$18)*(RASANTE!F33-PERALTE!$Z$18)-2),IF(RASANTE!F33&lt;=PERALTE!$AB$18,-2))))),IF(AND(AH!$H$20="Izquierda",RASANTE!F33&lt;=PERALTE!$AB$18),IF(RASANTE!F33&lt;=PERALTE!$Q$18,-2,IF(RASANTE!F33&lt;=PERALTE!$U$18,(10/(PERALTE!$U$18-PERALTE!$Q$18)*(RASANTE!F33-PERALTE!$Q$18)-2),IF(RASANTE!F33&lt;=PERALTE!$X$18,8,IF(RASANTE!F33&lt;=PERALTE!$AB$18,(10/(PERALTE!$X$18-PERALTE!$AB$18)*(RASANTE!F33-PERALTE!$AB$18)-2))))),IF(AND(AH!$H$24="Derecha",RASANTE!F33&lt;=PERALTE!$AB$22),IF(RASANTE!F33&lt;=PERALTE!$S$22,-2,IF(RASANTE!F33&lt;=PERALTE!$U$22,(-6/(PERALTE!$U$22-PERALTE!$S$22)*(RASANTE!F33-PERALTE!$S$22)-2),IF(RASANTE!F33&lt;=PERALTE!$X$22,-8,IF(RASANTE!F33&lt;=PERALTE!$Z$22,(-6/(PERALTE!$X$22-PERALTE!$Z$22)*(RASANTE!F33-PERALTE!$Z$22)-2),IF(RASANTE!F33&lt;=PERALTE!$AB$22,-2))))),IF(AND(AH!$H$24="Izquierda",RASANTE!F33&lt;=PERALTE!$AB$22),IF(RASANTE!F33&lt;=PERALTE!$Q$22,-2,IF(RASANTE!F33&lt;=PERALTE!$U$22,(10/(PERALTE!$U$22-PERALTE!$Q$22)*(RASANTE!F33-PERALTE!$Q$22)-2),IF(RASANTE!F33&lt;=PERALTE!$X$22,8,IF(RASANTE!F33&lt;=PERALTE!$AB$22,(10/(PERALTE!$X$22-PERALTE!$AB$22)*(RASANTE!F33-PERALTE!$AB$22)-2))))),IF(AND(AH!#REF!="Derecha",RASANTE!F33&lt;=PERALTE!#REF!),IF(RASANTE!F33&lt;=PERALTE!#REF!,-2,IF(RASANTE!F33&lt;=PERALTE!#REF!,(-6/(PERALTE!#REF!-PERALTE!#REF!)*(RASANTE!F33-PERALTE!#REF!)-2),IF(RASANTE!F33&lt;=PERALTE!#REF!,-8,IF(RASANTE!F33&lt;=PERALTE!#REF!,(-6/(PERALTE!#REF!-PERALTE!#REF!)*(RASANTE!F33-PERALTE!#REF!)-2),IF(RASANTE!F33&lt;=PERALTE!#REF!,-2))))),IF(AND(AH!#REF!="Izquierda",RASANTE!F33&lt;=PERALTE!#REF!),IF(RASANTE!F33&lt;=PERALTE!#REF!,-2,IF(RASANTE!F33&lt;=PERALTE!#REF!,(10/(PERALTE!#REF!-PERALTE!#REF!)*(RASANTE!F33-PERALTE!#REF!)-2),IF(RASANTE!F33&lt;=PERALTE!#REF!,8,IF(RASANTE!F33&lt;=PERALTE!#REF!,(10/(PERALTE!#REF!-PERALTE!#REF!)*(RASANTE!F33-PERALTE!#REF!)-2))))),IF(AND(AH!#REF!="Derecha",RASANTE!F33&lt;=PERALTE!$AB$26),IF(RASANTE!F33&lt;=PERALTE!$S$26,-2,IF(RASANTE!F33&lt;=PERALTE!$U$26,(-6/(PERALTE!$U$26-PERALTE!$S$26)*(RASANTE!F33-PERALTE!$S$26)-2),IF(RASANTE!F33&lt;=PERALTE!$X$26,-8,IF(RASANTE!F33&lt;=PERALTE!$Z$26,(-6/(PERALTE!$X$26-PERALTE!$Z$26)*(RASANTE!F33-PERALTE!$Z$26)-2),IF(RASANTE!F33&lt;=PERALTE!$AB$26,-2))))),IF(AND(AH!#REF!="Izquierda",RASANTE!F33&lt;=PERALTE!$AB$26),IF(RASANTE!F33&lt;=PERALTE!$Q$26,-2,IF(RASANTE!F33&lt;=PERALTE!$U$26,(10/(PERALTE!$U$26-PERALTE!$Q$26)*(RASANTE!F33-PERALTE!$Q$26)-2),IF(RASANTE!F33&lt;=PERALTE!$X$26,8,IF(RASANTE!F33&lt;=PERALTE!$AB$26,(10/(PERALTE!$X$26-PERALTE!$AB$26)*(RASANTE!F33-PERALTE!$AB$26)-2))))),IF(F33&lt;=PERALTE!#REF!,-2,"Abscisa fuera de la vía")))))))))))))))))))))</f>
        <v>8</v>
      </c>
      <c r="J33" s="28">
        <f t="shared" si="1"/>
        <v>1650.8750816290581</v>
      </c>
      <c r="K33" s="356">
        <f>+IF(AND(AV!$S$6&lt;F189,F189&lt;=AV!$T$6),AV!$P$6*((AV!$S$6-RASANTE!F189)/(AV!$N$6))^2,IF(AND(AV!$T$6&lt;RASANTE!F189,F189&lt;AV!$U$6),AV!$P$6*((AV!$U$6-RASANTE!F189)/(AV!$O$6))^2,IF(AND(AV!$S$8&lt;F189,F189&lt;=AV!$T$8),AV!$P$8*((AV!$S$8-RASANTE!F189)/(AV!$N$8))^2,IF(AND(AV!$T$8&lt;RASANTE!F189,F189&lt;AV!$U$8),AV!$P$8*((AV!$U$8-RASANTE!F189)/(AV!$O$8))^2,IF(AND(AV!$S$10&lt;F189,F189&lt;=AV!$T$10),AV!$P$10*((AV!$S$10-RASANTE!F189)/(AV!$N$10))^2,IF(AND(AV!$T$10&lt;RASANTE!F189,F189&lt;AV!$U$10),AV!$P$10*((AV!$U$10-RASANTE!F189)/(AV!$O$10))^2,IF(AND(AV!$S$12&lt;F189,F189&lt;=AV!$T$12),AV!$P$12*((AV!$S$12-RASANTE!F189)/(AV!$N$12))^2,IF(AND(AV!$T$12&lt;RASANTE!F189,F189&lt;AV!$U$12),AV!$P$12*((AV!$U$12-RASANTE!F189)/(AV!$O$12))^2,IF(AND(AV!$S$14&lt;F189,F189&lt;=AV!$T$14),AV!$P$14*((AV!$S$14-RASANTE!F189)/(AV!$N$14))^2,IF(AND(AV!$T$14&lt;RASANTE!F189,F189&lt;AV!$U$14),AV!$P$14*((AV!$U$14-RASANTE!F189)/(AV!$O$14))^2,IF(AND(AV!$S$16&lt;F189,F189&lt;=AV!$T$16),AV!$P$16*((AV!$S$16-RASANTE!F189)/(AV!$N$16))^2,IF(AND(AV!$T$16&lt;RASANTE!F189,F189&lt;AV!$U$16),AV!$P$16*((AV!$U$16-RASANTE!F189)/(AV!$O$16))^2,IF(AND(AV!$S$18&lt;F189,F189&lt;=AV!$T$18),AV!$P$18*((AV!$S$18-RASANTE!F189)/(AV!$N$18))^2,IF(AND(AV!$T$18&lt;RASANTE!F189,F189&lt;AV!$U$18),AV!$P$18*((AV!$U$18-RASANTE!F189)/(AV!$O$18))^2,IF(AND(AV!$S$20&lt;F189,F189&lt;=AV!$T$20),AV!$P$20*((AV!$S$20-RASANTE!F189)/(AV!$N$20))^2,IF(AND(AV!$T$20&lt;RASANTE!F189,F189&lt;AV!$U$20),AV!$P$20*((AV!$U$20-RASANTE!F189)/(AV!$O$20))^2,IF(AND(AV!$S$22&lt;F189,F189&lt;=AV!$T$22),AV!$P$22*((AV!$S$22-RASANTE!F189)/(AV!$N$22))^2,IF(AND(AV!$T$22&lt;RASANTE!F189,F189&lt;AV!$U$22),AV!$P$22*((AV!$U$22-RASANTE!F189)/(AV!$O$22))^2,IF(AND(AV!$S$24&lt;F189,F189&lt;=AV!$T$24),AV!$P$24*((AV!$S$24-RASANTE!F189)/(AV!$N$24))^2,IF(AND(AV!$T$24&lt;RASANTE!F189,F189&lt;AV!$U$24),AV!$P$24*((AV!$U$24-RASANTE!F189)/(AV!$O$24))^2,0))))))))))))))))))))</f>
        <v>0</v>
      </c>
      <c r="L33" s="28">
        <f>+M33+H33%*PERALTE!$C$32</f>
        <v>1650.5950816290581</v>
      </c>
      <c r="M33" s="28">
        <f>J33+K33</f>
        <v>1650.8750816290581</v>
      </c>
      <c r="N33" s="28">
        <f>+M33+I33%*PERALTE!$C$32</f>
        <v>1651.155081629058</v>
      </c>
      <c r="O33" s="92"/>
      <c r="P33" s="84"/>
      <c r="Q33" s="84"/>
      <c r="R33" s="84"/>
      <c r="S33" s="84"/>
      <c r="T33" s="84"/>
      <c r="U33" s="84"/>
      <c r="V33" s="84"/>
      <c r="W33" s="84"/>
      <c r="X33" s="84"/>
      <c r="Y33" s="84"/>
    </row>
    <row r="34" spans="1:25" ht="15.75" customHeight="1" x14ac:dyDescent="0.2">
      <c r="A34" s="111"/>
      <c r="E34" s="115"/>
      <c r="F34" s="34">
        <v>220</v>
      </c>
      <c r="G34" s="88">
        <f>IF(F34&lt;=AV!$T$6,AV!$C$5,IF(RASANTE!F34&lt;=AV!$T$8,AV!$C$7,IF(RASANTE!F34&lt;=AV!$T$10,AV!$C$9,IF(RASANTE!F34&lt;=AV!$T$12,AV!#REF!,IF(RASANTE!F34&lt;=AV!$T$14,AV!$C$11,IF(RASANTE!F34&lt;=AV!$T$16,AV!$C$13, IF(RASANTE!F34&lt;=AV!$T$18,AV!$C$15,IF(RASANTE!F34&lt;=AV!$T$20,AV!$C$19,IF(RASANTE!F34&lt;=AV!$T$22,AV!$C$21,IF(RASANTE!F34&lt;=AV!$T$24,AV!$C$23,AV!$C$25))))))))))</f>
        <v>3.1419999999999999</v>
      </c>
      <c r="H34" s="28">
        <f>+IF(AND(AH!$H$8="Izquierda",RASANTE!F34&lt;=PERALTE!$AB$6),IF(RASANTE!F34&lt;=PERALTE!$S$6,-2,IF(RASANTE!F34&lt;=PERALTE!$U$6,(-6/(PERALTE!$U$6-PERALTE!$S$6)*(RASANTE!F34-PERALTE!$S$6)-2),IF(RASANTE!F34&lt;=PERALTE!$X$6,-8,IF(RASANTE!F34&lt;=PERALTE!$Z$6,(-6/(PERALTE!$X$6-PERALTE!$Z$6)*(RASANTE!F34-PERALTE!$Z$6)-2),IF(RASANTE!F34&lt;=PERALTE!$AB$6,-2))))),IF(AND(AH!$H$8="Derecha",RASANTE!F34&lt;=PERALTE!$AB$6),IF(RASANTE!F34&lt;=PERALTE!$Q$6,-2,IF(RASANTE!F34&lt;=PERALTE!$U$6,(10/(PERALTE!$U$6-PERALTE!$Q$6)*(RASANTE!F34-PERALTE!$Q$6)-2),IF(RASANTE!F34&lt;=PERALTE!$X$6,8,IF(RASANTE!F34&lt;=PERALTE!$AB$6,(10/(PERALTE!$X$6-PERALTE!$AB$6)*(RASANTE!F34-PERALTE!$AB$6)-2))))),IF(AND(AH!$H$10="Izquierda",RASANTE!F34&lt;=PERALTE!$AB$8),IF(RASANTE!F34&lt;=PERALTE!$S$8,-2,IF(RASANTE!F34&lt;=PERALTE!$U$8,(-6/(PERALTE!$U$8-PERALTE!$S$8)*(RASANTE!F34-PERALTE!$S$8)-2),IF(RASANTE!F34&lt;=PERALTE!$X$8,-8,IF(RASANTE!F34&lt;=PERALTE!$Z$8,(-6/(PERALTE!$X$8-PERALTE!$Z$8)*(RASANTE!F34-PERALTE!$Z$8)-2),IF(RASANTE!F34&lt;=PERALTE!$AB$8,-2))))),IF(AND(AH!$H$10="Derecha",RASANTE!F34&lt;=PERALTE!$AB$8),IF(RASANTE!F34&lt;=PERALTE!$Q$8,-2,IF(RASANTE!F34&lt;=PERALTE!$U$8,(10/(PERALTE!$U$8-PERALTE!$Q$8)*(RASANTE!F34-PERALTE!$Q$8)-2),IF(RASANTE!F34&lt;=PERALTE!$X$8,8,IF(RASANTE!F34&lt;=PERALTE!$AB$8,(10/(PERALTE!$X$8-PERALTE!$AB$8)*(RASANTE!F34-PERALTE!$AB$8)-2))))),IF(AND(AH!$H$12="Izquierda",RASANTE!F34&lt;=PERALTE!$AB$10),IF(RASANTE!F34&lt;=PERALTE!$S$10,-2,IF(RASANTE!F34&lt;=PERALTE!$U$10,(-6/(PERALTE!$U$10-PERALTE!$S$10)*(RASANTE!F34-PERALTE!$S$10)-2),IF(RASANTE!F34&lt;=PERALTE!$X$10,-8,IF(RASANTE!F34&lt;=PERALTE!$Z$10,(-6/(PERALTE!$X$10-PERALTE!$Z$10)*(RASANTE!F34-PERALTE!$Z$10)-2),IF(RASANTE!F34&lt;=PERALTE!$AB$10,-2))))),IF(AND(AH!$H$12="Derecha",RASANTE!F34&lt;=PERALTE!$AB$10),IF(RASANTE!F34&lt;=PERALTE!$Q$10,-2,IF(RASANTE!F34&lt;=PERALTE!$U$10,(10/(PERALTE!$U$10-PERALTE!$Q$10)*(RASANTE!F34-PERALTE!$Q$10)-2),IF(RASANTE!F34&lt;=PERALTE!$X$10,8,IF(RASANTE!F34&lt;=PERALTE!$AB$10,(10/(PERALTE!$X$10-PERALTE!$AB$10)*(RASANTE!F34-PERALTE!$AB$10)-2))))),IF(AND(AH!$H$14="Izquierda",RASANTE!F34&lt;=PERALTE!$AB$12),IF(RASANTE!F34&lt;=PERALTE!$S$12,-2,IF(RASANTE!F34&lt;=PERALTE!$U$12,(-6/(PERALTE!$U$12-PERALTE!$S$12)*(RASANTE!F34-PERALTE!$S$12)-2),IF(RASANTE!F34&lt;=PERALTE!$X$12,-8,IF(RASANTE!F34&lt;=PERALTE!$Z$12,(-6/(PERALTE!$X$12-PERALTE!$Z$12)*(RASANTE!F34-PERALTE!$Z$12)-2),IF(RASANTE!F34&lt;=PERALTE!$AB$12,-2))))),IF(AND(AH!$H$14="Derecha",RASANTE!F34&lt;=PERALTE!$AB$12),IF(RASANTE!F34&lt;=PERALTE!$Q$12,-2,IF(RASANTE!F34&lt;=PERALTE!$U$12,(10/(PERALTE!$U$12-PERALTE!$Q$12)*(RASANTE!F34-PERALTE!$Q$12)-2),IF(RASANTE!F34&lt;=PERALTE!$X$12,8,IF(RASANTE!F34&lt;=PERALTE!$AB$12,(10/(PERALTE!$X$12-PERALTE!$AB$12)*(RASANTE!F34-PERALTE!$AB$12)-2))))),IF(AND(AH!$H$16="Izquierda",RASANTE!F34&lt;=PERALTE!$AB$14),IF(RASANTE!F34&lt;=PERALTE!$S$14,-2,IF(RASANTE!F34&lt;=PERALTE!$U$14,(-6/(PERALTE!$U$14-PERALTE!$S$14)*(RASANTE!F34-PERALTE!$S$14)-2),IF(RASANTE!F34&lt;=PERALTE!$X$14,-8,IF(RASANTE!F34&lt;=PERALTE!$Z$14,(-6/(PERALTE!$X$14-PERALTE!$Z$14)*(RASANTE!F34-PERALTE!$Z$14)-2),IF(RASANTE!F34&lt;=PERALTE!$AB$14,-2))))),IF(AND(AH!$H$16="Derecha",RASANTE!F34&lt;=PERALTE!$AB$14),IF(RASANTE!F34&lt;=PERALTE!$Q$14,-2,IF(RASANTE!F34&lt;=PERALTE!$U$14,(10/(PERALTE!$U$14-PERALTE!$Q$14)*(RASANTE!F34-PERALTE!$Q$14)-2),IF(RASANTE!F34&lt;=PERALTE!$X$14,8,IF(RASANTE!F34&lt;=PERALTE!$AB$14,(10/(PERALTE!$X$14-PERALTE!$AB$14)*(RASANTE!F34-PERALTE!$AB$14)-2))))),IF(AND(AH!$H$18="Izquierda",RASANTE!F34&lt;=PERALTE!$AB$16),IF(RASANTE!F34&lt;=PERALTE!$S$16,-2,IF(RASANTE!F34&lt;=PERALTE!$U$16,(-6/(PERALTE!$U$16-PERALTE!$S$16)*(RASANTE!F34-PERALTE!$S$16)-2),IF(RASANTE!F34&lt;=PERALTE!$X$16,-8,IF(RASANTE!F34&lt;=PERALTE!$Z$16,(-6/(PERALTE!$X$16-PERALTE!$Z$16)*(RASANTE!F34-PERALTE!$Z$16)-2),IF(RASANTE!F34&lt;=PERALTE!$AB$16,-2))))),IF(AND(AH!$H$18="Derecha",RASANTE!F34&lt;=PERALTE!$AB$16),IF(RASANTE!F34&lt;=PERALTE!$Q$16,-2,IF(RASANTE!F34&lt;=PERALTE!$U$16,(10/(PERALTE!$U$16-PERALTE!$Q$16)*(RASANTE!F34-PERALTE!$Q$16)-2),IF(RASANTE!F34&lt;=PERALTE!$X$16,8,IF(RASANTE!F34&lt;=PERALTE!$AB$16,(10/(PERALTE!$X$16-PERALTE!$AB$16)*(RASANTE!F34-PERALTE!$AB$16)-2))))),IF(AND(AH!$H$20="Izquierda",RASANTE!F34&lt;=PERALTE!$AB$18),IF(RASANTE!F34&lt;=PERALTE!$S$18,-2,IF(RASANTE!F34&lt;=PERALTE!$U$18,(-6/(PERALTE!$U$18-PERALTE!$S$18)*(RASANTE!F34-PERALTE!$S$18)-2),IF(RASANTE!F34&lt;=PERALTE!$X$18,-8,IF(RASANTE!F34&lt;=PERALTE!$Z$18,(-6/(PERALTE!$X$18-PERALTE!$Z$18)*(RASANTE!F34-PERALTE!$Z$18)-2),IF(RASANTE!F34&lt;=PERALTE!$AB$18,-2))))),IF(AND(AH!$H$20="Derecha",RASANTE!F34&lt;=PERALTE!$AB$18),IF(RASANTE!F34&lt;=PERALTE!$Q$18,-2,IF(RASANTE!F34&lt;=PERALTE!$U$18,(10/(PERALTE!$U$18-PERALTE!$Q$18)*(RASANTE!F34-PERALTE!$Q$18)-2),IF(RASANTE!F34&lt;=PERALTE!$X$18,8,IF(RASANTE!F34&lt;=PERALTE!$AB$18,(10/(PERALTE!$X$18-PERALTE!$AB$18)*(RASANTE!F34-PERALTE!$AB$18)-2))))),IF(AND(AH!$H$24="Izquierda",RASANTE!F34&lt;=PERALTE!$AB$22),IF(RASANTE!F34&lt;=PERALTE!$S$22,-2,IF(RASANTE!F34&lt;=PERALTE!$U$22,(-6/(PERALTE!$U$22-PERALTE!$S$22)*(RASANTE!F34-PERALTE!$S$22)-2),IF(RASANTE!F34&lt;=PERALTE!$X$22,-8,IF(RASANTE!F34&lt;=PERALTE!$Z$22,(-6/(PERALTE!$X$22-PERALTE!$Z$22)*(RASANTE!F34-PERALTE!$Z$22)-2),IF(RASANTE!F34&lt;=PERALTE!$AB$22,-2))))),IF(AND(AH!$H$24="Derecha",RASANTE!F34&lt;=PERALTE!$AB$22),IF(RASANTE!F34&lt;=PERALTE!$Q$22,-2,IF(RASANTE!F34&lt;=PERALTE!$U$22,(10/(PERALTE!$U$22-PERALTE!$Q$22)*(RASANTE!F34-PERALTE!$Q$22)-2),IF(RASANTE!F34&lt;=PERALTE!$X$22,8,IF(RASANTE!F34&lt;=PERALTE!$AB$22,(10/(PERALTE!$X$22-PERALTE!$AB$22)*(RASANTE!F34-PERALTE!$AB$22)-2))))),IF(AND(AH!#REF!="Izquierda",RASANTE!F34&lt;=PERALTE!#REF!),IF(RASANTE!F34&lt;=PERALTE!#REF!,-2,IF(RASANTE!F34&lt;=PERALTE!#REF!,(-6/(PERALTE!#REF!-PERALTE!#REF!)*(RASANTE!F34-PERALTE!#REF!)-2),IF(RASANTE!F34&lt;=PERALTE!#REF!,-8,IF(RASANTE!F34&lt;=PERALTE!#REF!,(-6/(PERALTE!#REF!-PERALTE!#REF!)*(RASANTE!F34-PERALTE!#REF!)-2),IF(RASANTE!F34&lt;=PERALTE!#REF!,-2))))),IF(AND(AH!#REF!="Derecha",RASANTE!F34&lt;=PERALTE!#REF!),IF(RASANTE!F34&lt;=PERALTE!#REF!,-2,IF(RASANTE!F34&lt;=PERALTE!#REF!,(10/(PERALTE!#REF!-PERALTE!#REF!)*(RASANTE!F34-PERALTE!#REF!)-2),IF(RASANTE!F34&lt;=PERALTE!#REF!,8,IF(RASANTE!F34&lt;=PERALTE!#REF!,(10/(PERALTE!#REF!-PERALTE!#REF!)*(RASANTE!F34-PERALTE!#REF!)-2))))),IF(AND(AH!#REF!="Izquierda",RASANTE!F34&lt;=PERALTE!$AB$26),IF(RASANTE!F34&lt;=PERALTE!$S$26,-2,IF(RASANTE!F34&lt;=PERALTE!$U$26,(-6/(PERALTE!$U$26-PERALTE!$S$26)*(RASANTE!F34-PERALTE!$S$26)-2),IF(RASANTE!F34&lt;=PERALTE!$X$26,-8,IF(RASANTE!F34&lt;=PERALTE!$Z$26,(-6/(PERALTE!$X$26-PERALTE!$Z$26)*(RASANTE!F34-PERALTE!$Z$26)-2),IF(RASANTE!F34&lt;=PERALTE!$AB$26,-2))))),IF(AND(AH!#REF!="Derecha",RASANTE!F34&lt;=PERALTE!$AB$26),IF(RASANTE!F34&lt;=PERALTE!$Q$26,-2,IF(RASANTE!F34&lt;=PERALTE!$U$26,(10/(PERALTE!$U$26-PERALTE!$Q$26)*(RASANTE!F34-PERALTE!$Q$26)-2),IF(RASANTE!F34&lt;=PERALTE!$X$26,8,IF(RASANTE!F34&lt;=PERALTE!$AB$26,(10/(PERALTE!$X$26-PERALTE!$AB$26)*(RASANTE!F34-PERALTE!$AB$26)-2))))),IF(F34&lt;=PERALTE!#REF!,-2,"Abscisa fuera de la vía")))))))))))))))))))))</f>
        <v>-7.6742235509273762</v>
      </c>
      <c r="I34" s="28">
        <f>+IF(AND(AH!$H$8="Derecha",RASANTE!F34&lt;=PERALTE!$AB$6),IF(RASANTE!F34&lt;=PERALTE!$S$6,-2,IF(RASANTE!F34&lt;=PERALTE!$U$6,(-6/(PERALTE!$U$6-PERALTE!$S$6)*(RASANTE!F34-PERALTE!$S$6)-2),IF(RASANTE!F34&lt;=PERALTE!$X$6,-8,IF(RASANTE!F34&lt;=PERALTE!$Z$6,(-6/(PERALTE!$X$6-PERALTE!$Z$6)*(RASANTE!F34-PERALTE!$Z$6)-2),IF(RASANTE!F34&lt;=PERALTE!$AB$6,-2))))),IF(AND(AH!$H$8="Izquierda",RASANTE!F34&lt;=PERALTE!$AB$6),IF(RASANTE!F34&lt;=PERALTE!$Q$6,-2,IF(RASANTE!F34&lt;=PERALTE!$U$6,(10/(PERALTE!$U$6-PERALTE!$Q$6)*(RASANTE!F34-PERALTE!$Q$6)-2),IF(RASANTE!F34&lt;=PERALTE!$X$6,8,IF(RASANTE!F34&lt;=PERALTE!$AB$6,(10/(PERALTE!$X$6-PERALTE!$AB$6)*(RASANTE!F34-PERALTE!$AB$6)-2))))),IF(AND(AH!$H$10="Derecha",RASANTE!F34&lt;=PERALTE!$AB$8),IF(RASANTE!F34&lt;=PERALTE!$S$8,-2,IF(RASANTE!F34&lt;=PERALTE!$U$8,(-6/(PERALTE!$U$8-PERALTE!$S$8)*(RASANTE!F34-PERALTE!$S$8)-2),IF(RASANTE!F34&lt;=PERALTE!$X$8,-8,IF(RASANTE!F34&lt;=PERALTE!$Z$8,(-6/(PERALTE!$X$8-PERALTE!$Z$8)*(RASANTE!F34-PERALTE!$Z$8)-2),IF(RASANTE!F34&lt;=PERALTE!$AB$8,-2))))),IF(AND(AH!$H$10="Izquierda",RASANTE!F34&lt;=PERALTE!$AB$8),IF(RASANTE!F34&lt;=PERALTE!$Q$8,-2,IF(RASANTE!F34&lt;=PERALTE!$U$8,(10/(PERALTE!$U$8-PERALTE!$Q$8)*(RASANTE!F34-PERALTE!$Q$8)-2),IF(RASANTE!F34&lt;=PERALTE!$X$8,8,IF(RASANTE!F34&lt;=PERALTE!$AB$8,(10/(PERALTE!$X$8-PERALTE!$AB$8)*(RASANTE!F34-PERALTE!$AB$8)-2))))),IF(AND(AH!$H$12="Derecha",RASANTE!F34&lt;=PERALTE!$AB$10),IF(RASANTE!F34&lt;=PERALTE!$S$10,-2,IF(RASANTE!F34&lt;=PERALTE!$U$10,(-6/(PERALTE!$U$10-PERALTE!$S$10)*(RASANTE!F34-PERALTE!$S$10)-2),IF(RASANTE!F34&lt;=PERALTE!$X$10,-8,IF(RASANTE!F34&lt;=PERALTE!$Z$10,(-6/(PERALTE!$X$10-PERALTE!$Z$10)*(RASANTE!F34-PERALTE!$Z$10)-2),IF(RASANTE!F34&lt;=PERALTE!$AB$10,-2))))),IF(AND(AH!$H$12="Izquierda",RASANTE!F34&lt;=PERALTE!$AB$10),IF(RASANTE!F34&lt;=PERALTE!$Q$10,-2,IF(RASANTE!F34&lt;=PERALTE!$U$10,(10/(PERALTE!$U$10-PERALTE!$Q$10)*(RASANTE!F34-PERALTE!$Q$10)-2),IF(RASANTE!F34&lt;=PERALTE!$X$10,8,IF(RASANTE!F34&lt;=PERALTE!$AB$10,(10/(PERALTE!$X$10-PERALTE!$AB$10)*(RASANTE!F34-PERALTE!$AB$10)-2))))),IF(AND(AH!$H$14="Derecha",RASANTE!F34&lt;=PERALTE!$AB$12),IF(RASANTE!F34&lt;=PERALTE!$S$12,-2,IF(RASANTE!F34&lt;=PERALTE!$U$12,(-6/(PERALTE!$U$12-PERALTE!$S$12)*(RASANTE!F34-PERALTE!$S$12)-2),IF(RASANTE!F34&lt;=PERALTE!$X$12,-8,IF(RASANTE!F34&lt;=PERALTE!$Z$12,(-6/(PERALTE!$X$12-PERALTE!$Z$12)*(RASANTE!F34-PERALTE!$Z$12)-2),IF(RASANTE!F34&lt;=PERALTE!$AB$12,-2))))),IF(AND(AH!$H$14="Izquierda",RASANTE!F34&lt;=PERALTE!$AB$12),IF(RASANTE!F34&lt;=PERALTE!$Q$12,-2,IF(RASANTE!F34&lt;=PERALTE!$U$12,(10/(PERALTE!$U$12-PERALTE!$Q$12)*(RASANTE!F34-PERALTE!$Q$12)-2),IF(RASANTE!F34&lt;=PERALTE!$X$12,8,IF(RASANTE!F34&lt;=PERALTE!$AB$12,(10/(PERALTE!$X$12-PERALTE!$AB$12)*(RASANTE!F34-PERALTE!$AB$12)-2))))),IF(AND(AH!$H$16="Derecha",RASANTE!F34&lt;=PERALTE!$AB$14),IF(RASANTE!F34&lt;=PERALTE!$S$14,-2,IF(RASANTE!F34&lt;=PERALTE!$U$14,(-6/(PERALTE!$U$14-PERALTE!$S$14)*(RASANTE!F34-PERALTE!$S$14)-2),IF(RASANTE!F34&lt;=PERALTE!$X$14,-8,IF(RASANTE!F34&lt;=PERALTE!$Z$14,(-6/(PERALTE!$X$14-PERALTE!$Z$14)*(RASANTE!F34-PERALTE!$Z$14)-2),IF(RASANTE!F34&lt;=PERALTE!$AB$14,-2))))),IF(AND(AH!$H$16="Izquierda",RASANTE!F34&lt;=PERALTE!$AB$14),IF(RASANTE!F34&lt;=PERALTE!$Q$14,-2,IF(RASANTE!F34&lt;=PERALTE!$U$14,(10/(PERALTE!$U$14-PERALTE!$Q$14)*(RASANTE!F34-PERALTE!$Q$14)-2),IF(RASANTE!F34&lt;=PERALTE!$X$14,8,IF(RASANTE!F34&lt;=PERALTE!$AB$14,(10/(PERALTE!$X$14-PERALTE!$AB$14)*(RASANTE!F34-PERALTE!$AB$14)-2))))),IF(AND(AH!$H$18="Derecha",RASANTE!F34&lt;=PERALTE!$AB$16),IF(RASANTE!F34&lt;=PERALTE!$S$16,-2,IF(RASANTE!F34&lt;=PERALTE!$U$16,(-6/(PERALTE!$U$16-PERALTE!$S$16)*(RASANTE!F34-PERALTE!$S$16)-2),IF(RASANTE!F34&lt;=PERALTE!$X$16,-8,IF(RASANTE!F34&lt;=PERALTE!$Z$16,(-6/(PERALTE!$X$16-PERALTE!$Z$16)*(RASANTE!F34-PERALTE!$Z$16)-2),IF(RASANTE!F34&lt;=PERALTE!$AB$16,-2))))),IF(AND(AH!$H$18="Izquierda",RASANTE!F34&lt;=PERALTE!$AB$16),IF(RASANTE!F34&lt;=PERALTE!$Q$16,-2,IF(RASANTE!F34&lt;=PERALTE!$U$16,(10/(PERALTE!$U$16-PERALTE!$Q$16)*(RASANTE!F34-PERALTE!$Q$16)-2),IF(RASANTE!F34&lt;=PERALTE!$X$16,8,IF(RASANTE!F34&lt;=PERALTE!$AB$16,(10/(PERALTE!$X$16-PERALTE!$AB$16)*(RASANTE!F34-PERALTE!$AB$16)-2))))),IF(AND(AH!$H$20="Derecha",RASANTE!F34&lt;=PERALTE!$AB$18),IF(RASANTE!F34&lt;=PERALTE!$S$18,-2,IF(RASANTE!F34&lt;=PERALTE!$U$18,(-6/(PERALTE!$U$18-PERALTE!$S$18)*(RASANTE!F34-PERALTE!$S$18)-2),IF(RASANTE!F34&lt;=PERALTE!$X$18,-8,IF(RASANTE!F34&lt;=PERALTE!$Z$18,(-6/(PERALTE!$X$18-PERALTE!$Z$18)*(RASANTE!F34-PERALTE!$Z$18)-2),IF(RASANTE!F34&lt;=PERALTE!$AB$18,-2))))),IF(AND(AH!$H$20="Izquierda",RASANTE!F34&lt;=PERALTE!$AB$18),IF(RASANTE!F34&lt;=PERALTE!$Q$18,-2,IF(RASANTE!F34&lt;=PERALTE!$U$18,(10/(PERALTE!$U$18-PERALTE!$Q$18)*(RASANTE!F34-PERALTE!$Q$18)-2),IF(RASANTE!F34&lt;=PERALTE!$X$18,8,IF(RASANTE!F34&lt;=PERALTE!$AB$18,(10/(PERALTE!$X$18-PERALTE!$AB$18)*(RASANTE!F34-PERALTE!$AB$18)-2))))),IF(AND(AH!$H$24="Derecha",RASANTE!F34&lt;=PERALTE!$AB$22),IF(RASANTE!F34&lt;=PERALTE!$S$22,-2,IF(RASANTE!F34&lt;=PERALTE!$U$22,(-6/(PERALTE!$U$22-PERALTE!$S$22)*(RASANTE!F34-PERALTE!$S$22)-2),IF(RASANTE!F34&lt;=PERALTE!$X$22,-8,IF(RASANTE!F34&lt;=PERALTE!$Z$22,(-6/(PERALTE!$X$22-PERALTE!$Z$22)*(RASANTE!F34-PERALTE!$Z$22)-2),IF(RASANTE!F34&lt;=PERALTE!$AB$22,-2))))),IF(AND(AH!$H$24="Izquierda",RASANTE!F34&lt;=PERALTE!$AB$22),IF(RASANTE!F34&lt;=PERALTE!$Q$22,-2,IF(RASANTE!F34&lt;=PERALTE!$U$22,(10/(PERALTE!$U$22-PERALTE!$Q$22)*(RASANTE!F34-PERALTE!$Q$22)-2),IF(RASANTE!F34&lt;=PERALTE!$X$22,8,IF(RASANTE!F34&lt;=PERALTE!$AB$22,(10/(PERALTE!$X$22-PERALTE!$AB$22)*(RASANTE!F34-PERALTE!$AB$22)-2))))),IF(AND(AH!#REF!="Derecha",RASANTE!F34&lt;=PERALTE!#REF!),IF(RASANTE!F34&lt;=PERALTE!#REF!,-2,IF(RASANTE!F34&lt;=PERALTE!#REF!,(-6/(PERALTE!#REF!-PERALTE!#REF!)*(RASANTE!F34-PERALTE!#REF!)-2),IF(RASANTE!F34&lt;=PERALTE!#REF!,-8,IF(RASANTE!F34&lt;=PERALTE!#REF!,(-6/(PERALTE!#REF!-PERALTE!#REF!)*(RASANTE!F34-PERALTE!#REF!)-2),IF(RASANTE!F34&lt;=PERALTE!#REF!,-2))))),IF(AND(AH!#REF!="Izquierda",RASANTE!F34&lt;=PERALTE!#REF!),IF(RASANTE!F34&lt;=PERALTE!#REF!,-2,IF(RASANTE!F34&lt;=PERALTE!#REF!,(10/(PERALTE!#REF!-PERALTE!#REF!)*(RASANTE!F34-PERALTE!#REF!)-2),IF(RASANTE!F34&lt;=PERALTE!#REF!,8,IF(RASANTE!F34&lt;=PERALTE!#REF!,(10/(PERALTE!#REF!-PERALTE!#REF!)*(RASANTE!F34-PERALTE!#REF!)-2))))),IF(AND(AH!#REF!="Derecha",RASANTE!F34&lt;=PERALTE!$AB$26),IF(RASANTE!F34&lt;=PERALTE!$S$26,-2,IF(RASANTE!F34&lt;=PERALTE!$U$26,(-6/(PERALTE!$U$26-PERALTE!$S$26)*(RASANTE!F34-PERALTE!$S$26)-2),IF(RASANTE!F34&lt;=PERALTE!$X$26,-8,IF(RASANTE!F34&lt;=PERALTE!$Z$26,(-6/(PERALTE!$X$26-PERALTE!$Z$26)*(RASANTE!F34-PERALTE!$Z$26)-2),IF(RASANTE!F34&lt;=PERALTE!$AB$26,-2))))),IF(AND(AH!#REF!="Izquierda",RASANTE!F34&lt;=PERALTE!$AB$26),IF(RASANTE!F34&lt;=PERALTE!$Q$26,-2,IF(RASANTE!F34&lt;=PERALTE!$U$26,(10/(PERALTE!$U$26-PERALTE!$Q$26)*(RASANTE!F34-PERALTE!$Q$26)-2),IF(RASANTE!F34&lt;=PERALTE!$X$26,8,IF(RASANTE!F34&lt;=PERALTE!$AB$26,(10/(PERALTE!$X$26-PERALTE!$AB$26)*(RASANTE!F34-PERALTE!$AB$26)-2))))),IF(F34&lt;=PERALTE!#REF!,-2,"Abscisa fuera de la vía")))))))))))))))))))))</f>
        <v>7.6742235509273762</v>
      </c>
      <c r="J34" s="28">
        <f t="shared" si="1"/>
        <v>1650.9124000000002</v>
      </c>
      <c r="K34" s="356">
        <f>+IF(AND(AV!$S$6&lt;F190,F190&lt;=AV!$T$6),AV!$P$6*((AV!$S$6-RASANTE!F190)/(AV!$N$6))^2,IF(AND(AV!$T$6&lt;RASANTE!F190,F190&lt;AV!$U$6),AV!$P$6*((AV!$U$6-RASANTE!F190)/(AV!$O$6))^2,IF(AND(AV!$S$8&lt;F190,F190&lt;=AV!$T$8),AV!$P$8*((AV!$S$8-RASANTE!F190)/(AV!$N$8))^2,IF(AND(AV!$T$8&lt;RASANTE!F190,F190&lt;AV!$U$8),AV!$P$8*((AV!$U$8-RASANTE!F190)/(AV!$O$8))^2,IF(AND(AV!$S$10&lt;F190,F190&lt;=AV!$T$10),AV!$P$10*((AV!$S$10-RASANTE!F190)/(AV!$N$10))^2,IF(AND(AV!$T$10&lt;RASANTE!F190,F190&lt;AV!$U$10),AV!$P$10*((AV!$U$10-RASANTE!F190)/(AV!$O$10))^2,IF(AND(AV!$S$12&lt;F190,F190&lt;=AV!$T$12),AV!$P$12*((AV!$S$12-RASANTE!F190)/(AV!$N$12))^2,IF(AND(AV!$T$12&lt;RASANTE!F190,F190&lt;AV!$U$12),AV!$P$12*((AV!$U$12-RASANTE!F190)/(AV!$O$12))^2,IF(AND(AV!$S$14&lt;F190,F190&lt;=AV!$T$14),AV!$P$14*((AV!$S$14-RASANTE!F190)/(AV!$N$14))^2,IF(AND(AV!$T$14&lt;RASANTE!F190,F190&lt;AV!$U$14),AV!$P$14*((AV!$U$14-RASANTE!F190)/(AV!$O$14))^2,IF(AND(AV!$S$16&lt;F190,F190&lt;=AV!$T$16),AV!$P$16*((AV!$S$16-RASANTE!F190)/(AV!$N$16))^2,IF(AND(AV!$T$16&lt;RASANTE!F190,F190&lt;AV!$U$16),AV!$P$16*((AV!$U$16-RASANTE!F190)/(AV!$O$16))^2,IF(AND(AV!$S$18&lt;F190,F190&lt;=AV!$T$18),AV!$P$18*((AV!$S$18-RASANTE!F190)/(AV!$N$18))^2,IF(AND(AV!$T$18&lt;RASANTE!F190,F190&lt;AV!$U$18),AV!$P$18*((AV!$U$18-RASANTE!F190)/(AV!$O$18))^2,IF(AND(AV!$S$20&lt;F190,F190&lt;=AV!$T$20),AV!$P$20*((AV!$S$20-RASANTE!F190)/(AV!$N$20))^2,IF(AND(AV!$T$20&lt;RASANTE!F190,F190&lt;AV!$U$20),AV!$P$20*((AV!$U$20-RASANTE!F190)/(AV!$O$20))^2,IF(AND(AV!$S$22&lt;F190,F190&lt;=AV!$T$22),AV!$P$22*((AV!$S$22-RASANTE!F190)/(AV!$N$22))^2,IF(AND(AV!$T$22&lt;RASANTE!F190,F190&lt;AV!$U$22),AV!$P$22*((AV!$U$22-RASANTE!F190)/(AV!$O$22))^2,IF(AND(AV!$S$24&lt;F190,F190&lt;=AV!$T$24),AV!$P$24*((AV!$S$24-RASANTE!F190)/(AV!$N$24))^2,IF(AND(AV!$T$24&lt;RASANTE!F190,F190&lt;AV!$U$24),AV!$P$24*((AV!$U$24-RASANTE!F190)/(AV!$O$24))^2,0))))))))))))))))))))</f>
        <v>0</v>
      </c>
      <c r="L34" s="28">
        <f>+M34+H34%*PERALTE!$C$32</f>
        <v>1650.6438021757176</v>
      </c>
      <c r="M34" s="28">
        <f>J34+K34</f>
        <v>1650.9124000000002</v>
      </c>
      <c r="N34" s="28">
        <f>+M34+I34%*PERALTE!$C$32</f>
        <v>1651.1809978242827</v>
      </c>
      <c r="O34" s="92"/>
      <c r="P34" s="84"/>
      <c r="Q34" s="84"/>
      <c r="R34" s="84"/>
      <c r="S34" s="84"/>
      <c r="T34" s="84"/>
      <c r="U34" s="84"/>
      <c r="V34" s="84"/>
      <c r="W34" s="84"/>
      <c r="X34" s="84"/>
      <c r="Y34" s="84"/>
    </row>
    <row r="35" spans="1:25" ht="15.75" customHeight="1" x14ac:dyDescent="0.2">
      <c r="A35" s="90"/>
      <c r="B35" s="86"/>
      <c r="C35" s="86"/>
      <c r="D35" s="86"/>
      <c r="E35" s="91"/>
      <c r="F35" s="34">
        <v>230</v>
      </c>
      <c r="G35" s="88">
        <f>IF(F35&lt;=AV!$T$6,AV!$C$5,IF(RASANTE!F35&lt;=AV!$T$8,AV!$C$7,IF(RASANTE!F35&lt;=AV!$T$10,AV!$C$9,IF(RASANTE!F35&lt;=AV!$T$12,AV!#REF!,IF(RASANTE!F35&lt;=AV!$T$14,AV!$C$11,IF(RASANTE!F35&lt;=AV!$T$16,AV!$C$13, IF(RASANTE!F35&lt;=AV!$T$18,AV!$C$15,IF(RASANTE!F35&lt;=AV!$T$20,AV!$C$19,IF(RASANTE!F35&lt;=AV!$T$22,AV!$C$21,IF(RASANTE!F35&lt;=AV!$T$24,AV!$C$23,AV!$C$25))))))))))</f>
        <v>3.1419999999999999</v>
      </c>
      <c r="H35" s="28">
        <f>+IF(AND(AH!$H$8="Izquierda",RASANTE!F35&lt;=PERALTE!$AB$6),IF(RASANTE!F35&lt;=PERALTE!$S$6,-2,IF(RASANTE!F35&lt;=PERALTE!$U$6,(-6/(PERALTE!$U$6-PERALTE!$S$6)*(RASANTE!F35-PERALTE!$S$6)-2),IF(RASANTE!F35&lt;=PERALTE!$X$6,-8,IF(RASANTE!F35&lt;=PERALTE!$Z$6,(-6/(PERALTE!$X$6-PERALTE!$Z$6)*(RASANTE!F35-PERALTE!$Z$6)-2),IF(RASANTE!F35&lt;=PERALTE!$AB$6,-2))))),IF(AND(AH!$H$8="Derecha",RASANTE!F35&lt;=PERALTE!$AB$6),IF(RASANTE!F35&lt;=PERALTE!$Q$6,-2,IF(RASANTE!F35&lt;=PERALTE!$U$6,(10/(PERALTE!$U$6-PERALTE!$Q$6)*(RASANTE!F35-PERALTE!$Q$6)-2),IF(RASANTE!F35&lt;=PERALTE!$X$6,8,IF(RASANTE!F35&lt;=PERALTE!$AB$6,(10/(PERALTE!$X$6-PERALTE!$AB$6)*(RASANTE!F35-PERALTE!$AB$6)-2))))),IF(AND(AH!$H$10="Izquierda",RASANTE!F35&lt;=PERALTE!$AB$8),IF(RASANTE!F35&lt;=PERALTE!$S$8,-2,IF(RASANTE!F35&lt;=PERALTE!$U$8,(-6/(PERALTE!$U$8-PERALTE!$S$8)*(RASANTE!F35-PERALTE!$S$8)-2),IF(RASANTE!F35&lt;=PERALTE!$X$8,-8,IF(RASANTE!F35&lt;=PERALTE!$Z$8,(-6/(PERALTE!$X$8-PERALTE!$Z$8)*(RASANTE!F35-PERALTE!$Z$8)-2),IF(RASANTE!F35&lt;=PERALTE!$AB$8,-2))))),IF(AND(AH!$H$10="Derecha",RASANTE!F35&lt;=PERALTE!$AB$8),IF(RASANTE!F35&lt;=PERALTE!$Q$8,-2,IF(RASANTE!F35&lt;=PERALTE!$U$8,(10/(PERALTE!$U$8-PERALTE!$Q$8)*(RASANTE!F35-PERALTE!$Q$8)-2),IF(RASANTE!F35&lt;=PERALTE!$X$8,8,IF(RASANTE!F35&lt;=PERALTE!$AB$8,(10/(PERALTE!$X$8-PERALTE!$AB$8)*(RASANTE!F35-PERALTE!$AB$8)-2))))),IF(AND(AH!$H$12="Izquierda",RASANTE!F35&lt;=PERALTE!$AB$10),IF(RASANTE!F35&lt;=PERALTE!$S$10,-2,IF(RASANTE!F35&lt;=PERALTE!$U$10,(-6/(PERALTE!$U$10-PERALTE!$S$10)*(RASANTE!F35-PERALTE!$S$10)-2),IF(RASANTE!F35&lt;=PERALTE!$X$10,-8,IF(RASANTE!F35&lt;=PERALTE!$Z$10,(-6/(PERALTE!$X$10-PERALTE!$Z$10)*(RASANTE!F35-PERALTE!$Z$10)-2),IF(RASANTE!F35&lt;=PERALTE!$AB$10,-2))))),IF(AND(AH!$H$12="Derecha",RASANTE!F35&lt;=PERALTE!$AB$10),IF(RASANTE!F35&lt;=PERALTE!$Q$10,-2,IF(RASANTE!F35&lt;=PERALTE!$U$10,(10/(PERALTE!$U$10-PERALTE!$Q$10)*(RASANTE!F35-PERALTE!$Q$10)-2),IF(RASANTE!F35&lt;=PERALTE!$X$10,8,IF(RASANTE!F35&lt;=PERALTE!$AB$10,(10/(PERALTE!$X$10-PERALTE!$AB$10)*(RASANTE!F35-PERALTE!$AB$10)-2))))),IF(AND(AH!$H$14="Izquierda",RASANTE!F35&lt;=PERALTE!$AB$12),IF(RASANTE!F35&lt;=PERALTE!$S$12,-2,IF(RASANTE!F35&lt;=PERALTE!$U$12,(-6/(PERALTE!$U$12-PERALTE!$S$12)*(RASANTE!F35-PERALTE!$S$12)-2),IF(RASANTE!F35&lt;=PERALTE!$X$12,-8,IF(RASANTE!F35&lt;=PERALTE!$Z$12,(-6/(PERALTE!$X$12-PERALTE!$Z$12)*(RASANTE!F35-PERALTE!$Z$12)-2),IF(RASANTE!F35&lt;=PERALTE!$AB$12,-2))))),IF(AND(AH!$H$14="Derecha",RASANTE!F35&lt;=PERALTE!$AB$12),IF(RASANTE!F35&lt;=PERALTE!$Q$12,-2,IF(RASANTE!F35&lt;=PERALTE!$U$12,(10/(PERALTE!$U$12-PERALTE!$Q$12)*(RASANTE!F35-PERALTE!$Q$12)-2),IF(RASANTE!F35&lt;=PERALTE!$X$12,8,IF(RASANTE!F35&lt;=PERALTE!$AB$12,(10/(PERALTE!$X$12-PERALTE!$AB$12)*(RASANTE!F35-PERALTE!$AB$12)-2))))),IF(AND(AH!$H$16="Izquierda",RASANTE!F35&lt;=PERALTE!$AB$14),IF(RASANTE!F35&lt;=PERALTE!$S$14,-2,IF(RASANTE!F35&lt;=PERALTE!$U$14,(-6/(PERALTE!$U$14-PERALTE!$S$14)*(RASANTE!F35-PERALTE!$S$14)-2),IF(RASANTE!F35&lt;=PERALTE!$X$14,-8,IF(RASANTE!F35&lt;=PERALTE!$Z$14,(-6/(PERALTE!$X$14-PERALTE!$Z$14)*(RASANTE!F35-PERALTE!$Z$14)-2),IF(RASANTE!F35&lt;=PERALTE!$AB$14,-2))))),IF(AND(AH!$H$16="Derecha",RASANTE!F35&lt;=PERALTE!$AB$14),IF(RASANTE!F35&lt;=PERALTE!$Q$14,-2,IF(RASANTE!F35&lt;=PERALTE!$U$14,(10/(PERALTE!$U$14-PERALTE!$Q$14)*(RASANTE!F35-PERALTE!$Q$14)-2),IF(RASANTE!F35&lt;=PERALTE!$X$14,8,IF(RASANTE!F35&lt;=PERALTE!$AB$14,(10/(PERALTE!$X$14-PERALTE!$AB$14)*(RASANTE!F35-PERALTE!$AB$14)-2))))),IF(AND(AH!$H$18="Izquierda",RASANTE!F35&lt;=PERALTE!$AB$16),IF(RASANTE!F35&lt;=PERALTE!$S$16,-2,IF(RASANTE!F35&lt;=PERALTE!$U$16,(-6/(PERALTE!$U$16-PERALTE!$S$16)*(RASANTE!F35-PERALTE!$S$16)-2),IF(RASANTE!F35&lt;=PERALTE!$X$16,-8,IF(RASANTE!F35&lt;=PERALTE!$Z$16,(-6/(PERALTE!$X$16-PERALTE!$Z$16)*(RASANTE!F35-PERALTE!$Z$16)-2),IF(RASANTE!F35&lt;=PERALTE!$AB$16,-2))))),IF(AND(AH!$H$18="Derecha",RASANTE!F35&lt;=PERALTE!$AB$16),IF(RASANTE!F35&lt;=PERALTE!$Q$16,-2,IF(RASANTE!F35&lt;=PERALTE!$U$16,(10/(PERALTE!$U$16-PERALTE!$Q$16)*(RASANTE!F35-PERALTE!$Q$16)-2),IF(RASANTE!F35&lt;=PERALTE!$X$16,8,IF(RASANTE!F35&lt;=PERALTE!$AB$16,(10/(PERALTE!$X$16-PERALTE!$AB$16)*(RASANTE!F35-PERALTE!$AB$16)-2))))),IF(AND(AH!$H$20="Izquierda",RASANTE!F35&lt;=PERALTE!$AB$18),IF(RASANTE!F35&lt;=PERALTE!$S$18,-2,IF(RASANTE!F35&lt;=PERALTE!$U$18,(-6/(PERALTE!$U$18-PERALTE!$S$18)*(RASANTE!F35-PERALTE!$S$18)-2),IF(RASANTE!F35&lt;=PERALTE!$X$18,-8,IF(RASANTE!F35&lt;=PERALTE!$Z$18,(-6/(PERALTE!$X$18-PERALTE!$Z$18)*(RASANTE!F35-PERALTE!$Z$18)-2),IF(RASANTE!F35&lt;=PERALTE!$AB$18,-2))))),IF(AND(AH!$H$20="Derecha",RASANTE!F35&lt;=PERALTE!$AB$18),IF(RASANTE!F35&lt;=PERALTE!$Q$18,-2,IF(RASANTE!F35&lt;=PERALTE!$U$18,(10/(PERALTE!$U$18-PERALTE!$Q$18)*(RASANTE!F35-PERALTE!$Q$18)-2),IF(RASANTE!F35&lt;=PERALTE!$X$18,8,IF(RASANTE!F35&lt;=PERALTE!$AB$18,(10/(PERALTE!$X$18-PERALTE!$AB$18)*(RASANTE!F35-PERALTE!$AB$18)-2))))),IF(AND(AH!$H$24="Izquierda",RASANTE!F35&lt;=PERALTE!$AB$22),IF(RASANTE!F35&lt;=PERALTE!$S$22,-2,IF(RASANTE!F35&lt;=PERALTE!$U$22,(-6/(PERALTE!$U$22-PERALTE!$S$22)*(RASANTE!F35-PERALTE!$S$22)-2),IF(RASANTE!F35&lt;=PERALTE!$X$22,-8,IF(RASANTE!F35&lt;=PERALTE!$Z$22,(-6/(PERALTE!$X$22-PERALTE!$Z$22)*(RASANTE!F35-PERALTE!$Z$22)-2),IF(RASANTE!F35&lt;=PERALTE!$AB$22,-2))))),IF(AND(AH!$H$24="Derecha",RASANTE!F35&lt;=PERALTE!$AB$22),IF(RASANTE!F35&lt;=PERALTE!$Q$22,-2,IF(RASANTE!F35&lt;=PERALTE!$U$22,(10/(PERALTE!$U$22-PERALTE!$Q$22)*(RASANTE!F35-PERALTE!$Q$22)-2),IF(RASANTE!F35&lt;=PERALTE!$X$22,8,IF(RASANTE!F35&lt;=PERALTE!$AB$22,(10/(PERALTE!$X$22-PERALTE!$AB$22)*(RASANTE!F35-PERALTE!$AB$22)-2))))),IF(AND(AH!#REF!="Izquierda",RASANTE!F35&lt;=PERALTE!#REF!),IF(RASANTE!F35&lt;=PERALTE!#REF!,-2,IF(RASANTE!F35&lt;=PERALTE!#REF!,(-6/(PERALTE!#REF!-PERALTE!#REF!)*(RASANTE!F35-PERALTE!#REF!)-2),IF(RASANTE!F35&lt;=PERALTE!#REF!,-8,IF(RASANTE!F35&lt;=PERALTE!#REF!,(-6/(PERALTE!#REF!-PERALTE!#REF!)*(RASANTE!F35-PERALTE!#REF!)-2),IF(RASANTE!F35&lt;=PERALTE!#REF!,-2))))),IF(AND(AH!#REF!="Derecha",RASANTE!F35&lt;=PERALTE!#REF!),IF(RASANTE!F35&lt;=PERALTE!#REF!,-2,IF(RASANTE!F35&lt;=PERALTE!#REF!,(10/(PERALTE!#REF!-PERALTE!#REF!)*(RASANTE!F35-PERALTE!#REF!)-2),IF(RASANTE!F35&lt;=PERALTE!#REF!,8,IF(RASANTE!F35&lt;=PERALTE!#REF!,(10/(PERALTE!#REF!-PERALTE!#REF!)*(RASANTE!F35-PERALTE!#REF!)-2))))),IF(AND(AH!#REF!="Izquierda",RASANTE!F35&lt;=PERALTE!$AB$26),IF(RASANTE!F35&lt;=PERALTE!$S$26,-2,IF(RASANTE!F35&lt;=PERALTE!$U$26,(-6/(PERALTE!$U$26-PERALTE!$S$26)*(RASANTE!F35-PERALTE!$S$26)-2),IF(RASANTE!F35&lt;=PERALTE!$X$26,-8,IF(RASANTE!F35&lt;=PERALTE!$Z$26,(-6/(PERALTE!$X$26-PERALTE!$Z$26)*(RASANTE!F35-PERALTE!$Z$26)-2),IF(RASANTE!F35&lt;=PERALTE!$AB$26,-2))))),IF(AND(AH!#REF!="Derecha",RASANTE!F35&lt;=PERALTE!$AB$26),IF(RASANTE!F35&lt;=PERALTE!$Q$26,-2,IF(RASANTE!F35&lt;=PERALTE!$U$26,(10/(PERALTE!$U$26-PERALTE!$Q$26)*(RASANTE!F35-PERALTE!$Q$26)-2),IF(RASANTE!F35&lt;=PERALTE!$X$26,8,IF(RASANTE!F35&lt;=PERALTE!$AB$26,(10/(PERALTE!$X$26-PERALTE!$AB$26)*(RASANTE!F35-PERALTE!$AB$26)-2))))),IF(F35&lt;=PERALTE!#REF!,-2,"Abscisa fuera de la vía")))))))))))))))))))))</f>
        <v>-4.9313664080702342</v>
      </c>
      <c r="I35" s="28">
        <f>+IF(AND(AH!$H$8="Derecha",RASANTE!F35&lt;=PERALTE!$AB$6),IF(RASANTE!F35&lt;=PERALTE!$S$6,-2,IF(RASANTE!F35&lt;=PERALTE!$U$6,(-6/(PERALTE!$U$6-PERALTE!$S$6)*(RASANTE!F35-PERALTE!$S$6)-2),IF(RASANTE!F35&lt;=PERALTE!$X$6,-8,IF(RASANTE!F35&lt;=PERALTE!$Z$6,(-6/(PERALTE!$X$6-PERALTE!$Z$6)*(RASANTE!F35-PERALTE!$Z$6)-2),IF(RASANTE!F35&lt;=PERALTE!$AB$6,-2))))),IF(AND(AH!$H$8="Izquierda",RASANTE!F35&lt;=PERALTE!$AB$6),IF(RASANTE!F35&lt;=PERALTE!$Q$6,-2,IF(RASANTE!F35&lt;=PERALTE!$U$6,(10/(PERALTE!$U$6-PERALTE!$Q$6)*(RASANTE!F35-PERALTE!$Q$6)-2),IF(RASANTE!F35&lt;=PERALTE!$X$6,8,IF(RASANTE!F35&lt;=PERALTE!$AB$6,(10/(PERALTE!$X$6-PERALTE!$AB$6)*(RASANTE!F35-PERALTE!$AB$6)-2))))),IF(AND(AH!$H$10="Derecha",RASANTE!F35&lt;=PERALTE!$AB$8),IF(RASANTE!F35&lt;=PERALTE!$S$8,-2,IF(RASANTE!F35&lt;=PERALTE!$U$8,(-6/(PERALTE!$U$8-PERALTE!$S$8)*(RASANTE!F35-PERALTE!$S$8)-2),IF(RASANTE!F35&lt;=PERALTE!$X$8,-8,IF(RASANTE!F35&lt;=PERALTE!$Z$8,(-6/(PERALTE!$X$8-PERALTE!$Z$8)*(RASANTE!F35-PERALTE!$Z$8)-2),IF(RASANTE!F35&lt;=PERALTE!$AB$8,-2))))),IF(AND(AH!$H$10="Izquierda",RASANTE!F35&lt;=PERALTE!$AB$8),IF(RASANTE!F35&lt;=PERALTE!$Q$8,-2,IF(RASANTE!F35&lt;=PERALTE!$U$8,(10/(PERALTE!$U$8-PERALTE!$Q$8)*(RASANTE!F35-PERALTE!$Q$8)-2),IF(RASANTE!F35&lt;=PERALTE!$X$8,8,IF(RASANTE!F35&lt;=PERALTE!$AB$8,(10/(PERALTE!$X$8-PERALTE!$AB$8)*(RASANTE!F35-PERALTE!$AB$8)-2))))),IF(AND(AH!$H$12="Derecha",RASANTE!F35&lt;=PERALTE!$AB$10),IF(RASANTE!F35&lt;=PERALTE!$S$10,-2,IF(RASANTE!F35&lt;=PERALTE!$U$10,(-6/(PERALTE!$U$10-PERALTE!$S$10)*(RASANTE!F35-PERALTE!$S$10)-2),IF(RASANTE!F35&lt;=PERALTE!$X$10,-8,IF(RASANTE!F35&lt;=PERALTE!$Z$10,(-6/(PERALTE!$X$10-PERALTE!$Z$10)*(RASANTE!F35-PERALTE!$Z$10)-2),IF(RASANTE!F35&lt;=PERALTE!$AB$10,-2))))),IF(AND(AH!$H$12="Izquierda",RASANTE!F35&lt;=PERALTE!$AB$10),IF(RASANTE!F35&lt;=PERALTE!$Q$10,-2,IF(RASANTE!F35&lt;=PERALTE!$U$10,(10/(PERALTE!$U$10-PERALTE!$Q$10)*(RASANTE!F35-PERALTE!$Q$10)-2),IF(RASANTE!F35&lt;=PERALTE!$X$10,8,IF(RASANTE!F35&lt;=PERALTE!$AB$10,(10/(PERALTE!$X$10-PERALTE!$AB$10)*(RASANTE!F35-PERALTE!$AB$10)-2))))),IF(AND(AH!$H$14="Derecha",RASANTE!F35&lt;=PERALTE!$AB$12),IF(RASANTE!F35&lt;=PERALTE!$S$12,-2,IF(RASANTE!F35&lt;=PERALTE!$U$12,(-6/(PERALTE!$U$12-PERALTE!$S$12)*(RASANTE!F35-PERALTE!$S$12)-2),IF(RASANTE!F35&lt;=PERALTE!$X$12,-8,IF(RASANTE!F35&lt;=PERALTE!$Z$12,(-6/(PERALTE!$X$12-PERALTE!$Z$12)*(RASANTE!F35-PERALTE!$Z$12)-2),IF(RASANTE!F35&lt;=PERALTE!$AB$12,-2))))),IF(AND(AH!$H$14="Izquierda",RASANTE!F35&lt;=PERALTE!$AB$12),IF(RASANTE!F35&lt;=PERALTE!$Q$12,-2,IF(RASANTE!F35&lt;=PERALTE!$U$12,(10/(PERALTE!$U$12-PERALTE!$Q$12)*(RASANTE!F35-PERALTE!$Q$12)-2),IF(RASANTE!F35&lt;=PERALTE!$X$12,8,IF(RASANTE!F35&lt;=PERALTE!$AB$12,(10/(PERALTE!$X$12-PERALTE!$AB$12)*(RASANTE!F35-PERALTE!$AB$12)-2))))),IF(AND(AH!$H$16="Derecha",RASANTE!F35&lt;=PERALTE!$AB$14),IF(RASANTE!F35&lt;=PERALTE!$S$14,-2,IF(RASANTE!F35&lt;=PERALTE!$U$14,(-6/(PERALTE!$U$14-PERALTE!$S$14)*(RASANTE!F35-PERALTE!$S$14)-2),IF(RASANTE!F35&lt;=PERALTE!$X$14,-8,IF(RASANTE!F35&lt;=PERALTE!$Z$14,(-6/(PERALTE!$X$14-PERALTE!$Z$14)*(RASANTE!F35-PERALTE!$Z$14)-2),IF(RASANTE!F35&lt;=PERALTE!$AB$14,-2))))),IF(AND(AH!$H$16="Izquierda",RASANTE!F35&lt;=PERALTE!$AB$14),IF(RASANTE!F35&lt;=PERALTE!$Q$14,-2,IF(RASANTE!F35&lt;=PERALTE!$U$14,(10/(PERALTE!$U$14-PERALTE!$Q$14)*(RASANTE!F35-PERALTE!$Q$14)-2),IF(RASANTE!F35&lt;=PERALTE!$X$14,8,IF(RASANTE!F35&lt;=PERALTE!$AB$14,(10/(PERALTE!$X$14-PERALTE!$AB$14)*(RASANTE!F35-PERALTE!$AB$14)-2))))),IF(AND(AH!$H$18="Derecha",RASANTE!F35&lt;=PERALTE!$AB$16),IF(RASANTE!F35&lt;=PERALTE!$S$16,-2,IF(RASANTE!F35&lt;=PERALTE!$U$16,(-6/(PERALTE!$U$16-PERALTE!$S$16)*(RASANTE!F35-PERALTE!$S$16)-2),IF(RASANTE!F35&lt;=PERALTE!$X$16,-8,IF(RASANTE!F35&lt;=PERALTE!$Z$16,(-6/(PERALTE!$X$16-PERALTE!$Z$16)*(RASANTE!F35-PERALTE!$Z$16)-2),IF(RASANTE!F35&lt;=PERALTE!$AB$16,-2))))),IF(AND(AH!$H$18="Izquierda",RASANTE!F35&lt;=PERALTE!$AB$16),IF(RASANTE!F35&lt;=PERALTE!$Q$16,-2,IF(RASANTE!F35&lt;=PERALTE!$U$16,(10/(PERALTE!$U$16-PERALTE!$Q$16)*(RASANTE!F35-PERALTE!$Q$16)-2),IF(RASANTE!F35&lt;=PERALTE!$X$16,8,IF(RASANTE!F35&lt;=PERALTE!$AB$16,(10/(PERALTE!$X$16-PERALTE!$AB$16)*(RASANTE!F35-PERALTE!$AB$16)-2))))),IF(AND(AH!$H$20="Derecha",RASANTE!F35&lt;=PERALTE!$AB$18),IF(RASANTE!F35&lt;=PERALTE!$S$18,-2,IF(RASANTE!F35&lt;=PERALTE!$U$18,(-6/(PERALTE!$U$18-PERALTE!$S$18)*(RASANTE!F35-PERALTE!$S$18)-2),IF(RASANTE!F35&lt;=PERALTE!$X$18,-8,IF(RASANTE!F35&lt;=PERALTE!$Z$18,(-6/(PERALTE!$X$18-PERALTE!$Z$18)*(RASANTE!F35-PERALTE!$Z$18)-2),IF(RASANTE!F35&lt;=PERALTE!$AB$18,-2))))),IF(AND(AH!$H$20="Izquierda",RASANTE!F35&lt;=PERALTE!$AB$18),IF(RASANTE!F35&lt;=PERALTE!$Q$18,-2,IF(RASANTE!F35&lt;=PERALTE!$U$18,(10/(PERALTE!$U$18-PERALTE!$Q$18)*(RASANTE!F35-PERALTE!$Q$18)-2),IF(RASANTE!F35&lt;=PERALTE!$X$18,8,IF(RASANTE!F35&lt;=PERALTE!$AB$18,(10/(PERALTE!$X$18-PERALTE!$AB$18)*(RASANTE!F35-PERALTE!$AB$18)-2))))),IF(AND(AH!$H$24="Derecha",RASANTE!F35&lt;=PERALTE!$AB$22),IF(RASANTE!F35&lt;=PERALTE!$S$22,-2,IF(RASANTE!F35&lt;=PERALTE!$U$22,(-6/(PERALTE!$U$22-PERALTE!$S$22)*(RASANTE!F35-PERALTE!$S$22)-2),IF(RASANTE!F35&lt;=PERALTE!$X$22,-8,IF(RASANTE!F35&lt;=PERALTE!$Z$22,(-6/(PERALTE!$X$22-PERALTE!$Z$22)*(RASANTE!F35-PERALTE!$Z$22)-2),IF(RASANTE!F35&lt;=PERALTE!$AB$22,-2))))),IF(AND(AH!$H$24="Izquierda",RASANTE!F35&lt;=PERALTE!$AB$22),IF(RASANTE!F35&lt;=PERALTE!$Q$22,-2,IF(RASANTE!F35&lt;=PERALTE!$U$22,(10/(PERALTE!$U$22-PERALTE!$Q$22)*(RASANTE!F35-PERALTE!$Q$22)-2),IF(RASANTE!F35&lt;=PERALTE!$X$22,8,IF(RASANTE!F35&lt;=PERALTE!$AB$22,(10/(PERALTE!$X$22-PERALTE!$AB$22)*(RASANTE!F35-PERALTE!$AB$22)-2))))),IF(AND(AH!#REF!="Derecha",RASANTE!F35&lt;=PERALTE!#REF!),IF(RASANTE!F35&lt;=PERALTE!#REF!,-2,IF(RASANTE!F35&lt;=PERALTE!#REF!,(-6/(PERALTE!#REF!-PERALTE!#REF!)*(RASANTE!F35-PERALTE!#REF!)-2),IF(RASANTE!F35&lt;=PERALTE!#REF!,-8,IF(RASANTE!F35&lt;=PERALTE!#REF!,(-6/(PERALTE!#REF!-PERALTE!#REF!)*(RASANTE!F35-PERALTE!#REF!)-2),IF(RASANTE!F35&lt;=PERALTE!#REF!,-2))))),IF(AND(AH!#REF!="Izquierda",RASANTE!F35&lt;=PERALTE!#REF!),IF(RASANTE!F35&lt;=PERALTE!#REF!,-2,IF(RASANTE!F35&lt;=PERALTE!#REF!,(10/(PERALTE!#REF!-PERALTE!#REF!)*(RASANTE!F35-PERALTE!#REF!)-2),IF(RASANTE!F35&lt;=PERALTE!#REF!,8,IF(RASANTE!F35&lt;=PERALTE!#REF!,(10/(PERALTE!#REF!-PERALTE!#REF!)*(RASANTE!F35-PERALTE!#REF!)-2))))),IF(AND(AH!#REF!="Derecha",RASANTE!F35&lt;=PERALTE!$AB$26),IF(RASANTE!F35&lt;=PERALTE!$S$26,-2,IF(RASANTE!F35&lt;=PERALTE!$U$26,(-6/(PERALTE!$U$26-PERALTE!$S$26)*(RASANTE!F35-PERALTE!$S$26)-2),IF(RASANTE!F35&lt;=PERALTE!$X$26,-8,IF(RASANTE!F35&lt;=PERALTE!$Z$26,(-6/(PERALTE!$X$26-PERALTE!$Z$26)*(RASANTE!F35-PERALTE!$Z$26)-2),IF(RASANTE!F35&lt;=PERALTE!$AB$26,-2))))),IF(AND(AH!#REF!="Izquierda",RASANTE!F35&lt;=PERALTE!$AB$26),IF(RASANTE!F35&lt;=PERALTE!$Q$26,-2,IF(RASANTE!F35&lt;=PERALTE!$U$26,(10/(PERALTE!$U$26-PERALTE!$Q$26)*(RASANTE!F35-PERALTE!$Q$26)-2),IF(RASANTE!F35&lt;=PERALTE!$X$26,8,IF(RASANTE!F35&lt;=PERALTE!$AB$26,(10/(PERALTE!$X$26-PERALTE!$AB$26)*(RASANTE!F35-PERALTE!$AB$26)-2))))),IF(F35&lt;=PERALTE!#REF!,-2,"Abscisa fuera de la vía")))))))))))))))))))))</f>
        <v>4.9313664080702315</v>
      </c>
      <c r="J35" s="28">
        <f t="shared" si="1"/>
        <v>1651.2266000000002</v>
      </c>
      <c r="K35" s="356">
        <f>+IF(AND(AV!$S$6&lt;F191,F191&lt;=AV!$T$6),AV!$P$6*((AV!$S$6-RASANTE!F191)/(AV!$N$6))^2,IF(AND(AV!$T$6&lt;RASANTE!F191,F191&lt;AV!$U$6),AV!$P$6*((AV!$U$6-RASANTE!F191)/(AV!$O$6))^2,IF(AND(AV!$S$8&lt;F191,F191&lt;=AV!$T$8),AV!$P$8*((AV!$S$8-RASANTE!F191)/(AV!$N$8))^2,IF(AND(AV!$T$8&lt;RASANTE!F191,F191&lt;AV!$U$8),AV!$P$8*((AV!$U$8-RASANTE!F191)/(AV!$O$8))^2,IF(AND(AV!$S$10&lt;F191,F191&lt;=AV!$T$10),AV!$P$10*((AV!$S$10-RASANTE!F191)/(AV!$N$10))^2,IF(AND(AV!$T$10&lt;RASANTE!F191,F191&lt;AV!$U$10),AV!$P$10*((AV!$U$10-RASANTE!F191)/(AV!$O$10))^2,IF(AND(AV!$S$12&lt;F191,F191&lt;=AV!$T$12),AV!$P$12*((AV!$S$12-RASANTE!F191)/(AV!$N$12))^2,IF(AND(AV!$T$12&lt;RASANTE!F191,F191&lt;AV!$U$12),AV!$P$12*((AV!$U$12-RASANTE!F191)/(AV!$O$12))^2,IF(AND(AV!$S$14&lt;F191,F191&lt;=AV!$T$14),AV!$P$14*((AV!$S$14-RASANTE!F191)/(AV!$N$14))^2,IF(AND(AV!$T$14&lt;RASANTE!F191,F191&lt;AV!$U$14),AV!$P$14*((AV!$U$14-RASANTE!F191)/(AV!$O$14))^2,IF(AND(AV!$S$16&lt;F191,F191&lt;=AV!$T$16),AV!$P$16*((AV!$S$16-RASANTE!F191)/(AV!$N$16))^2,IF(AND(AV!$T$16&lt;RASANTE!F191,F191&lt;AV!$U$16),AV!$P$16*((AV!$U$16-RASANTE!F191)/(AV!$O$16))^2,IF(AND(AV!$S$18&lt;F191,F191&lt;=AV!$T$18),AV!$P$18*((AV!$S$18-RASANTE!F191)/(AV!$N$18))^2,IF(AND(AV!$T$18&lt;RASANTE!F191,F191&lt;AV!$U$18),AV!$P$18*((AV!$U$18-RASANTE!F191)/(AV!$O$18))^2,IF(AND(AV!$S$20&lt;F191,F191&lt;=AV!$T$20),AV!$P$20*((AV!$S$20-RASANTE!F191)/(AV!$N$20))^2,IF(AND(AV!$T$20&lt;RASANTE!F191,F191&lt;AV!$U$20),AV!$P$20*((AV!$U$20-RASANTE!F191)/(AV!$O$20))^2,IF(AND(AV!$S$22&lt;F191,F191&lt;=AV!$T$22),AV!$P$22*((AV!$S$22-RASANTE!F191)/(AV!$N$22))^2,IF(AND(AV!$T$22&lt;RASANTE!F191,F191&lt;AV!$U$22),AV!$P$22*((AV!$U$22-RASANTE!F191)/(AV!$O$22))^2,IF(AND(AV!$S$24&lt;F191,F191&lt;=AV!$T$24),AV!$P$24*((AV!$S$24-RASANTE!F191)/(AV!$N$24))^2,IF(AND(AV!$T$24&lt;RASANTE!F191,F191&lt;AV!$U$24),AV!$P$24*((AV!$U$24-RASANTE!F191)/(AV!$O$24))^2,0))))))))))))))))))))</f>
        <v>0</v>
      </c>
      <c r="L35" s="28">
        <f>+M35+H35%*PERALTE!$C$32</f>
        <v>1651.0540021757176</v>
      </c>
      <c r="M35" s="28">
        <f t="shared" si="0"/>
        <v>1651.2266000000002</v>
      </c>
      <c r="N35" s="28">
        <f>+M35+I35%*PERALTE!$C$32</f>
        <v>1651.3991978242827</v>
      </c>
      <c r="O35" s="92"/>
      <c r="P35" s="84"/>
      <c r="Q35" s="84"/>
      <c r="R35" s="84"/>
      <c r="S35" s="84"/>
      <c r="T35" s="84"/>
      <c r="U35" s="84"/>
      <c r="V35" s="84"/>
      <c r="W35" s="84"/>
      <c r="X35" s="84"/>
      <c r="Y35" s="84"/>
    </row>
    <row r="36" spans="1:25" ht="15.75" customHeight="1" x14ac:dyDescent="0.2">
      <c r="A36" s="90" t="s">
        <v>314</v>
      </c>
      <c r="B36" s="86"/>
      <c r="C36" s="86"/>
      <c r="D36" s="86"/>
      <c r="E36" s="129"/>
      <c r="F36" s="34">
        <f>PERALTE!Y6</f>
        <v>233.3956066960894</v>
      </c>
      <c r="G36" s="88">
        <f>IF(F36&lt;=AV!$T$6,AV!$C$5,IF(RASANTE!F36&lt;=AV!$T$8,AV!$C$7,IF(RASANTE!F36&lt;=AV!$T$10,AV!$C$9,IF(RASANTE!F36&lt;=AV!$T$12,AV!#REF!,IF(RASANTE!F36&lt;=AV!$T$14,AV!$C$11,IF(RASANTE!F36&lt;=AV!$T$16,AV!$C$13, IF(RASANTE!F36&lt;=AV!$T$18,AV!$C$15,IF(RASANTE!F36&lt;=AV!$T$20,AV!$C$19,IF(RASANTE!F36&lt;=AV!$T$22,AV!$C$21,IF(RASANTE!F36&lt;=AV!$T$24,AV!$C$23,AV!$C$25))))))))))</f>
        <v>3.1419999999999999</v>
      </c>
      <c r="H36" s="28">
        <f>+IF(AND(AH!$H$8="Izquierda",RASANTE!F36&lt;=PERALTE!$AB$6),IF(RASANTE!F36&lt;=PERALTE!$S$6,-2,IF(RASANTE!F36&lt;=PERALTE!$U$6,(-6/(PERALTE!$U$6-PERALTE!$S$6)*(RASANTE!F36-PERALTE!$S$6)-2),IF(RASANTE!F36&lt;=PERALTE!$X$6,-8,IF(RASANTE!F36&lt;=PERALTE!$Z$6,(-6/(PERALTE!$X$6-PERALTE!$Z$6)*(RASANTE!F36-PERALTE!$Z$6)-2),IF(RASANTE!F36&lt;=PERALTE!$AB$6,-2))))),IF(AND(AH!$H$8="Derecha",RASANTE!F36&lt;=PERALTE!$AB$6),IF(RASANTE!F36&lt;=PERALTE!$Q$6,-2,IF(RASANTE!F36&lt;=PERALTE!$U$6,(10/(PERALTE!$U$6-PERALTE!$Q$6)*(RASANTE!F36-PERALTE!$Q$6)-2),IF(RASANTE!F36&lt;=PERALTE!$X$6,8,IF(RASANTE!F36&lt;=PERALTE!$AB$6,(10/(PERALTE!$X$6-PERALTE!$AB$6)*(RASANTE!F36-PERALTE!$AB$6)-2))))),IF(AND(AH!$H$10="Izquierda",RASANTE!F36&lt;=PERALTE!$AB$8),IF(RASANTE!F36&lt;=PERALTE!$S$8,-2,IF(RASANTE!F36&lt;=PERALTE!$U$8,(-6/(PERALTE!$U$8-PERALTE!$S$8)*(RASANTE!F36-PERALTE!$S$8)-2),IF(RASANTE!F36&lt;=PERALTE!$X$8,-8,IF(RASANTE!F36&lt;=PERALTE!$Z$8,(-6/(PERALTE!$X$8-PERALTE!$Z$8)*(RASANTE!F36-PERALTE!$Z$8)-2),IF(RASANTE!F36&lt;=PERALTE!$AB$8,-2))))),IF(AND(AH!$H$10="Derecha",RASANTE!F36&lt;=PERALTE!$AB$8),IF(RASANTE!F36&lt;=PERALTE!$Q$8,-2,IF(RASANTE!F36&lt;=PERALTE!$U$8,(10/(PERALTE!$U$8-PERALTE!$Q$8)*(RASANTE!F36-PERALTE!$Q$8)-2),IF(RASANTE!F36&lt;=PERALTE!$X$8,8,IF(RASANTE!F36&lt;=PERALTE!$AB$8,(10/(PERALTE!$X$8-PERALTE!$AB$8)*(RASANTE!F36-PERALTE!$AB$8)-2))))),IF(AND(AH!$H$12="Izquierda",RASANTE!F36&lt;=PERALTE!$AB$10),IF(RASANTE!F36&lt;=PERALTE!$S$10,-2,IF(RASANTE!F36&lt;=PERALTE!$U$10,(-6/(PERALTE!$U$10-PERALTE!$S$10)*(RASANTE!F36-PERALTE!$S$10)-2),IF(RASANTE!F36&lt;=PERALTE!$X$10,-8,IF(RASANTE!F36&lt;=PERALTE!$Z$10,(-6/(PERALTE!$X$10-PERALTE!$Z$10)*(RASANTE!F36-PERALTE!$Z$10)-2),IF(RASANTE!F36&lt;=PERALTE!$AB$10,-2))))),IF(AND(AH!$H$12="Derecha",RASANTE!F36&lt;=PERALTE!$AB$10),IF(RASANTE!F36&lt;=PERALTE!$Q$10,-2,IF(RASANTE!F36&lt;=PERALTE!$U$10,(10/(PERALTE!$U$10-PERALTE!$Q$10)*(RASANTE!F36-PERALTE!$Q$10)-2),IF(RASANTE!F36&lt;=PERALTE!$X$10,8,IF(RASANTE!F36&lt;=PERALTE!$AB$10,(10/(PERALTE!$X$10-PERALTE!$AB$10)*(RASANTE!F36-PERALTE!$AB$10)-2))))),IF(AND(AH!$H$14="Izquierda",RASANTE!F36&lt;=PERALTE!$AB$12),IF(RASANTE!F36&lt;=PERALTE!$S$12,-2,IF(RASANTE!F36&lt;=PERALTE!$U$12,(-6/(PERALTE!$U$12-PERALTE!$S$12)*(RASANTE!F36-PERALTE!$S$12)-2),IF(RASANTE!F36&lt;=PERALTE!$X$12,-8,IF(RASANTE!F36&lt;=PERALTE!$Z$12,(-6/(PERALTE!$X$12-PERALTE!$Z$12)*(RASANTE!F36-PERALTE!$Z$12)-2),IF(RASANTE!F36&lt;=PERALTE!$AB$12,-2))))),IF(AND(AH!$H$14="Derecha",RASANTE!F36&lt;=PERALTE!$AB$12),IF(RASANTE!F36&lt;=PERALTE!$Q$12,-2,IF(RASANTE!F36&lt;=PERALTE!$U$12,(10/(PERALTE!$U$12-PERALTE!$Q$12)*(RASANTE!F36-PERALTE!$Q$12)-2),IF(RASANTE!F36&lt;=PERALTE!$X$12,8,IF(RASANTE!F36&lt;=PERALTE!$AB$12,(10/(PERALTE!$X$12-PERALTE!$AB$12)*(RASANTE!F36-PERALTE!$AB$12)-2))))),IF(AND(AH!$H$16="Izquierda",RASANTE!F36&lt;=PERALTE!$AB$14),IF(RASANTE!F36&lt;=PERALTE!$S$14,-2,IF(RASANTE!F36&lt;=PERALTE!$U$14,(-6/(PERALTE!$U$14-PERALTE!$S$14)*(RASANTE!F36-PERALTE!$S$14)-2),IF(RASANTE!F36&lt;=PERALTE!$X$14,-8,IF(RASANTE!F36&lt;=PERALTE!$Z$14,(-6/(PERALTE!$X$14-PERALTE!$Z$14)*(RASANTE!F36-PERALTE!$Z$14)-2),IF(RASANTE!F36&lt;=PERALTE!$AB$14,-2))))),IF(AND(AH!$H$16="Derecha",RASANTE!F36&lt;=PERALTE!$AB$14),IF(RASANTE!F36&lt;=PERALTE!$Q$14,-2,IF(RASANTE!F36&lt;=PERALTE!$U$14,(10/(PERALTE!$U$14-PERALTE!$Q$14)*(RASANTE!F36-PERALTE!$Q$14)-2),IF(RASANTE!F36&lt;=PERALTE!$X$14,8,IF(RASANTE!F36&lt;=PERALTE!$AB$14,(10/(PERALTE!$X$14-PERALTE!$AB$14)*(RASANTE!F36-PERALTE!$AB$14)-2))))),IF(AND(AH!$H$18="Izquierda",RASANTE!F36&lt;=PERALTE!$AB$16),IF(RASANTE!F36&lt;=PERALTE!$S$16,-2,IF(RASANTE!F36&lt;=PERALTE!$U$16,(-6/(PERALTE!$U$16-PERALTE!$S$16)*(RASANTE!F36-PERALTE!$S$16)-2),IF(RASANTE!F36&lt;=PERALTE!$X$16,-8,IF(RASANTE!F36&lt;=PERALTE!$Z$16,(-6/(PERALTE!$X$16-PERALTE!$Z$16)*(RASANTE!F36-PERALTE!$Z$16)-2),IF(RASANTE!F36&lt;=PERALTE!$AB$16,-2))))),IF(AND(AH!$H$18="Derecha",RASANTE!F36&lt;=PERALTE!$AB$16),IF(RASANTE!F36&lt;=PERALTE!$Q$16,-2,IF(RASANTE!F36&lt;=PERALTE!$U$16,(10/(PERALTE!$U$16-PERALTE!$Q$16)*(RASANTE!F36-PERALTE!$Q$16)-2),IF(RASANTE!F36&lt;=PERALTE!$X$16,8,IF(RASANTE!F36&lt;=PERALTE!$AB$16,(10/(PERALTE!$X$16-PERALTE!$AB$16)*(RASANTE!F36-PERALTE!$AB$16)-2))))),IF(AND(AH!$H$20="Izquierda",RASANTE!F36&lt;=PERALTE!$AB$18),IF(RASANTE!F36&lt;=PERALTE!$S$18,-2,IF(RASANTE!F36&lt;=PERALTE!$U$18,(-6/(PERALTE!$U$18-PERALTE!$S$18)*(RASANTE!F36-PERALTE!$S$18)-2),IF(RASANTE!F36&lt;=PERALTE!$X$18,-8,IF(RASANTE!F36&lt;=PERALTE!$Z$18,(-6/(PERALTE!$X$18-PERALTE!$Z$18)*(RASANTE!F36-PERALTE!$Z$18)-2),IF(RASANTE!F36&lt;=PERALTE!$AB$18,-2))))),IF(AND(AH!$H$20="Derecha",RASANTE!F36&lt;=PERALTE!$AB$18),IF(RASANTE!F36&lt;=PERALTE!$Q$18,-2,IF(RASANTE!F36&lt;=PERALTE!$U$18,(10/(PERALTE!$U$18-PERALTE!$Q$18)*(RASANTE!F36-PERALTE!$Q$18)-2),IF(RASANTE!F36&lt;=PERALTE!$X$18,8,IF(RASANTE!F36&lt;=PERALTE!$AB$18,(10/(PERALTE!$X$18-PERALTE!$AB$18)*(RASANTE!F36-PERALTE!$AB$18)-2))))),IF(AND(AH!$H$24="Izquierda",RASANTE!F36&lt;=PERALTE!$AB$22),IF(RASANTE!F36&lt;=PERALTE!$S$22,-2,IF(RASANTE!F36&lt;=PERALTE!$U$22,(-6/(PERALTE!$U$22-PERALTE!$S$22)*(RASANTE!F36-PERALTE!$S$22)-2),IF(RASANTE!F36&lt;=PERALTE!$X$22,-8,IF(RASANTE!F36&lt;=PERALTE!$Z$22,(-6/(PERALTE!$X$22-PERALTE!$Z$22)*(RASANTE!F36-PERALTE!$Z$22)-2),IF(RASANTE!F36&lt;=PERALTE!$AB$22,-2))))),IF(AND(AH!$H$24="Derecha",RASANTE!F36&lt;=PERALTE!$AB$22),IF(RASANTE!F36&lt;=PERALTE!$Q$22,-2,IF(RASANTE!F36&lt;=PERALTE!$U$22,(10/(PERALTE!$U$22-PERALTE!$Q$22)*(RASANTE!F36-PERALTE!$Q$22)-2),IF(RASANTE!F36&lt;=PERALTE!$X$22,8,IF(RASANTE!F36&lt;=PERALTE!$AB$22,(10/(PERALTE!$X$22-PERALTE!$AB$22)*(RASANTE!F36-PERALTE!$AB$22)-2))))),IF(AND(AH!#REF!="Izquierda",RASANTE!F36&lt;=PERALTE!#REF!),IF(RASANTE!F36&lt;=PERALTE!#REF!,-2,IF(RASANTE!F36&lt;=PERALTE!#REF!,(-6/(PERALTE!#REF!-PERALTE!#REF!)*(RASANTE!F36-PERALTE!#REF!)-2),IF(RASANTE!F36&lt;=PERALTE!#REF!,-8,IF(RASANTE!F36&lt;=PERALTE!#REF!,(-6/(PERALTE!#REF!-PERALTE!#REF!)*(RASANTE!F36-PERALTE!#REF!)-2),IF(RASANTE!F36&lt;=PERALTE!#REF!,-2))))),IF(AND(AH!#REF!="Derecha",RASANTE!F36&lt;=PERALTE!#REF!),IF(RASANTE!F36&lt;=PERALTE!#REF!,-2,IF(RASANTE!F36&lt;=PERALTE!#REF!,(10/(PERALTE!#REF!-PERALTE!#REF!)*(RASANTE!F36-PERALTE!#REF!)-2),IF(RASANTE!F36&lt;=PERALTE!#REF!,8,IF(RASANTE!F36&lt;=PERALTE!#REF!,(10/(PERALTE!#REF!-PERALTE!#REF!)*(RASANTE!F36-PERALTE!#REF!)-2))))),IF(AND(AH!#REF!="Izquierda",RASANTE!F36&lt;=PERALTE!$AB$26),IF(RASANTE!F36&lt;=PERALTE!$S$26,-2,IF(RASANTE!F36&lt;=PERALTE!$U$26,(-6/(PERALTE!$U$26-PERALTE!$S$26)*(RASANTE!F36-PERALTE!$S$26)-2),IF(RASANTE!F36&lt;=PERALTE!$X$26,-8,IF(RASANTE!F36&lt;=PERALTE!$Z$26,(-6/(PERALTE!$X$26-PERALTE!$Z$26)*(RASANTE!F36-PERALTE!$Z$26)-2),IF(RASANTE!F36&lt;=PERALTE!$AB$26,-2))))),IF(AND(AH!#REF!="Derecha",RASANTE!F36&lt;=PERALTE!$AB$26),IF(RASANTE!F36&lt;=PERALTE!$Q$26,-2,IF(RASANTE!F36&lt;=PERALTE!$U$26,(10/(PERALTE!$U$26-PERALTE!$Q$26)*(RASANTE!F36-PERALTE!$Q$26)-2),IF(RASANTE!F36&lt;=PERALTE!$X$26,8,IF(RASANTE!F36&lt;=PERALTE!$AB$26,(10/(PERALTE!$X$26-PERALTE!$AB$26)*(RASANTE!F36-PERALTE!$AB$26)-2))))),IF(F36&lt;=PERALTE!#REF!,-2,"Abscisa fuera de la vía")))))))))))))))))))))</f>
        <v>-3.9999999999999973</v>
      </c>
      <c r="I36" s="28">
        <f>+IF(AND(AH!$H$8="Derecha",RASANTE!F36&lt;=PERALTE!$AB$6),IF(RASANTE!F36&lt;=PERALTE!$S$6,-2,IF(RASANTE!F36&lt;=PERALTE!$U$6,(-6/(PERALTE!$U$6-PERALTE!$S$6)*(RASANTE!F36-PERALTE!$S$6)-2),IF(RASANTE!F36&lt;=PERALTE!$X$6,-8,IF(RASANTE!F36&lt;=PERALTE!$Z$6,(-6/(PERALTE!$X$6-PERALTE!$Z$6)*(RASANTE!F36-PERALTE!$Z$6)-2),IF(RASANTE!F36&lt;=PERALTE!$AB$6,-2))))),IF(AND(AH!$H$8="Izquierda",RASANTE!F36&lt;=PERALTE!$AB$6),IF(RASANTE!F36&lt;=PERALTE!$Q$6,-2,IF(RASANTE!F36&lt;=PERALTE!$U$6,(10/(PERALTE!$U$6-PERALTE!$Q$6)*(RASANTE!F36-PERALTE!$Q$6)-2),IF(RASANTE!F36&lt;=PERALTE!$X$6,8,IF(RASANTE!F36&lt;=PERALTE!$AB$6,(10/(PERALTE!$X$6-PERALTE!$AB$6)*(RASANTE!F36-PERALTE!$AB$6)-2))))),IF(AND(AH!$H$10="Derecha",RASANTE!F36&lt;=PERALTE!$AB$8),IF(RASANTE!F36&lt;=PERALTE!$S$8,-2,IF(RASANTE!F36&lt;=PERALTE!$U$8,(-6/(PERALTE!$U$8-PERALTE!$S$8)*(RASANTE!F36-PERALTE!$S$8)-2),IF(RASANTE!F36&lt;=PERALTE!$X$8,-8,IF(RASANTE!F36&lt;=PERALTE!$Z$8,(-6/(PERALTE!$X$8-PERALTE!$Z$8)*(RASANTE!F36-PERALTE!$Z$8)-2),IF(RASANTE!F36&lt;=PERALTE!$AB$8,-2))))),IF(AND(AH!$H$10="Izquierda",RASANTE!F36&lt;=PERALTE!$AB$8),IF(RASANTE!F36&lt;=PERALTE!$Q$8,-2,IF(RASANTE!F36&lt;=PERALTE!$U$8,(10/(PERALTE!$U$8-PERALTE!$Q$8)*(RASANTE!F36-PERALTE!$Q$8)-2),IF(RASANTE!F36&lt;=PERALTE!$X$8,8,IF(RASANTE!F36&lt;=PERALTE!$AB$8,(10/(PERALTE!$X$8-PERALTE!$AB$8)*(RASANTE!F36-PERALTE!$AB$8)-2))))),IF(AND(AH!$H$12="Derecha",RASANTE!F36&lt;=PERALTE!$AB$10),IF(RASANTE!F36&lt;=PERALTE!$S$10,-2,IF(RASANTE!F36&lt;=PERALTE!$U$10,(-6/(PERALTE!$U$10-PERALTE!$S$10)*(RASANTE!F36-PERALTE!$S$10)-2),IF(RASANTE!F36&lt;=PERALTE!$X$10,-8,IF(RASANTE!F36&lt;=PERALTE!$Z$10,(-6/(PERALTE!$X$10-PERALTE!$Z$10)*(RASANTE!F36-PERALTE!$Z$10)-2),IF(RASANTE!F36&lt;=PERALTE!$AB$10,-2))))),IF(AND(AH!$H$12="Izquierda",RASANTE!F36&lt;=PERALTE!$AB$10),IF(RASANTE!F36&lt;=PERALTE!$Q$10,-2,IF(RASANTE!F36&lt;=PERALTE!$U$10,(10/(PERALTE!$U$10-PERALTE!$Q$10)*(RASANTE!F36-PERALTE!$Q$10)-2),IF(RASANTE!F36&lt;=PERALTE!$X$10,8,IF(RASANTE!F36&lt;=PERALTE!$AB$10,(10/(PERALTE!$X$10-PERALTE!$AB$10)*(RASANTE!F36-PERALTE!$AB$10)-2))))),IF(AND(AH!$H$14="Derecha",RASANTE!F36&lt;=PERALTE!$AB$12),IF(RASANTE!F36&lt;=PERALTE!$S$12,-2,IF(RASANTE!F36&lt;=PERALTE!$U$12,(-6/(PERALTE!$U$12-PERALTE!$S$12)*(RASANTE!F36-PERALTE!$S$12)-2),IF(RASANTE!F36&lt;=PERALTE!$X$12,-8,IF(RASANTE!F36&lt;=PERALTE!$Z$12,(-6/(PERALTE!$X$12-PERALTE!$Z$12)*(RASANTE!F36-PERALTE!$Z$12)-2),IF(RASANTE!F36&lt;=PERALTE!$AB$12,-2))))),IF(AND(AH!$H$14="Izquierda",RASANTE!F36&lt;=PERALTE!$AB$12),IF(RASANTE!F36&lt;=PERALTE!$Q$12,-2,IF(RASANTE!F36&lt;=PERALTE!$U$12,(10/(PERALTE!$U$12-PERALTE!$Q$12)*(RASANTE!F36-PERALTE!$Q$12)-2),IF(RASANTE!F36&lt;=PERALTE!$X$12,8,IF(RASANTE!F36&lt;=PERALTE!$AB$12,(10/(PERALTE!$X$12-PERALTE!$AB$12)*(RASANTE!F36-PERALTE!$AB$12)-2))))),IF(AND(AH!$H$16="Derecha",RASANTE!F36&lt;=PERALTE!$AB$14),IF(RASANTE!F36&lt;=PERALTE!$S$14,-2,IF(RASANTE!F36&lt;=PERALTE!$U$14,(-6/(PERALTE!$U$14-PERALTE!$S$14)*(RASANTE!F36-PERALTE!$S$14)-2),IF(RASANTE!F36&lt;=PERALTE!$X$14,-8,IF(RASANTE!F36&lt;=PERALTE!$Z$14,(-6/(PERALTE!$X$14-PERALTE!$Z$14)*(RASANTE!F36-PERALTE!$Z$14)-2),IF(RASANTE!F36&lt;=PERALTE!$AB$14,-2))))),IF(AND(AH!$H$16="Izquierda",RASANTE!F36&lt;=PERALTE!$AB$14),IF(RASANTE!F36&lt;=PERALTE!$Q$14,-2,IF(RASANTE!F36&lt;=PERALTE!$U$14,(10/(PERALTE!$U$14-PERALTE!$Q$14)*(RASANTE!F36-PERALTE!$Q$14)-2),IF(RASANTE!F36&lt;=PERALTE!$X$14,8,IF(RASANTE!F36&lt;=PERALTE!$AB$14,(10/(PERALTE!$X$14-PERALTE!$AB$14)*(RASANTE!F36-PERALTE!$AB$14)-2))))),IF(AND(AH!$H$18="Derecha",RASANTE!F36&lt;=PERALTE!$AB$16),IF(RASANTE!F36&lt;=PERALTE!$S$16,-2,IF(RASANTE!F36&lt;=PERALTE!$U$16,(-6/(PERALTE!$U$16-PERALTE!$S$16)*(RASANTE!F36-PERALTE!$S$16)-2),IF(RASANTE!F36&lt;=PERALTE!$X$16,-8,IF(RASANTE!F36&lt;=PERALTE!$Z$16,(-6/(PERALTE!$X$16-PERALTE!$Z$16)*(RASANTE!F36-PERALTE!$Z$16)-2),IF(RASANTE!F36&lt;=PERALTE!$AB$16,-2))))),IF(AND(AH!$H$18="Izquierda",RASANTE!F36&lt;=PERALTE!$AB$16),IF(RASANTE!F36&lt;=PERALTE!$Q$16,-2,IF(RASANTE!F36&lt;=PERALTE!$U$16,(10/(PERALTE!$U$16-PERALTE!$Q$16)*(RASANTE!F36-PERALTE!$Q$16)-2),IF(RASANTE!F36&lt;=PERALTE!$X$16,8,IF(RASANTE!F36&lt;=PERALTE!$AB$16,(10/(PERALTE!$X$16-PERALTE!$AB$16)*(RASANTE!F36-PERALTE!$AB$16)-2))))),IF(AND(AH!$H$20="Derecha",RASANTE!F36&lt;=PERALTE!$AB$18),IF(RASANTE!F36&lt;=PERALTE!$S$18,-2,IF(RASANTE!F36&lt;=PERALTE!$U$18,(-6/(PERALTE!$U$18-PERALTE!$S$18)*(RASANTE!F36-PERALTE!$S$18)-2),IF(RASANTE!F36&lt;=PERALTE!$X$18,-8,IF(RASANTE!F36&lt;=PERALTE!$Z$18,(-6/(PERALTE!$X$18-PERALTE!$Z$18)*(RASANTE!F36-PERALTE!$Z$18)-2),IF(RASANTE!F36&lt;=PERALTE!$AB$18,-2))))),IF(AND(AH!$H$20="Izquierda",RASANTE!F36&lt;=PERALTE!$AB$18),IF(RASANTE!F36&lt;=PERALTE!$Q$18,-2,IF(RASANTE!F36&lt;=PERALTE!$U$18,(10/(PERALTE!$U$18-PERALTE!$Q$18)*(RASANTE!F36-PERALTE!$Q$18)-2),IF(RASANTE!F36&lt;=PERALTE!$X$18,8,IF(RASANTE!F36&lt;=PERALTE!$AB$18,(10/(PERALTE!$X$18-PERALTE!$AB$18)*(RASANTE!F36-PERALTE!$AB$18)-2))))),IF(AND(AH!$H$24="Derecha",RASANTE!F36&lt;=PERALTE!$AB$22),IF(RASANTE!F36&lt;=PERALTE!$S$22,-2,IF(RASANTE!F36&lt;=PERALTE!$U$22,(-6/(PERALTE!$U$22-PERALTE!$S$22)*(RASANTE!F36-PERALTE!$S$22)-2),IF(RASANTE!F36&lt;=PERALTE!$X$22,-8,IF(RASANTE!F36&lt;=PERALTE!$Z$22,(-6/(PERALTE!$X$22-PERALTE!$Z$22)*(RASANTE!F36-PERALTE!$Z$22)-2),IF(RASANTE!F36&lt;=PERALTE!$AB$22,-2))))),IF(AND(AH!$H$24="Izquierda",RASANTE!F36&lt;=PERALTE!$AB$22),IF(RASANTE!F36&lt;=PERALTE!$Q$22,-2,IF(RASANTE!F36&lt;=PERALTE!$U$22,(10/(PERALTE!$U$22-PERALTE!$Q$22)*(RASANTE!F36-PERALTE!$Q$22)-2),IF(RASANTE!F36&lt;=PERALTE!$X$22,8,IF(RASANTE!F36&lt;=PERALTE!$AB$22,(10/(PERALTE!$X$22-PERALTE!$AB$22)*(RASANTE!F36-PERALTE!$AB$22)-2))))),IF(AND(AH!#REF!="Derecha",RASANTE!F36&lt;=PERALTE!#REF!),IF(RASANTE!F36&lt;=PERALTE!#REF!,-2,IF(RASANTE!F36&lt;=PERALTE!#REF!,(-6/(PERALTE!#REF!-PERALTE!#REF!)*(RASANTE!F36-PERALTE!#REF!)-2),IF(RASANTE!F36&lt;=PERALTE!#REF!,-8,IF(RASANTE!F36&lt;=PERALTE!#REF!,(-6/(PERALTE!#REF!-PERALTE!#REF!)*(RASANTE!F36-PERALTE!#REF!)-2),IF(RASANTE!F36&lt;=PERALTE!#REF!,-2))))),IF(AND(AH!#REF!="Izquierda",RASANTE!F36&lt;=PERALTE!#REF!),IF(RASANTE!F36&lt;=PERALTE!#REF!,-2,IF(RASANTE!F36&lt;=PERALTE!#REF!,(10/(PERALTE!#REF!-PERALTE!#REF!)*(RASANTE!F36-PERALTE!#REF!)-2),IF(RASANTE!F36&lt;=PERALTE!#REF!,8,IF(RASANTE!F36&lt;=PERALTE!#REF!,(10/(PERALTE!#REF!-PERALTE!#REF!)*(RASANTE!F36-PERALTE!#REF!)-2))))),IF(AND(AH!#REF!="Derecha",RASANTE!F36&lt;=PERALTE!$AB$26),IF(RASANTE!F36&lt;=PERALTE!$S$26,-2,IF(RASANTE!F36&lt;=PERALTE!$U$26,(-6/(PERALTE!$U$26-PERALTE!$S$26)*(RASANTE!F36-PERALTE!$S$26)-2),IF(RASANTE!F36&lt;=PERALTE!$X$26,-8,IF(RASANTE!F36&lt;=PERALTE!$Z$26,(-6/(PERALTE!$X$26-PERALTE!$Z$26)*(RASANTE!F36-PERALTE!$Z$26)-2),IF(RASANTE!F36&lt;=PERALTE!$AB$26,-2))))),IF(AND(AH!#REF!="Izquierda",RASANTE!F36&lt;=PERALTE!$AB$26),IF(RASANTE!F36&lt;=PERALTE!$Q$26,-2,IF(RASANTE!F36&lt;=PERALTE!$U$26,(10/(PERALTE!$U$26-PERALTE!$Q$26)*(RASANTE!F36-PERALTE!$Q$26)-2),IF(RASANTE!F36&lt;=PERALTE!$X$26,8,IF(RASANTE!F36&lt;=PERALTE!$AB$26,(10/(PERALTE!$X$26-PERALTE!$AB$26)*(RASANTE!F36-PERALTE!$AB$26)-2))))),IF(F36&lt;=PERALTE!#REF!,-2,"Abscisa fuera de la vía")))))))))))))))))))))</f>
        <v>3.9999999999999947</v>
      </c>
      <c r="J36" s="28">
        <f t="shared" si="1"/>
        <v>1651.3332899623913</v>
      </c>
      <c r="K36" s="356">
        <f>+IF(AND(AV!$S$6&lt;F192,F192&lt;=AV!$T$6),AV!$P$6*((AV!$S$6-RASANTE!F192)/(AV!$N$6))^2,IF(AND(AV!$T$6&lt;RASANTE!F192,F192&lt;AV!$U$6),AV!$P$6*((AV!$U$6-RASANTE!F192)/(AV!$O$6))^2,IF(AND(AV!$S$8&lt;F192,F192&lt;=AV!$T$8),AV!$P$8*((AV!$S$8-RASANTE!F192)/(AV!$N$8))^2,IF(AND(AV!$T$8&lt;RASANTE!F192,F192&lt;AV!$U$8),AV!$P$8*((AV!$U$8-RASANTE!F192)/(AV!$O$8))^2,IF(AND(AV!$S$10&lt;F192,F192&lt;=AV!$T$10),AV!$P$10*((AV!$S$10-RASANTE!F192)/(AV!$N$10))^2,IF(AND(AV!$T$10&lt;RASANTE!F192,F192&lt;AV!$U$10),AV!$P$10*((AV!$U$10-RASANTE!F192)/(AV!$O$10))^2,IF(AND(AV!$S$12&lt;F192,F192&lt;=AV!$T$12),AV!$P$12*((AV!$S$12-RASANTE!F192)/(AV!$N$12))^2,IF(AND(AV!$T$12&lt;RASANTE!F192,F192&lt;AV!$U$12),AV!$P$12*((AV!$U$12-RASANTE!F192)/(AV!$O$12))^2,IF(AND(AV!$S$14&lt;F192,F192&lt;=AV!$T$14),AV!$P$14*((AV!$S$14-RASANTE!F192)/(AV!$N$14))^2,IF(AND(AV!$T$14&lt;RASANTE!F192,F192&lt;AV!$U$14),AV!$P$14*((AV!$U$14-RASANTE!F192)/(AV!$O$14))^2,IF(AND(AV!$S$16&lt;F192,F192&lt;=AV!$T$16),AV!$P$16*((AV!$S$16-RASANTE!F192)/(AV!$N$16))^2,IF(AND(AV!$T$16&lt;RASANTE!F192,F192&lt;AV!$U$16),AV!$P$16*((AV!$U$16-RASANTE!F192)/(AV!$O$16))^2,IF(AND(AV!$S$18&lt;F192,F192&lt;=AV!$T$18),AV!$P$18*((AV!$S$18-RASANTE!F192)/(AV!$N$18))^2,IF(AND(AV!$T$18&lt;RASANTE!F192,F192&lt;AV!$U$18),AV!$P$18*((AV!$U$18-RASANTE!F192)/(AV!$O$18))^2,IF(AND(AV!$S$20&lt;F192,F192&lt;=AV!$T$20),AV!$P$20*((AV!$S$20-RASANTE!F192)/(AV!$N$20))^2,IF(AND(AV!$T$20&lt;RASANTE!F192,F192&lt;AV!$U$20),AV!$P$20*((AV!$U$20-RASANTE!F192)/(AV!$O$20))^2,IF(AND(AV!$S$22&lt;F192,F192&lt;=AV!$T$22),AV!$P$22*((AV!$S$22-RASANTE!F192)/(AV!$N$22))^2,IF(AND(AV!$T$22&lt;RASANTE!F192,F192&lt;AV!$U$22),AV!$P$22*((AV!$U$22-RASANTE!F192)/(AV!$O$22))^2,IF(AND(AV!$S$24&lt;F192,F192&lt;=AV!$T$24),AV!$P$24*((AV!$S$24-RASANTE!F192)/(AV!$N$24))^2,IF(AND(AV!$T$24&lt;RASANTE!F192,F192&lt;AV!$U$24),AV!$P$24*((AV!$U$24-RASANTE!F192)/(AV!$O$24))^2,0))))))))))))))))))))</f>
        <v>0</v>
      </c>
      <c r="L36" s="28">
        <f>+M36+H36%*PERALTE!$C$32</f>
        <v>1651.1932899623912</v>
      </c>
      <c r="M36" s="28">
        <f t="shared" si="0"/>
        <v>1651.3332899623913</v>
      </c>
      <c r="N36" s="28">
        <f>+M36+I36%*PERALTE!$C$32</f>
        <v>1651.4732899623914</v>
      </c>
      <c r="O36" s="92"/>
      <c r="P36" s="84"/>
      <c r="Q36" s="84"/>
      <c r="R36" s="84"/>
      <c r="S36" s="84"/>
      <c r="T36" s="84"/>
      <c r="U36" s="84"/>
      <c r="V36" s="84"/>
      <c r="W36" s="84"/>
      <c r="X36" s="84"/>
      <c r="Y36" s="84"/>
    </row>
    <row r="37" spans="1:25" ht="15.75" customHeight="1" x14ac:dyDescent="0.2">
      <c r="A37" s="90"/>
      <c r="B37" s="86"/>
      <c r="C37" s="86"/>
      <c r="D37" s="86"/>
      <c r="E37" s="91"/>
      <c r="F37" s="34">
        <v>240</v>
      </c>
      <c r="G37" s="88">
        <f>IF(F37&lt;=AV!$T$6,AV!$C$5,IF(RASANTE!F37&lt;=AV!$T$8,AV!$C$7,IF(RASANTE!F37&lt;=AV!$T$10,AV!$C$9,IF(RASANTE!F37&lt;=AV!$T$12,AV!#REF!,IF(RASANTE!F37&lt;=AV!$T$14,AV!$C$11,IF(RASANTE!F37&lt;=AV!$T$16,AV!$C$13, IF(RASANTE!F37&lt;=AV!$T$18,AV!$C$15,IF(RASANTE!F37&lt;=AV!$T$20,AV!$C$19,IF(RASANTE!F37&lt;=AV!$T$22,AV!$C$21,IF(RASANTE!F37&lt;=AV!$T$24,AV!$C$23,AV!$C$25))))))))))</f>
        <v>3.1419999999999999</v>
      </c>
      <c r="H37" s="28">
        <f>+IF(AND(AH!$H$8="Izquierda",RASANTE!F37&lt;=PERALTE!$AB$6),IF(RASANTE!F37&lt;=PERALTE!$S$6,-2,IF(RASANTE!F37&lt;=PERALTE!$U$6,(-6/(PERALTE!$U$6-PERALTE!$S$6)*(RASANTE!F37-PERALTE!$S$6)-2),IF(RASANTE!F37&lt;=PERALTE!$X$6,-8,IF(RASANTE!F37&lt;=PERALTE!$Z$6,(-6/(PERALTE!$X$6-PERALTE!$Z$6)*(RASANTE!F37-PERALTE!$Z$6)-2),IF(RASANTE!F37&lt;=PERALTE!$AB$6,-2))))),IF(AND(AH!$H$8="Derecha",RASANTE!F37&lt;=PERALTE!$AB$6),IF(RASANTE!F37&lt;=PERALTE!$Q$6,-2,IF(RASANTE!F37&lt;=PERALTE!$U$6,(10/(PERALTE!$U$6-PERALTE!$Q$6)*(RASANTE!F37-PERALTE!$Q$6)-2),IF(RASANTE!F37&lt;=PERALTE!$X$6,8,IF(RASANTE!F37&lt;=PERALTE!$AB$6,(10/(PERALTE!$X$6-PERALTE!$AB$6)*(RASANTE!F37-PERALTE!$AB$6)-2))))),IF(AND(AH!$H$10="Izquierda",RASANTE!F37&lt;=PERALTE!$AB$8),IF(RASANTE!F37&lt;=PERALTE!$S$8,-2,IF(RASANTE!F37&lt;=PERALTE!$U$8,(-6/(PERALTE!$U$8-PERALTE!$S$8)*(RASANTE!F37-PERALTE!$S$8)-2),IF(RASANTE!F37&lt;=PERALTE!$X$8,-8,IF(RASANTE!F37&lt;=PERALTE!$Z$8,(-6/(PERALTE!$X$8-PERALTE!$Z$8)*(RASANTE!F37-PERALTE!$Z$8)-2),IF(RASANTE!F37&lt;=PERALTE!$AB$8,-2))))),IF(AND(AH!$H$10="Derecha",RASANTE!F37&lt;=PERALTE!$AB$8),IF(RASANTE!F37&lt;=PERALTE!$Q$8,-2,IF(RASANTE!F37&lt;=PERALTE!$U$8,(10/(PERALTE!$U$8-PERALTE!$Q$8)*(RASANTE!F37-PERALTE!$Q$8)-2),IF(RASANTE!F37&lt;=PERALTE!$X$8,8,IF(RASANTE!F37&lt;=PERALTE!$AB$8,(10/(PERALTE!$X$8-PERALTE!$AB$8)*(RASANTE!F37-PERALTE!$AB$8)-2))))),IF(AND(AH!$H$12="Izquierda",RASANTE!F37&lt;=PERALTE!$AB$10),IF(RASANTE!F37&lt;=PERALTE!$S$10,-2,IF(RASANTE!F37&lt;=PERALTE!$U$10,(-6/(PERALTE!$U$10-PERALTE!$S$10)*(RASANTE!F37-PERALTE!$S$10)-2),IF(RASANTE!F37&lt;=PERALTE!$X$10,-8,IF(RASANTE!F37&lt;=PERALTE!$Z$10,(-6/(PERALTE!$X$10-PERALTE!$Z$10)*(RASANTE!F37-PERALTE!$Z$10)-2),IF(RASANTE!F37&lt;=PERALTE!$AB$10,-2))))),IF(AND(AH!$H$12="Derecha",RASANTE!F37&lt;=PERALTE!$AB$10),IF(RASANTE!F37&lt;=PERALTE!$Q$10,-2,IF(RASANTE!F37&lt;=PERALTE!$U$10,(10/(PERALTE!$U$10-PERALTE!$Q$10)*(RASANTE!F37-PERALTE!$Q$10)-2),IF(RASANTE!F37&lt;=PERALTE!$X$10,8,IF(RASANTE!F37&lt;=PERALTE!$AB$10,(10/(PERALTE!$X$10-PERALTE!$AB$10)*(RASANTE!F37-PERALTE!$AB$10)-2))))),IF(AND(AH!$H$14="Izquierda",RASANTE!F37&lt;=PERALTE!$AB$12),IF(RASANTE!F37&lt;=PERALTE!$S$12,-2,IF(RASANTE!F37&lt;=PERALTE!$U$12,(-6/(PERALTE!$U$12-PERALTE!$S$12)*(RASANTE!F37-PERALTE!$S$12)-2),IF(RASANTE!F37&lt;=PERALTE!$X$12,-8,IF(RASANTE!F37&lt;=PERALTE!$Z$12,(-6/(PERALTE!$X$12-PERALTE!$Z$12)*(RASANTE!F37-PERALTE!$Z$12)-2),IF(RASANTE!F37&lt;=PERALTE!$AB$12,-2))))),IF(AND(AH!$H$14="Derecha",RASANTE!F37&lt;=PERALTE!$AB$12),IF(RASANTE!F37&lt;=PERALTE!$Q$12,-2,IF(RASANTE!F37&lt;=PERALTE!$U$12,(10/(PERALTE!$U$12-PERALTE!$Q$12)*(RASANTE!F37-PERALTE!$Q$12)-2),IF(RASANTE!F37&lt;=PERALTE!$X$12,8,IF(RASANTE!F37&lt;=PERALTE!$AB$12,(10/(PERALTE!$X$12-PERALTE!$AB$12)*(RASANTE!F37-PERALTE!$AB$12)-2))))),IF(AND(AH!$H$16="Izquierda",RASANTE!F37&lt;=PERALTE!$AB$14),IF(RASANTE!F37&lt;=PERALTE!$S$14,-2,IF(RASANTE!F37&lt;=PERALTE!$U$14,(-6/(PERALTE!$U$14-PERALTE!$S$14)*(RASANTE!F37-PERALTE!$S$14)-2),IF(RASANTE!F37&lt;=PERALTE!$X$14,-8,IF(RASANTE!F37&lt;=PERALTE!$Z$14,(-6/(PERALTE!$X$14-PERALTE!$Z$14)*(RASANTE!F37-PERALTE!$Z$14)-2),IF(RASANTE!F37&lt;=PERALTE!$AB$14,-2))))),IF(AND(AH!$H$16="Derecha",RASANTE!F37&lt;=PERALTE!$AB$14),IF(RASANTE!F37&lt;=PERALTE!$Q$14,-2,IF(RASANTE!F37&lt;=PERALTE!$U$14,(10/(PERALTE!$U$14-PERALTE!$Q$14)*(RASANTE!F37-PERALTE!$Q$14)-2),IF(RASANTE!F37&lt;=PERALTE!$X$14,8,IF(RASANTE!F37&lt;=PERALTE!$AB$14,(10/(PERALTE!$X$14-PERALTE!$AB$14)*(RASANTE!F37-PERALTE!$AB$14)-2))))),IF(AND(AH!$H$18="Izquierda",RASANTE!F37&lt;=PERALTE!$AB$16),IF(RASANTE!F37&lt;=PERALTE!$S$16,-2,IF(RASANTE!F37&lt;=PERALTE!$U$16,(-6/(PERALTE!$U$16-PERALTE!$S$16)*(RASANTE!F37-PERALTE!$S$16)-2),IF(RASANTE!F37&lt;=PERALTE!$X$16,-8,IF(RASANTE!F37&lt;=PERALTE!$Z$16,(-6/(PERALTE!$X$16-PERALTE!$Z$16)*(RASANTE!F37-PERALTE!$Z$16)-2),IF(RASANTE!F37&lt;=PERALTE!$AB$16,-2))))),IF(AND(AH!$H$18="Derecha",RASANTE!F37&lt;=PERALTE!$AB$16),IF(RASANTE!F37&lt;=PERALTE!$Q$16,-2,IF(RASANTE!F37&lt;=PERALTE!$U$16,(10/(PERALTE!$U$16-PERALTE!$Q$16)*(RASANTE!F37-PERALTE!$Q$16)-2),IF(RASANTE!F37&lt;=PERALTE!$X$16,8,IF(RASANTE!F37&lt;=PERALTE!$AB$16,(10/(PERALTE!$X$16-PERALTE!$AB$16)*(RASANTE!F37-PERALTE!$AB$16)-2))))),IF(AND(AH!$H$20="Izquierda",RASANTE!F37&lt;=PERALTE!$AB$18),IF(RASANTE!F37&lt;=PERALTE!$S$18,-2,IF(RASANTE!F37&lt;=PERALTE!$U$18,(-6/(PERALTE!$U$18-PERALTE!$S$18)*(RASANTE!F37-PERALTE!$S$18)-2),IF(RASANTE!F37&lt;=PERALTE!$X$18,-8,IF(RASANTE!F37&lt;=PERALTE!$Z$18,(-6/(PERALTE!$X$18-PERALTE!$Z$18)*(RASANTE!F37-PERALTE!$Z$18)-2),IF(RASANTE!F37&lt;=PERALTE!$AB$18,-2))))),IF(AND(AH!$H$20="Derecha",RASANTE!F37&lt;=PERALTE!$AB$18),IF(RASANTE!F37&lt;=PERALTE!$Q$18,-2,IF(RASANTE!F37&lt;=PERALTE!$U$18,(10/(PERALTE!$U$18-PERALTE!$Q$18)*(RASANTE!F37-PERALTE!$Q$18)-2),IF(RASANTE!F37&lt;=PERALTE!$X$18,8,IF(RASANTE!F37&lt;=PERALTE!$AB$18,(10/(PERALTE!$X$18-PERALTE!$AB$18)*(RASANTE!F37-PERALTE!$AB$18)-2))))),IF(AND(AH!$H$24="Izquierda",RASANTE!F37&lt;=PERALTE!$AB$22),IF(RASANTE!F37&lt;=PERALTE!$S$22,-2,IF(RASANTE!F37&lt;=PERALTE!$U$22,(-6/(PERALTE!$U$22-PERALTE!$S$22)*(RASANTE!F37-PERALTE!$S$22)-2),IF(RASANTE!F37&lt;=PERALTE!$X$22,-8,IF(RASANTE!F37&lt;=PERALTE!$Z$22,(-6/(PERALTE!$X$22-PERALTE!$Z$22)*(RASANTE!F37-PERALTE!$Z$22)-2),IF(RASANTE!F37&lt;=PERALTE!$AB$22,-2))))),IF(AND(AH!$H$24="Derecha",RASANTE!F37&lt;=PERALTE!$AB$22),IF(RASANTE!F37&lt;=PERALTE!$Q$22,-2,IF(RASANTE!F37&lt;=PERALTE!$U$22,(10/(PERALTE!$U$22-PERALTE!$Q$22)*(RASANTE!F37-PERALTE!$Q$22)-2),IF(RASANTE!F37&lt;=PERALTE!$X$22,8,IF(RASANTE!F37&lt;=PERALTE!$AB$22,(10/(PERALTE!$X$22-PERALTE!$AB$22)*(RASANTE!F37-PERALTE!$AB$22)-2))))),IF(AND(AH!#REF!="Izquierda",RASANTE!F37&lt;=PERALTE!#REF!),IF(RASANTE!F37&lt;=PERALTE!#REF!,-2,IF(RASANTE!F37&lt;=PERALTE!#REF!,(-6/(PERALTE!#REF!-PERALTE!#REF!)*(RASANTE!F37-PERALTE!#REF!)-2),IF(RASANTE!F37&lt;=PERALTE!#REF!,-8,IF(RASANTE!F37&lt;=PERALTE!#REF!,(-6/(PERALTE!#REF!-PERALTE!#REF!)*(RASANTE!F37-PERALTE!#REF!)-2),IF(RASANTE!F37&lt;=PERALTE!#REF!,-2))))),IF(AND(AH!#REF!="Derecha",RASANTE!F37&lt;=PERALTE!#REF!),IF(RASANTE!F37&lt;=PERALTE!#REF!,-2,IF(RASANTE!F37&lt;=PERALTE!#REF!,(10/(PERALTE!#REF!-PERALTE!#REF!)*(RASANTE!F37-PERALTE!#REF!)-2),IF(RASANTE!F37&lt;=PERALTE!#REF!,8,IF(RASANTE!F37&lt;=PERALTE!#REF!,(10/(PERALTE!#REF!-PERALTE!#REF!)*(RASANTE!F37-PERALTE!#REF!)-2))))),IF(AND(AH!#REF!="Izquierda",RASANTE!F37&lt;=PERALTE!$AB$26),IF(RASANTE!F37&lt;=PERALTE!$S$26,-2,IF(RASANTE!F37&lt;=PERALTE!$U$26,(-6/(PERALTE!$U$26-PERALTE!$S$26)*(RASANTE!F37-PERALTE!$S$26)-2),IF(RASANTE!F37&lt;=PERALTE!$X$26,-8,IF(RASANTE!F37&lt;=PERALTE!$Z$26,(-6/(PERALTE!$X$26-PERALTE!$Z$26)*(RASANTE!F37-PERALTE!$Z$26)-2),IF(RASANTE!F37&lt;=PERALTE!$AB$26,-2))))),IF(AND(AH!#REF!="Derecha",RASANTE!F37&lt;=PERALTE!$AB$26),IF(RASANTE!F37&lt;=PERALTE!$Q$26,-2,IF(RASANTE!F37&lt;=PERALTE!$U$26,(10/(PERALTE!$U$26-PERALTE!$Q$26)*(RASANTE!F37-PERALTE!$Q$26)-2),IF(RASANTE!F37&lt;=PERALTE!$X$26,8,IF(RASANTE!F37&lt;=PERALTE!$AB$26,(10/(PERALTE!$X$26-PERALTE!$AB$26)*(RASANTE!F37-PERALTE!$AB$26)-2))))),IF(F37&lt;=PERALTE!#REF!,-2,"Abscisa fuera de la vía")))))))))))))))))))))</f>
        <v>-2.1885092652130904</v>
      </c>
      <c r="I37" s="28">
        <f>+IF(AND(AH!$H$8="Derecha",RASANTE!F37&lt;=PERALTE!$AB$6),IF(RASANTE!F37&lt;=PERALTE!$S$6,-2,IF(RASANTE!F37&lt;=PERALTE!$U$6,(-6/(PERALTE!$U$6-PERALTE!$S$6)*(RASANTE!F37-PERALTE!$S$6)-2),IF(RASANTE!F37&lt;=PERALTE!$X$6,-8,IF(RASANTE!F37&lt;=PERALTE!$Z$6,(-6/(PERALTE!$X$6-PERALTE!$Z$6)*(RASANTE!F37-PERALTE!$Z$6)-2),IF(RASANTE!F37&lt;=PERALTE!$AB$6,-2))))),IF(AND(AH!$H$8="Izquierda",RASANTE!F37&lt;=PERALTE!$AB$6),IF(RASANTE!F37&lt;=PERALTE!$Q$6,-2,IF(RASANTE!F37&lt;=PERALTE!$U$6,(10/(PERALTE!$U$6-PERALTE!$Q$6)*(RASANTE!F37-PERALTE!$Q$6)-2),IF(RASANTE!F37&lt;=PERALTE!$X$6,8,IF(RASANTE!F37&lt;=PERALTE!$AB$6,(10/(PERALTE!$X$6-PERALTE!$AB$6)*(RASANTE!F37-PERALTE!$AB$6)-2))))),IF(AND(AH!$H$10="Derecha",RASANTE!F37&lt;=PERALTE!$AB$8),IF(RASANTE!F37&lt;=PERALTE!$S$8,-2,IF(RASANTE!F37&lt;=PERALTE!$U$8,(-6/(PERALTE!$U$8-PERALTE!$S$8)*(RASANTE!F37-PERALTE!$S$8)-2),IF(RASANTE!F37&lt;=PERALTE!$X$8,-8,IF(RASANTE!F37&lt;=PERALTE!$Z$8,(-6/(PERALTE!$X$8-PERALTE!$Z$8)*(RASANTE!F37-PERALTE!$Z$8)-2),IF(RASANTE!F37&lt;=PERALTE!$AB$8,-2))))),IF(AND(AH!$H$10="Izquierda",RASANTE!F37&lt;=PERALTE!$AB$8),IF(RASANTE!F37&lt;=PERALTE!$Q$8,-2,IF(RASANTE!F37&lt;=PERALTE!$U$8,(10/(PERALTE!$U$8-PERALTE!$Q$8)*(RASANTE!F37-PERALTE!$Q$8)-2),IF(RASANTE!F37&lt;=PERALTE!$X$8,8,IF(RASANTE!F37&lt;=PERALTE!$AB$8,(10/(PERALTE!$X$8-PERALTE!$AB$8)*(RASANTE!F37-PERALTE!$AB$8)-2))))),IF(AND(AH!$H$12="Derecha",RASANTE!F37&lt;=PERALTE!$AB$10),IF(RASANTE!F37&lt;=PERALTE!$S$10,-2,IF(RASANTE!F37&lt;=PERALTE!$U$10,(-6/(PERALTE!$U$10-PERALTE!$S$10)*(RASANTE!F37-PERALTE!$S$10)-2),IF(RASANTE!F37&lt;=PERALTE!$X$10,-8,IF(RASANTE!F37&lt;=PERALTE!$Z$10,(-6/(PERALTE!$X$10-PERALTE!$Z$10)*(RASANTE!F37-PERALTE!$Z$10)-2),IF(RASANTE!F37&lt;=PERALTE!$AB$10,-2))))),IF(AND(AH!$H$12="Izquierda",RASANTE!F37&lt;=PERALTE!$AB$10),IF(RASANTE!F37&lt;=PERALTE!$Q$10,-2,IF(RASANTE!F37&lt;=PERALTE!$U$10,(10/(PERALTE!$U$10-PERALTE!$Q$10)*(RASANTE!F37-PERALTE!$Q$10)-2),IF(RASANTE!F37&lt;=PERALTE!$X$10,8,IF(RASANTE!F37&lt;=PERALTE!$AB$10,(10/(PERALTE!$X$10-PERALTE!$AB$10)*(RASANTE!F37-PERALTE!$AB$10)-2))))),IF(AND(AH!$H$14="Derecha",RASANTE!F37&lt;=PERALTE!$AB$12),IF(RASANTE!F37&lt;=PERALTE!$S$12,-2,IF(RASANTE!F37&lt;=PERALTE!$U$12,(-6/(PERALTE!$U$12-PERALTE!$S$12)*(RASANTE!F37-PERALTE!$S$12)-2),IF(RASANTE!F37&lt;=PERALTE!$X$12,-8,IF(RASANTE!F37&lt;=PERALTE!$Z$12,(-6/(PERALTE!$X$12-PERALTE!$Z$12)*(RASANTE!F37-PERALTE!$Z$12)-2),IF(RASANTE!F37&lt;=PERALTE!$AB$12,-2))))),IF(AND(AH!$H$14="Izquierda",RASANTE!F37&lt;=PERALTE!$AB$12),IF(RASANTE!F37&lt;=PERALTE!$Q$12,-2,IF(RASANTE!F37&lt;=PERALTE!$U$12,(10/(PERALTE!$U$12-PERALTE!$Q$12)*(RASANTE!F37-PERALTE!$Q$12)-2),IF(RASANTE!F37&lt;=PERALTE!$X$12,8,IF(RASANTE!F37&lt;=PERALTE!$AB$12,(10/(PERALTE!$X$12-PERALTE!$AB$12)*(RASANTE!F37-PERALTE!$AB$12)-2))))),IF(AND(AH!$H$16="Derecha",RASANTE!F37&lt;=PERALTE!$AB$14),IF(RASANTE!F37&lt;=PERALTE!$S$14,-2,IF(RASANTE!F37&lt;=PERALTE!$U$14,(-6/(PERALTE!$U$14-PERALTE!$S$14)*(RASANTE!F37-PERALTE!$S$14)-2),IF(RASANTE!F37&lt;=PERALTE!$X$14,-8,IF(RASANTE!F37&lt;=PERALTE!$Z$14,(-6/(PERALTE!$X$14-PERALTE!$Z$14)*(RASANTE!F37-PERALTE!$Z$14)-2),IF(RASANTE!F37&lt;=PERALTE!$AB$14,-2))))),IF(AND(AH!$H$16="Izquierda",RASANTE!F37&lt;=PERALTE!$AB$14),IF(RASANTE!F37&lt;=PERALTE!$Q$14,-2,IF(RASANTE!F37&lt;=PERALTE!$U$14,(10/(PERALTE!$U$14-PERALTE!$Q$14)*(RASANTE!F37-PERALTE!$Q$14)-2),IF(RASANTE!F37&lt;=PERALTE!$X$14,8,IF(RASANTE!F37&lt;=PERALTE!$AB$14,(10/(PERALTE!$X$14-PERALTE!$AB$14)*(RASANTE!F37-PERALTE!$AB$14)-2))))),IF(AND(AH!$H$18="Derecha",RASANTE!F37&lt;=PERALTE!$AB$16),IF(RASANTE!F37&lt;=PERALTE!$S$16,-2,IF(RASANTE!F37&lt;=PERALTE!$U$16,(-6/(PERALTE!$U$16-PERALTE!$S$16)*(RASANTE!F37-PERALTE!$S$16)-2),IF(RASANTE!F37&lt;=PERALTE!$X$16,-8,IF(RASANTE!F37&lt;=PERALTE!$Z$16,(-6/(PERALTE!$X$16-PERALTE!$Z$16)*(RASANTE!F37-PERALTE!$Z$16)-2),IF(RASANTE!F37&lt;=PERALTE!$AB$16,-2))))),IF(AND(AH!$H$18="Izquierda",RASANTE!F37&lt;=PERALTE!$AB$16),IF(RASANTE!F37&lt;=PERALTE!$Q$16,-2,IF(RASANTE!F37&lt;=PERALTE!$U$16,(10/(PERALTE!$U$16-PERALTE!$Q$16)*(RASANTE!F37-PERALTE!$Q$16)-2),IF(RASANTE!F37&lt;=PERALTE!$X$16,8,IF(RASANTE!F37&lt;=PERALTE!$AB$16,(10/(PERALTE!$X$16-PERALTE!$AB$16)*(RASANTE!F37-PERALTE!$AB$16)-2))))),IF(AND(AH!$H$20="Derecha",RASANTE!F37&lt;=PERALTE!$AB$18),IF(RASANTE!F37&lt;=PERALTE!$S$18,-2,IF(RASANTE!F37&lt;=PERALTE!$U$18,(-6/(PERALTE!$U$18-PERALTE!$S$18)*(RASANTE!F37-PERALTE!$S$18)-2),IF(RASANTE!F37&lt;=PERALTE!$X$18,-8,IF(RASANTE!F37&lt;=PERALTE!$Z$18,(-6/(PERALTE!$X$18-PERALTE!$Z$18)*(RASANTE!F37-PERALTE!$Z$18)-2),IF(RASANTE!F37&lt;=PERALTE!$AB$18,-2))))),IF(AND(AH!$H$20="Izquierda",RASANTE!F37&lt;=PERALTE!$AB$18),IF(RASANTE!F37&lt;=PERALTE!$Q$18,-2,IF(RASANTE!F37&lt;=PERALTE!$U$18,(10/(PERALTE!$U$18-PERALTE!$Q$18)*(RASANTE!F37-PERALTE!$Q$18)-2),IF(RASANTE!F37&lt;=PERALTE!$X$18,8,IF(RASANTE!F37&lt;=PERALTE!$AB$18,(10/(PERALTE!$X$18-PERALTE!$AB$18)*(RASANTE!F37-PERALTE!$AB$18)-2))))),IF(AND(AH!$H$24="Derecha",RASANTE!F37&lt;=PERALTE!$AB$22),IF(RASANTE!F37&lt;=PERALTE!$S$22,-2,IF(RASANTE!F37&lt;=PERALTE!$U$22,(-6/(PERALTE!$U$22-PERALTE!$S$22)*(RASANTE!F37-PERALTE!$S$22)-2),IF(RASANTE!F37&lt;=PERALTE!$X$22,-8,IF(RASANTE!F37&lt;=PERALTE!$Z$22,(-6/(PERALTE!$X$22-PERALTE!$Z$22)*(RASANTE!F37-PERALTE!$Z$22)-2),IF(RASANTE!F37&lt;=PERALTE!$AB$22,-2))))),IF(AND(AH!$H$24="Izquierda",RASANTE!F37&lt;=PERALTE!$AB$22),IF(RASANTE!F37&lt;=PERALTE!$Q$22,-2,IF(RASANTE!F37&lt;=PERALTE!$U$22,(10/(PERALTE!$U$22-PERALTE!$Q$22)*(RASANTE!F37-PERALTE!$Q$22)-2),IF(RASANTE!F37&lt;=PERALTE!$X$22,8,IF(RASANTE!F37&lt;=PERALTE!$AB$22,(10/(PERALTE!$X$22-PERALTE!$AB$22)*(RASANTE!F37-PERALTE!$AB$22)-2))))),IF(AND(AH!#REF!="Derecha",RASANTE!F37&lt;=PERALTE!#REF!),IF(RASANTE!F37&lt;=PERALTE!#REF!,-2,IF(RASANTE!F37&lt;=PERALTE!#REF!,(-6/(PERALTE!#REF!-PERALTE!#REF!)*(RASANTE!F37-PERALTE!#REF!)-2),IF(RASANTE!F37&lt;=PERALTE!#REF!,-8,IF(RASANTE!F37&lt;=PERALTE!#REF!,(-6/(PERALTE!#REF!-PERALTE!#REF!)*(RASANTE!F37-PERALTE!#REF!)-2),IF(RASANTE!F37&lt;=PERALTE!#REF!,-2))))),IF(AND(AH!#REF!="Izquierda",RASANTE!F37&lt;=PERALTE!#REF!),IF(RASANTE!F37&lt;=PERALTE!#REF!,-2,IF(RASANTE!F37&lt;=PERALTE!#REF!,(10/(PERALTE!#REF!-PERALTE!#REF!)*(RASANTE!F37-PERALTE!#REF!)-2),IF(RASANTE!F37&lt;=PERALTE!#REF!,8,IF(RASANTE!F37&lt;=PERALTE!#REF!,(10/(PERALTE!#REF!-PERALTE!#REF!)*(RASANTE!F37-PERALTE!#REF!)-2))))),IF(AND(AH!#REF!="Derecha",RASANTE!F37&lt;=PERALTE!$AB$26),IF(RASANTE!F37&lt;=PERALTE!$S$26,-2,IF(RASANTE!F37&lt;=PERALTE!$U$26,(-6/(PERALTE!$U$26-PERALTE!$S$26)*(RASANTE!F37-PERALTE!$S$26)-2),IF(RASANTE!F37&lt;=PERALTE!$X$26,-8,IF(RASANTE!F37&lt;=PERALTE!$Z$26,(-6/(PERALTE!$X$26-PERALTE!$Z$26)*(RASANTE!F37-PERALTE!$Z$26)-2),IF(RASANTE!F37&lt;=PERALTE!$AB$26,-2))))),IF(AND(AH!#REF!="Izquierda",RASANTE!F37&lt;=PERALTE!$AB$26),IF(RASANTE!F37&lt;=PERALTE!$Q$26,-2,IF(RASANTE!F37&lt;=PERALTE!$U$26,(10/(PERALTE!$U$26-PERALTE!$Q$26)*(RASANTE!F37-PERALTE!$Q$26)-2),IF(RASANTE!F37&lt;=PERALTE!$X$26,8,IF(RASANTE!F37&lt;=PERALTE!$AB$26,(10/(PERALTE!$X$26-PERALTE!$AB$26)*(RASANTE!F37-PERALTE!$AB$26)-2))))),IF(F37&lt;=PERALTE!#REF!,-2,"Abscisa fuera de la vía")))))))))))))))))))))</f>
        <v>2.1885092652130869</v>
      </c>
      <c r="J37" s="28">
        <f t="shared" si="1"/>
        <v>1651.5408000000002</v>
      </c>
      <c r="K37" s="356">
        <f>+IF(AND(AV!$S$6&lt;F193,F193&lt;=AV!$T$6),AV!$P$6*((AV!$S$6-RASANTE!F193)/(AV!$N$6))^2,IF(AND(AV!$T$6&lt;RASANTE!F193,F193&lt;AV!$U$6),AV!$P$6*((AV!$U$6-RASANTE!F193)/(AV!$O$6))^2,IF(AND(AV!$S$8&lt;F193,F193&lt;=AV!$T$8),AV!$P$8*((AV!$S$8-RASANTE!F193)/(AV!$N$8))^2,IF(AND(AV!$T$8&lt;RASANTE!F193,F193&lt;AV!$U$8),AV!$P$8*((AV!$U$8-RASANTE!F193)/(AV!$O$8))^2,IF(AND(AV!$S$10&lt;F193,F193&lt;=AV!$T$10),AV!$P$10*((AV!$S$10-RASANTE!F193)/(AV!$N$10))^2,IF(AND(AV!$T$10&lt;RASANTE!F193,F193&lt;AV!$U$10),AV!$P$10*((AV!$U$10-RASANTE!F193)/(AV!$O$10))^2,IF(AND(AV!$S$12&lt;F193,F193&lt;=AV!$T$12),AV!$P$12*((AV!$S$12-RASANTE!F193)/(AV!$N$12))^2,IF(AND(AV!$T$12&lt;RASANTE!F193,F193&lt;AV!$U$12),AV!$P$12*((AV!$U$12-RASANTE!F193)/(AV!$O$12))^2,IF(AND(AV!$S$14&lt;F193,F193&lt;=AV!$T$14),AV!$P$14*((AV!$S$14-RASANTE!F193)/(AV!$N$14))^2,IF(AND(AV!$T$14&lt;RASANTE!F193,F193&lt;AV!$U$14),AV!$P$14*((AV!$U$14-RASANTE!F193)/(AV!$O$14))^2,IF(AND(AV!$S$16&lt;F193,F193&lt;=AV!$T$16),AV!$P$16*((AV!$S$16-RASANTE!F193)/(AV!$N$16))^2,IF(AND(AV!$T$16&lt;RASANTE!F193,F193&lt;AV!$U$16),AV!$P$16*((AV!$U$16-RASANTE!F193)/(AV!$O$16))^2,IF(AND(AV!$S$18&lt;F193,F193&lt;=AV!$T$18),AV!$P$18*((AV!$S$18-RASANTE!F193)/(AV!$N$18))^2,IF(AND(AV!$T$18&lt;RASANTE!F193,F193&lt;AV!$U$18),AV!$P$18*((AV!$U$18-RASANTE!F193)/(AV!$O$18))^2,IF(AND(AV!$S$20&lt;F193,F193&lt;=AV!$T$20),AV!$P$20*((AV!$S$20-RASANTE!F193)/(AV!$N$20))^2,IF(AND(AV!$T$20&lt;RASANTE!F193,F193&lt;AV!$U$20),AV!$P$20*((AV!$U$20-RASANTE!F193)/(AV!$O$20))^2,IF(AND(AV!$S$22&lt;F193,F193&lt;=AV!$T$22),AV!$P$22*((AV!$S$22-RASANTE!F193)/(AV!$N$22))^2,IF(AND(AV!$T$22&lt;RASANTE!F193,F193&lt;AV!$U$22),AV!$P$22*((AV!$U$22-RASANTE!F193)/(AV!$O$22))^2,IF(AND(AV!$S$24&lt;F193,F193&lt;=AV!$T$24),AV!$P$24*((AV!$S$24-RASANTE!F193)/(AV!$N$24))^2,IF(AND(AV!$T$24&lt;RASANTE!F193,F193&lt;AV!$U$24),AV!$P$24*((AV!$U$24-RASANTE!F193)/(AV!$O$24))^2,0))))))))))))))))))))</f>
        <v>0</v>
      </c>
      <c r="L37" s="28">
        <f>+M37+H37%*PERALTE!$C$32</f>
        <v>1651.4642021757177</v>
      </c>
      <c r="M37" s="28">
        <f t="shared" si="0"/>
        <v>1651.5408000000002</v>
      </c>
      <c r="N37" s="28">
        <f>+M37+I37%*PERALTE!$C$32</f>
        <v>1651.6173978242828</v>
      </c>
      <c r="O37" s="92"/>
      <c r="P37" s="84"/>
      <c r="Q37" s="84"/>
      <c r="R37" s="84"/>
      <c r="S37" s="84"/>
      <c r="T37" s="84"/>
      <c r="U37" s="84"/>
      <c r="V37" s="84"/>
      <c r="W37" s="84"/>
      <c r="X37" s="84"/>
      <c r="Y37" s="84"/>
    </row>
    <row r="38" spans="1:25" ht="15.75" customHeight="1" x14ac:dyDescent="0.2">
      <c r="A38" s="130" t="s">
        <v>195</v>
      </c>
      <c r="B38" s="86"/>
      <c r="C38" s="86"/>
      <c r="D38" s="86"/>
      <c r="E38" s="131" t="s">
        <v>196</v>
      </c>
      <c r="F38" s="34">
        <f>AV!S6</f>
        <v>240.47899999999998</v>
      </c>
      <c r="G38" s="88">
        <f>IF(F38&lt;=AV!$T$6,AV!$C$5,IF(RASANTE!F38&lt;=AV!$T$8,AV!$C$7,IF(RASANTE!F38&lt;=AV!$T$10,AV!$C$9,IF(RASANTE!F38&lt;=AV!$T$12,AV!#REF!,IF(RASANTE!F38&lt;=AV!$T$14,AV!$C$11,IF(RASANTE!F38&lt;=AV!$T$16,AV!$C$13, IF(RASANTE!F38&lt;=AV!$T$18,AV!$C$15,IF(RASANTE!F38&lt;=AV!$T$20,AV!$C$19,IF(RASANTE!F38&lt;=AV!$T$22,AV!$C$21,IF(RASANTE!F38&lt;=AV!$T$24,AV!$C$23,AV!$C$25))))))))))</f>
        <v>3.1419999999999999</v>
      </c>
      <c r="H38" s="28">
        <f>+IF(AND(AH!$H$8="Izquierda",RASANTE!F38&lt;=PERALTE!$AB$6),IF(RASANTE!F38&lt;=PERALTE!$S$6,-2,IF(RASANTE!F38&lt;=PERALTE!$U$6,(-6/(PERALTE!$U$6-PERALTE!$S$6)*(RASANTE!F38-PERALTE!$S$6)-2),IF(RASANTE!F38&lt;=PERALTE!$X$6,-8,IF(RASANTE!F38&lt;=PERALTE!$Z$6,(-6/(PERALTE!$X$6-PERALTE!$Z$6)*(RASANTE!F38-PERALTE!$Z$6)-2),IF(RASANTE!F38&lt;=PERALTE!$AB$6,-2))))),IF(AND(AH!$H$8="Derecha",RASANTE!F38&lt;=PERALTE!$AB$6),IF(RASANTE!F38&lt;=PERALTE!$Q$6,-2,IF(RASANTE!F38&lt;=PERALTE!$U$6,(10/(PERALTE!$U$6-PERALTE!$Q$6)*(RASANTE!F38-PERALTE!$Q$6)-2),IF(RASANTE!F38&lt;=PERALTE!$X$6,8,IF(RASANTE!F38&lt;=PERALTE!$AB$6,(10/(PERALTE!$X$6-PERALTE!$AB$6)*(RASANTE!F38-PERALTE!$AB$6)-2))))),IF(AND(AH!$H$10="Izquierda",RASANTE!F38&lt;=PERALTE!$AB$8),IF(RASANTE!F38&lt;=PERALTE!$S$8,-2,IF(RASANTE!F38&lt;=PERALTE!$U$8,(-6/(PERALTE!$U$8-PERALTE!$S$8)*(RASANTE!F38-PERALTE!$S$8)-2),IF(RASANTE!F38&lt;=PERALTE!$X$8,-8,IF(RASANTE!F38&lt;=PERALTE!$Z$8,(-6/(PERALTE!$X$8-PERALTE!$Z$8)*(RASANTE!F38-PERALTE!$Z$8)-2),IF(RASANTE!F38&lt;=PERALTE!$AB$8,-2))))),IF(AND(AH!$H$10="Derecha",RASANTE!F38&lt;=PERALTE!$AB$8),IF(RASANTE!F38&lt;=PERALTE!$Q$8,-2,IF(RASANTE!F38&lt;=PERALTE!$U$8,(10/(PERALTE!$U$8-PERALTE!$Q$8)*(RASANTE!F38-PERALTE!$Q$8)-2),IF(RASANTE!F38&lt;=PERALTE!$X$8,8,IF(RASANTE!F38&lt;=PERALTE!$AB$8,(10/(PERALTE!$X$8-PERALTE!$AB$8)*(RASANTE!F38-PERALTE!$AB$8)-2))))),IF(AND(AH!$H$12="Izquierda",RASANTE!F38&lt;=PERALTE!$AB$10),IF(RASANTE!F38&lt;=PERALTE!$S$10,-2,IF(RASANTE!F38&lt;=PERALTE!$U$10,(-6/(PERALTE!$U$10-PERALTE!$S$10)*(RASANTE!F38-PERALTE!$S$10)-2),IF(RASANTE!F38&lt;=PERALTE!$X$10,-8,IF(RASANTE!F38&lt;=PERALTE!$Z$10,(-6/(PERALTE!$X$10-PERALTE!$Z$10)*(RASANTE!F38-PERALTE!$Z$10)-2),IF(RASANTE!F38&lt;=PERALTE!$AB$10,-2))))),IF(AND(AH!$H$12="Derecha",RASANTE!F38&lt;=PERALTE!$AB$10),IF(RASANTE!F38&lt;=PERALTE!$Q$10,-2,IF(RASANTE!F38&lt;=PERALTE!$U$10,(10/(PERALTE!$U$10-PERALTE!$Q$10)*(RASANTE!F38-PERALTE!$Q$10)-2),IF(RASANTE!F38&lt;=PERALTE!$X$10,8,IF(RASANTE!F38&lt;=PERALTE!$AB$10,(10/(PERALTE!$X$10-PERALTE!$AB$10)*(RASANTE!F38-PERALTE!$AB$10)-2))))),IF(AND(AH!$H$14="Izquierda",RASANTE!F38&lt;=PERALTE!$AB$12),IF(RASANTE!F38&lt;=PERALTE!$S$12,-2,IF(RASANTE!F38&lt;=PERALTE!$U$12,(-6/(PERALTE!$U$12-PERALTE!$S$12)*(RASANTE!F38-PERALTE!$S$12)-2),IF(RASANTE!F38&lt;=PERALTE!$X$12,-8,IF(RASANTE!F38&lt;=PERALTE!$Z$12,(-6/(PERALTE!$X$12-PERALTE!$Z$12)*(RASANTE!F38-PERALTE!$Z$12)-2),IF(RASANTE!F38&lt;=PERALTE!$AB$12,-2))))),IF(AND(AH!$H$14="Derecha",RASANTE!F38&lt;=PERALTE!$AB$12),IF(RASANTE!F38&lt;=PERALTE!$Q$12,-2,IF(RASANTE!F38&lt;=PERALTE!$U$12,(10/(PERALTE!$U$12-PERALTE!$Q$12)*(RASANTE!F38-PERALTE!$Q$12)-2),IF(RASANTE!F38&lt;=PERALTE!$X$12,8,IF(RASANTE!F38&lt;=PERALTE!$AB$12,(10/(PERALTE!$X$12-PERALTE!$AB$12)*(RASANTE!F38-PERALTE!$AB$12)-2))))),IF(AND(AH!$H$16="Izquierda",RASANTE!F38&lt;=PERALTE!$AB$14),IF(RASANTE!F38&lt;=PERALTE!$S$14,-2,IF(RASANTE!F38&lt;=PERALTE!$U$14,(-6/(PERALTE!$U$14-PERALTE!$S$14)*(RASANTE!F38-PERALTE!$S$14)-2),IF(RASANTE!F38&lt;=PERALTE!$X$14,-8,IF(RASANTE!F38&lt;=PERALTE!$Z$14,(-6/(PERALTE!$X$14-PERALTE!$Z$14)*(RASANTE!F38-PERALTE!$Z$14)-2),IF(RASANTE!F38&lt;=PERALTE!$AB$14,-2))))),IF(AND(AH!$H$16="Derecha",RASANTE!F38&lt;=PERALTE!$AB$14),IF(RASANTE!F38&lt;=PERALTE!$Q$14,-2,IF(RASANTE!F38&lt;=PERALTE!$U$14,(10/(PERALTE!$U$14-PERALTE!$Q$14)*(RASANTE!F38-PERALTE!$Q$14)-2),IF(RASANTE!F38&lt;=PERALTE!$X$14,8,IF(RASANTE!F38&lt;=PERALTE!$AB$14,(10/(PERALTE!$X$14-PERALTE!$AB$14)*(RASANTE!F38-PERALTE!$AB$14)-2))))),IF(AND(AH!$H$18="Izquierda",RASANTE!F38&lt;=PERALTE!$AB$16),IF(RASANTE!F38&lt;=PERALTE!$S$16,-2,IF(RASANTE!F38&lt;=PERALTE!$U$16,(-6/(PERALTE!$U$16-PERALTE!$S$16)*(RASANTE!F38-PERALTE!$S$16)-2),IF(RASANTE!F38&lt;=PERALTE!$X$16,-8,IF(RASANTE!F38&lt;=PERALTE!$Z$16,(-6/(PERALTE!$X$16-PERALTE!$Z$16)*(RASANTE!F38-PERALTE!$Z$16)-2),IF(RASANTE!F38&lt;=PERALTE!$AB$16,-2))))),IF(AND(AH!$H$18="Derecha",RASANTE!F38&lt;=PERALTE!$AB$16),IF(RASANTE!F38&lt;=PERALTE!$Q$16,-2,IF(RASANTE!F38&lt;=PERALTE!$U$16,(10/(PERALTE!$U$16-PERALTE!$Q$16)*(RASANTE!F38-PERALTE!$Q$16)-2),IF(RASANTE!F38&lt;=PERALTE!$X$16,8,IF(RASANTE!F38&lt;=PERALTE!$AB$16,(10/(PERALTE!$X$16-PERALTE!$AB$16)*(RASANTE!F38-PERALTE!$AB$16)-2))))),IF(AND(AH!$H$20="Izquierda",RASANTE!F38&lt;=PERALTE!$AB$18),IF(RASANTE!F38&lt;=PERALTE!$S$18,-2,IF(RASANTE!F38&lt;=PERALTE!$U$18,(-6/(PERALTE!$U$18-PERALTE!$S$18)*(RASANTE!F38-PERALTE!$S$18)-2),IF(RASANTE!F38&lt;=PERALTE!$X$18,-8,IF(RASANTE!F38&lt;=PERALTE!$Z$18,(-6/(PERALTE!$X$18-PERALTE!$Z$18)*(RASANTE!F38-PERALTE!$Z$18)-2),IF(RASANTE!F38&lt;=PERALTE!$AB$18,-2))))),IF(AND(AH!$H$20="Derecha",RASANTE!F38&lt;=PERALTE!$AB$18),IF(RASANTE!F38&lt;=PERALTE!$Q$18,-2,IF(RASANTE!F38&lt;=PERALTE!$U$18,(10/(PERALTE!$U$18-PERALTE!$Q$18)*(RASANTE!F38-PERALTE!$Q$18)-2),IF(RASANTE!F38&lt;=PERALTE!$X$18,8,IF(RASANTE!F38&lt;=PERALTE!$AB$18,(10/(PERALTE!$X$18-PERALTE!$AB$18)*(RASANTE!F38-PERALTE!$AB$18)-2))))),IF(AND(AH!$H$24="Izquierda",RASANTE!F38&lt;=PERALTE!$AB$22),IF(RASANTE!F38&lt;=PERALTE!$S$22,-2,IF(RASANTE!F38&lt;=PERALTE!$U$22,(-6/(PERALTE!$U$22-PERALTE!$S$22)*(RASANTE!F38-PERALTE!$S$22)-2),IF(RASANTE!F38&lt;=PERALTE!$X$22,-8,IF(RASANTE!F38&lt;=PERALTE!$Z$22,(-6/(PERALTE!$X$22-PERALTE!$Z$22)*(RASANTE!F38-PERALTE!$Z$22)-2),IF(RASANTE!F38&lt;=PERALTE!$AB$22,-2))))),IF(AND(AH!$H$24="Derecha",RASANTE!F38&lt;=PERALTE!$AB$22),IF(RASANTE!F38&lt;=PERALTE!$Q$22,-2,IF(RASANTE!F38&lt;=PERALTE!$U$22,(10/(PERALTE!$U$22-PERALTE!$Q$22)*(RASANTE!F38-PERALTE!$Q$22)-2),IF(RASANTE!F38&lt;=PERALTE!$X$22,8,IF(RASANTE!F38&lt;=PERALTE!$AB$22,(10/(PERALTE!$X$22-PERALTE!$AB$22)*(RASANTE!F38-PERALTE!$AB$22)-2))))),IF(AND(AH!#REF!="Izquierda",RASANTE!F38&lt;=PERALTE!#REF!),IF(RASANTE!F38&lt;=PERALTE!#REF!,-2,IF(RASANTE!F38&lt;=PERALTE!#REF!,(-6/(PERALTE!#REF!-PERALTE!#REF!)*(RASANTE!F38-PERALTE!#REF!)-2),IF(RASANTE!F38&lt;=PERALTE!#REF!,-8,IF(RASANTE!F38&lt;=PERALTE!#REF!,(-6/(PERALTE!#REF!-PERALTE!#REF!)*(RASANTE!F38-PERALTE!#REF!)-2),IF(RASANTE!F38&lt;=PERALTE!#REF!,-2))))),IF(AND(AH!#REF!="Derecha",RASANTE!F38&lt;=PERALTE!#REF!),IF(RASANTE!F38&lt;=PERALTE!#REF!,-2,IF(RASANTE!F38&lt;=PERALTE!#REF!,(10/(PERALTE!#REF!-PERALTE!#REF!)*(RASANTE!F38-PERALTE!#REF!)-2),IF(RASANTE!F38&lt;=PERALTE!#REF!,8,IF(RASANTE!F38&lt;=PERALTE!#REF!,(10/(PERALTE!#REF!-PERALTE!#REF!)*(RASANTE!F38-PERALTE!#REF!)-2))))),IF(AND(AH!#REF!="Izquierda",RASANTE!F38&lt;=PERALTE!$AB$26),IF(RASANTE!F38&lt;=PERALTE!$S$26,-2,IF(RASANTE!F38&lt;=PERALTE!$U$26,(-6/(PERALTE!$U$26-PERALTE!$S$26)*(RASANTE!F38-PERALTE!$S$26)-2),IF(RASANTE!F38&lt;=PERALTE!$X$26,-8,IF(RASANTE!F38&lt;=PERALTE!$Z$26,(-6/(PERALTE!$X$26-PERALTE!$Z$26)*(RASANTE!F38-PERALTE!$Z$26)-2),IF(RASANTE!F38&lt;=PERALTE!$AB$26,-2))))),IF(AND(AH!#REF!="Derecha",RASANTE!F38&lt;=PERALTE!$AB$26),IF(RASANTE!F38&lt;=PERALTE!$Q$26,-2,IF(RASANTE!F38&lt;=PERALTE!$U$26,(10/(PERALTE!$U$26-PERALTE!$Q$26)*(RASANTE!F38-PERALTE!$Q$26)-2),IF(RASANTE!F38&lt;=PERALTE!$X$26,8,IF(RASANTE!F38&lt;=PERALTE!$AB$26,(10/(PERALTE!$X$26-PERALTE!$AB$26)*(RASANTE!F38-PERALTE!$AB$26)-2))))),IF(F38&lt;=PERALTE!#REF!,-2,"Abscisa fuera de la vía")))))))))))))))))))))</f>
        <v>-2.0571264080702374</v>
      </c>
      <c r="I38" s="28">
        <f>+IF(AND(AH!$H$8="Derecha",RASANTE!F38&lt;=PERALTE!$AB$6),IF(RASANTE!F38&lt;=PERALTE!$S$6,-2,IF(RASANTE!F38&lt;=PERALTE!$U$6,(-6/(PERALTE!$U$6-PERALTE!$S$6)*(RASANTE!F38-PERALTE!$S$6)-2),IF(RASANTE!F38&lt;=PERALTE!$X$6,-8,IF(RASANTE!F38&lt;=PERALTE!$Z$6,(-6/(PERALTE!$X$6-PERALTE!$Z$6)*(RASANTE!F38-PERALTE!$Z$6)-2),IF(RASANTE!F38&lt;=PERALTE!$AB$6,-2))))),IF(AND(AH!$H$8="Izquierda",RASANTE!F38&lt;=PERALTE!$AB$6),IF(RASANTE!F38&lt;=PERALTE!$Q$6,-2,IF(RASANTE!F38&lt;=PERALTE!$U$6,(10/(PERALTE!$U$6-PERALTE!$Q$6)*(RASANTE!F38-PERALTE!$Q$6)-2),IF(RASANTE!F38&lt;=PERALTE!$X$6,8,IF(RASANTE!F38&lt;=PERALTE!$AB$6,(10/(PERALTE!$X$6-PERALTE!$AB$6)*(RASANTE!F38-PERALTE!$AB$6)-2))))),IF(AND(AH!$H$10="Derecha",RASANTE!F38&lt;=PERALTE!$AB$8),IF(RASANTE!F38&lt;=PERALTE!$S$8,-2,IF(RASANTE!F38&lt;=PERALTE!$U$8,(-6/(PERALTE!$U$8-PERALTE!$S$8)*(RASANTE!F38-PERALTE!$S$8)-2),IF(RASANTE!F38&lt;=PERALTE!$X$8,-8,IF(RASANTE!F38&lt;=PERALTE!$Z$8,(-6/(PERALTE!$X$8-PERALTE!$Z$8)*(RASANTE!F38-PERALTE!$Z$8)-2),IF(RASANTE!F38&lt;=PERALTE!$AB$8,-2))))),IF(AND(AH!$H$10="Izquierda",RASANTE!F38&lt;=PERALTE!$AB$8),IF(RASANTE!F38&lt;=PERALTE!$Q$8,-2,IF(RASANTE!F38&lt;=PERALTE!$U$8,(10/(PERALTE!$U$8-PERALTE!$Q$8)*(RASANTE!F38-PERALTE!$Q$8)-2),IF(RASANTE!F38&lt;=PERALTE!$X$8,8,IF(RASANTE!F38&lt;=PERALTE!$AB$8,(10/(PERALTE!$X$8-PERALTE!$AB$8)*(RASANTE!F38-PERALTE!$AB$8)-2))))),IF(AND(AH!$H$12="Derecha",RASANTE!F38&lt;=PERALTE!$AB$10),IF(RASANTE!F38&lt;=PERALTE!$S$10,-2,IF(RASANTE!F38&lt;=PERALTE!$U$10,(-6/(PERALTE!$U$10-PERALTE!$S$10)*(RASANTE!F38-PERALTE!$S$10)-2),IF(RASANTE!F38&lt;=PERALTE!$X$10,-8,IF(RASANTE!F38&lt;=PERALTE!$Z$10,(-6/(PERALTE!$X$10-PERALTE!$Z$10)*(RASANTE!F38-PERALTE!$Z$10)-2),IF(RASANTE!F38&lt;=PERALTE!$AB$10,-2))))),IF(AND(AH!$H$12="Izquierda",RASANTE!F38&lt;=PERALTE!$AB$10),IF(RASANTE!F38&lt;=PERALTE!$Q$10,-2,IF(RASANTE!F38&lt;=PERALTE!$U$10,(10/(PERALTE!$U$10-PERALTE!$Q$10)*(RASANTE!F38-PERALTE!$Q$10)-2),IF(RASANTE!F38&lt;=PERALTE!$X$10,8,IF(RASANTE!F38&lt;=PERALTE!$AB$10,(10/(PERALTE!$X$10-PERALTE!$AB$10)*(RASANTE!F38-PERALTE!$AB$10)-2))))),IF(AND(AH!$H$14="Derecha",RASANTE!F38&lt;=PERALTE!$AB$12),IF(RASANTE!F38&lt;=PERALTE!$S$12,-2,IF(RASANTE!F38&lt;=PERALTE!$U$12,(-6/(PERALTE!$U$12-PERALTE!$S$12)*(RASANTE!F38-PERALTE!$S$12)-2),IF(RASANTE!F38&lt;=PERALTE!$X$12,-8,IF(RASANTE!F38&lt;=PERALTE!$Z$12,(-6/(PERALTE!$X$12-PERALTE!$Z$12)*(RASANTE!F38-PERALTE!$Z$12)-2),IF(RASANTE!F38&lt;=PERALTE!$AB$12,-2))))),IF(AND(AH!$H$14="Izquierda",RASANTE!F38&lt;=PERALTE!$AB$12),IF(RASANTE!F38&lt;=PERALTE!$Q$12,-2,IF(RASANTE!F38&lt;=PERALTE!$U$12,(10/(PERALTE!$U$12-PERALTE!$Q$12)*(RASANTE!F38-PERALTE!$Q$12)-2),IF(RASANTE!F38&lt;=PERALTE!$X$12,8,IF(RASANTE!F38&lt;=PERALTE!$AB$12,(10/(PERALTE!$X$12-PERALTE!$AB$12)*(RASANTE!F38-PERALTE!$AB$12)-2))))),IF(AND(AH!$H$16="Derecha",RASANTE!F38&lt;=PERALTE!$AB$14),IF(RASANTE!F38&lt;=PERALTE!$S$14,-2,IF(RASANTE!F38&lt;=PERALTE!$U$14,(-6/(PERALTE!$U$14-PERALTE!$S$14)*(RASANTE!F38-PERALTE!$S$14)-2),IF(RASANTE!F38&lt;=PERALTE!$X$14,-8,IF(RASANTE!F38&lt;=PERALTE!$Z$14,(-6/(PERALTE!$X$14-PERALTE!$Z$14)*(RASANTE!F38-PERALTE!$Z$14)-2),IF(RASANTE!F38&lt;=PERALTE!$AB$14,-2))))),IF(AND(AH!$H$16="Izquierda",RASANTE!F38&lt;=PERALTE!$AB$14),IF(RASANTE!F38&lt;=PERALTE!$Q$14,-2,IF(RASANTE!F38&lt;=PERALTE!$U$14,(10/(PERALTE!$U$14-PERALTE!$Q$14)*(RASANTE!F38-PERALTE!$Q$14)-2),IF(RASANTE!F38&lt;=PERALTE!$X$14,8,IF(RASANTE!F38&lt;=PERALTE!$AB$14,(10/(PERALTE!$X$14-PERALTE!$AB$14)*(RASANTE!F38-PERALTE!$AB$14)-2))))),IF(AND(AH!$H$18="Derecha",RASANTE!F38&lt;=PERALTE!$AB$16),IF(RASANTE!F38&lt;=PERALTE!$S$16,-2,IF(RASANTE!F38&lt;=PERALTE!$U$16,(-6/(PERALTE!$U$16-PERALTE!$S$16)*(RASANTE!F38-PERALTE!$S$16)-2),IF(RASANTE!F38&lt;=PERALTE!$X$16,-8,IF(RASANTE!F38&lt;=PERALTE!$Z$16,(-6/(PERALTE!$X$16-PERALTE!$Z$16)*(RASANTE!F38-PERALTE!$Z$16)-2),IF(RASANTE!F38&lt;=PERALTE!$AB$16,-2))))),IF(AND(AH!$H$18="Izquierda",RASANTE!F38&lt;=PERALTE!$AB$16),IF(RASANTE!F38&lt;=PERALTE!$Q$16,-2,IF(RASANTE!F38&lt;=PERALTE!$U$16,(10/(PERALTE!$U$16-PERALTE!$Q$16)*(RASANTE!F38-PERALTE!$Q$16)-2),IF(RASANTE!F38&lt;=PERALTE!$X$16,8,IF(RASANTE!F38&lt;=PERALTE!$AB$16,(10/(PERALTE!$X$16-PERALTE!$AB$16)*(RASANTE!F38-PERALTE!$AB$16)-2))))),IF(AND(AH!$H$20="Derecha",RASANTE!F38&lt;=PERALTE!$AB$18),IF(RASANTE!F38&lt;=PERALTE!$S$18,-2,IF(RASANTE!F38&lt;=PERALTE!$U$18,(-6/(PERALTE!$U$18-PERALTE!$S$18)*(RASANTE!F38-PERALTE!$S$18)-2),IF(RASANTE!F38&lt;=PERALTE!$X$18,-8,IF(RASANTE!F38&lt;=PERALTE!$Z$18,(-6/(PERALTE!$X$18-PERALTE!$Z$18)*(RASANTE!F38-PERALTE!$Z$18)-2),IF(RASANTE!F38&lt;=PERALTE!$AB$18,-2))))),IF(AND(AH!$H$20="Izquierda",RASANTE!F38&lt;=PERALTE!$AB$18),IF(RASANTE!F38&lt;=PERALTE!$Q$18,-2,IF(RASANTE!F38&lt;=PERALTE!$U$18,(10/(PERALTE!$U$18-PERALTE!$Q$18)*(RASANTE!F38-PERALTE!$Q$18)-2),IF(RASANTE!F38&lt;=PERALTE!$X$18,8,IF(RASANTE!F38&lt;=PERALTE!$AB$18,(10/(PERALTE!$X$18-PERALTE!$AB$18)*(RASANTE!F38-PERALTE!$AB$18)-2))))),IF(AND(AH!$H$24="Derecha",RASANTE!F38&lt;=PERALTE!$AB$22),IF(RASANTE!F38&lt;=PERALTE!$S$22,-2,IF(RASANTE!F38&lt;=PERALTE!$U$22,(-6/(PERALTE!$U$22-PERALTE!$S$22)*(RASANTE!F38-PERALTE!$S$22)-2),IF(RASANTE!F38&lt;=PERALTE!$X$22,-8,IF(RASANTE!F38&lt;=PERALTE!$Z$22,(-6/(PERALTE!$X$22-PERALTE!$Z$22)*(RASANTE!F38-PERALTE!$Z$22)-2),IF(RASANTE!F38&lt;=PERALTE!$AB$22,-2))))),IF(AND(AH!$H$24="Izquierda",RASANTE!F38&lt;=PERALTE!$AB$22),IF(RASANTE!F38&lt;=PERALTE!$Q$22,-2,IF(RASANTE!F38&lt;=PERALTE!$U$22,(10/(PERALTE!$U$22-PERALTE!$Q$22)*(RASANTE!F38-PERALTE!$Q$22)-2),IF(RASANTE!F38&lt;=PERALTE!$X$22,8,IF(RASANTE!F38&lt;=PERALTE!$AB$22,(10/(PERALTE!$X$22-PERALTE!$AB$22)*(RASANTE!F38-PERALTE!$AB$22)-2))))),IF(AND(AH!#REF!="Derecha",RASANTE!F38&lt;=PERALTE!#REF!),IF(RASANTE!F38&lt;=PERALTE!#REF!,-2,IF(RASANTE!F38&lt;=PERALTE!#REF!,(-6/(PERALTE!#REF!-PERALTE!#REF!)*(RASANTE!F38-PERALTE!#REF!)-2),IF(RASANTE!F38&lt;=PERALTE!#REF!,-8,IF(RASANTE!F38&lt;=PERALTE!#REF!,(-6/(PERALTE!#REF!-PERALTE!#REF!)*(RASANTE!F38-PERALTE!#REF!)-2),IF(RASANTE!F38&lt;=PERALTE!#REF!,-2))))),IF(AND(AH!#REF!="Izquierda",RASANTE!F38&lt;=PERALTE!#REF!),IF(RASANTE!F38&lt;=PERALTE!#REF!,-2,IF(RASANTE!F38&lt;=PERALTE!#REF!,(10/(PERALTE!#REF!-PERALTE!#REF!)*(RASANTE!F38-PERALTE!#REF!)-2),IF(RASANTE!F38&lt;=PERALTE!#REF!,8,IF(RASANTE!F38&lt;=PERALTE!#REF!,(10/(PERALTE!#REF!-PERALTE!#REF!)*(RASANTE!F38-PERALTE!#REF!)-2))))),IF(AND(AH!#REF!="Derecha",RASANTE!F38&lt;=PERALTE!$AB$26),IF(RASANTE!F38&lt;=PERALTE!$S$26,-2,IF(RASANTE!F38&lt;=PERALTE!$U$26,(-6/(PERALTE!$U$26-PERALTE!$S$26)*(RASANTE!F38-PERALTE!$S$26)-2),IF(RASANTE!F38&lt;=PERALTE!$X$26,-8,IF(RASANTE!F38&lt;=PERALTE!$Z$26,(-6/(PERALTE!$X$26-PERALTE!$Z$26)*(RASANTE!F38-PERALTE!$Z$26)-2),IF(RASANTE!F38&lt;=PERALTE!$AB$26,-2))))),IF(AND(AH!#REF!="Izquierda",RASANTE!F38&lt;=PERALTE!$AB$26),IF(RASANTE!F38&lt;=PERALTE!$Q$26,-2,IF(RASANTE!F38&lt;=PERALTE!$U$26,(10/(PERALTE!$U$26-PERALTE!$Q$26)*(RASANTE!F38-PERALTE!$Q$26)-2),IF(RASANTE!F38&lt;=PERALTE!$X$26,8,IF(RASANTE!F38&lt;=PERALTE!$AB$26,(10/(PERALTE!$X$26-PERALTE!$AB$26)*(RASANTE!F38-PERALTE!$AB$26)-2))))),IF(F38&lt;=PERALTE!#REF!,-2,"Abscisa fuera de la vía")))))))))))))))))))))</f>
        <v>2.0571264080702338</v>
      </c>
      <c r="J38" s="28">
        <f t="shared" si="1"/>
        <v>1651.5558501800001</v>
      </c>
      <c r="K38" s="356">
        <f>+IF(AND(AV!$S$6&lt;F194,F194&lt;=AV!$T$6),AV!$P$6*((AV!$S$6-RASANTE!F194)/(AV!$N$6))^2,IF(AND(AV!$T$6&lt;RASANTE!F194,F194&lt;AV!$U$6),AV!$P$6*((AV!$U$6-RASANTE!F194)/(AV!$O$6))^2,IF(AND(AV!$S$8&lt;F194,F194&lt;=AV!$T$8),AV!$P$8*((AV!$S$8-RASANTE!F194)/(AV!$N$8))^2,IF(AND(AV!$T$8&lt;RASANTE!F194,F194&lt;AV!$U$8),AV!$P$8*((AV!$U$8-RASANTE!F194)/(AV!$O$8))^2,IF(AND(AV!$S$10&lt;F194,F194&lt;=AV!$T$10),AV!$P$10*((AV!$S$10-RASANTE!F194)/(AV!$N$10))^2,IF(AND(AV!$T$10&lt;RASANTE!F194,F194&lt;AV!$U$10),AV!$P$10*((AV!$U$10-RASANTE!F194)/(AV!$O$10))^2,IF(AND(AV!$S$12&lt;F194,F194&lt;=AV!$T$12),AV!$P$12*((AV!$S$12-RASANTE!F194)/(AV!$N$12))^2,IF(AND(AV!$T$12&lt;RASANTE!F194,F194&lt;AV!$U$12),AV!$P$12*((AV!$U$12-RASANTE!F194)/(AV!$O$12))^2,IF(AND(AV!$S$14&lt;F194,F194&lt;=AV!$T$14),AV!$P$14*((AV!$S$14-RASANTE!F194)/(AV!$N$14))^2,IF(AND(AV!$T$14&lt;RASANTE!F194,F194&lt;AV!$U$14),AV!$P$14*((AV!$U$14-RASANTE!F194)/(AV!$O$14))^2,IF(AND(AV!$S$16&lt;F194,F194&lt;=AV!$T$16),AV!$P$16*((AV!$S$16-RASANTE!F194)/(AV!$N$16))^2,IF(AND(AV!$T$16&lt;RASANTE!F194,F194&lt;AV!$U$16),AV!$P$16*((AV!$U$16-RASANTE!F194)/(AV!$O$16))^2,IF(AND(AV!$S$18&lt;F194,F194&lt;=AV!$T$18),AV!$P$18*((AV!$S$18-RASANTE!F194)/(AV!$N$18))^2,IF(AND(AV!$T$18&lt;RASANTE!F194,F194&lt;AV!$U$18),AV!$P$18*((AV!$U$18-RASANTE!F194)/(AV!$O$18))^2,IF(AND(AV!$S$20&lt;F194,F194&lt;=AV!$T$20),AV!$P$20*((AV!$S$20-RASANTE!F194)/(AV!$N$20))^2,IF(AND(AV!$T$20&lt;RASANTE!F194,F194&lt;AV!$U$20),AV!$P$20*((AV!$U$20-RASANTE!F194)/(AV!$O$20))^2,IF(AND(AV!$S$22&lt;F194,F194&lt;=AV!$T$22),AV!$P$22*((AV!$S$22-RASANTE!F194)/(AV!$N$22))^2,IF(AND(AV!$T$22&lt;RASANTE!F194,F194&lt;AV!$U$22),AV!$P$22*((AV!$U$22-RASANTE!F194)/(AV!$O$22))^2,IF(AND(AV!$S$24&lt;F194,F194&lt;=AV!$T$24),AV!$P$24*((AV!$S$24-RASANTE!F194)/(AV!$N$24))^2,IF(AND(AV!$T$24&lt;RASANTE!F194,F194&lt;AV!$U$24),AV!$P$24*((AV!$U$24-RASANTE!F194)/(AV!$O$24))^2,0))))))))))))))))))))</f>
        <v>0</v>
      </c>
      <c r="L38" s="28">
        <f>+M38+H38%*PERALTE!$C$32</f>
        <v>1651.4838507557176</v>
      </c>
      <c r="M38" s="28">
        <f t="shared" si="0"/>
        <v>1651.5558501800001</v>
      </c>
      <c r="N38" s="28">
        <f>+M38+I38%*PERALTE!$C$32</f>
        <v>1651.6278496042826</v>
      </c>
      <c r="O38" s="92"/>
      <c r="P38" s="84"/>
      <c r="Q38" s="84"/>
      <c r="R38" s="84"/>
      <c r="S38" s="84"/>
      <c r="T38" s="84"/>
      <c r="U38" s="84"/>
      <c r="V38" s="84"/>
      <c r="W38" s="84"/>
      <c r="X38" s="84"/>
      <c r="Y38" s="84"/>
    </row>
    <row r="39" spans="1:25" ht="15.75" customHeight="1" x14ac:dyDescent="0.2">
      <c r="A39" s="90" t="s">
        <v>315</v>
      </c>
      <c r="B39" s="86"/>
      <c r="C39" s="86"/>
      <c r="D39" s="86"/>
      <c r="E39" s="132">
        <f>AV!M6</f>
        <v>95</v>
      </c>
      <c r="F39" s="34">
        <f>PERALTE!Z6</f>
        <v>240.68727336275606</v>
      </c>
      <c r="G39" s="88">
        <f>IF(F39&lt;=AV!$T$6,AV!$C$5,IF(RASANTE!F39&lt;=AV!$T$8,AV!$C$7,IF(RASANTE!F39&lt;=AV!$T$10,AV!$C$9,IF(RASANTE!F39&lt;=AV!$T$12,AV!#REF!,IF(RASANTE!F39&lt;=AV!$T$14,AV!$C$11,IF(RASANTE!F39&lt;=AV!$T$16,AV!$C$13, IF(RASANTE!F39&lt;=AV!$T$18,AV!$C$15,IF(RASANTE!F39&lt;=AV!$T$20,AV!$C$19,IF(RASANTE!F39&lt;=AV!$T$22,AV!$C$21,IF(RASANTE!F39&lt;=AV!$T$24,AV!$C$23,AV!$C$25))))))))))</f>
        <v>3.1419999999999999</v>
      </c>
      <c r="H39" s="28">
        <f>+IF(AND(AH!$H$8="Izquierda",RASANTE!F39&lt;=PERALTE!$AB$6),IF(RASANTE!F39&lt;=PERALTE!$S$6,-2,IF(RASANTE!F39&lt;=PERALTE!$U$6,(-6/(PERALTE!$U$6-PERALTE!$S$6)*(RASANTE!F39-PERALTE!$S$6)-2),IF(RASANTE!F39&lt;=PERALTE!$X$6,-8,IF(RASANTE!F39&lt;=PERALTE!$Z$6,(-6/(PERALTE!$X$6-PERALTE!$Z$6)*(RASANTE!F39-PERALTE!$Z$6)-2),IF(RASANTE!F39&lt;=PERALTE!$AB$6,-2))))),IF(AND(AH!$H$8="Derecha",RASANTE!F39&lt;=PERALTE!$AB$6),IF(RASANTE!F39&lt;=PERALTE!$Q$6,-2,IF(RASANTE!F39&lt;=PERALTE!$U$6,(10/(PERALTE!$U$6-PERALTE!$Q$6)*(RASANTE!F39-PERALTE!$Q$6)-2),IF(RASANTE!F39&lt;=PERALTE!$X$6,8,IF(RASANTE!F39&lt;=PERALTE!$AB$6,(10/(PERALTE!$X$6-PERALTE!$AB$6)*(RASANTE!F39-PERALTE!$AB$6)-2))))),IF(AND(AH!$H$10="Izquierda",RASANTE!F39&lt;=PERALTE!$AB$8),IF(RASANTE!F39&lt;=PERALTE!$S$8,-2,IF(RASANTE!F39&lt;=PERALTE!$U$8,(-6/(PERALTE!$U$8-PERALTE!$S$8)*(RASANTE!F39-PERALTE!$S$8)-2),IF(RASANTE!F39&lt;=PERALTE!$X$8,-8,IF(RASANTE!F39&lt;=PERALTE!$Z$8,(-6/(PERALTE!$X$8-PERALTE!$Z$8)*(RASANTE!F39-PERALTE!$Z$8)-2),IF(RASANTE!F39&lt;=PERALTE!$AB$8,-2))))),IF(AND(AH!$H$10="Derecha",RASANTE!F39&lt;=PERALTE!$AB$8),IF(RASANTE!F39&lt;=PERALTE!$Q$8,-2,IF(RASANTE!F39&lt;=PERALTE!$U$8,(10/(PERALTE!$U$8-PERALTE!$Q$8)*(RASANTE!F39-PERALTE!$Q$8)-2),IF(RASANTE!F39&lt;=PERALTE!$X$8,8,IF(RASANTE!F39&lt;=PERALTE!$AB$8,(10/(PERALTE!$X$8-PERALTE!$AB$8)*(RASANTE!F39-PERALTE!$AB$8)-2))))),IF(AND(AH!$H$12="Izquierda",RASANTE!F39&lt;=PERALTE!$AB$10),IF(RASANTE!F39&lt;=PERALTE!$S$10,-2,IF(RASANTE!F39&lt;=PERALTE!$U$10,(-6/(PERALTE!$U$10-PERALTE!$S$10)*(RASANTE!F39-PERALTE!$S$10)-2),IF(RASANTE!F39&lt;=PERALTE!$X$10,-8,IF(RASANTE!F39&lt;=PERALTE!$Z$10,(-6/(PERALTE!$X$10-PERALTE!$Z$10)*(RASANTE!F39-PERALTE!$Z$10)-2),IF(RASANTE!F39&lt;=PERALTE!$AB$10,-2))))),IF(AND(AH!$H$12="Derecha",RASANTE!F39&lt;=PERALTE!$AB$10),IF(RASANTE!F39&lt;=PERALTE!$Q$10,-2,IF(RASANTE!F39&lt;=PERALTE!$U$10,(10/(PERALTE!$U$10-PERALTE!$Q$10)*(RASANTE!F39-PERALTE!$Q$10)-2),IF(RASANTE!F39&lt;=PERALTE!$X$10,8,IF(RASANTE!F39&lt;=PERALTE!$AB$10,(10/(PERALTE!$X$10-PERALTE!$AB$10)*(RASANTE!F39-PERALTE!$AB$10)-2))))),IF(AND(AH!$H$14="Izquierda",RASANTE!F39&lt;=PERALTE!$AB$12),IF(RASANTE!F39&lt;=PERALTE!$S$12,-2,IF(RASANTE!F39&lt;=PERALTE!$U$12,(-6/(PERALTE!$U$12-PERALTE!$S$12)*(RASANTE!F39-PERALTE!$S$12)-2),IF(RASANTE!F39&lt;=PERALTE!$X$12,-8,IF(RASANTE!F39&lt;=PERALTE!$Z$12,(-6/(PERALTE!$X$12-PERALTE!$Z$12)*(RASANTE!F39-PERALTE!$Z$12)-2),IF(RASANTE!F39&lt;=PERALTE!$AB$12,-2))))),IF(AND(AH!$H$14="Derecha",RASANTE!F39&lt;=PERALTE!$AB$12),IF(RASANTE!F39&lt;=PERALTE!$Q$12,-2,IF(RASANTE!F39&lt;=PERALTE!$U$12,(10/(PERALTE!$U$12-PERALTE!$Q$12)*(RASANTE!F39-PERALTE!$Q$12)-2),IF(RASANTE!F39&lt;=PERALTE!$X$12,8,IF(RASANTE!F39&lt;=PERALTE!$AB$12,(10/(PERALTE!$X$12-PERALTE!$AB$12)*(RASANTE!F39-PERALTE!$AB$12)-2))))),IF(AND(AH!$H$16="Izquierda",RASANTE!F39&lt;=PERALTE!$AB$14),IF(RASANTE!F39&lt;=PERALTE!$S$14,-2,IF(RASANTE!F39&lt;=PERALTE!$U$14,(-6/(PERALTE!$U$14-PERALTE!$S$14)*(RASANTE!F39-PERALTE!$S$14)-2),IF(RASANTE!F39&lt;=PERALTE!$X$14,-8,IF(RASANTE!F39&lt;=PERALTE!$Z$14,(-6/(PERALTE!$X$14-PERALTE!$Z$14)*(RASANTE!F39-PERALTE!$Z$14)-2),IF(RASANTE!F39&lt;=PERALTE!$AB$14,-2))))),IF(AND(AH!$H$16="Derecha",RASANTE!F39&lt;=PERALTE!$AB$14),IF(RASANTE!F39&lt;=PERALTE!$Q$14,-2,IF(RASANTE!F39&lt;=PERALTE!$U$14,(10/(PERALTE!$U$14-PERALTE!$Q$14)*(RASANTE!F39-PERALTE!$Q$14)-2),IF(RASANTE!F39&lt;=PERALTE!$X$14,8,IF(RASANTE!F39&lt;=PERALTE!$AB$14,(10/(PERALTE!$X$14-PERALTE!$AB$14)*(RASANTE!F39-PERALTE!$AB$14)-2))))),IF(AND(AH!$H$18="Izquierda",RASANTE!F39&lt;=PERALTE!$AB$16),IF(RASANTE!F39&lt;=PERALTE!$S$16,-2,IF(RASANTE!F39&lt;=PERALTE!$U$16,(-6/(PERALTE!$U$16-PERALTE!$S$16)*(RASANTE!F39-PERALTE!$S$16)-2),IF(RASANTE!F39&lt;=PERALTE!$X$16,-8,IF(RASANTE!F39&lt;=PERALTE!$Z$16,(-6/(PERALTE!$X$16-PERALTE!$Z$16)*(RASANTE!F39-PERALTE!$Z$16)-2),IF(RASANTE!F39&lt;=PERALTE!$AB$16,-2))))),IF(AND(AH!$H$18="Derecha",RASANTE!F39&lt;=PERALTE!$AB$16),IF(RASANTE!F39&lt;=PERALTE!$Q$16,-2,IF(RASANTE!F39&lt;=PERALTE!$U$16,(10/(PERALTE!$U$16-PERALTE!$Q$16)*(RASANTE!F39-PERALTE!$Q$16)-2),IF(RASANTE!F39&lt;=PERALTE!$X$16,8,IF(RASANTE!F39&lt;=PERALTE!$AB$16,(10/(PERALTE!$X$16-PERALTE!$AB$16)*(RASANTE!F39-PERALTE!$AB$16)-2))))),IF(AND(AH!$H$20="Izquierda",RASANTE!F39&lt;=PERALTE!$AB$18),IF(RASANTE!F39&lt;=PERALTE!$S$18,-2,IF(RASANTE!F39&lt;=PERALTE!$U$18,(-6/(PERALTE!$U$18-PERALTE!$S$18)*(RASANTE!F39-PERALTE!$S$18)-2),IF(RASANTE!F39&lt;=PERALTE!$X$18,-8,IF(RASANTE!F39&lt;=PERALTE!$Z$18,(-6/(PERALTE!$X$18-PERALTE!$Z$18)*(RASANTE!F39-PERALTE!$Z$18)-2),IF(RASANTE!F39&lt;=PERALTE!$AB$18,-2))))),IF(AND(AH!$H$20="Derecha",RASANTE!F39&lt;=PERALTE!$AB$18),IF(RASANTE!F39&lt;=PERALTE!$Q$18,-2,IF(RASANTE!F39&lt;=PERALTE!$U$18,(10/(PERALTE!$U$18-PERALTE!$Q$18)*(RASANTE!F39-PERALTE!$Q$18)-2),IF(RASANTE!F39&lt;=PERALTE!$X$18,8,IF(RASANTE!F39&lt;=PERALTE!$AB$18,(10/(PERALTE!$X$18-PERALTE!$AB$18)*(RASANTE!F39-PERALTE!$AB$18)-2))))),IF(AND(AH!$H$24="Izquierda",RASANTE!F39&lt;=PERALTE!$AB$22),IF(RASANTE!F39&lt;=PERALTE!$S$22,-2,IF(RASANTE!F39&lt;=PERALTE!$U$22,(-6/(PERALTE!$U$22-PERALTE!$S$22)*(RASANTE!F39-PERALTE!$S$22)-2),IF(RASANTE!F39&lt;=PERALTE!$X$22,-8,IF(RASANTE!F39&lt;=PERALTE!$Z$22,(-6/(PERALTE!$X$22-PERALTE!$Z$22)*(RASANTE!F39-PERALTE!$Z$22)-2),IF(RASANTE!F39&lt;=PERALTE!$AB$22,-2))))),IF(AND(AH!$H$24="Derecha",RASANTE!F39&lt;=PERALTE!$AB$22),IF(RASANTE!F39&lt;=PERALTE!$Q$22,-2,IF(RASANTE!F39&lt;=PERALTE!$U$22,(10/(PERALTE!$U$22-PERALTE!$Q$22)*(RASANTE!F39-PERALTE!$Q$22)-2),IF(RASANTE!F39&lt;=PERALTE!$X$22,8,IF(RASANTE!F39&lt;=PERALTE!$AB$22,(10/(PERALTE!$X$22-PERALTE!$AB$22)*(RASANTE!F39-PERALTE!$AB$22)-2))))),IF(AND(AH!#REF!="Izquierda",RASANTE!F39&lt;=PERALTE!#REF!),IF(RASANTE!F39&lt;=PERALTE!#REF!,-2,IF(RASANTE!F39&lt;=PERALTE!#REF!,(-6/(PERALTE!#REF!-PERALTE!#REF!)*(RASANTE!F39-PERALTE!#REF!)-2),IF(RASANTE!F39&lt;=PERALTE!#REF!,-8,IF(RASANTE!F39&lt;=PERALTE!#REF!,(-6/(PERALTE!#REF!-PERALTE!#REF!)*(RASANTE!F39-PERALTE!#REF!)-2),IF(RASANTE!F39&lt;=PERALTE!#REF!,-2))))),IF(AND(AH!#REF!="Derecha",RASANTE!F39&lt;=PERALTE!#REF!),IF(RASANTE!F39&lt;=PERALTE!#REF!,-2,IF(RASANTE!F39&lt;=PERALTE!#REF!,(10/(PERALTE!#REF!-PERALTE!#REF!)*(RASANTE!F39-PERALTE!#REF!)-2),IF(RASANTE!F39&lt;=PERALTE!#REF!,8,IF(RASANTE!F39&lt;=PERALTE!#REF!,(10/(PERALTE!#REF!-PERALTE!#REF!)*(RASANTE!F39-PERALTE!#REF!)-2))))),IF(AND(AH!#REF!="Izquierda",RASANTE!F39&lt;=PERALTE!$AB$26),IF(RASANTE!F39&lt;=PERALTE!$S$26,-2,IF(RASANTE!F39&lt;=PERALTE!$U$26,(-6/(PERALTE!$U$26-PERALTE!$S$26)*(RASANTE!F39-PERALTE!$S$26)-2),IF(RASANTE!F39&lt;=PERALTE!$X$26,-8,IF(RASANTE!F39&lt;=PERALTE!$Z$26,(-6/(PERALTE!$X$26-PERALTE!$Z$26)*(RASANTE!F39-PERALTE!$Z$26)-2),IF(RASANTE!F39&lt;=PERALTE!$AB$26,-2))))),IF(AND(AH!#REF!="Derecha",RASANTE!F39&lt;=PERALTE!$AB$26),IF(RASANTE!F39&lt;=PERALTE!$Q$26,-2,IF(RASANTE!F39&lt;=PERALTE!$U$26,(10/(PERALTE!$U$26-PERALTE!$Q$26)*(RASANTE!F39-PERALTE!$Q$26)-2),IF(RASANTE!F39&lt;=PERALTE!$X$26,8,IF(RASANTE!F39&lt;=PERALTE!$AB$26,(10/(PERALTE!$X$26-PERALTE!$AB$26)*(RASANTE!F39-PERALTE!$AB$26)-2))))),IF(F39&lt;=PERALTE!#REF!,-2,"Abscisa fuera de la vía")))))))))))))))))))))</f>
        <v>-2</v>
      </c>
      <c r="I39" s="28">
        <f>+IF(AND(AH!$H$8="Derecha",RASANTE!F39&lt;=PERALTE!$AB$6),IF(RASANTE!F39&lt;=PERALTE!$S$6,-2,IF(RASANTE!F39&lt;=PERALTE!$U$6,(-6/(PERALTE!$U$6-PERALTE!$S$6)*(RASANTE!F39-PERALTE!$S$6)-2),IF(RASANTE!F39&lt;=PERALTE!$X$6,-8,IF(RASANTE!F39&lt;=PERALTE!$Z$6,(-6/(PERALTE!$X$6-PERALTE!$Z$6)*(RASANTE!F39-PERALTE!$Z$6)-2),IF(RASANTE!F39&lt;=PERALTE!$AB$6,-2))))),IF(AND(AH!$H$8="Izquierda",RASANTE!F39&lt;=PERALTE!$AB$6),IF(RASANTE!F39&lt;=PERALTE!$Q$6,-2,IF(RASANTE!F39&lt;=PERALTE!$U$6,(10/(PERALTE!$U$6-PERALTE!$Q$6)*(RASANTE!F39-PERALTE!$Q$6)-2),IF(RASANTE!F39&lt;=PERALTE!$X$6,8,IF(RASANTE!F39&lt;=PERALTE!$AB$6,(10/(PERALTE!$X$6-PERALTE!$AB$6)*(RASANTE!F39-PERALTE!$AB$6)-2))))),IF(AND(AH!$H$10="Derecha",RASANTE!F39&lt;=PERALTE!$AB$8),IF(RASANTE!F39&lt;=PERALTE!$S$8,-2,IF(RASANTE!F39&lt;=PERALTE!$U$8,(-6/(PERALTE!$U$8-PERALTE!$S$8)*(RASANTE!F39-PERALTE!$S$8)-2),IF(RASANTE!F39&lt;=PERALTE!$X$8,-8,IF(RASANTE!F39&lt;=PERALTE!$Z$8,(-6/(PERALTE!$X$8-PERALTE!$Z$8)*(RASANTE!F39-PERALTE!$Z$8)-2),IF(RASANTE!F39&lt;=PERALTE!$AB$8,-2))))),IF(AND(AH!$H$10="Izquierda",RASANTE!F39&lt;=PERALTE!$AB$8),IF(RASANTE!F39&lt;=PERALTE!$Q$8,-2,IF(RASANTE!F39&lt;=PERALTE!$U$8,(10/(PERALTE!$U$8-PERALTE!$Q$8)*(RASANTE!F39-PERALTE!$Q$8)-2),IF(RASANTE!F39&lt;=PERALTE!$X$8,8,IF(RASANTE!F39&lt;=PERALTE!$AB$8,(10/(PERALTE!$X$8-PERALTE!$AB$8)*(RASANTE!F39-PERALTE!$AB$8)-2))))),IF(AND(AH!$H$12="Derecha",RASANTE!F39&lt;=PERALTE!$AB$10),IF(RASANTE!F39&lt;=PERALTE!$S$10,-2,IF(RASANTE!F39&lt;=PERALTE!$U$10,(-6/(PERALTE!$U$10-PERALTE!$S$10)*(RASANTE!F39-PERALTE!$S$10)-2),IF(RASANTE!F39&lt;=PERALTE!$X$10,-8,IF(RASANTE!F39&lt;=PERALTE!$Z$10,(-6/(PERALTE!$X$10-PERALTE!$Z$10)*(RASANTE!F39-PERALTE!$Z$10)-2),IF(RASANTE!F39&lt;=PERALTE!$AB$10,-2))))),IF(AND(AH!$H$12="Izquierda",RASANTE!F39&lt;=PERALTE!$AB$10),IF(RASANTE!F39&lt;=PERALTE!$Q$10,-2,IF(RASANTE!F39&lt;=PERALTE!$U$10,(10/(PERALTE!$U$10-PERALTE!$Q$10)*(RASANTE!F39-PERALTE!$Q$10)-2),IF(RASANTE!F39&lt;=PERALTE!$X$10,8,IF(RASANTE!F39&lt;=PERALTE!$AB$10,(10/(PERALTE!$X$10-PERALTE!$AB$10)*(RASANTE!F39-PERALTE!$AB$10)-2))))),IF(AND(AH!$H$14="Derecha",RASANTE!F39&lt;=PERALTE!$AB$12),IF(RASANTE!F39&lt;=PERALTE!$S$12,-2,IF(RASANTE!F39&lt;=PERALTE!$U$12,(-6/(PERALTE!$U$12-PERALTE!$S$12)*(RASANTE!F39-PERALTE!$S$12)-2),IF(RASANTE!F39&lt;=PERALTE!$X$12,-8,IF(RASANTE!F39&lt;=PERALTE!$Z$12,(-6/(PERALTE!$X$12-PERALTE!$Z$12)*(RASANTE!F39-PERALTE!$Z$12)-2),IF(RASANTE!F39&lt;=PERALTE!$AB$12,-2))))),IF(AND(AH!$H$14="Izquierda",RASANTE!F39&lt;=PERALTE!$AB$12),IF(RASANTE!F39&lt;=PERALTE!$Q$12,-2,IF(RASANTE!F39&lt;=PERALTE!$U$12,(10/(PERALTE!$U$12-PERALTE!$Q$12)*(RASANTE!F39-PERALTE!$Q$12)-2),IF(RASANTE!F39&lt;=PERALTE!$X$12,8,IF(RASANTE!F39&lt;=PERALTE!$AB$12,(10/(PERALTE!$X$12-PERALTE!$AB$12)*(RASANTE!F39-PERALTE!$AB$12)-2))))),IF(AND(AH!$H$16="Derecha",RASANTE!F39&lt;=PERALTE!$AB$14),IF(RASANTE!F39&lt;=PERALTE!$S$14,-2,IF(RASANTE!F39&lt;=PERALTE!$U$14,(-6/(PERALTE!$U$14-PERALTE!$S$14)*(RASANTE!F39-PERALTE!$S$14)-2),IF(RASANTE!F39&lt;=PERALTE!$X$14,-8,IF(RASANTE!F39&lt;=PERALTE!$Z$14,(-6/(PERALTE!$X$14-PERALTE!$Z$14)*(RASANTE!F39-PERALTE!$Z$14)-2),IF(RASANTE!F39&lt;=PERALTE!$AB$14,-2))))),IF(AND(AH!$H$16="Izquierda",RASANTE!F39&lt;=PERALTE!$AB$14),IF(RASANTE!F39&lt;=PERALTE!$Q$14,-2,IF(RASANTE!F39&lt;=PERALTE!$U$14,(10/(PERALTE!$U$14-PERALTE!$Q$14)*(RASANTE!F39-PERALTE!$Q$14)-2),IF(RASANTE!F39&lt;=PERALTE!$X$14,8,IF(RASANTE!F39&lt;=PERALTE!$AB$14,(10/(PERALTE!$X$14-PERALTE!$AB$14)*(RASANTE!F39-PERALTE!$AB$14)-2))))),IF(AND(AH!$H$18="Derecha",RASANTE!F39&lt;=PERALTE!$AB$16),IF(RASANTE!F39&lt;=PERALTE!$S$16,-2,IF(RASANTE!F39&lt;=PERALTE!$U$16,(-6/(PERALTE!$U$16-PERALTE!$S$16)*(RASANTE!F39-PERALTE!$S$16)-2),IF(RASANTE!F39&lt;=PERALTE!$X$16,-8,IF(RASANTE!F39&lt;=PERALTE!$Z$16,(-6/(PERALTE!$X$16-PERALTE!$Z$16)*(RASANTE!F39-PERALTE!$Z$16)-2),IF(RASANTE!F39&lt;=PERALTE!$AB$16,-2))))),IF(AND(AH!$H$18="Izquierda",RASANTE!F39&lt;=PERALTE!$AB$16),IF(RASANTE!F39&lt;=PERALTE!$Q$16,-2,IF(RASANTE!F39&lt;=PERALTE!$U$16,(10/(PERALTE!$U$16-PERALTE!$Q$16)*(RASANTE!F39-PERALTE!$Q$16)-2),IF(RASANTE!F39&lt;=PERALTE!$X$16,8,IF(RASANTE!F39&lt;=PERALTE!$AB$16,(10/(PERALTE!$X$16-PERALTE!$AB$16)*(RASANTE!F39-PERALTE!$AB$16)-2))))),IF(AND(AH!$H$20="Derecha",RASANTE!F39&lt;=PERALTE!$AB$18),IF(RASANTE!F39&lt;=PERALTE!$S$18,-2,IF(RASANTE!F39&lt;=PERALTE!$U$18,(-6/(PERALTE!$U$18-PERALTE!$S$18)*(RASANTE!F39-PERALTE!$S$18)-2),IF(RASANTE!F39&lt;=PERALTE!$X$18,-8,IF(RASANTE!F39&lt;=PERALTE!$Z$18,(-6/(PERALTE!$X$18-PERALTE!$Z$18)*(RASANTE!F39-PERALTE!$Z$18)-2),IF(RASANTE!F39&lt;=PERALTE!$AB$18,-2))))),IF(AND(AH!$H$20="Izquierda",RASANTE!F39&lt;=PERALTE!$AB$18),IF(RASANTE!F39&lt;=PERALTE!$Q$18,-2,IF(RASANTE!F39&lt;=PERALTE!$U$18,(10/(PERALTE!$U$18-PERALTE!$Q$18)*(RASANTE!F39-PERALTE!$Q$18)-2),IF(RASANTE!F39&lt;=PERALTE!$X$18,8,IF(RASANTE!F39&lt;=PERALTE!$AB$18,(10/(PERALTE!$X$18-PERALTE!$AB$18)*(RASANTE!F39-PERALTE!$AB$18)-2))))),IF(AND(AH!$H$24="Derecha",RASANTE!F39&lt;=PERALTE!$AB$22),IF(RASANTE!F39&lt;=PERALTE!$S$22,-2,IF(RASANTE!F39&lt;=PERALTE!$U$22,(-6/(PERALTE!$U$22-PERALTE!$S$22)*(RASANTE!F39-PERALTE!$S$22)-2),IF(RASANTE!F39&lt;=PERALTE!$X$22,-8,IF(RASANTE!F39&lt;=PERALTE!$Z$22,(-6/(PERALTE!$X$22-PERALTE!$Z$22)*(RASANTE!F39-PERALTE!$Z$22)-2),IF(RASANTE!F39&lt;=PERALTE!$AB$22,-2))))),IF(AND(AH!$H$24="Izquierda",RASANTE!F39&lt;=PERALTE!$AB$22),IF(RASANTE!F39&lt;=PERALTE!$Q$22,-2,IF(RASANTE!F39&lt;=PERALTE!$U$22,(10/(PERALTE!$U$22-PERALTE!$Q$22)*(RASANTE!F39-PERALTE!$Q$22)-2),IF(RASANTE!F39&lt;=PERALTE!$X$22,8,IF(RASANTE!F39&lt;=PERALTE!$AB$22,(10/(PERALTE!$X$22-PERALTE!$AB$22)*(RASANTE!F39-PERALTE!$AB$22)-2))))),IF(AND(AH!#REF!="Derecha",RASANTE!F39&lt;=PERALTE!#REF!),IF(RASANTE!F39&lt;=PERALTE!#REF!,-2,IF(RASANTE!F39&lt;=PERALTE!#REF!,(-6/(PERALTE!#REF!-PERALTE!#REF!)*(RASANTE!F39-PERALTE!#REF!)-2),IF(RASANTE!F39&lt;=PERALTE!#REF!,-8,IF(RASANTE!F39&lt;=PERALTE!#REF!,(-6/(PERALTE!#REF!-PERALTE!#REF!)*(RASANTE!F39-PERALTE!#REF!)-2),IF(RASANTE!F39&lt;=PERALTE!#REF!,-2))))),IF(AND(AH!#REF!="Izquierda",RASANTE!F39&lt;=PERALTE!#REF!),IF(RASANTE!F39&lt;=PERALTE!#REF!,-2,IF(RASANTE!F39&lt;=PERALTE!#REF!,(10/(PERALTE!#REF!-PERALTE!#REF!)*(RASANTE!F39-PERALTE!#REF!)-2),IF(RASANTE!F39&lt;=PERALTE!#REF!,8,IF(RASANTE!F39&lt;=PERALTE!#REF!,(10/(PERALTE!#REF!-PERALTE!#REF!)*(RASANTE!F39-PERALTE!#REF!)-2))))),IF(AND(AH!#REF!="Derecha",RASANTE!F39&lt;=PERALTE!$AB$26),IF(RASANTE!F39&lt;=PERALTE!$S$26,-2,IF(RASANTE!F39&lt;=PERALTE!$U$26,(-6/(PERALTE!$U$26-PERALTE!$S$26)*(RASANTE!F39-PERALTE!$S$26)-2),IF(RASANTE!F39&lt;=PERALTE!$X$26,-8,IF(RASANTE!F39&lt;=PERALTE!$Z$26,(-6/(PERALTE!$X$26-PERALTE!$Z$26)*(RASANTE!F39-PERALTE!$Z$26)-2),IF(RASANTE!F39&lt;=PERALTE!$AB$26,-2))))),IF(AND(AH!#REF!="Izquierda",RASANTE!F39&lt;=PERALTE!$AB$26),IF(RASANTE!F39&lt;=PERALTE!$Q$26,-2,IF(RASANTE!F39&lt;=PERALTE!$U$26,(10/(PERALTE!$U$26-PERALTE!$Q$26)*(RASANTE!F39-PERALTE!$Q$26)-2),IF(RASANTE!F39&lt;=PERALTE!$X$26,8,IF(RASANTE!F39&lt;=PERALTE!$AB$26,(10/(PERALTE!$X$26-PERALTE!$AB$26)*(RASANTE!F39-PERALTE!$AB$26)-2))))),IF(F39&lt;=PERALTE!#REF!,-2,"Abscisa fuera de la vía")))))))))))))))))))))</f>
        <v>1.9999999999999964</v>
      </c>
      <c r="J39" s="28">
        <f t="shared" si="1"/>
        <v>1651.5623941290578</v>
      </c>
      <c r="K39" s="28">
        <f>+IF(AND(AV!$S$6&lt;F39,F39&lt;=AV!$T$6),AV!$P$6*((AV!$S$6-RASANTE!F39)/(AV!$N$6))^2,IF(AND(AV!$T$6&lt;RASANTE!F39,F39&lt;AV!$U$6),AV!$P$6*((AV!$U$6-RASANTE!F39)/(AV!$O$6))^2,IF(AND(AV!$S$8&lt;F39,F39&lt;=AV!$T$8),AV!$P$8*((AV!$S$8-RASANTE!F39)/(AV!$N$8))^2,IF(AND(AV!$T$8&lt;RASANTE!F39,F39&lt;AV!$U$8),AV!$P$8*((AV!$U$8-RASANTE!F39)/(AV!$O$8))^2,IF(AND(AV!$S$10&lt;F39,F39&lt;=AV!$T$10),AV!$P$10*((AV!$S$10-RASANTE!F39)/(AV!$N$10))^2,IF(AND(AV!$T$10&lt;RASANTE!F39,F39&lt;AV!$U$10),AV!$P$10*((AV!$U$10-RASANTE!F39)/(AV!$O$10))^2,IF(AND(AV!$S$12&lt;F39,F39&lt;=AV!$T$12),AV!$P$12*((AV!$S$12-RASANTE!F39)/(AV!$N$12))^2,IF(AND(AV!$T$12&lt;RASANTE!F39,F39&lt;AV!$U$12),AV!$P$12*((AV!$U$12-RASANTE!F39)/(AV!$O$12))^2,IF(AND(AV!$S$14&lt;F39,F39&lt;=AV!$T$14),AV!$P$14*((AV!$S$14-RASANTE!F39)/(AV!$N$14))^2,IF(AND(AV!$T$14&lt;RASANTE!F39,F39&lt;AV!$U$14),AV!$P$14*((AV!$U$14-RASANTE!F39)/(AV!$O$14))^2,IF(AND(AV!$S$16&lt;F39,F39&lt;=AV!$T$16),AV!$P$16*((AV!$S$16-RASANTE!F39)/(AV!$N$16))^2,IF(AND(AV!$T$16&lt;RASANTE!F39,F39&lt;AV!$U$16),AV!$P$16*((AV!$U$16-RASANTE!F39)/(AV!$O$16))^2,IF(AND(AV!$S$18&lt;F39,F39&lt;=AV!$T$18),AV!$P$18*((AV!$S$18-RASANTE!F39)/(AV!$N$18))^2,IF(AND(AV!$T$18&lt;RASANTE!F39,F39&lt;AV!$U$18),AV!$P$18*((AV!$U$18-RASANTE!F39)/(AV!$O$18))^2,IF(AND(AV!$S$20&lt;F39,F39&lt;=AV!$T$20),AV!$P$20*((AV!$S$20-RASANTE!F39)/(AV!$N$20))^2,IF(AND(AV!$T$20&lt;RASANTE!F39,F39&lt;AV!$U$20),AV!$P$20*((AV!$U$20-RASANTE!F39)/(AV!$O$20))^2,IF(AND(AV!$S$22&lt;F39,F39&lt;=AV!$T$22),AV!$P$22*((AV!$S$22-RASANTE!F39)/(AV!$N$22))^2,IF(AND(AV!$T$22&lt;RASANTE!F39,F39&lt;AV!$U$22),AV!$P$22*((AV!$U$22-RASANTE!F39)/(AV!$O$22))^2,IF(AND(AV!$S$24&lt;F39,F39&lt;=AV!$T$24),AV!$P$24*((AV!$S$24-RASANTE!F39)/(AV!$N$24))^2,IF(AND(AV!$T$24&lt;RASANTE!F39,F39&lt;AV!$U$24),AV!$P$24*((AV!$U$24-RASANTE!F39)/(AV!$O$24))^2,0))))))))))))))))))))</f>
        <v>-2.4921683963459122E-5</v>
      </c>
      <c r="L39" s="28">
        <f>+M39+H39%*PERALTE!$C$32</f>
        <v>1651.4923692073739</v>
      </c>
      <c r="M39" s="28">
        <f t="shared" si="0"/>
        <v>1651.5623692073739</v>
      </c>
      <c r="N39" s="28">
        <f>+M39+I39%*PERALTE!$C$32</f>
        <v>1651.6323692073738</v>
      </c>
      <c r="O39" s="92"/>
      <c r="P39" s="84"/>
      <c r="Q39" s="84"/>
      <c r="R39" s="84"/>
      <c r="S39" s="84"/>
      <c r="T39" s="84"/>
      <c r="U39" s="84"/>
      <c r="V39" s="84"/>
      <c r="W39" s="84"/>
      <c r="X39" s="84"/>
      <c r="Y39" s="84"/>
    </row>
    <row r="40" spans="1:25" ht="15.75" customHeight="1" x14ac:dyDescent="0.2">
      <c r="A40" s="90" t="s">
        <v>317</v>
      </c>
      <c r="B40" s="86"/>
      <c r="C40" s="86"/>
      <c r="D40" s="86"/>
      <c r="E40" s="133">
        <f>AV!N6</f>
        <v>47.5</v>
      </c>
      <c r="F40" s="34">
        <f>PERALTE!AA6</f>
        <v>247.97894002942272</v>
      </c>
      <c r="G40" s="88">
        <f>IF(F40&lt;=AV!$T$6,AV!$C$5,IF(RASANTE!F40&lt;=AV!$T$8,AV!$C$7,IF(RASANTE!F40&lt;=AV!$T$10,AV!$C$9,IF(RASANTE!F40&lt;=AV!$T$12,AV!#REF!,IF(RASANTE!F40&lt;=AV!$T$14,AV!$C$11,IF(RASANTE!F40&lt;=AV!$T$16,AV!$C$13, IF(RASANTE!F40&lt;=AV!$T$18,AV!$C$15,IF(RASANTE!F40&lt;=AV!$T$20,AV!$C$19,IF(RASANTE!F40&lt;=AV!$T$22,AV!$C$21,IF(RASANTE!F40&lt;=AV!$T$24,AV!$C$23,AV!$C$25))))))))))</f>
        <v>3.1419999999999999</v>
      </c>
      <c r="H40" s="28">
        <f>+IF(AND(AH!$H$8="Izquierda",RASANTE!F40&lt;=PERALTE!$AB$6),IF(RASANTE!F40&lt;=PERALTE!$S$6,-2,IF(RASANTE!F40&lt;=PERALTE!$U$6,(-6/(PERALTE!$U$6-PERALTE!$S$6)*(RASANTE!F40-PERALTE!$S$6)-2),IF(RASANTE!F40&lt;=PERALTE!$X$6,-8,IF(RASANTE!F40&lt;=PERALTE!$Z$6,(-6/(PERALTE!$X$6-PERALTE!$Z$6)*(RASANTE!F40-PERALTE!$Z$6)-2),IF(RASANTE!F40&lt;=PERALTE!$AB$6,-2))))),IF(AND(AH!$H$8="Derecha",RASANTE!F40&lt;=PERALTE!$AB$6),IF(RASANTE!F40&lt;=PERALTE!$Q$6,-2,IF(RASANTE!F40&lt;=PERALTE!$U$6,(10/(PERALTE!$U$6-PERALTE!$Q$6)*(RASANTE!F40-PERALTE!$Q$6)-2),IF(RASANTE!F40&lt;=PERALTE!$X$6,8,IF(RASANTE!F40&lt;=PERALTE!$AB$6,(10/(PERALTE!$X$6-PERALTE!$AB$6)*(RASANTE!F40-PERALTE!$AB$6)-2))))),IF(AND(AH!$H$10="Izquierda",RASANTE!F40&lt;=PERALTE!$AB$8),IF(RASANTE!F40&lt;=PERALTE!$S$8,-2,IF(RASANTE!F40&lt;=PERALTE!$U$8,(-6/(PERALTE!$U$8-PERALTE!$S$8)*(RASANTE!F40-PERALTE!$S$8)-2),IF(RASANTE!F40&lt;=PERALTE!$X$8,-8,IF(RASANTE!F40&lt;=PERALTE!$Z$8,(-6/(PERALTE!$X$8-PERALTE!$Z$8)*(RASANTE!F40-PERALTE!$Z$8)-2),IF(RASANTE!F40&lt;=PERALTE!$AB$8,-2))))),IF(AND(AH!$H$10="Derecha",RASANTE!F40&lt;=PERALTE!$AB$8),IF(RASANTE!F40&lt;=PERALTE!$Q$8,-2,IF(RASANTE!F40&lt;=PERALTE!$U$8,(10/(PERALTE!$U$8-PERALTE!$Q$8)*(RASANTE!F40-PERALTE!$Q$8)-2),IF(RASANTE!F40&lt;=PERALTE!$X$8,8,IF(RASANTE!F40&lt;=PERALTE!$AB$8,(10/(PERALTE!$X$8-PERALTE!$AB$8)*(RASANTE!F40-PERALTE!$AB$8)-2))))),IF(AND(AH!$H$12="Izquierda",RASANTE!F40&lt;=PERALTE!$AB$10),IF(RASANTE!F40&lt;=PERALTE!$S$10,-2,IF(RASANTE!F40&lt;=PERALTE!$U$10,(-6/(PERALTE!$U$10-PERALTE!$S$10)*(RASANTE!F40-PERALTE!$S$10)-2),IF(RASANTE!F40&lt;=PERALTE!$X$10,-8,IF(RASANTE!F40&lt;=PERALTE!$Z$10,(-6/(PERALTE!$X$10-PERALTE!$Z$10)*(RASANTE!F40-PERALTE!$Z$10)-2),IF(RASANTE!F40&lt;=PERALTE!$AB$10,-2))))),IF(AND(AH!$H$12="Derecha",RASANTE!F40&lt;=PERALTE!$AB$10),IF(RASANTE!F40&lt;=PERALTE!$Q$10,-2,IF(RASANTE!F40&lt;=PERALTE!$U$10,(10/(PERALTE!$U$10-PERALTE!$Q$10)*(RASANTE!F40-PERALTE!$Q$10)-2),IF(RASANTE!F40&lt;=PERALTE!$X$10,8,IF(RASANTE!F40&lt;=PERALTE!$AB$10,(10/(PERALTE!$X$10-PERALTE!$AB$10)*(RASANTE!F40-PERALTE!$AB$10)-2))))),IF(AND(AH!$H$14="Izquierda",RASANTE!F40&lt;=PERALTE!$AB$12),IF(RASANTE!F40&lt;=PERALTE!$S$12,-2,IF(RASANTE!F40&lt;=PERALTE!$U$12,(-6/(PERALTE!$U$12-PERALTE!$S$12)*(RASANTE!F40-PERALTE!$S$12)-2),IF(RASANTE!F40&lt;=PERALTE!$X$12,-8,IF(RASANTE!F40&lt;=PERALTE!$Z$12,(-6/(PERALTE!$X$12-PERALTE!$Z$12)*(RASANTE!F40-PERALTE!$Z$12)-2),IF(RASANTE!F40&lt;=PERALTE!$AB$12,-2))))),IF(AND(AH!$H$14="Derecha",RASANTE!F40&lt;=PERALTE!$AB$12),IF(RASANTE!F40&lt;=PERALTE!$Q$12,-2,IF(RASANTE!F40&lt;=PERALTE!$U$12,(10/(PERALTE!$U$12-PERALTE!$Q$12)*(RASANTE!F40-PERALTE!$Q$12)-2),IF(RASANTE!F40&lt;=PERALTE!$X$12,8,IF(RASANTE!F40&lt;=PERALTE!$AB$12,(10/(PERALTE!$X$12-PERALTE!$AB$12)*(RASANTE!F40-PERALTE!$AB$12)-2))))),IF(AND(AH!$H$16="Izquierda",RASANTE!F40&lt;=PERALTE!$AB$14),IF(RASANTE!F40&lt;=PERALTE!$S$14,-2,IF(RASANTE!F40&lt;=PERALTE!$U$14,(-6/(PERALTE!$U$14-PERALTE!$S$14)*(RASANTE!F40-PERALTE!$S$14)-2),IF(RASANTE!F40&lt;=PERALTE!$X$14,-8,IF(RASANTE!F40&lt;=PERALTE!$Z$14,(-6/(PERALTE!$X$14-PERALTE!$Z$14)*(RASANTE!F40-PERALTE!$Z$14)-2),IF(RASANTE!F40&lt;=PERALTE!$AB$14,-2))))),IF(AND(AH!$H$16="Derecha",RASANTE!F40&lt;=PERALTE!$AB$14),IF(RASANTE!F40&lt;=PERALTE!$Q$14,-2,IF(RASANTE!F40&lt;=PERALTE!$U$14,(10/(PERALTE!$U$14-PERALTE!$Q$14)*(RASANTE!F40-PERALTE!$Q$14)-2),IF(RASANTE!F40&lt;=PERALTE!$X$14,8,IF(RASANTE!F40&lt;=PERALTE!$AB$14,(10/(PERALTE!$X$14-PERALTE!$AB$14)*(RASANTE!F40-PERALTE!$AB$14)-2))))),IF(AND(AH!$H$18="Izquierda",RASANTE!F40&lt;=PERALTE!$AB$16),IF(RASANTE!F40&lt;=PERALTE!$S$16,-2,IF(RASANTE!F40&lt;=PERALTE!$U$16,(-6/(PERALTE!$U$16-PERALTE!$S$16)*(RASANTE!F40-PERALTE!$S$16)-2),IF(RASANTE!F40&lt;=PERALTE!$X$16,-8,IF(RASANTE!F40&lt;=PERALTE!$Z$16,(-6/(PERALTE!$X$16-PERALTE!$Z$16)*(RASANTE!F40-PERALTE!$Z$16)-2),IF(RASANTE!F40&lt;=PERALTE!$AB$16,-2))))),IF(AND(AH!$H$18="Derecha",RASANTE!F40&lt;=PERALTE!$AB$16),IF(RASANTE!F40&lt;=PERALTE!$Q$16,-2,IF(RASANTE!F40&lt;=PERALTE!$U$16,(10/(PERALTE!$U$16-PERALTE!$Q$16)*(RASANTE!F40-PERALTE!$Q$16)-2),IF(RASANTE!F40&lt;=PERALTE!$X$16,8,IF(RASANTE!F40&lt;=PERALTE!$AB$16,(10/(PERALTE!$X$16-PERALTE!$AB$16)*(RASANTE!F40-PERALTE!$AB$16)-2))))),IF(AND(AH!$H$20="Izquierda",RASANTE!F40&lt;=PERALTE!$AB$18),IF(RASANTE!F40&lt;=PERALTE!$S$18,-2,IF(RASANTE!F40&lt;=PERALTE!$U$18,(-6/(PERALTE!$U$18-PERALTE!$S$18)*(RASANTE!F40-PERALTE!$S$18)-2),IF(RASANTE!F40&lt;=PERALTE!$X$18,-8,IF(RASANTE!F40&lt;=PERALTE!$Z$18,(-6/(PERALTE!$X$18-PERALTE!$Z$18)*(RASANTE!F40-PERALTE!$Z$18)-2),IF(RASANTE!F40&lt;=PERALTE!$AB$18,-2))))),IF(AND(AH!$H$20="Derecha",RASANTE!F40&lt;=PERALTE!$AB$18),IF(RASANTE!F40&lt;=PERALTE!$Q$18,-2,IF(RASANTE!F40&lt;=PERALTE!$U$18,(10/(PERALTE!$U$18-PERALTE!$Q$18)*(RASANTE!F40-PERALTE!$Q$18)-2),IF(RASANTE!F40&lt;=PERALTE!$X$18,8,IF(RASANTE!F40&lt;=PERALTE!$AB$18,(10/(PERALTE!$X$18-PERALTE!$AB$18)*(RASANTE!F40-PERALTE!$AB$18)-2))))),IF(AND(AH!$H$24="Izquierda",RASANTE!F40&lt;=PERALTE!$AB$22),IF(RASANTE!F40&lt;=PERALTE!$S$22,-2,IF(RASANTE!F40&lt;=PERALTE!$U$22,(-6/(PERALTE!$U$22-PERALTE!$S$22)*(RASANTE!F40-PERALTE!$S$22)-2),IF(RASANTE!F40&lt;=PERALTE!$X$22,-8,IF(RASANTE!F40&lt;=PERALTE!$Z$22,(-6/(PERALTE!$X$22-PERALTE!$Z$22)*(RASANTE!F40-PERALTE!$Z$22)-2),IF(RASANTE!F40&lt;=PERALTE!$AB$22,-2))))),IF(AND(AH!$H$24="Derecha",RASANTE!F40&lt;=PERALTE!$AB$22),IF(RASANTE!F40&lt;=PERALTE!$Q$22,-2,IF(RASANTE!F40&lt;=PERALTE!$U$22,(10/(PERALTE!$U$22-PERALTE!$Q$22)*(RASANTE!F40-PERALTE!$Q$22)-2),IF(RASANTE!F40&lt;=PERALTE!$X$22,8,IF(RASANTE!F40&lt;=PERALTE!$AB$22,(10/(PERALTE!$X$22-PERALTE!$AB$22)*(RASANTE!F40-PERALTE!$AB$22)-2))))),IF(AND(AH!#REF!="Izquierda",RASANTE!F40&lt;=PERALTE!#REF!),IF(RASANTE!F40&lt;=PERALTE!#REF!,-2,IF(RASANTE!F40&lt;=PERALTE!#REF!,(-6/(PERALTE!#REF!-PERALTE!#REF!)*(RASANTE!F40-PERALTE!#REF!)-2),IF(RASANTE!F40&lt;=PERALTE!#REF!,-8,IF(RASANTE!F40&lt;=PERALTE!#REF!,(-6/(PERALTE!#REF!-PERALTE!#REF!)*(RASANTE!F40-PERALTE!#REF!)-2),IF(RASANTE!F40&lt;=PERALTE!#REF!,-2))))),IF(AND(AH!#REF!="Derecha",RASANTE!F40&lt;=PERALTE!#REF!),IF(RASANTE!F40&lt;=PERALTE!#REF!,-2,IF(RASANTE!F40&lt;=PERALTE!#REF!,(10/(PERALTE!#REF!-PERALTE!#REF!)*(RASANTE!F40-PERALTE!#REF!)-2),IF(RASANTE!F40&lt;=PERALTE!#REF!,8,IF(RASANTE!F40&lt;=PERALTE!#REF!,(10/(PERALTE!#REF!-PERALTE!#REF!)*(RASANTE!F40-PERALTE!#REF!)-2))))),IF(AND(AH!#REF!="Izquierda",RASANTE!F40&lt;=PERALTE!$AB$26),IF(RASANTE!F40&lt;=PERALTE!$S$26,-2,IF(RASANTE!F40&lt;=PERALTE!$U$26,(-6/(PERALTE!$U$26-PERALTE!$S$26)*(RASANTE!F40-PERALTE!$S$26)-2),IF(RASANTE!F40&lt;=PERALTE!$X$26,-8,IF(RASANTE!F40&lt;=PERALTE!$Z$26,(-6/(PERALTE!$X$26-PERALTE!$Z$26)*(RASANTE!F40-PERALTE!$Z$26)-2),IF(RASANTE!F40&lt;=PERALTE!$AB$26,-2))))),IF(AND(AH!#REF!="Derecha",RASANTE!F40&lt;=PERALTE!$AB$26),IF(RASANTE!F40&lt;=PERALTE!$Q$26,-2,IF(RASANTE!F40&lt;=PERALTE!$U$26,(10/(PERALTE!$U$26-PERALTE!$Q$26)*(RASANTE!F40-PERALTE!$Q$26)-2),IF(RASANTE!F40&lt;=PERALTE!$X$26,8,IF(RASANTE!F40&lt;=PERALTE!$AB$26,(10/(PERALTE!$X$26-PERALTE!$AB$26)*(RASANTE!F40-PERALTE!$AB$26)-2))))),IF(F40&lt;=PERALTE!#REF!,-2,"Abscisa fuera de la vía")))))))))))))))))))))</f>
        <v>-2</v>
      </c>
      <c r="I40" s="28">
        <f>+IF(AND(AH!$H$8="Derecha",RASANTE!F40&lt;=PERALTE!$AB$6),IF(RASANTE!F40&lt;=PERALTE!$S$6,-2,IF(RASANTE!F40&lt;=PERALTE!$U$6,(-6/(PERALTE!$U$6-PERALTE!$S$6)*(RASANTE!F40-PERALTE!$S$6)-2),IF(RASANTE!F40&lt;=PERALTE!$X$6,-8,IF(RASANTE!F40&lt;=PERALTE!$Z$6,(-6/(PERALTE!$X$6-PERALTE!$Z$6)*(RASANTE!F40-PERALTE!$Z$6)-2),IF(RASANTE!F40&lt;=PERALTE!$AB$6,-2))))),IF(AND(AH!$H$8="Izquierda",RASANTE!F40&lt;=PERALTE!$AB$6),IF(RASANTE!F40&lt;=PERALTE!$Q$6,-2,IF(RASANTE!F40&lt;=PERALTE!$U$6,(10/(PERALTE!$U$6-PERALTE!$Q$6)*(RASANTE!F40-PERALTE!$Q$6)-2),IF(RASANTE!F40&lt;=PERALTE!$X$6,8,IF(RASANTE!F40&lt;=PERALTE!$AB$6,(10/(PERALTE!$X$6-PERALTE!$AB$6)*(RASANTE!F40-PERALTE!$AB$6)-2))))),IF(AND(AH!$H$10="Derecha",RASANTE!F40&lt;=PERALTE!$AB$8),IF(RASANTE!F40&lt;=PERALTE!$S$8,-2,IF(RASANTE!F40&lt;=PERALTE!$U$8,(-6/(PERALTE!$U$8-PERALTE!$S$8)*(RASANTE!F40-PERALTE!$S$8)-2),IF(RASANTE!F40&lt;=PERALTE!$X$8,-8,IF(RASANTE!F40&lt;=PERALTE!$Z$8,(-6/(PERALTE!$X$8-PERALTE!$Z$8)*(RASANTE!F40-PERALTE!$Z$8)-2),IF(RASANTE!F40&lt;=PERALTE!$AB$8,-2))))),IF(AND(AH!$H$10="Izquierda",RASANTE!F40&lt;=PERALTE!$AB$8),IF(RASANTE!F40&lt;=PERALTE!$Q$8,-2,IF(RASANTE!F40&lt;=PERALTE!$U$8,(10/(PERALTE!$U$8-PERALTE!$Q$8)*(RASANTE!F40-PERALTE!$Q$8)-2),IF(RASANTE!F40&lt;=PERALTE!$X$8,8,IF(RASANTE!F40&lt;=PERALTE!$AB$8,(10/(PERALTE!$X$8-PERALTE!$AB$8)*(RASANTE!F40-PERALTE!$AB$8)-2))))),IF(AND(AH!$H$12="Derecha",RASANTE!F40&lt;=PERALTE!$AB$10),IF(RASANTE!F40&lt;=PERALTE!$S$10,-2,IF(RASANTE!F40&lt;=PERALTE!$U$10,(-6/(PERALTE!$U$10-PERALTE!$S$10)*(RASANTE!F40-PERALTE!$S$10)-2),IF(RASANTE!F40&lt;=PERALTE!$X$10,-8,IF(RASANTE!F40&lt;=PERALTE!$Z$10,(-6/(PERALTE!$X$10-PERALTE!$Z$10)*(RASANTE!F40-PERALTE!$Z$10)-2),IF(RASANTE!F40&lt;=PERALTE!$AB$10,-2))))),IF(AND(AH!$H$12="Izquierda",RASANTE!F40&lt;=PERALTE!$AB$10),IF(RASANTE!F40&lt;=PERALTE!$Q$10,-2,IF(RASANTE!F40&lt;=PERALTE!$U$10,(10/(PERALTE!$U$10-PERALTE!$Q$10)*(RASANTE!F40-PERALTE!$Q$10)-2),IF(RASANTE!F40&lt;=PERALTE!$X$10,8,IF(RASANTE!F40&lt;=PERALTE!$AB$10,(10/(PERALTE!$X$10-PERALTE!$AB$10)*(RASANTE!F40-PERALTE!$AB$10)-2))))),IF(AND(AH!$H$14="Derecha",RASANTE!F40&lt;=PERALTE!$AB$12),IF(RASANTE!F40&lt;=PERALTE!$S$12,-2,IF(RASANTE!F40&lt;=PERALTE!$U$12,(-6/(PERALTE!$U$12-PERALTE!$S$12)*(RASANTE!F40-PERALTE!$S$12)-2),IF(RASANTE!F40&lt;=PERALTE!$X$12,-8,IF(RASANTE!F40&lt;=PERALTE!$Z$12,(-6/(PERALTE!$X$12-PERALTE!$Z$12)*(RASANTE!F40-PERALTE!$Z$12)-2),IF(RASANTE!F40&lt;=PERALTE!$AB$12,-2))))),IF(AND(AH!$H$14="Izquierda",RASANTE!F40&lt;=PERALTE!$AB$12),IF(RASANTE!F40&lt;=PERALTE!$Q$12,-2,IF(RASANTE!F40&lt;=PERALTE!$U$12,(10/(PERALTE!$U$12-PERALTE!$Q$12)*(RASANTE!F40-PERALTE!$Q$12)-2),IF(RASANTE!F40&lt;=PERALTE!$X$12,8,IF(RASANTE!F40&lt;=PERALTE!$AB$12,(10/(PERALTE!$X$12-PERALTE!$AB$12)*(RASANTE!F40-PERALTE!$AB$12)-2))))),IF(AND(AH!$H$16="Derecha",RASANTE!F40&lt;=PERALTE!$AB$14),IF(RASANTE!F40&lt;=PERALTE!$S$14,-2,IF(RASANTE!F40&lt;=PERALTE!$U$14,(-6/(PERALTE!$U$14-PERALTE!$S$14)*(RASANTE!F40-PERALTE!$S$14)-2),IF(RASANTE!F40&lt;=PERALTE!$X$14,-8,IF(RASANTE!F40&lt;=PERALTE!$Z$14,(-6/(PERALTE!$X$14-PERALTE!$Z$14)*(RASANTE!F40-PERALTE!$Z$14)-2),IF(RASANTE!F40&lt;=PERALTE!$AB$14,-2))))),IF(AND(AH!$H$16="Izquierda",RASANTE!F40&lt;=PERALTE!$AB$14),IF(RASANTE!F40&lt;=PERALTE!$Q$14,-2,IF(RASANTE!F40&lt;=PERALTE!$U$14,(10/(PERALTE!$U$14-PERALTE!$Q$14)*(RASANTE!F40-PERALTE!$Q$14)-2),IF(RASANTE!F40&lt;=PERALTE!$X$14,8,IF(RASANTE!F40&lt;=PERALTE!$AB$14,(10/(PERALTE!$X$14-PERALTE!$AB$14)*(RASANTE!F40-PERALTE!$AB$14)-2))))),IF(AND(AH!$H$18="Derecha",RASANTE!F40&lt;=PERALTE!$AB$16),IF(RASANTE!F40&lt;=PERALTE!$S$16,-2,IF(RASANTE!F40&lt;=PERALTE!$U$16,(-6/(PERALTE!$U$16-PERALTE!$S$16)*(RASANTE!F40-PERALTE!$S$16)-2),IF(RASANTE!F40&lt;=PERALTE!$X$16,-8,IF(RASANTE!F40&lt;=PERALTE!$Z$16,(-6/(PERALTE!$X$16-PERALTE!$Z$16)*(RASANTE!F40-PERALTE!$Z$16)-2),IF(RASANTE!F40&lt;=PERALTE!$AB$16,-2))))),IF(AND(AH!$H$18="Izquierda",RASANTE!F40&lt;=PERALTE!$AB$16),IF(RASANTE!F40&lt;=PERALTE!$Q$16,-2,IF(RASANTE!F40&lt;=PERALTE!$U$16,(10/(PERALTE!$U$16-PERALTE!$Q$16)*(RASANTE!F40-PERALTE!$Q$16)-2),IF(RASANTE!F40&lt;=PERALTE!$X$16,8,IF(RASANTE!F40&lt;=PERALTE!$AB$16,(10/(PERALTE!$X$16-PERALTE!$AB$16)*(RASANTE!F40-PERALTE!$AB$16)-2))))),IF(AND(AH!$H$20="Derecha",RASANTE!F40&lt;=PERALTE!$AB$18),IF(RASANTE!F40&lt;=PERALTE!$S$18,-2,IF(RASANTE!F40&lt;=PERALTE!$U$18,(-6/(PERALTE!$U$18-PERALTE!$S$18)*(RASANTE!F40-PERALTE!$S$18)-2),IF(RASANTE!F40&lt;=PERALTE!$X$18,-8,IF(RASANTE!F40&lt;=PERALTE!$Z$18,(-6/(PERALTE!$X$18-PERALTE!$Z$18)*(RASANTE!F40-PERALTE!$Z$18)-2),IF(RASANTE!F40&lt;=PERALTE!$AB$18,-2))))),IF(AND(AH!$H$20="Izquierda",RASANTE!F40&lt;=PERALTE!$AB$18),IF(RASANTE!F40&lt;=PERALTE!$Q$18,-2,IF(RASANTE!F40&lt;=PERALTE!$U$18,(10/(PERALTE!$U$18-PERALTE!$Q$18)*(RASANTE!F40-PERALTE!$Q$18)-2),IF(RASANTE!F40&lt;=PERALTE!$X$18,8,IF(RASANTE!F40&lt;=PERALTE!$AB$18,(10/(PERALTE!$X$18-PERALTE!$AB$18)*(RASANTE!F40-PERALTE!$AB$18)-2))))),IF(AND(AH!$H$24="Derecha",RASANTE!F40&lt;=PERALTE!$AB$22),IF(RASANTE!F40&lt;=PERALTE!$S$22,-2,IF(RASANTE!F40&lt;=PERALTE!$U$22,(-6/(PERALTE!$U$22-PERALTE!$S$22)*(RASANTE!F40-PERALTE!$S$22)-2),IF(RASANTE!F40&lt;=PERALTE!$X$22,-8,IF(RASANTE!F40&lt;=PERALTE!$Z$22,(-6/(PERALTE!$X$22-PERALTE!$Z$22)*(RASANTE!F40-PERALTE!$Z$22)-2),IF(RASANTE!F40&lt;=PERALTE!$AB$22,-2))))),IF(AND(AH!$H$24="Izquierda",RASANTE!F40&lt;=PERALTE!$AB$22),IF(RASANTE!F40&lt;=PERALTE!$Q$22,-2,IF(RASANTE!F40&lt;=PERALTE!$U$22,(10/(PERALTE!$U$22-PERALTE!$Q$22)*(RASANTE!F40-PERALTE!$Q$22)-2),IF(RASANTE!F40&lt;=PERALTE!$X$22,8,IF(RASANTE!F40&lt;=PERALTE!$AB$22,(10/(PERALTE!$X$22-PERALTE!$AB$22)*(RASANTE!F40-PERALTE!$AB$22)-2))))),IF(AND(AH!#REF!="Derecha",RASANTE!F40&lt;=PERALTE!#REF!),IF(RASANTE!F40&lt;=PERALTE!#REF!,-2,IF(RASANTE!F40&lt;=PERALTE!#REF!,(-6/(PERALTE!#REF!-PERALTE!#REF!)*(RASANTE!F40-PERALTE!#REF!)-2),IF(RASANTE!F40&lt;=PERALTE!#REF!,-8,IF(RASANTE!F40&lt;=PERALTE!#REF!,(-6/(PERALTE!#REF!-PERALTE!#REF!)*(RASANTE!F40-PERALTE!#REF!)-2),IF(RASANTE!F40&lt;=PERALTE!#REF!,-2))))),IF(AND(AH!#REF!="Izquierda",RASANTE!F40&lt;=PERALTE!#REF!),IF(RASANTE!F40&lt;=PERALTE!#REF!,-2,IF(RASANTE!F40&lt;=PERALTE!#REF!,(10/(PERALTE!#REF!-PERALTE!#REF!)*(RASANTE!F40-PERALTE!#REF!)-2),IF(RASANTE!F40&lt;=PERALTE!#REF!,8,IF(RASANTE!F40&lt;=PERALTE!#REF!,(10/(PERALTE!#REF!-PERALTE!#REF!)*(RASANTE!F40-PERALTE!#REF!)-2))))),IF(AND(AH!#REF!="Derecha",RASANTE!F40&lt;=PERALTE!$AB$26),IF(RASANTE!F40&lt;=PERALTE!$S$26,-2,IF(RASANTE!F40&lt;=PERALTE!$U$26,(-6/(PERALTE!$U$26-PERALTE!$S$26)*(RASANTE!F40-PERALTE!$S$26)-2),IF(RASANTE!F40&lt;=PERALTE!$X$26,-8,IF(RASANTE!F40&lt;=PERALTE!$Z$26,(-6/(PERALTE!$X$26-PERALTE!$Z$26)*(RASANTE!F40-PERALTE!$Z$26)-2),IF(RASANTE!F40&lt;=PERALTE!$AB$26,-2))))),IF(AND(AH!#REF!="Izquierda",RASANTE!F40&lt;=PERALTE!$AB$26),IF(RASANTE!F40&lt;=PERALTE!$Q$26,-2,IF(RASANTE!F40&lt;=PERALTE!$U$26,(10/(PERALTE!$U$26-PERALTE!$Q$26)*(RASANTE!F40-PERALTE!$Q$26)-2),IF(RASANTE!F40&lt;=PERALTE!$X$26,8,IF(RASANTE!F40&lt;=PERALTE!$AB$26,(10/(PERALTE!$X$26-PERALTE!$AB$26)*(RASANTE!F40-PERALTE!$AB$26)-2))))),IF(F40&lt;=PERALTE!#REF!,-2,"Abscisa fuera de la vía")))))))))))))))))))))</f>
        <v>-1.7763568394002505E-15</v>
      </c>
      <c r="J40" s="28">
        <f t="shared" si="1"/>
        <v>1651.7914982957245</v>
      </c>
      <c r="K40" s="28">
        <f>+IF(AND(AV!$S$6&lt;F40,F40&lt;=AV!$T$6),AV!$P$6*((AV!$S$6-RASANTE!F40)/(AV!$N$6))^2,IF(AND(AV!$T$6&lt;RASANTE!F40,F40&lt;AV!$U$6),AV!$P$6*((AV!$U$6-RASANTE!F40)/(AV!$O$6))^2,IF(AND(AV!$S$8&lt;F40,F40&lt;=AV!$T$8),AV!$P$8*((AV!$S$8-RASANTE!F40)/(AV!$N$8))^2,IF(AND(AV!$T$8&lt;RASANTE!F40,F40&lt;AV!$U$8),AV!$P$8*((AV!$U$8-RASANTE!F40)/(AV!$O$8))^2,IF(AND(AV!$S$10&lt;F40,F40&lt;=AV!$T$10),AV!$P$10*((AV!$S$10-RASANTE!F40)/(AV!$N$10))^2,IF(AND(AV!$T$10&lt;RASANTE!F40,F40&lt;AV!$U$10),AV!$P$10*((AV!$U$10-RASANTE!F40)/(AV!$O$10))^2,IF(AND(AV!$S$12&lt;F40,F40&lt;=AV!$T$12),AV!$P$12*((AV!$S$12-RASANTE!F40)/(AV!$N$12))^2,IF(AND(AV!$T$12&lt;RASANTE!F40,F40&lt;AV!$U$12),AV!$P$12*((AV!$U$12-RASANTE!F40)/(AV!$O$12))^2,IF(AND(AV!$S$14&lt;F40,F40&lt;=AV!$T$14),AV!$P$14*((AV!$S$14-RASANTE!F40)/(AV!$N$14))^2,IF(AND(AV!$T$14&lt;RASANTE!F40,F40&lt;AV!$U$14),AV!$P$14*((AV!$U$14-RASANTE!F40)/(AV!$O$14))^2,IF(AND(AV!$S$16&lt;F40,F40&lt;=AV!$T$16),AV!$P$16*((AV!$S$16-RASANTE!F40)/(AV!$N$16))^2,IF(AND(AV!$T$16&lt;RASANTE!F40,F40&lt;AV!$U$16),AV!$P$16*((AV!$U$16-RASANTE!F40)/(AV!$O$16))^2,IF(AND(AV!$S$18&lt;F40,F40&lt;=AV!$T$18),AV!$P$18*((AV!$S$18-RASANTE!F40)/(AV!$N$18))^2,IF(AND(AV!$T$18&lt;RASANTE!F40,F40&lt;AV!$U$18),AV!$P$18*((AV!$U$18-RASANTE!F40)/(AV!$O$18))^2,IF(AND(AV!$S$20&lt;F40,F40&lt;=AV!$T$20),AV!$P$20*((AV!$S$20-RASANTE!F40)/(AV!$N$20))^2,IF(AND(AV!$T$20&lt;RASANTE!F40,F40&lt;AV!$U$20),AV!$P$20*((AV!$U$20-RASANTE!F40)/(AV!$O$20))^2,IF(AND(AV!$S$22&lt;F40,F40&lt;=AV!$T$22),AV!$P$22*((AV!$S$22-RASANTE!F40)/(AV!$N$22))^2,IF(AND(AV!$T$22&lt;RASANTE!F40,F40&lt;AV!$U$22),AV!$P$22*((AV!$U$22-RASANTE!F40)/(AV!$O$22))^2,IF(AND(AV!$S$24&lt;F40,F40&lt;=AV!$T$24),AV!$P$24*((AV!$S$24-RASANTE!F40)/(AV!$N$24))^2,IF(AND(AV!$T$24&lt;RASANTE!F40,F40&lt;AV!$U$24),AV!$P$24*((AV!$U$24-RASANTE!F40)/(AV!$O$24))^2,0))))))))))))))))))))</f>
        <v>-3.2316588445101956E-2</v>
      </c>
      <c r="L40" s="28">
        <f>+M40+H40%*PERALTE!$C$32</f>
        <v>1651.6891817072794</v>
      </c>
      <c r="M40" s="28">
        <f t="shared" si="0"/>
        <v>1651.7591817072794</v>
      </c>
      <c r="N40" s="28">
        <f>+M40+I40%*PERALTE!$C$32</f>
        <v>1651.7591817072794</v>
      </c>
      <c r="O40" s="92"/>
      <c r="P40" s="84"/>
      <c r="Q40" s="84"/>
      <c r="R40" s="84"/>
      <c r="S40" s="84"/>
      <c r="T40" s="84"/>
      <c r="U40" s="84"/>
      <c r="V40" s="84"/>
      <c r="W40" s="84"/>
      <c r="X40" s="84"/>
      <c r="Y40" s="84"/>
    </row>
    <row r="41" spans="1:25" ht="15.75" customHeight="1" x14ac:dyDescent="0.2">
      <c r="A41" s="90"/>
      <c r="B41" s="86"/>
      <c r="C41" s="86"/>
      <c r="D41" s="86"/>
      <c r="E41" s="134">
        <f>AV!O6</f>
        <v>47.5</v>
      </c>
      <c r="F41" s="34">
        <v>250</v>
      </c>
      <c r="G41" s="88">
        <f>IF(F41&lt;=AV!$T$6,AV!$C$5,IF(RASANTE!F41&lt;=AV!$T$8,AV!$C$7,IF(RASANTE!F41&lt;=AV!$T$10,AV!$C$9,IF(RASANTE!F41&lt;=AV!$T$12,AV!#REF!,IF(RASANTE!F41&lt;=AV!$T$14,AV!$C$11,IF(RASANTE!F41&lt;=AV!$T$16,AV!$C$13, IF(RASANTE!F41&lt;=AV!$T$18,AV!$C$15,IF(RASANTE!F41&lt;=AV!$T$20,AV!$C$19,IF(RASANTE!F41&lt;=AV!$T$22,AV!$C$21,IF(RASANTE!F41&lt;=AV!$T$24,AV!$C$23,AV!$C$25))))))))))</f>
        <v>3.1419999999999999</v>
      </c>
      <c r="H41" s="28">
        <f>+IF(AND(AH!$H$8="Izquierda",RASANTE!F41&lt;=PERALTE!$AB$6),IF(RASANTE!F41&lt;=PERALTE!$S$6,-2,IF(RASANTE!F41&lt;=PERALTE!$U$6,(-6/(PERALTE!$U$6-PERALTE!$S$6)*(RASANTE!F41-PERALTE!$S$6)-2),IF(RASANTE!F41&lt;=PERALTE!$X$6,-8,IF(RASANTE!F41&lt;=PERALTE!$Z$6,(-6/(PERALTE!$X$6-PERALTE!$Z$6)*(RASANTE!F41-PERALTE!$Z$6)-2),IF(RASANTE!F41&lt;=PERALTE!$AB$6,-2))))),IF(AND(AH!$H$8="Derecha",RASANTE!F41&lt;=PERALTE!$AB$6),IF(RASANTE!F41&lt;=PERALTE!$Q$6,-2,IF(RASANTE!F41&lt;=PERALTE!$U$6,(10/(PERALTE!$U$6-PERALTE!$Q$6)*(RASANTE!F41-PERALTE!$Q$6)-2),IF(RASANTE!F41&lt;=PERALTE!$X$6,8,IF(RASANTE!F41&lt;=PERALTE!$AB$6,(10/(PERALTE!$X$6-PERALTE!$AB$6)*(RASANTE!F41-PERALTE!$AB$6)-2))))),IF(AND(AH!$H$10="Izquierda",RASANTE!F41&lt;=PERALTE!$AB$8),IF(RASANTE!F41&lt;=PERALTE!$S$8,-2,IF(RASANTE!F41&lt;=PERALTE!$U$8,(-6/(PERALTE!$U$8-PERALTE!$S$8)*(RASANTE!F41-PERALTE!$S$8)-2),IF(RASANTE!F41&lt;=PERALTE!$X$8,-8,IF(RASANTE!F41&lt;=PERALTE!$Z$8,(-6/(PERALTE!$X$8-PERALTE!$Z$8)*(RASANTE!F41-PERALTE!$Z$8)-2),IF(RASANTE!F41&lt;=PERALTE!$AB$8,-2))))),IF(AND(AH!$H$10="Derecha",RASANTE!F41&lt;=PERALTE!$AB$8),IF(RASANTE!F41&lt;=PERALTE!$Q$8,-2,IF(RASANTE!F41&lt;=PERALTE!$U$8,(10/(PERALTE!$U$8-PERALTE!$Q$8)*(RASANTE!F41-PERALTE!$Q$8)-2),IF(RASANTE!F41&lt;=PERALTE!$X$8,8,IF(RASANTE!F41&lt;=PERALTE!$AB$8,(10/(PERALTE!$X$8-PERALTE!$AB$8)*(RASANTE!F41-PERALTE!$AB$8)-2))))),IF(AND(AH!$H$12="Izquierda",RASANTE!F41&lt;=PERALTE!$AB$10),IF(RASANTE!F41&lt;=PERALTE!$S$10,-2,IF(RASANTE!F41&lt;=PERALTE!$U$10,(-6/(PERALTE!$U$10-PERALTE!$S$10)*(RASANTE!F41-PERALTE!$S$10)-2),IF(RASANTE!F41&lt;=PERALTE!$X$10,-8,IF(RASANTE!F41&lt;=PERALTE!$Z$10,(-6/(PERALTE!$X$10-PERALTE!$Z$10)*(RASANTE!F41-PERALTE!$Z$10)-2),IF(RASANTE!F41&lt;=PERALTE!$AB$10,-2))))),IF(AND(AH!$H$12="Derecha",RASANTE!F41&lt;=PERALTE!$AB$10),IF(RASANTE!F41&lt;=PERALTE!$Q$10,-2,IF(RASANTE!F41&lt;=PERALTE!$U$10,(10/(PERALTE!$U$10-PERALTE!$Q$10)*(RASANTE!F41-PERALTE!$Q$10)-2),IF(RASANTE!F41&lt;=PERALTE!$X$10,8,IF(RASANTE!F41&lt;=PERALTE!$AB$10,(10/(PERALTE!$X$10-PERALTE!$AB$10)*(RASANTE!F41-PERALTE!$AB$10)-2))))),IF(AND(AH!$H$14="Izquierda",RASANTE!F41&lt;=PERALTE!$AB$12),IF(RASANTE!F41&lt;=PERALTE!$S$12,-2,IF(RASANTE!F41&lt;=PERALTE!$U$12,(-6/(PERALTE!$U$12-PERALTE!$S$12)*(RASANTE!F41-PERALTE!$S$12)-2),IF(RASANTE!F41&lt;=PERALTE!$X$12,-8,IF(RASANTE!F41&lt;=PERALTE!$Z$12,(-6/(PERALTE!$X$12-PERALTE!$Z$12)*(RASANTE!F41-PERALTE!$Z$12)-2),IF(RASANTE!F41&lt;=PERALTE!$AB$12,-2))))),IF(AND(AH!$H$14="Derecha",RASANTE!F41&lt;=PERALTE!$AB$12),IF(RASANTE!F41&lt;=PERALTE!$Q$12,-2,IF(RASANTE!F41&lt;=PERALTE!$U$12,(10/(PERALTE!$U$12-PERALTE!$Q$12)*(RASANTE!F41-PERALTE!$Q$12)-2),IF(RASANTE!F41&lt;=PERALTE!$X$12,8,IF(RASANTE!F41&lt;=PERALTE!$AB$12,(10/(PERALTE!$X$12-PERALTE!$AB$12)*(RASANTE!F41-PERALTE!$AB$12)-2))))),IF(AND(AH!$H$16="Izquierda",RASANTE!F41&lt;=PERALTE!$AB$14),IF(RASANTE!F41&lt;=PERALTE!$S$14,-2,IF(RASANTE!F41&lt;=PERALTE!$U$14,(-6/(PERALTE!$U$14-PERALTE!$S$14)*(RASANTE!F41-PERALTE!$S$14)-2),IF(RASANTE!F41&lt;=PERALTE!$X$14,-8,IF(RASANTE!F41&lt;=PERALTE!$Z$14,(-6/(PERALTE!$X$14-PERALTE!$Z$14)*(RASANTE!F41-PERALTE!$Z$14)-2),IF(RASANTE!F41&lt;=PERALTE!$AB$14,-2))))),IF(AND(AH!$H$16="Derecha",RASANTE!F41&lt;=PERALTE!$AB$14),IF(RASANTE!F41&lt;=PERALTE!$Q$14,-2,IF(RASANTE!F41&lt;=PERALTE!$U$14,(10/(PERALTE!$U$14-PERALTE!$Q$14)*(RASANTE!F41-PERALTE!$Q$14)-2),IF(RASANTE!F41&lt;=PERALTE!$X$14,8,IF(RASANTE!F41&lt;=PERALTE!$AB$14,(10/(PERALTE!$X$14-PERALTE!$AB$14)*(RASANTE!F41-PERALTE!$AB$14)-2))))),IF(AND(AH!$H$18="Izquierda",RASANTE!F41&lt;=PERALTE!$AB$16),IF(RASANTE!F41&lt;=PERALTE!$S$16,-2,IF(RASANTE!F41&lt;=PERALTE!$U$16,(-6/(PERALTE!$U$16-PERALTE!$S$16)*(RASANTE!F41-PERALTE!$S$16)-2),IF(RASANTE!F41&lt;=PERALTE!$X$16,-8,IF(RASANTE!F41&lt;=PERALTE!$Z$16,(-6/(PERALTE!$X$16-PERALTE!$Z$16)*(RASANTE!F41-PERALTE!$Z$16)-2),IF(RASANTE!F41&lt;=PERALTE!$AB$16,-2))))),IF(AND(AH!$H$18="Derecha",RASANTE!F41&lt;=PERALTE!$AB$16),IF(RASANTE!F41&lt;=PERALTE!$Q$16,-2,IF(RASANTE!F41&lt;=PERALTE!$U$16,(10/(PERALTE!$U$16-PERALTE!$Q$16)*(RASANTE!F41-PERALTE!$Q$16)-2),IF(RASANTE!F41&lt;=PERALTE!$X$16,8,IF(RASANTE!F41&lt;=PERALTE!$AB$16,(10/(PERALTE!$X$16-PERALTE!$AB$16)*(RASANTE!F41-PERALTE!$AB$16)-2))))),IF(AND(AH!$H$20="Izquierda",RASANTE!F41&lt;=PERALTE!$AB$18),IF(RASANTE!F41&lt;=PERALTE!$S$18,-2,IF(RASANTE!F41&lt;=PERALTE!$U$18,(-6/(PERALTE!$U$18-PERALTE!$S$18)*(RASANTE!F41-PERALTE!$S$18)-2),IF(RASANTE!F41&lt;=PERALTE!$X$18,-8,IF(RASANTE!F41&lt;=PERALTE!$Z$18,(-6/(PERALTE!$X$18-PERALTE!$Z$18)*(RASANTE!F41-PERALTE!$Z$18)-2),IF(RASANTE!F41&lt;=PERALTE!$AB$18,-2))))),IF(AND(AH!$H$20="Derecha",RASANTE!F41&lt;=PERALTE!$AB$18),IF(RASANTE!F41&lt;=PERALTE!$Q$18,-2,IF(RASANTE!F41&lt;=PERALTE!$U$18,(10/(PERALTE!$U$18-PERALTE!$Q$18)*(RASANTE!F41-PERALTE!$Q$18)-2),IF(RASANTE!F41&lt;=PERALTE!$X$18,8,IF(RASANTE!F41&lt;=PERALTE!$AB$18,(10/(PERALTE!$X$18-PERALTE!$AB$18)*(RASANTE!F41-PERALTE!$AB$18)-2))))),IF(AND(AH!$H$24="Izquierda",RASANTE!F41&lt;=PERALTE!$AB$22),IF(RASANTE!F41&lt;=PERALTE!$S$22,-2,IF(RASANTE!F41&lt;=PERALTE!$U$22,(-6/(PERALTE!$U$22-PERALTE!$S$22)*(RASANTE!F41-PERALTE!$S$22)-2),IF(RASANTE!F41&lt;=PERALTE!$X$22,-8,IF(RASANTE!F41&lt;=PERALTE!$Z$22,(-6/(PERALTE!$X$22-PERALTE!$Z$22)*(RASANTE!F41-PERALTE!$Z$22)-2),IF(RASANTE!F41&lt;=PERALTE!$AB$22,-2))))),IF(AND(AH!$H$24="Derecha",RASANTE!F41&lt;=PERALTE!$AB$22),IF(RASANTE!F41&lt;=PERALTE!$Q$22,-2,IF(RASANTE!F41&lt;=PERALTE!$U$22,(10/(PERALTE!$U$22-PERALTE!$Q$22)*(RASANTE!F41-PERALTE!$Q$22)-2),IF(RASANTE!F41&lt;=PERALTE!$X$22,8,IF(RASANTE!F41&lt;=PERALTE!$AB$22,(10/(PERALTE!$X$22-PERALTE!$AB$22)*(RASANTE!F41-PERALTE!$AB$22)-2))))),IF(AND(AH!#REF!="Izquierda",RASANTE!F41&lt;=PERALTE!#REF!),IF(RASANTE!F41&lt;=PERALTE!#REF!,-2,IF(RASANTE!F41&lt;=PERALTE!#REF!,(-6/(PERALTE!#REF!-PERALTE!#REF!)*(RASANTE!F41-PERALTE!#REF!)-2),IF(RASANTE!F41&lt;=PERALTE!#REF!,-8,IF(RASANTE!F41&lt;=PERALTE!#REF!,(-6/(PERALTE!#REF!-PERALTE!#REF!)*(RASANTE!F41-PERALTE!#REF!)-2),IF(RASANTE!F41&lt;=PERALTE!#REF!,-2))))),IF(AND(AH!#REF!="Derecha",RASANTE!F41&lt;=PERALTE!#REF!),IF(RASANTE!F41&lt;=PERALTE!#REF!,-2,IF(RASANTE!F41&lt;=PERALTE!#REF!,(10/(PERALTE!#REF!-PERALTE!#REF!)*(RASANTE!F41-PERALTE!#REF!)-2),IF(RASANTE!F41&lt;=PERALTE!#REF!,8,IF(RASANTE!F41&lt;=PERALTE!#REF!,(10/(PERALTE!#REF!-PERALTE!#REF!)*(RASANTE!F41-PERALTE!#REF!)-2))))),IF(AND(AH!#REF!="Izquierda",RASANTE!F41&lt;=PERALTE!$AB$26),IF(RASANTE!F41&lt;=PERALTE!$S$26,-2,IF(RASANTE!F41&lt;=PERALTE!$U$26,(-6/(PERALTE!$U$26-PERALTE!$S$26)*(RASANTE!F41-PERALTE!$S$26)-2),IF(RASANTE!F41&lt;=PERALTE!$X$26,-8,IF(RASANTE!F41&lt;=PERALTE!$Z$26,(-6/(PERALTE!$X$26-PERALTE!$Z$26)*(RASANTE!F41-PERALTE!$Z$26)-2),IF(RASANTE!F41&lt;=PERALTE!$AB$26,-2))))),IF(AND(AH!#REF!="Derecha",RASANTE!F41&lt;=PERALTE!$AB$26),IF(RASANTE!F41&lt;=PERALTE!$Q$26,-2,IF(RASANTE!F41&lt;=PERALTE!$U$26,(10/(PERALTE!$U$26-PERALTE!$Q$26)*(RASANTE!F41-PERALTE!$Q$26)-2),IF(RASANTE!F41&lt;=PERALTE!$X$26,8,IF(RASANTE!F41&lt;=PERALTE!$AB$26,(10/(PERALTE!$X$26-PERALTE!$AB$26)*(RASANTE!F41-PERALTE!$AB$26)-2))))),IF(F41&lt;=PERALTE!#REF!,-2,"Abscisa fuera de la vía")))))))))))))))))))))</f>
        <v>-2</v>
      </c>
      <c r="I41" s="28">
        <f>+IF(AND(AH!$H$8="Derecha",RASANTE!F41&lt;=PERALTE!$AB$6),IF(RASANTE!F41&lt;=PERALTE!$S$6,-2,IF(RASANTE!F41&lt;=PERALTE!$U$6,(-6/(PERALTE!$U$6-PERALTE!$S$6)*(RASANTE!F41-PERALTE!$S$6)-2),IF(RASANTE!F41&lt;=PERALTE!$X$6,-8,IF(RASANTE!F41&lt;=PERALTE!$Z$6,(-6/(PERALTE!$X$6-PERALTE!$Z$6)*(RASANTE!F41-PERALTE!$Z$6)-2),IF(RASANTE!F41&lt;=PERALTE!$AB$6,-2))))),IF(AND(AH!$H$8="Izquierda",RASANTE!F41&lt;=PERALTE!$AB$6),IF(RASANTE!F41&lt;=PERALTE!$Q$6,-2,IF(RASANTE!F41&lt;=PERALTE!$U$6,(10/(PERALTE!$U$6-PERALTE!$Q$6)*(RASANTE!F41-PERALTE!$Q$6)-2),IF(RASANTE!F41&lt;=PERALTE!$X$6,8,IF(RASANTE!F41&lt;=PERALTE!$AB$6,(10/(PERALTE!$X$6-PERALTE!$AB$6)*(RASANTE!F41-PERALTE!$AB$6)-2))))),IF(AND(AH!$H$10="Derecha",RASANTE!F41&lt;=PERALTE!$AB$8),IF(RASANTE!F41&lt;=PERALTE!$S$8,-2,IF(RASANTE!F41&lt;=PERALTE!$U$8,(-6/(PERALTE!$U$8-PERALTE!$S$8)*(RASANTE!F41-PERALTE!$S$8)-2),IF(RASANTE!F41&lt;=PERALTE!$X$8,-8,IF(RASANTE!F41&lt;=PERALTE!$Z$8,(-6/(PERALTE!$X$8-PERALTE!$Z$8)*(RASANTE!F41-PERALTE!$Z$8)-2),IF(RASANTE!F41&lt;=PERALTE!$AB$8,-2))))),IF(AND(AH!$H$10="Izquierda",RASANTE!F41&lt;=PERALTE!$AB$8),IF(RASANTE!F41&lt;=PERALTE!$Q$8,-2,IF(RASANTE!F41&lt;=PERALTE!$U$8,(10/(PERALTE!$U$8-PERALTE!$Q$8)*(RASANTE!F41-PERALTE!$Q$8)-2),IF(RASANTE!F41&lt;=PERALTE!$X$8,8,IF(RASANTE!F41&lt;=PERALTE!$AB$8,(10/(PERALTE!$X$8-PERALTE!$AB$8)*(RASANTE!F41-PERALTE!$AB$8)-2))))),IF(AND(AH!$H$12="Derecha",RASANTE!F41&lt;=PERALTE!$AB$10),IF(RASANTE!F41&lt;=PERALTE!$S$10,-2,IF(RASANTE!F41&lt;=PERALTE!$U$10,(-6/(PERALTE!$U$10-PERALTE!$S$10)*(RASANTE!F41-PERALTE!$S$10)-2),IF(RASANTE!F41&lt;=PERALTE!$X$10,-8,IF(RASANTE!F41&lt;=PERALTE!$Z$10,(-6/(PERALTE!$X$10-PERALTE!$Z$10)*(RASANTE!F41-PERALTE!$Z$10)-2),IF(RASANTE!F41&lt;=PERALTE!$AB$10,-2))))),IF(AND(AH!$H$12="Izquierda",RASANTE!F41&lt;=PERALTE!$AB$10),IF(RASANTE!F41&lt;=PERALTE!$Q$10,-2,IF(RASANTE!F41&lt;=PERALTE!$U$10,(10/(PERALTE!$U$10-PERALTE!$Q$10)*(RASANTE!F41-PERALTE!$Q$10)-2),IF(RASANTE!F41&lt;=PERALTE!$X$10,8,IF(RASANTE!F41&lt;=PERALTE!$AB$10,(10/(PERALTE!$X$10-PERALTE!$AB$10)*(RASANTE!F41-PERALTE!$AB$10)-2))))),IF(AND(AH!$H$14="Derecha",RASANTE!F41&lt;=PERALTE!$AB$12),IF(RASANTE!F41&lt;=PERALTE!$S$12,-2,IF(RASANTE!F41&lt;=PERALTE!$U$12,(-6/(PERALTE!$U$12-PERALTE!$S$12)*(RASANTE!F41-PERALTE!$S$12)-2),IF(RASANTE!F41&lt;=PERALTE!$X$12,-8,IF(RASANTE!F41&lt;=PERALTE!$Z$12,(-6/(PERALTE!$X$12-PERALTE!$Z$12)*(RASANTE!F41-PERALTE!$Z$12)-2),IF(RASANTE!F41&lt;=PERALTE!$AB$12,-2))))),IF(AND(AH!$H$14="Izquierda",RASANTE!F41&lt;=PERALTE!$AB$12),IF(RASANTE!F41&lt;=PERALTE!$Q$12,-2,IF(RASANTE!F41&lt;=PERALTE!$U$12,(10/(PERALTE!$U$12-PERALTE!$Q$12)*(RASANTE!F41-PERALTE!$Q$12)-2),IF(RASANTE!F41&lt;=PERALTE!$X$12,8,IF(RASANTE!F41&lt;=PERALTE!$AB$12,(10/(PERALTE!$X$12-PERALTE!$AB$12)*(RASANTE!F41-PERALTE!$AB$12)-2))))),IF(AND(AH!$H$16="Derecha",RASANTE!F41&lt;=PERALTE!$AB$14),IF(RASANTE!F41&lt;=PERALTE!$S$14,-2,IF(RASANTE!F41&lt;=PERALTE!$U$14,(-6/(PERALTE!$U$14-PERALTE!$S$14)*(RASANTE!F41-PERALTE!$S$14)-2),IF(RASANTE!F41&lt;=PERALTE!$X$14,-8,IF(RASANTE!F41&lt;=PERALTE!$Z$14,(-6/(PERALTE!$X$14-PERALTE!$Z$14)*(RASANTE!F41-PERALTE!$Z$14)-2),IF(RASANTE!F41&lt;=PERALTE!$AB$14,-2))))),IF(AND(AH!$H$16="Izquierda",RASANTE!F41&lt;=PERALTE!$AB$14),IF(RASANTE!F41&lt;=PERALTE!$Q$14,-2,IF(RASANTE!F41&lt;=PERALTE!$U$14,(10/(PERALTE!$U$14-PERALTE!$Q$14)*(RASANTE!F41-PERALTE!$Q$14)-2),IF(RASANTE!F41&lt;=PERALTE!$X$14,8,IF(RASANTE!F41&lt;=PERALTE!$AB$14,(10/(PERALTE!$X$14-PERALTE!$AB$14)*(RASANTE!F41-PERALTE!$AB$14)-2))))),IF(AND(AH!$H$18="Derecha",RASANTE!F41&lt;=PERALTE!$AB$16),IF(RASANTE!F41&lt;=PERALTE!$S$16,-2,IF(RASANTE!F41&lt;=PERALTE!$U$16,(-6/(PERALTE!$U$16-PERALTE!$S$16)*(RASANTE!F41-PERALTE!$S$16)-2),IF(RASANTE!F41&lt;=PERALTE!$X$16,-8,IF(RASANTE!F41&lt;=PERALTE!$Z$16,(-6/(PERALTE!$X$16-PERALTE!$Z$16)*(RASANTE!F41-PERALTE!$Z$16)-2),IF(RASANTE!F41&lt;=PERALTE!$AB$16,-2))))),IF(AND(AH!$H$18="Izquierda",RASANTE!F41&lt;=PERALTE!$AB$16),IF(RASANTE!F41&lt;=PERALTE!$Q$16,-2,IF(RASANTE!F41&lt;=PERALTE!$U$16,(10/(PERALTE!$U$16-PERALTE!$Q$16)*(RASANTE!F41-PERALTE!$Q$16)-2),IF(RASANTE!F41&lt;=PERALTE!$X$16,8,IF(RASANTE!F41&lt;=PERALTE!$AB$16,(10/(PERALTE!$X$16-PERALTE!$AB$16)*(RASANTE!F41-PERALTE!$AB$16)-2))))),IF(AND(AH!$H$20="Derecha",RASANTE!F41&lt;=PERALTE!$AB$18),IF(RASANTE!F41&lt;=PERALTE!$S$18,-2,IF(RASANTE!F41&lt;=PERALTE!$U$18,(-6/(PERALTE!$U$18-PERALTE!$S$18)*(RASANTE!F41-PERALTE!$S$18)-2),IF(RASANTE!F41&lt;=PERALTE!$X$18,-8,IF(RASANTE!F41&lt;=PERALTE!$Z$18,(-6/(PERALTE!$X$18-PERALTE!$Z$18)*(RASANTE!F41-PERALTE!$Z$18)-2),IF(RASANTE!F41&lt;=PERALTE!$AB$18,-2))))),IF(AND(AH!$H$20="Izquierda",RASANTE!F41&lt;=PERALTE!$AB$18),IF(RASANTE!F41&lt;=PERALTE!$Q$18,-2,IF(RASANTE!F41&lt;=PERALTE!$U$18,(10/(PERALTE!$U$18-PERALTE!$Q$18)*(RASANTE!F41-PERALTE!$Q$18)-2),IF(RASANTE!F41&lt;=PERALTE!$X$18,8,IF(RASANTE!F41&lt;=PERALTE!$AB$18,(10/(PERALTE!$X$18-PERALTE!$AB$18)*(RASANTE!F41-PERALTE!$AB$18)-2))))),IF(AND(AH!$H$24="Derecha",RASANTE!F41&lt;=PERALTE!$AB$22),IF(RASANTE!F41&lt;=PERALTE!$S$22,-2,IF(RASANTE!F41&lt;=PERALTE!$U$22,(-6/(PERALTE!$U$22-PERALTE!$S$22)*(RASANTE!F41-PERALTE!$S$22)-2),IF(RASANTE!F41&lt;=PERALTE!$X$22,-8,IF(RASANTE!F41&lt;=PERALTE!$Z$22,(-6/(PERALTE!$X$22-PERALTE!$Z$22)*(RASANTE!F41-PERALTE!$Z$22)-2),IF(RASANTE!F41&lt;=PERALTE!$AB$22,-2))))),IF(AND(AH!$H$24="Izquierda",RASANTE!F41&lt;=PERALTE!$AB$22),IF(RASANTE!F41&lt;=PERALTE!$Q$22,-2,IF(RASANTE!F41&lt;=PERALTE!$U$22,(10/(PERALTE!$U$22-PERALTE!$Q$22)*(RASANTE!F41-PERALTE!$Q$22)-2),IF(RASANTE!F41&lt;=PERALTE!$X$22,8,IF(RASANTE!F41&lt;=PERALTE!$AB$22,(10/(PERALTE!$X$22-PERALTE!$AB$22)*(RASANTE!F41-PERALTE!$AB$22)-2))))),IF(AND(AH!#REF!="Derecha",RASANTE!F41&lt;=PERALTE!#REF!),IF(RASANTE!F41&lt;=PERALTE!#REF!,-2,IF(RASANTE!F41&lt;=PERALTE!#REF!,(-6/(PERALTE!#REF!-PERALTE!#REF!)*(RASANTE!F41-PERALTE!#REF!)-2),IF(RASANTE!F41&lt;=PERALTE!#REF!,-8,IF(RASANTE!F41&lt;=PERALTE!#REF!,(-6/(PERALTE!#REF!-PERALTE!#REF!)*(RASANTE!F41-PERALTE!#REF!)-2),IF(RASANTE!F41&lt;=PERALTE!#REF!,-2))))),IF(AND(AH!#REF!="Izquierda",RASANTE!F41&lt;=PERALTE!#REF!),IF(RASANTE!F41&lt;=PERALTE!#REF!,-2,IF(RASANTE!F41&lt;=PERALTE!#REF!,(10/(PERALTE!#REF!-PERALTE!#REF!)*(RASANTE!F41-PERALTE!#REF!)-2),IF(RASANTE!F41&lt;=PERALTE!#REF!,8,IF(RASANTE!F41&lt;=PERALTE!#REF!,(10/(PERALTE!#REF!-PERALTE!#REF!)*(RASANTE!F41-PERALTE!#REF!)-2))))),IF(AND(AH!#REF!="Derecha",RASANTE!F41&lt;=PERALTE!$AB$26),IF(RASANTE!F41&lt;=PERALTE!$S$26,-2,IF(RASANTE!F41&lt;=PERALTE!$U$26,(-6/(PERALTE!$U$26-PERALTE!$S$26)*(RASANTE!F41-PERALTE!$S$26)-2),IF(RASANTE!F41&lt;=PERALTE!$X$26,-8,IF(RASANTE!F41&lt;=PERALTE!$Z$26,(-6/(PERALTE!$X$26-PERALTE!$Z$26)*(RASANTE!F41-PERALTE!$Z$26)-2),IF(RASANTE!F41&lt;=PERALTE!$AB$26,-2))))),IF(AND(AH!#REF!="Izquierda",RASANTE!F41&lt;=PERALTE!$AB$26),IF(RASANTE!F41&lt;=PERALTE!$Q$26,-2,IF(RASANTE!F41&lt;=PERALTE!$U$26,(10/(PERALTE!$U$26-PERALTE!$Q$26)*(RASANTE!F41-PERALTE!$Q$26)-2),IF(RASANTE!F41&lt;=PERALTE!$X$26,8,IF(RASANTE!F41&lt;=PERALTE!$AB$26,(10/(PERALTE!$X$26-PERALTE!$AB$26)*(RASANTE!F41-PERALTE!$AB$26)-2))))),IF(F41&lt;=PERALTE!#REF!,-2,"Abscisa fuera de la vía")))))))))))))))))))))</f>
        <v>-0.55434787764405691</v>
      </c>
      <c r="J41" s="28">
        <f t="shared" si="1"/>
        <v>1651.855</v>
      </c>
      <c r="K41" s="28">
        <f>+IF(AND(AV!$S$6&lt;F41,F41&lt;=AV!$T$6),AV!$P$6*((AV!$S$6-RASANTE!F41)/(AV!$N$6))^2,IF(AND(AV!$T$6&lt;RASANTE!F41,F41&lt;AV!$U$6),AV!$P$6*((AV!$U$6-RASANTE!F41)/(AV!$O$6))^2,IF(AND(AV!$S$8&lt;F41,F41&lt;=AV!$T$8),AV!$P$8*((AV!$S$8-RASANTE!F41)/(AV!$N$8))^2,IF(AND(AV!$T$8&lt;RASANTE!F41,F41&lt;AV!$U$8),AV!$P$8*((AV!$U$8-RASANTE!F41)/(AV!$O$8))^2,IF(AND(AV!$S$10&lt;F41,F41&lt;=AV!$T$10),AV!$P$10*((AV!$S$10-RASANTE!F41)/(AV!$N$10))^2,IF(AND(AV!$T$10&lt;RASANTE!F41,F41&lt;AV!$U$10),AV!$P$10*((AV!$U$10-RASANTE!F41)/(AV!$O$10))^2,IF(AND(AV!$S$12&lt;F41,F41&lt;=AV!$T$12),AV!$P$12*((AV!$S$12-RASANTE!F41)/(AV!$N$12))^2,IF(AND(AV!$T$12&lt;RASANTE!F41,F41&lt;AV!$U$12),AV!$P$12*((AV!$U$12-RASANTE!F41)/(AV!$O$12))^2,IF(AND(AV!$S$14&lt;F41,F41&lt;=AV!$T$14),AV!$P$14*((AV!$S$14-RASANTE!F41)/(AV!$N$14))^2,IF(AND(AV!$T$14&lt;RASANTE!F41,F41&lt;AV!$U$14),AV!$P$14*((AV!$U$14-RASANTE!F41)/(AV!$O$14))^2,IF(AND(AV!$S$16&lt;F41,F41&lt;=AV!$T$16),AV!$P$16*((AV!$S$16-RASANTE!F41)/(AV!$N$16))^2,IF(AND(AV!$T$16&lt;RASANTE!F41,F41&lt;AV!$U$16),AV!$P$16*((AV!$U$16-RASANTE!F41)/(AV!$O$16))^2,IF(AND(AV!$S$18&lt;F41,F41&lt;=AV!$T$18),AV!$P$18*((AV!$S$18-RASANTE!F41)/(AV!$N$18))^2,IF(AND(AV!$T$18&lt;RASANTE!F41,F41&lt;AV!$U$18),AV!$P$18*((AV!$U$18-RASANTE!F41)/(AV!$O$18))^2,IF(AND(AV!$S$20&lt;F41,F41&lt;=AV!$T$20),AV!$P$20*((AV!$S$20-RASANTE!F41)/(AV!$N$20))^2,IF(AND(AV!$T$20&lt;RASANTE!F41,F41&lt;AV!$U$20),AV!$P$20*((AV!$U$20-RASANTE!F41)/(AV!$O$20))^2,IF(AND(AV!$S$22&lt;F41,F41&lt;=AV!$T$22),AV!$P$22*((AV!$S$22-RASANTE!F41)/(AV!$N$22))^2,IF(AND(AV!$T$22&lt;RASANTE!F41,F41&lt;AV!$U$22),AV!$P$22*((AV!$U$22-RASANTE!F41)/(AV!$O$22))^2,IF(AND(AV!$S$24&lt;F41,F41&lt;=AV!$T$24),AV!$P$24*((AV!$S$24-RASANTE!F41)/(AV!$N$24))^2,IF(AND(AV!$T$24&lt;RASANTE!F41,F41&lt;AV!$U$24),AV!$P$24*((AV!$U$24-RASANTE!F41)/(AV!$O$24))^2,0))))))))))))))))))))</f>
        <v>-5.2080489366105417E-2</v>
      </c>
      <c r="L41" s="28">
        <f>+M41+H41%*PERALTE!$C$32</f>
        <v>1651.732919510634</v>
      </c>
      <c r="M41" s="28">
        <f t="shared" si="0"/>
        <v>1651.802919510634</v>
      </c>
      <c r="N41" s="28">
        <f>+M41+I41%*PERALTE!$C$32</f>
        <v>1651.7835173349165</v>
      </c>
      <c r="O41" s="92"/>
      <c r="P41" s="84"/>
      <c r="Q41" s="84"/>
      <c r="R41" s="84"/>
      <c r="S41" s="84"/>
      <c r="T41" s="84"/>
      <c r="U41" s="84"/>
      <c r="V41" s="84"/>
      <c r="W41" s="84"/>
      <c r="X41" s="84"/>
      <c r="Y41" s="84"/>
    </row>
    <row r="42" spans="1:25" ht="15.75" customHeight="1" x14ac:dyDescent="0.2">
      <c r="A42" s="90" t="s">
        <v>318</v>
      </c>
      <c r="B42" s="86"/>
      <c r="C42" s="86"/>
      <c r="D42" s="86"/>
      <c r="E42" s="136">
        <f>AV!C5</f>
        <v>3.1419999999999999</v>
      </c>
      <c r="F42" s="34">
        <f>PERALTE!AB6</f>
        <v>255.27060669608937</v>
      </c>
      <c r="G42" s="88">
        <f>IF(F42&lt;=AV!$T$6,AV!$C$5,IF(RASANTE!F42&lt;=AV!$T$8,AV!$C$7,IF(RASANTE!F42&lt;=AV!$T$10,AV!$C$9,IF(RASANTE!F42&lt;=AV!$T$12,AV!#REF!,IF(RASANTE!F42&lt;=AV!$T$14,AV!$C$11,IF(RASANTE!F42&lt;=AV!$T$16,AV!$C$13, IF(RASANTE!F42&lt;=AV!$T$18,AV!$C$15,IF(RASANTE!F42&lt;=AV!$T$20,AV!$C$19,IF(RASANTE!F42&lt;=AV!$T$22,AV!$C$21,IF(RASANTE!F42&lt;=AV!$T$24,AV!$C$23,AV!$C$25))))))))))</f>
        <v>3.1419999999999999</v>
      </c>
      <c r="H42" s="28">
        <f>+IF(AND(AH!$H$8="Izquierda",RASANTE!F42&lt;=PERALTE!$AB$6),IF(RASANTE!F42&lt;=PERALTE!$S$6,-2,IF(RASANTE!F42&lt;=PERALTE!$U$6,(-6/(PERALTE!$U$6-PERALTE!$S$6)*(RASANTE!F42-PERALTE!$S$6)-2),IF(RASANTE!F42&lt;=PERALTE!$X$6,-8,IF(RASANTE!F42&lt;=PERALTE!$Z$6,(-6/(PERALTE!$X$6-PERALTE!$Z$6)*(RASANTE!F42-PERALTE!$Z$6)-2),IF(RASANTE!F42&lt;=PERALTE!$AB$6,-2))))),IF(AND(AH!$H$8="Derecha",RASANTE!F42&lt;=PERALTE!$AB$6),IF(RASANTE!F42&lt;=PERALTE!$Q$6,-2,IF(RASANTE!F42&lt;=PERALTE!$U$6,(10/(PERALTE!$U$6-PERALTE!$Q$6)*(RASANTE!F42-PERALTE!$Q$6)-2),IF(RASANTE!F42&lt;=PERALTE!$X$6,8,IF(RASANTE!F42&lt;=PERALTE!$AB$6,(10/(PERALTE!$X$6-PERALTE!$AB$6)*(RASANTE!F42-PERALTE!$AB$6)-2))))),IF(AND(AH!$H$10="Izquierda",RASANTE!F42&lt;=PERALTE!$AB$8),IF(RASANTE!F42&lt;=PERALTE!$S$8,-2,IF(RASANTE!F42&lt;=PERALTE!$U$8,(-6/(PERALTE!$U$8-PERALTE!$S$8)*(RASANTE!F42-PERALTE!$S$8)-2),IF(RASANTE!F42&lt;=PERALTE!$X$8,-8,IF(RASANTE!F42&lt;=PERALTE!$Z$8,(-6/(PERALTE!$X$8-PERALTE!$Z$8)*(RASANTE!F42-PERALTE!$Z$8)-2),IF(RASANTE!F42&lt;=PERALTE!$AB$8,-2))))),IF(AND(AH!$H$10="Derecha",RASANTE!F42&lt;=PERALTE!$AB$8),IF(RASANTE!F42&lt;=PERALTE!$Q$8,-2,IF(RASANTE!F42&lt;=PERALTE!$U$8,(10/(PERALTE!$U$8-PERALTE!$Q$8)*(RASANTE!F42-PERALTE!$Q$8)-2),IF(RASANTE!F42&lt;=PERALTE!$X$8,8,IF(RASANTE!F42&lt;=PERALTE!$AB$8,(10/(PERALTE!$X$8-PERALTE!$AB$8)*(RASANTE!F42-PERALTE!$AB$8)-2))))),IF(AND(AH!$H$12="Izquierda",RASANTE!F42&lt;=PERALTE!$AB$10),IF(RASANTE!F42&lt;=PERALTE!$S$10,-2,IF(RASANTE!F42&lt;=PERALTE!$U$10,(-6/(PERALTE!$U$10-PERALTE!$S$10)*(RASANTE!F42-PERALTE!$S$10)-2),IF(RASANTE!F42&lt;=PERALTE!$X$10,-8,IF(RASANTE!F42&lt;=PERALTE!$Z$10,(-6/(PERALTE!$X$10-PERALTE!$Z$10)*(RASANTE!F42-PERALTE!$Z$10)-2),IF(RASANTE!F42&lt;=PERALTE!$AB$10,-2))))),IF(AND(AH!$H$12="Derecha",RASANTE!F42&lt;=PERALTE!$AB$10),IF(RASANTE!F42&lt;=PERALTE!$Q$10,-2,IF(RASANTE!F42&lt;=PERALTE!$U$10,(10/(PERALTE!$U$10-PERALTE!$Q$10)*(RASANTE!F42-PERALTE!$Q$10)-2),IF(RASANTE!F42&lt;=PERALTE!$X$10,8,IF(RASANTE!F42&lt;=PERALTE!$AB$10,(10/(PERALTE!$X$10-PERALTE!$AB$10)*(RASANTE!F42-PERALTE!$AB$10)-2))))),IF(AND(AH!$H$14="Izquierda",RASANTE!F42&lt;=PERALTE!$AB$12),IF(RASANTE!F42&lt;=PERALTE!$S$12,-2,IF(RASANTE!F42&lt;=PERALTE!$U$12,(-6/(PERALTE!$U$12-PERALTE!$S$12)*(RASANTE!F42-PERALTE!$S$12)-2),IF(RASANTE!F42&lt;=PERALTE!$X$12,-8,IF(RASANTE!F42&lt;=PERALTE!$Z$12,(-6/(PERALTE!$X$12-PERALTE!$Z$12)*(RASANTE!F42-PERALTE!$Z$12)-2),IF(RASANTE!F42&lt;=PERALTE!$AB$12,-2))))),IF(AND(AH!$H$14="Derecha",RASANTE!F42&lt;=PERALTE!$AB$12),IF(RASANTE!F42&lt;=PERALTE!$Q$12,-2,IF(RASANTE!F42&lt;=PERALTE!$U$12,(10/(PERALTE!$U$12-PERALTE!$Q$12)*(RASANTE!F42-PERALTE!$Q$12)-2),IF(RASANTE!F42&lt;=PERALTE!$X$12,8,IF(RASANTE!F42&lt;=PERALTE!$AB$12,(10/(PERALTE!$X$12-PERALTE!$AB$12)*(RASANTE!F42-PERALTE!$AB$12)-2))))),IF(AND(AH!$H$16="Izquierda",RASANTE!F42&lt;=PERALTE!$AB$14),IF(RASANTE!F42&lt;=PERALTE!$S$14,-2,IF(RASANTE!F42&lt;=PERALTE!$U$14,(-6/(PERALTE!$U$14-PERALTE!$S$14)*(RASANTE!F42-PERALTE!$S$14)-2),IF(RASANTE!F42&lt;=PERALTE!$X$14,-8,IF(RASANTE!F42&lt;=PERALTE!$Z$14,(-6/(PERALTE!$X$14-PERALTE!$Z$14)*(RASANTE!F42-PERALTE!$Z$14)-2),IF(RASANTE!F42&lt;=PERALTE!$AB$14,-2))))),IF(AND(AH!$H$16="Derecha",RASANTE!F42&lt;=PERALTE!$AB$14),IF(RASANTE!F42&lt;=PERALTE!$Q$14,-2,IF(RASANTE!F42&lt;=PERALTE!$U$14,(10/(PERALTE!$U$14-PERALTE!$Q$14)*(RASANTE!F42-PERALTE!$Q$14)-2),IF(RASANTE!F42&lt;=PERALTE!$X$14,8,IF(RASANTE!F42&lt;=PERALTE!$AB$14,(10/(PERALTE!$X$14-PERALTE!$AB$14)*(RASANTE!F42-PERALTE!$AB$14)-2))))),IF(AND(AH!$H$18="Izquierda",RASANTE!F42&lt;=PERALTE!$AB$16),IF(RASANTE!F42&lt;=PERALTE!$S$16,-2,IF(RASANTE!F42&lt;=PERALTE!$U$16,(-6/(PERALTE!$U$16-PERALTE!$S$16)*(RASANTE!F42-PERALTE!$S$16)-2),IF(RASANTE!F42&lt;=PERALTE!$X$16,-8,IF(RASANTE!F42&lt;=PERALTE!$Z$16,(-6/(PERALTE!$X$16-PERALTE!$Z$16)*(RASANTE!F42-PERALTE!$Z$16)-2),IF(RASANTE!F42&lt;=PERALTE!$AB$16,-2))))),IF(AND(AH!$H$18="Derecha",RASANTE!F42&lt;=PERALTE!$AB$16),IF(RASANTE!F42&lt;=PERALTE!$Q$16,-2,IF(RASANTE!F42&lt;=PERALTE!$U$16,(10/(PERALTE!$U$16-PERALTE!$Q$16)*(RASANTE!F42-PERALTE!$Q$16)-2),IF(RASANTE!F42&lt;=PERALTE!$X$16,8,IF(RASANTE!F42&lt;=PERALTE!$AB$16,(10/(PERALTE!$X$16-PERALTE!$AB$16)*(RASANTE!F42-PERALTE!$AB$16)-2))))),IF(AND(AH!$H$20="Izquierda",RASANTE!F42&lt;=PERALTE!$AB$18),IF(RASANTE!F42&lt;=PERALTE!$S$18,-2,IF(RASANTE!F42&lt;=PERALTE!$U$18,(-6/(PERALTE!$U$18-PERALTE!$S$18)*(RASANTE!F42-PERALTE!$S$18)-2),IF(RASANTE!F42&lt;=PERALTE!$X$18,-8,IF(RASANTE!F42&lt;=PERALTE!$Z$18,(-6/(PERALTE!$X$18-PERALTE!$Z$18)*(RASANTE!F42-PERALTE!$Z$18)-2),IF(RASANTE!F42&lt;=PERALTE!$AB$18,-2))))),IF(AND(AH!$H$20="Derecha",RASANTE!F42&lt;=PERALTE!$AB$18),IF(RASANTE!F42&lt;=PERALTE!$Q$18,-2,IF(RASANTE!F42&lt;=PERALTE!$U$18,(10/(PERALTE!$U$18-PERALTE!$Q$18)*(RASANTE!F42-PERALTE!$Q$18)-2),IF(RASANTE!F42&lt;=PERALTE!$X$18,8,IF(RASANTE!F42&lt;=PERALTE!$AB$18,(10/(PERALTE!$X$18-PERALTE!$AB$18)*(RASANTE!F42-PERALTE!$AB$18)-2))))),IF(AND(AH!$H$24="Izquierda",RASANTE!F42&lt;=PERALTE!$AB$22),IF(RASANTE!F42&lt;=PERALTE!$S$22,-2,IF(RASANTE!F42&lt;=PERALTE!$U$22,(-6/(PERALTE!$U$22-PERALTE!$S$22)*(RASANTE!F42-PERALTE!$S$22)-2),IF(RASANTE!F42&lt;=PERALTE!$X$22,-8,IF(RASANTE!F42&lt;=PERALTE!$Z$22,(-6/(PERALTE!$X$22-PERALTE!$Z$22)*(RASANTE!F42-PERALTE!$Z$22)-2),IF(RASANTE!F42&lt;=PERALTE!$AB$22,-2))))),IF(AND(AH!$H$24="Derecha",RASANTE!F42&lt;=PERALTE!$AB$22),IF(RASANTE!F42&lt;=PERALTE!$Q$22,-2,IF(RASANTE!F42&lt;=PERALTE!$U$22,(10/(PERALTE!$U$22-PERALTE!$Q$22)*(RASANTE!F42-PERALTE!$Q$22)-2),IF(RASANTE!F42&lt;=PERALTE!$X$22,8,IF(RASANTE!F42&lt;=PERALTE!$AB$22,(10/(PERALTE!$X$22-PERALTE!$AB$22)*(RASANTE!F42-PERALTE!$AB$22)-2))))),IF(AND(AH!#REF!="Izquierda",RASANTE!F42&lt;=PERALTE!#REF!),IF(RASANTE!F42&lt;=PERALTE!#REF!,-2,IF(RASANTE!F42&lt;=PERALTE!#REF!,(-6/(PERALTE!#REF!-PERALTE!#REF!)*(RASANTE!F42-PERALTE!#REF!)-2),IF(RASANTE!F42&lt;=PERALTE!#REF!,-8,IF(RASANTE!F42&lt;=PERALTE!#REF!,(-6/(PERALTE!#REF!-PERALTE!#REF!)*(RASANTE!F42-PERALTE!#REF!)-2),IF(RASANTE!F42&lt;=PERALTE!#REF!,-2))))),IF(AND(AH!#REF!="Derecha",RASANTE!F42&lt;=PERALTE!#REF!),IF(RASANTE!F42&lt;=PERALTE!#REF!,-2,IF(RASANTE!F42&lt;=PERALTE!#REF!,(10/(PERALTE!#REF!-PERALTE!#REF!)*(RASANTE!F42-PERALTE!#REF!)-2),IF(RASANTE!F42&lt;=PERALTE!#REF!,8,IF(RASANTE!F42&lt;=PERALTE!#REF!,(10/(PERALTE!#REF!-PERALTE!#REF!)*(RASANTE!F42-PERALTE!#REF!)-2))))),IF(AND(AH!#REF!="Izquierda",RASANTE!F42&lt;=PERALTE!$AB$26),IF(RASANTE!F42&lt;=PERALTE!$S$26,-2,IF(RASANTE!F42&lt;=PERALTE!$U$26,(-6/(PERALTE!$U$26-PERALTE!$S$26)*(RASANTE!F42-PERALTE!$S$26)-2),IF(RASANTE!F42&lt;=PERALTE!$X$26,-8,IF(RASANTE!F42&lt;=PERALTE!$Z$26,(-6/(PERALTE!$X$26-PERALTE!$Z$26)*(RASANTE!F42-PERALTE!$Z$26)-2),IF(RASANTE!F42&lt;=PERALTE!$AB$26,-2))))),IF(AND(AH!#REF!="Derecha",RASANTE!F42&lt;=PERALTE!$AB$26),IF(RASANTE!F42&lt;=PERALTE!$Q$26,-2,IF(RASANTE!F42&lt;=PERALTE!$U$26,(10/(PERALTE!$U$26-PERALTE!$Q$26)*(RASANTE!F42-PERALTE!$Q$26)-2),IF(RASANTE!F42&lt;=PERALTE!$X$26,8,IF(RASANTE!F42&lt;=PERALTE!$AB$26,(10/(PERALTE!$X$26-PERALTE!$AB$26)*(RASANTE!F42-PERALTE!$AB$26)-2))))),IF(F42&lt;=PERALTE!#REF!,-2,"Abscisa fuera de la vía")))))))))))))))))))))</f>
        <v>-2</v>
      </c>
      <c r="I42" s="28">
        <f>+IF(AND(AH!$H$8="Derecha",RASANTE!F42&lt;=PERALTE!$AB$6),IF(RASANTE!F42&lt;=PERALTE!$S$6,-2,IF(RASANTE!F42&lt;=PERALTE!$U$6,(-6/(PERALTE!$U$6-PERALTE!$S$6)*(RASANTE!F42-PERALTE!$S$6)-2),IF(RASANTE!F42&lt;=PERALTE!$X$6,-8,IF(RASANTE!F42&lt;=PERALTE!$Z$6,(-6/(PERALTE!$X$6-PERALTE!$Z$6)*(RASANTE!F42-PERALTE!$Z$6)-2),IF(RASANTE!F42&lt;=PERALTE!$AB$6,-2))))),IF(AND(AH!$H$8="Izquierda",RASANTE!F42&lt;=PERALTE!$AB$6),IF(RASANTE!F42&lt;=PERALTE!$Q$6,-2,IF(RASANTE!F42&lt;=PERALTE!$U$6,(10/(PERALTE!$U$6-PERALTE!$Q$6)*(RASANTE!F42-PERALTE!$Q$6)-2),IF(RASANTE!F42&lt;=PERALTE!$X$6,8,IF(RASANTE!F42&lt;=PERALTE!$AB$6,(10/(PERALTE!$X$6-PERALTE!$AB$6)*(RASANTE!F42-PERALTE!$AB$6)-2))))),IF(AND(AH!$H$10="Derecha",RASANTE!F42&lt;=PERALTE!$AB$8),IF(RASANTE!F42&lt;=PERALTE!$S$8,-2,IF(RASANTE!F42&lt;=PERALTE!$U$8,(-6/(PERALTE!$U$8-PERALTE!$S$8)*(RASANTE!F42-PERALTE!$S$8)-2),IF(RASANTE!F42&lt;=PERALTE!$X$8,-8,IF(RASANTE!F42&lt;=PERALTE!$Z$8,(-6/(PERALTE!$X$8-PERALTE!$Z$8)*(RASANTE!F42-PERALTE!$Z$8)-2),IF(RASANTE!F42&lt;=PERALTE!$AB$8,-2))))),IF(AND(AH!$H$10="Izquierda",RASANTE!F42&lt;=PERALTE!$AB$8),IF(RASANTE!F42&lt;=PERALTE!$Q$8,-2,IF(RASANTE!F42&lt;=PERALTE!$U$8,(10/(PERALTE!$U$8-PERALTE!$Q$8)*(RASANTE!F42-PERALTE!$Q$8)-2),IF(RASANTE!F42&lt;=PERALTE!$X$8,8,IF(RASANTE!F42&lt;=PERALTE!$AB$8,(10/(PERALTE!$X$8-PERALTE!$AB$8)*(RASANTE!F42-PERALTE!$AB$8)-2))))),IF(AND(AH!$H$12="Derecha",RASANTE!F42&lt;=PERALTE!$AB$10),IF(RASANTE!F42&lt;=PERALTE!$S$10,-2,IF(RASANTE!F42&lt;=PERALTE!$U$10,(-6/(PERALTE!$U$10-PERALTE!$S$10)*(RASANTE!F42-PERALTE!$S$10)-2),IF(RASANTE!F42&lt;=PERALTE!$X$10,-8,IF(RASANTE!F42&lt;=PERALTE!$Z$10,(-6/(PERALTE!$X$10-PERALTE!$Z$10)*(RASANTE!F42-PERALTE!$Z$10)-2),IF(RASANTE!F42&lt;=PERALTE!$AB$10,-2))))),IF(AND(AH!$H$12="Izquierda",RASANTE!F42&lt;=PERALTE!$AB$10),IF(RASANTE!F42&lt;=PERALTE!$Q$10,-2,IF(RASANTE!F42&lt;=PERALTE!$U$10,(10/(PERALTE!$U$10-PERALTE!$Q$10)*(RASANTE!F42-PERALTE!$Q$10)-2),IF(RASANTE!F42&lt;=PERALTE!$X$10,8,IF(RASANTE!F42&lt;=PERALTE!$AB$10,(10/(PERALTE!$X$10-PERALTE!$AB$10)*(RASANTE!F42-PERALTE!$AB$10)-2))))),IF(AND(AH!$H$14="Derecha",RASANTE!F42&lt;=PERALTE!$AB$12),IF(RASANTE!F42&lt;=PERALTE!$S$12,-2,IF(RASANTE!F42&lt;=PERALTE!$U$12,(-6/(PERALTE!$U$12-PERALTE!$S$12)*(RASANTE!F42-PERALTE!$S$12)-2),IF(RASANTE!F42&lt;=PERALTE!$X$12,-8,IF(RASANTE!F42&lt;=PERALTE!$Z$12,(-6/(PERALTE!$X$12-PERALTE!$Z$12)*(RASANTE!F42-PERALTE!$Z$12)-2),IF(RASANTE!F42&lt;=PERALTE!$AB$12,-2))))),IF(AND(AH!$H$14="Izquierda",RASANTE!F42&lt;=PERALTE!$AB$12),IF(RASANTE!F42&lt;=PERALTE!$Q$12,-2,IF(RASANTE!F42&lt;=PERALTE!$U$12,(10/(PERALTE!$U$12-PERALTE!$Q$12)*(RASANTE!F42-PERALTE!$Q$12)-2),IF(RASANTE!F42&lt;=PERALTE!$X$12,8,IF(RASANTE!F42&lt;=PERALTE!$AB$12,(10/(PERALTE!$X$12-PERALTE!$AB$12)*(RASANTE!F42-PERALTE!$AB$12)-2))))),IF(AND(AH!$H$16="Derecha",RASANTE!F42&lt;=PERALTE!$AB$14),IF(RASANTE!F42&lt;=PERALTE!$S$14,-2,IF(RASANTE!F42&lt;=PERALTE!$U$14,(-6/(PERALTE!$U$14-PERALTE!$S$14)*(RASANTE!F42-PERALTE!$S$14)-2),IF(RASANTE!F42&lt;=PERALTE!$X$14,-8,IF(RASANTE!F42&lt;=PERALTE!$Z$14,(-6/(PERALTE!$X$14-PERALTE!$Z$14)*(RASANTE!F42-PERALTE!$Z$14)-2),IF(RASANTE!F42&lt;=PERALTE!$AB$14,-2))))),IF(AND(AH!$H$16="Izquierda",RASANTE!F42&lt;=PERALTE!$AB$14),IF(RASANTE!F42&lt;=PERALTE!$Q$14,-2,IF(RASANTE!F42&lt;=PERALTE!$U$14,(10/(PERALTE!$U$14-PERALTE!$Q$14)*(RASANTE!F42-PERALTE!$Q$14)-2),IF(RASANTE!F42&lt;=PERALTE!$X$14,8,IF(RASANTE!F42&lt;=PERALTE!$AB$14,(10/(PERALTE!$X$14-PERALTE!$AB$14)*(RASANTE!F42-PERALTE!$AB$14)-2))))),IF(AND(AH!$H$18="Derecha",RASANTE!F42&lt;=PERALTE!$AB$16),IF(RASANTE!F42&lt;=PERALTE!$S$16,-2,IF(RASANTE!F42&lt;=PERALTE!$U$16,(-6/(PERALTE!$U$16-PERALTE!$S$16)*(RASANTE!F42-PERALTE!$S$16)-2),IF(RASANTE!F42&lt;=PERALTE!$X$16,-8,IF(RASANTE!F42&lt;=PERALTE!$Z$16,(-6/(PERALTE!$X$16-PERALTE!$Z$16)*(RASANTE!F42-PERALTE!$Z$16)-2),IF(RASANTE!F42&lt;=PERALTE!$AB$16,-2))))),IF(AND(AH!$H$18="Izquierda",RASANTE!F42&lt;=PERALTE!$AB$16),IF(RASANTE!F42&lt;=PERALTE!$Q$16,-2,IF(RASANTE!F42&lt;=PERALTE!$U$16,(10/(PERALTE!$U$16-PERALTE!$Q$16)*(RASANTE!F42-PERALTE!$Q$16)-2),IF(RASANTE!F42&lt;=PERALTE!$X$16,8,IF(RASANTE!F42&lt;=PERALTE!$AB$16,(10/(PERALTE!$X$16-PERALTE!$AB$16)*(RASANTE!F42-PERALTE!$AB$16)-2))))),IF(AND(AH!$H$20="Derecha",RASANTE!F42&lt;=PERALTE!$AB$18),IF(RASANTE!F42&lt;=PERALTE!$S$18,-2,IF(RASANTE!F42&lt;=PERALTE!$U$18,(-6/(PERALTE!$U$18-PERALTE!$S$18)*(RASANTE!F42-PERALTE!$S$18)-2),IF(RASANTE!F42&lt;=PERALTE!$X$18,-8,IF(RASANTE!F42&lt;=PERALTE!$Z$18,(-6/(PERALTE!$X$18-PERALTE!$Z$18)*(RASANTE!F42-PERALTE!$Z$18)-2),IF(RASANTE!F42&lt;=PERALTE!$AB$18,-2))))),IF(AND(AH!$H$20="Izquierda",RASANTE!F42&lt;=PERALTE!$AB$18),IF(RASANTE!F42&lt;=PERALTE!$Q$18,-2,IF(RASANTE!F42&lt;=PERALTE!$U$18,(10/(PERALTE!$U$18-PERALTE!$Q$18)*(RASANTE!F42-PERALTE!$Q$18)-2),IF(RASANTE!F42&lt;=PERALTE!$X$18,8,IF(RASANTE!F42&lt;=PERALTE!$AB$18,(10/(PERALTE!$X$18-PERALTE!$AB$18)*(RASANTE!F42-PERALTE!$AB$18)-2))))),IF(AND(AH!$H$24="Derecha",RASANTE!F42&lt;=PERALTE!$AB$22),IF(RASANTE!F42&lt;=PERALTE!$S$22,-2,IF(RASANTE!F42&lt;=PERALTE!$U$22,(-6/(PERALTE!$U$22-PERALTE!$S$22)*(RASANTE!F42-PERALTE!$S$22)-2),IF(RASANTE!F42&lt;=PERALTE!$X$22,-8,IF(RASANTE!F42&lt;=PERALTE!$Z$22,(-6/(PERALTE!$X$22-PERALTE!$Z$22)*(RASANTE!F42-PERALTE!$Z$22)-2),IF(RASANTE!F42&lt;=PERALTE!$AB$22,-2))))),IF(AND(AH!$H$24="Izquierda",RASANTE!F42&lt;=PERALTE!$AB$22),IF(RASANTE!F42&lt;=PERALTE!$Q$22,-2,IF(RASANTE!F42&lt;=PERALTE!$U$22,(10/(PERALTE!$U$22-PERALTE!$Q$22)*(RASANTE!F42-PERALTE!$Q$22)-2),IF(RASANTE!F42&lt;=PERALTE!$X$22,8,IF(RASANTE!F42&lt;=PERALTE!$AB$22,(10/(PERALTE!$X$22-PERALTE!$AB$22)*(RASANTE!F42-PERALTE!$AB$22)-2))))),IF(AND(AH!#REF!="Derecha",RASANTE!F42&lt;=PERALTE!#REF!),IF(RASANTE!F42&lt;=PERALTE!#REF!,-2,IF(RASANTE!F42&lt;=PERALTE!#REF!,(-6/(PERALTE!#REF!-PERALTE!#REF!)*(RASANTE!F42-PERALTE!#REF!)-2),IF(RASANTE!F42&lt;=PERALTE!#REF!,-8,IF(RASANTE!F42&lt;=PERALTE!#REF!,(-6/(PERALTE!#REF!-PERALTE!#REF!)*(RASANTE!F42-PERALTE!#REF!)-2),IF(RASANTE!F42&lt;=PERALTE!#REF!,-2))))),IF(AND(AH!#REF!="Izquierda",RASANTE!F42&lt;=PERALTE!#REF!),IF(RASANTE!F42&lt;=PERALTE!#REF!,-2,IF(RASANTE!F42&lt;=PERALTE!#REF!,(10/(PERALTE!#REF!-PERALTE!#REF!)*(RASANTE!F42-PERALTE!#REF!)-2),IF(RASANTE!F42&lt;=PERALTE!#REF!,8,IF(RASANTE!F42&lt;=PERALTE!#REF!,(10/(PERALTE!#REF!-PERALTE!#REF!)*(RASANTE!F42-PERALTE!#REF!)-2))))),IF(AND(AH!#REF!="Derecha",RASANTE!F42&lt;=PERALTE!$AB$26),IF(RASANTE!F42&lt;=PERALTE!$S$26,-2,IF(RASANTE!F42&lt;=PERALTE!$U$26,(-6/(PERALTE!$U$26-PERALTE!$S$26)*(RASANTE!F42-PERALTE!$S$26)-2),IF(RASANTE!F42&lt;=PERALTE!$X$26,-8,IF(RASANTE!F42&lt;=PERALTE!$Z$26,(-6/(PERALTE!$X$26-PERALTE!$Z$26)*(RASANTE!F42-PERALTE!$Z$26)-2),IF(RASANTE!F42&lt;=PERALTE!$AB$26,-2))))),IF(AND(AH!#REF!="Izquierda",RASANTE!F42&lt;=PERALTE!$AB$26),IF(RASANTE!F42&lt;=PERALTE!$Q$26,-2,IF(RASANTE!F42&lt;=PERALTE!$U$26,(10/(PERALTE!$U$26-PERALTE!$Q$26)*(RASANTE!F42-PERALTE!$Q$26)-2),IF(RASANTE!F42&lt;=PERALTE!$X$26,8,IF(RASANTE!F42&lt;=PERALTE!$AB$26,(10/(PERALTE!$X$26-PERALTE!$AB$26)*(RASANTE!F42-PERALTE!$AB$26)-2))))),IF(F42&lt;=PERALTE!#REF!,-2,"Abscisa fuera de la vía")))))))))))))))))))))</f>
        <v>-2</v>
      </c>
      <c r="J42" s="28">
        <f t="shared" si="1"/>
        <v>1652.0206024623913</v>
      </c>
      <c r="K42" s="28">
        <f>+IF(AND(AV!$S$6&lt;F42,F42&lt;=AV!$T$6),AV!$P$6*((AV!$S$6-RASANTE!F42)/(AV!$N$6))^2,IF(AND(AV!$T$6&lt;RASANTE!F42,F42&lt;AV!$U$6),AV!$P$6*((AV!$U$6-RASANTE!F42)/(AV!$O$6))^2,IF(AND(AV!$S$8&lt;F42,F42&lt;=AV!$T$8),AV!$P$8*((AV!$S$8-RASANTE!F42)/(AV!$N$8))^2,IF(AND(AV!$T$8&lt;RASANTE!F42,F42&lt;AV!$U$8),AV!$P$8*((AV!$U$8-RASANTE!F42)/(AV!$O$8))^2,IF(AND(AV!$S$10&lt;F42,F42&lt;=AV!$T$10),AV!$P$10*((AV!$S$10-RASANTE!F42)/(AV!$N$10))^2,IF(AND(AV!$T$10&lt;RASANTE!F42,F42&lt;AV!$U$10),AV!$P$10*((AV!$U$10-RASANTE!F42)/(AV!$O$10))^2,IF(AND(AV!$S$12&lt;F42,F42&lt;=AV!$T$12),AV!$P$12*((AV!$S$12-RASANTE!F42)/(AV!$N$12))^2,IF(AND(AV!$T$12&lt;RASANTE!F42,F42&lt;AV!$U$12),AV!$P$12*((AV!$U$12-RASANTE!F42)/(AV!$O$12))^2,IF(AND(AV!$S$14&lt;F42,F42&lt;=AV!$T$14),AV!$P$14*((AV!$S$14-RASANTE!F42)/(AV!$N$14))^2,IF(AND(AV!$T$14&lt;RASANTE!F42,F42&lt;AV!$U$14),AV!$P$14*((AV!$U$14-RASANTE!F42)/(AV!$O$14))^2,IF(AND(AV!$S$16&lt;F42,F42&lt;=AV!$T$16),AV!$P$16*((AV!$S$16-RASANTE!F42)/(AV!$N$16))^2,IF(AND(AV!$T$16&lt;RASANTE!F42,F42&lt;AV!$U$16),AV!$P$16*((AV!$U$16-RASANTE!F42)/(AV!$O$16))^2,IF(AND(AV!$S$18&lt;F42,F42&lt;=AV!$T$18),AV!$P$18*((AV!$S$18-RASANTE!F42)/(AV!$N$18))^2,IF(AND(AV!$T$18&lt;RASANTE!F42,F42&lt;AV!$U$18),AV!$P$18*((AV!$U$18-RASANTE!F42)/(AV!$O$18))^2,IF(AND(AV!$S$20&lt;F42,F42&lt;=AV!$T$20),AV!$P$20*((AV!$S$20-RASANTE!F42)/(AV!$N$20))^2,IF(AND(AV!$T$20&lt;RASANTE!F42,F42&lt;AV!$U$20),AV!$P$20*((AV!$U$20-RASANTE!F42)/(AV!$O$20))^2,IF(AND(AV!$S$22&lt;F42,F42&lt;=AV!$T$22),AV!$P$22*((AV!$S$22-RASANTE!F42)/(AV!$N$22))^2,IF(AND(AV!$T$22&lt;RASANTE!F42,F42&lt;AV!$U$22),AV!$P$22*((AV!$U$22-RASANTE!F42)/(AV!$O$22))^2,IF(AND(AV!$S$24&lt;F42,F42&lt;=AV!$T$24),AV!$P$24*((AV!$S$24-RASANTE!F42)/(AV!$N$24))^2,IF(AND(AV!$T$24&lt;RASANTE!F42,F42&lt;AV!$U$24),AV!$P$24*((AV!$U$24-RASANTE!F42)/(AV!$O$24))^2,0))))))))))))))))))))</f>
        <v>-0.12570154833489525</v>
      </c>
      <c r="L42" s="28">
        <f>+M42+H42%*PERALTE!$C$32</f>
        <v>1651.8249009140563</v>
      </c>
      <c r="M42" s="28">
        <f t="shared" ref="M42:M105" si="3">J42+K42</f>
        <v>1651.8949009140563</v>
      </c>
      <c r="N42" s="28">
        <f>+M42+I42%*PERALTE!$C$32</f>
        <v>1651.8249009140563</v>
      </c>
      <c r="O42" s="92"/>
      <c r="P42" s="84"/>
      <c r="Q42" s="84"/>
      <c r="R42" s="84"/>
      <c r="S42" s="84"/>
      <c r="T42" s="84"/>
      <c r="U42" s="84"/>
      <c r="V42" s="84"/>
      <c r="W42" s="84"/>
      <c r="X42" s="84"/>
      <c r="Y42" s="84"/>
    </row>
    <row r="43" spans="1:25" ht="15.75" customHeight="1" x14ac:dyDescent="0.2">
      <c r="A43" s="90"/>
      <c r="B43" s="86"/>
      <c r="C43" s="86"/>
      <c r="D43" s="86"/>
      <c r="E43" s="137">
        <f>AV!C7</f>
        <v>-7.774</v>
      </c>
      <c r="F43" s="34">
        <v>260</v>
      </c>
      <c r="G43" s="88">
        <f>IF(F43&lt;=AV!$T$6,AV!$C$5,IF(RASANTE!F43&lt;=AV!$T$8,AV!$C$7,IF(RASANTE!F43&lt;=AV!$T$10,AV!$C$9,IF(RASANTE!F43&lt;=AV!$T$12,AV!#REF!,IF(RASANTE!F43&lt;=AV!$T$14,AV!$C$11,IF(RASANTE!F43&lt;=AV!$T$16,AV!$C$13, IF(RASANTE!F43&lt;=AV!$T$18,AV!$C$15,IF(RASANTE!F43&lt;=AV!$T$20,AV!$C$19,IF(RASANTE!F43&lt;=AV!$T$22,AV!$C$21,IF(RASANTE!F43&lt;=AV!$T$24,AV!$C$23,AV!$C$25))))))))))</f>
        <v>3.1419999999999999</v>
      </c>
      <c r="H43" s="28">
        <f>+IF(AND(AH!$H$8="Izquierda",RASANTE!F43&lt;=PERALTE!$AB$6),IF(RASANTE!F43&lt;=PERALTE!$S$6,-2,IF(RASANTE!F43&lt;=PERALTE!$U$6,(-6/(PERALTE!$U$6-PERALTE!$S$6)*(RASANTE!F43-PERALTE!$S$6)-2),IF(RASANTE!F43&lt;=PERALTE!$X$6,-8,IF(RASANTE!F43&lt;=PERALTE!$Z$6,(-6/(PERALTE!$X$6-PERALTE!$Z$6)*(RASANTE!F43-PERALTE!$Z$6)-2),IF(RASANTE!F43&lt;=PERALTE!$AB$6,-2))))),IF(AND(AH!$H$8="Derecha",RASANTE!F43&lt;=PERALTE!$AB$6),IF(RASANTE!F43&lt;=PERALTE!$Q$6,-2,IF(RASANTE!F43&lt;=PERALTE!$U$6,(10/(PERALTE!$U$6-PERALTE!$Q$6)*(RASANTE!F43-PERALTE!$Q$6)-2),IF(RASANTE!F43&lt;=PERALTE!$X$6,8,IF(RASANTE!F43&lt;=PERALTE!$AB$6,(10/(PERALTE!$X$6-PERALTE!$AB$6)*(RASANTE!F43-PERALTE!$AB$6)-2))))),IF(AND(AH!$H$10="Izquierda",RASANTE!F43&lt;=PERALTE!$AB$8),IF(RASANTE!F43&lt;=PERALTE!$S$8,-2,IF(RASANTE!F43&lt;=PERALTE!$U$8,(-6/(PERALTE!$U$8-PERALTE!$S$8)*(RASANTE!F43-PERALTE!$S$8)-2),IF(RASANTE!F43&lt;=PERALTE!$X$8,-8,IF(RASANTE!F43&lt;=PERALTE!$Z$8,(-6/(PERALTE!$X$8-PERALTE!$Z$8)*(RASANTE!F43-PERALTE!$Z$8)-2),IF(RASANTE!F43&lt;=PERALTE!$AB$8,-2))))),IF(AND(AH!$H$10="Derecha",RASANTE!F43&lt;=PERALTE!$AB$8),IF(RASANTE!F43&lt;=PERALTE!$Q$8,-2,IF(RASANTE!F43&lt;=PERALTE!$U$8,(10/(PERALTE!$U$8-PERALTE!$Q$8)*(RASANTE!F43-PERALTE!$Q$8)-2),IF(RASANTE!F43&lt;=PERALTE!$X$8,8,IF(RASANTE!F43&lt;=PERALTE!$AB$8,(10/(PERALTE!$X$8-PERALTE!$AB$8)*(RASANTE!F43-PERALTE!$AB$8)-2))))),IF(AND(AH!$H$12="Izquierda",RASANTE!F43&lt;=PERALTE!$AB$10),IF(RASANTE!F43&lt;=PERALTE!$S$10,-2,IF(RASANTE!F43&lt;=PERALTE!$U$10,(-6/(PERALTE!$U$10-PERALTE!$S$10)*(RASANTE!F43-PERALTE!$S$10)-2),IF(RASANTE!F43&lt;=PERALTE!$X$10,-8,IF(RASANTE!F43&lt;=PERALTE!$Z$10,(-6/(PERALTE!$X$10-PERALTE!$Z$10)*(RASANTE!F43-PERALTE!$Z$10)-2),IF(RASANTE!F43&lt;=PERALTE!$AB$10,-2))))),IF(AND(AH!$H$12="Derecha",RASANTE!F43&lt;=PERALTE!$AB$10),IF(RASANTE!F43&lt;=PERALTE!$Q$10,-2,IF(RASANTE!F43&lt;=PERALTE!$U$10,(10/(PERALTE!$U$10-PERALTE!$Q$10)*(RASANTE!F43-PERALTE!$Q$10)-2),IF(RASANTE!F43&lt;=PERALTE!$X$10,8,IF(RASANTE!F43&lt;=PERALTE!$AB$10,(10/(PERALTE!$X$10-PERALTE!$AB$10)*(RASANTE!F43-PERALTE!$AB$10)-2))))),IF(AND(AH!$H$14="Izquierda",RASANTE!F43&lt;=PERALTE!$AB$12),IF(RASANTE!F43&lt;=PERALTE!$S$12,-2,IF(RASANTE!F43&lt;=PERALTE!$U$12,(-6/(PERALTE!$U$12-PERALTE!$S$12)*(RASANTE!F43-PERALTE!$S$12)-2),IF(RASANTE!F43&lt;=PERALTE!$X$12,-8,IF(RASANTE!F43&lt;=PERALTE!$Z$12,(-6/(PERALTE!$X$12-PERALTE!$Z$12)*(RASANTE!F43-PERALTE!$Z$12)-2),IF(RASANTE!F43&lt;=PERALTE!$AB$12,-2))))),IF(AND(AH!$H$14="Derecha",RASANTE!F43&lt;=PERALTE!$AB$12),IF(RASANTE!F43&lt;=PERALTE!$Q$12,-2,IF(RASANTE!F43&lt;=PERALTE!$U$12,(10/(PERALTE!$U$12-PERALTE!$Q$12)*(RASANTE!F43-PERALTE!$Q$12)-2),IF(RASANTE!F43&lt;=PERALTE!$X$12,8,IF(RASANTE!F43&lt;=PERALTE!$AB$12,(10/(PERALTE!$X$12-PERALTE!$AB$12)*(RASANTE!F43-PERALTE!$AB$12)-2))))),IF(AND(AH!$H$16="Izquierda",RASANTE!F43&lt;=PERALTE!$AB$14),IF(RASANTE!F43&lt;=PERALTE!$S$14,-2,IF(RASANTE!F43&lt;=PERALTE!$U$14,(-6/(PERALTE!$U$14-PERALTE!$S$14)*(RASANTE!F43-PERALTE!$S$14)-2),IF(RASANTE!F43&lt;=PERALTE!$X$14,-8,IF(RASANTE!F43&lt;=PERALTE!$Z$14,(-6/(PERALTE!$X$14-PERALTE!$Z$14)*(RASANTE!F43-PERALTE!$Z$14)-2),IF(RASANTE!F43&lt;=PERALTE!$AB$14,-2))))),IF(AND(AH!$H$16="Derecha",RASANTE!F43&lt;=PERALTE!$AB$14),IF(RASANTE!F43&lt;=PERALTE!$Q$14,-2,IF(RASANTE!F43&lt;=PERALTE!$U$14,(10/(PERALTE!$U$14-PERALTE!$Q$14)*(RASANTE!F43-PERALTE!$Q$14)-2),IF(RASANTE!F43&lt;=PERALTE!$X$14,8,IF(RASANTE!F43&lt;=PERALTE!$AB$14,(10/(PERALTE!$X$14-PERALTE!$AB$14)*(RASANTE!F43-PERALTE!$AB$14)-2))))),IF(AND(AH!$H$18="Izquierda",RASANTE!F43&lt;=PERALTE!$AB$16),IF(RASANTE!F43&lt;=PERALTE!$S$16,-2,IF(RASANTE!F43&lt;=PERALTE!$U$16,(-6/(PERALTE!$U$16-PERALTE!$S$16)*(RASANTE!F43-PERALTE!$S$16)-2),IF(RASANTE!F43&lt;=PERALTE!$X$16,-8,IF(RASANTE!F43&lt;=PERALTE!$Z$16,(-6/(PERALTE!$X$16-PERALTE!$Z$16)*(RASANTE!F43-PERALTE!$Z$16)-2),IF(RASANTE!F43&lt;=PERALTE!$AB$16,-2))))),IF(AND(AH!$H$18="Derecha",RASANTE!F43&lt;=PERALTE!$AB$16),IF(RASANTE!F43&lt;=PERALTE!$Q$16,-2,IF(RASANTE!F43&lt;=PERALTE!$U$16,(10/(PERALTE!$U$16-PERALTE!$Q$16)*(RASANTE!F43-PERALTE!$Q$16)-2),IF(RASANTE!F43&lt;=PERALTE!$X$16,8,IF(RASANTE!F43&lt;=PERALTE!$AB$16,(10/(PERALTE!$X$16-PERALTE!$AB$16)*(RASANTE!F43-PERALTE!$AB$16)-2))))),IF(AND(AH!$H$20="Izquierda",RASANTE!F43&lt;=PERALTE!$AB$18),IF(RASANTE!F43&lt;=PERALTE!$S$18,-2,IF(RASANTE!F43&lt;=PERALTE!$U$18,(-6/(PERALTE!$U$18-PERALTE!$S$18)*(RASANTE!F43-PERALTE!$S$18)-2),IF(RASANTE!F43&lt;=PERALTE!$X$18,-8,IF(RASANTE!F43&lt;=PERALTE!$Z$18,(-6/(PERALTE!$X$18-PERALTE!$Z$18)*(RASANTE!F43-PERALTE!$Z$18)-2),IF(RASANTE!F43&lt;=PERALTE!$AB$18,-2))))),IF(AND(AH!$H$20="Derecha",RASANTE!F43&lt;=PERALTE!$AB$18),IF(RASANTE!F43&lt;=PERALTE!$Q$18,-2,IF(RASANTE!F43&lt;=PERALTE!$U$18,(10/(PERALTE!$U$18-PERALTE!$Q$18)*(RASANTE!F43-PERALTE!$Q$18)-2),IF(RASANTE!F43&lt;=PERALTE!$X$18,8,IF(RASANTE!F43&lt;=PERALTE!$AB$18,(10/(PERALTE!$X$18-PERALTE!$AB$18)*(RASANTE!F43-PERALTE!$AB$18)-2))))),IF(AND(AH!$H$24="Izquierda",RASANTE!F43&lt;=PERALTE!$AB$22),IF(RASANTE!F43&lt;=PERALTE!$S$22,-2,IF(RASANTE!F43&lt;=PERALTE!$U$22,(-6/(PERALTE!$U$22-PERALTE!$S$22)*(RASANTE!F43-PERALTE!$S$22)-2),IF(RASANTE!F43&lt;=PERALTE!$X$22,-8,IF(RASANTE!F43&lt;=PERALTE!$Z$22,(-6/(PERALTE!$X$22-PERALTE!$Z$22)*(RASANTE!F43-PERALTE!$Z$22)-2),IF(RASANTE!F43&lt;=PERALTE!$AB$22,-2))))),IF(AND(AH!$H$24="Derecha",RASANTE!F43&lt;=PERALTE!$AB$22),IF(RASANTE!F43&lt;=PERALTE!$Q$22,-2,IF(RASANTE!F43&lt;=PERALTE!$U$22,(10/(PERALTE!$U$22-PERALTE!$Q$22)*(RASANTE!F43-PERALTE!$Q$22)-2),IF(RASANTE!F43&lt;=PERALTE!$X$22,8,IF(RASANTE!F43&lt;=PERALTE!$AB$22,(10/(PERALTE!$X$22-PERALTE!$AB$22)*(RASANTE!F43-PERALTE!$AB$22)-2))))),IF(AND(AH!#REF!="Izquierda",RASANTE!F43&lt;=PERALTE!#REF!),IF(RASANTE!F43&lt;=PERALTE!#REF!,-2,IF(RASANTE!F43&lt;=PERALTE!#REF!,(-6/(PERALTE!#REF!-PERALTE!#REF!)*(RASANTE!F43-PERALTE!#REF!)-2),IF(RASANTE!F43&lt;=PERALTE!#REF!,-8,IF(RASANTE!F43&lt;=PERALTE!#REF!,(-6/(PERALTE!#REF!-PERALTE!#REF!)*(RASANTE!F43-PERALTE!#REF!)-2),IF(RASANTE!F43&lt;=PERALTE!#REF!,-2))))),IF(AND(AH!#REF!="Derecha",RASANTE!F43&lt;=PERALTE!#REF!),IF(RASANTE!F43&lt;=PERALTE!#REF!,-2,IF(RASANTE!F43&lt;=PERALTE!#REF!,(10/(PERALTE!#REF!-PERALTE!#REF!)*(RASANTE!F43-PERALTE!#REF!)-2),IF(RASANTE!F43&lt;=PERALTE!#REF!,8,IF(RASANTE!F43&lt;=PERALTE!#REF!,(10/(PERALTE!#REF!-PERALTE!#REF!)*(RASANTE!F43-PERALTE!#REF!)-2))))),IF(AND(AH!#REF!="Izquierda",RASANTE!F43&lt;=PERALTE!$AB$26),IF(RASANTE!F43&lt;=PERALTE!$S$26,-2,IF(RASANTE!F43&lt;=PERALTE!$U$26,(-6/(PERALTE!$U$26-PERALTE!$S$26)*(RASANTE!F43-PERALTE!$S$26)-2),IF(RASANTE!F43&lt;=PERALTE!$X$26,-8,IF(RASANTE!F43&lt;=PERALTE!$Z$26,(-6/(PERALTE!$X$26-PERALTE!$Z$26)*(RASANTE!F43-PERALTE!$Z$26)-2),IF(RASANTE!F43&lt;=PERALTE!$AB$26,-2))))),IF(AND(AH!#REF!="Derecha",RASANTE!F43&lt;=PERALTE!$AB$26),IF(RASANTE!F43&lt;=PERALTE!$Q$26,-2,IF(RASANTE!F43&lt;=PERALTE!$U$26,(10/(PERALTE!$U$26-PERALTE!$Q$26)*(RASANTE!F43-PERALTE!$Q$26)-2),IF(RASANTE!F43&lt;=PERALTE!$X$26,8,IF(RASANTE!F43&lt;=PERALTE!$AB$26,(10/(PERALTE!$X$26-PERALTE!$AB$26)*(RASANTE!F43-PERALTE!$AB$26)-2))))),IF(F43&lt;=PERALTE!#REF!,-2,"Abscisa fuera de la vía")))))))))))))))))))))</f>
        <v>-2</v>
      </c>
      <c r="I43" s="28">
        <f>+IF(AND(AH!$H$8="Derecha",RASANTE!F43&lt;=PERALTE!$AB$6),IF(RASANTE!F43&lt;=PERALTE!$S$6,-2,IF(RASANTE!F43&lt;=PERALTE!$U$6,(-6/(PERALTE!$U$6-PERALTE!$S$6)*(RASANTE!F43-PERALTE!$S$6)-2),IF(RASANTE!F43&lt;=PERALTE!$X$6,-8,IF(RASANTE!F43&lt;=PERALTE!$Z$6,(-6/(PERALTE!$X$6-PERALTE!$Z$6)*(RASANTE!F43-PERALTE!$Z$6)-2),IF(RASANTE!F43&lt;=PERALTE!$AB$6,-2))))),IF(AND(AH!$H$8="Izquierda",RASANTE!F43&lt;=PERALTE!$AB$6),IF(RASANTE!F43&lt;=PERALTE!$Q$6,-2,IF(RASANTE!F43&lt;=PERALTE!$U$6,(10/(PERALTE!$U$6-PERALTE!$Q$6)*(RASANTE!F43-PERALTE!$Q$6)-2),IF(RASANTE!F43&lt;=PERALTE!$X$6,8,IF(RASANTE!F43&lt;=PERALTE!$AB$6,(10/(PERALTE!$X$6-PERALTE!$AB$6)*(RASANTE!F43-PERALTE!$AB$6)-2))))),IF(AND(AH!$H$10="Derecha",RASANTE!F43&lt;=PERALTE!$AB$8),IF(RASANTE!F43&lt;=PERALTE!$S$8,-2,IF(RASANTE!F43&lt;=PERALTE!$U$8,(-6/(PERALTE!$U$8-PERALTE!$S$8)*(RASANTE!F43-PERALTE!$S$8)-2),IF(RASANTE!F43&lt;=PERALTE!$X$8,-8,IF(RASANTE!F43&lt;=PERALTE!$Z$8,(-6/(PERALTE!$X$8-PERALTE!$Z$8)*(RASANTE!F43-PERALTE!$Z$8)-2),IF(RASANTE!F43&lt;=PERALTE!$AB$8,-2))))),IF(AND(AH!$H$10="Izquierda",RASANTE!F43&lt;=PERALTE!$AB$8),IF(RASANTE!F43&lt;=PERALTE!$Q$8,-2,IF(RASANTE!F43&lt;=PERALTE!$U$8,(10/(PERALTE!$U$8-PERALTE!$Q$8)*(RASANTE!F43-PERALTE!$Q$8)-2),IF(RASANTE!F43&lt;=PERALTE!$X$8,8,IF(RASANTE!F43&lt;=PERALTE!$AB$8,(10/(PERALTE!$X$8-PERALTE!$AB$8)*(RASANTE!F43-PERALTE!$AB$8)-2))))),IF(AND(AH!$H$12="Derecha",RASANTE!F43&lt;=PERALTE!$AB$10),IF(RASANTE!F43&lt;=PERALTE!$S$10,-2,IF(RASANTE!F43&lt;=PERALTE!$U$10,(-6/(PERALTE!$U$10-PERALTE!$S$10)*(RASANTE!F43-PERALTE!$S$10)-2),IF(RASANTE!F43&lt;=PERALTE!$X$10,-8,IF(RASANTE!F43&lt;=PERALTE!$Z$10,(-6/(PERALTE!$X$10-PERALTE!$Z$10)*(RASANTE!F43-PERALTE!$Z$10)-2),IF(RASANTE!F43&lt;=PERALTE!$AB$10,-2))))),IF(AND(AH!$H$12="Izquierda",RASANTE!F43&lt;=PERALTE!$AB$10),IF(RASANTE!F43&lt;=PERALTE!$Q$10,-2,IF(RASANTE!F43&lt;=PERALTE!$U$10,(10/(PERALTE!$U$10-PERALTE!$Q$10)*(RASANTE!F43-PERALTE!$Q$10)-2),IF(RASANTE!F43&lt;=PERALTE!$X$10,8,IF(RASANTE!F43&lt;=PERALTE!$AB$10,(10/(PERALTE!$X$10-PERALTE!$AB$10)*(RASANTE!F43-PERALTE!$AB$10)-2))))),IF(AND(AH!$H$14="Derecha",RASANTE!F43&lt;=PERALTE!$AB$12),IF(RASANTE!F43&lt;=PERALTE!$S$12,-2,IF(RASANTE!F43&lt;=PERALTE!$U$12,(-6/(PERALTE!$U$12-PERALTE!$S$12)*(RASANTE!F43-PERALTE!$S$12)-2),IF(RASANTE!F43&lt;=PERALTE!$X$12,-8,IF(RASANTE!F43&lt;=PERALTE!$Z$12,(-6/(PERALTE!$X$12-PERALTE!$Z$12)*(RASANTE!F43-PERALTE!$Z$12)-2),IF(RASANTE!F43&lt;=PERALTE!$AB$12,-2))))),IF(AND(AH!$H$14="Izquierda",RASANTE!F43&lt;=PERALTE!$AB$12),IF(RASANTE!F43&lt;=PERALTE!$Q$12,-2,IF(RASANTE!F43&lt;=PERALTE!$U$12,(10/(PERALTE!$U$12-PERALTE!$Q$12)*(RASANTE!F43-PERALTE!$Q$12)-2),IF(RASANTE!F43&lt;=PERALTE!$X$12,8,IF(RASANTE!F43&lt;=PERALTE!$AB$12,(10/(PERALTE!$X$12-PERALTE!$AB$12)*(RASANTE!F43-PERALTE!$AB$12)-2))))),IF(AND(AH!$H$16="Derecha",RASANTE!F43&lt;=PERALTE!$AB$14),IF(RASANTE!F43&lt;=PERALTE!$S$14,-2,IF(RASANTE!F43&lt;=PERALTE!$U$14,(-6/(PERALTE!$U$14-PERALTE!$S$14)*(RASANTE!F43-PERALTE!$S$14)-2),IF(RASANTE!F43&lt;=PERALTE!$X$14,-8,IF(RASANTE!F43&lt;=PERALTE!$Z$14,(-6/(PERALTE!$X$14-PERALTE!$Z$14)*(RASANTE!F43-PERALTE!$Z$14)-2),IF(RASANTE!F43&lt;=PERALTE!$AB$14,-2))))),IF(AND(AH!$H$16="Izquierda",RASANTE!F43&lt;=PERALTE!$AB$14),IF(RASANTE!F43&lt;=PERALTE!$Q$14,-2,IF(RASANTE!F43&lt;=PERALTE!$U$14,(10/(PERALTE!$U$14-PERALTE!$Q$14)*(RASANTE!F43-PERALTE!$Q$14)-2),IF(RASANTE!F43&lt;=PERALTE!$X$14,8,IF(RASANTE!F43&lt;=PERALTE!$AB$14,(10/(PERALTE!$X$14-PERALTE!$AB$14)*(RASANTE!F43-PERALTE!$AB$14)-2))))),IF(AND(AH!$H$18="Derecha",RASANTE!F43&lt;=PERALTE!$AB$16),IF(RASANTE!F43&lt;=PERALTE!$S$16,-2,IF(RASANTE!F43&lt;=PERALTE!$U$16,(-6/(PERALTE!$U$16-PERALTE!$S$16)*(RASANTE!F43-PERALTE!$S$16)-2),IF(RASANTE!F43&lt;=PERALTE!$X$16,-8,IF(RASANTE!F43&lt;=PERALTE!$Z$16,(-6/(PERALTE!$X$16-PERALTE!$Z$16)*(RASANTE!F43-PERALTE!$Z$16)-2),IF(RASANTE!F43&lt;=PERALTE!$AB$16,-2))))),IF(AND(AH!$H$18="Izquierda",RASANTE!F43&lt;=PERALTE!$AB$16),IF(RASANTE!F43&lt;=PERALTE!$Q$16,-2,IF(RASANTE!F43&lt;=PERALTE!$U$16,(10/(PERALTE!$U$16-PERALTE!$Q$16)*(RASANTE!F43-PERALTE!$Q$16)-2),IF(RASANTE!F43&lt;=PERALTE!$X$16,8,IF(RASANTE!F43&lt;=PERALTE!$AB$16,(10/(PERALTE!$X$16-PERALTE!$AB$16)*(RASANTE!F43-PERALTE!$AB$16)-2))))),IF(AND(AH!$H$20="Derecha",RASANTE!F43&lt;=PERALTE!$AB$18),IF(RASANTE!F43&lt;=PERALTE!$S$18,-2,IF(RASANTE!F43&lt;=PERALTE!$U$18,(-6/(PERALTE!$U$18-PERALTE!$S$18)*(RASANTE!F43-PERALTE!$S$18)-2),IF(RASANTE!F43&lt;=PERALTE!$X$18,-8,IF(RASANTE!F43&lt;=PERALTE!$Z$18,(-6/(PERALTE!$X$18-PERALTE!$Z$18)*(RASANTE!F43-PERALTE!$Z$18)-2),IF(RASANTE!F43&lt;=PERALTE!$AB$18,-2))))),IF(AND(AH!$H$20="Izquierda",RASANTE!F43&lt;=PERALTE!$AB$18),IF(RASANTE!F43&lt;=PERALTE!$Q$18,-2,IF(RASANTE!F43&lt;=PERALTE!$U$18,(10/(PERALTE!$U$18-PERALTE!$Q$18)*(RASANTE!F43-PERALTE!$Q$18)-2),IF(RASANTE!F43&lt;=PERALTE!$X$18,8,IF(RASANTE!F43&lt;=PERALTE!$AB$18,(10/(PERALTE!$X$18-PERALTE!$AB$18)*(RASANTE!F43-PERALTE!$AB$18)-2))))),IF(AND(AH!$H$24="Derecha",RASANTE!F43&lt;=PERALTE!$AB$22),IF(RASANTE!F43&lt;=PERALTE!$S$22,-2,IF(RASANTE!F43&lt;=PERALTE!$U$22,(-6/(PERALTE!$U$22-PERALTE!$S$22)*(RASANTE!F43-PERALTE!$S$22)-2),IF(RASANTE!F43&lt;=PERALTE!$X$22,-8,IF(RASANTE!F43&lt;=PERALTE!$Z$22,(-6/(PERALTE!$X$22-PERALTE!$Z$22)*(RASANTE!F43-PERALTE!$Z$22)-2),IF(RASANTE!F43&lt;=PERALTE!$AB$22,-2))))),IF(AND(AH!$H$24="Izquierda",RASANTE!F43&lt;=PERALTE!$AB$22),IF(RASANTE!F43&lt;=PERALTE!$Q$22,-2,IF(RASANTE!F43&lt;=PERALTE!$U$22,(10/(PERALTE!$U$22-PERALTE!$Q$22)*(RASANTE!F43-PERALTE!$Q$22)-2),IF(RASANTE!F43&lt;=PERALTE!$X$22,8,IF(RASANTE!F43&lt;=PERALTE!$AB$22,(10/(PERALTE!$X$22-PERALTE!$AB$22)*(RASANTE!F43-PERALTE!$AB$22)-2))))),IF(AND(AH!#REF!="Derecha",RASANTE!F43&lt;=PERALTE!#REF!),IF(RASANTE!F43&lt;=PERALTE!#REF!,-2,IF(RASANTE!F43&lt;=PERALTE!#REF!,(-6/(PERALTE!#REF!-PERALTE!#REF!)*(RASANTE!F43-PERALTE!#REF!)-2),IF(RASANTE!F43&lt;=PERALTE!#REF!,-8,IF(RASANTE!F43&lt;=PERALTE!#REF!,(-6/(PERALTE!#REF!-PERALTE!#REF!)*(RASANTE!F43-PERALTE!#REF!)-2),IF(RASANTE!F43&lt;=PERALTE!#REF!,-2))))),IF(AND(AH!#REF!="Izquierda",RASANTE!F43&lt;=PERALTE!#REF!),IF(RASANTE!F43&lt;=PERALTE!#REF!,-2,IF(RASANTE!F43&lt;=PERALTE!#REF!,(10/(PERALTE!#REF!-PERALTE!#REF!)*(RASANTE!F43-PERALTE!#REF!)-2),IF(RASANTE!F43&lt;=PERALTE!#REF!,8,IF(RASANTE!F43&lt;=PERALTE!#REF!,(10/(PERALTE!#REF!-PERALTE!#REF!)*(RASANTE!F43-PERALTE!#REF!)-2))))),IF(AND(AH!#REF!="Derecha",RASANTE!F43&lt;=PERALTE!$AB$26),IF(RASANTE!F43&lt;=PERALTE!$S$26,-2,IF(RASANTE!F43&lt;=PERALTE!$U$26,(-6/(PERALTE!$U$26-PERALTE!$S$26)*(RASANTE!F43-PERALTE!$S$26)-2),IF(RASANTE!F43&lt;=PERALTE!$X$26,-8,IF(RASANTE!F43&lt;=PERALTE!$Z$26,(-6/(PERALTE!$X$26-PERALTE!$Z$26)*(RASANTE!F43-PERALTE!$Z$26)-2),IF(RASANTE!F43&lt;=PERALTE!$AB$26,-2))))),IF(AND(AH!#REF!="Izquierda",RASANTE!F43&lt;=PERALTE!$AB$26),IF(RASANTE!F43&lt;=PERALTE!$Q$26,-2,IF(RASANTE!F43&lt;=PERALTE!$U$26,(10/(PERALTE!$U$26-PERALTE!$Q$26)*(RASANTE!F43-PERALTE!$Q$26)-2),IF(RASANTE!F43&lt;=PERALTE!$X$26,8,IF(RASANTE!F43&lt;=PERALTE!$AB$26,(10/(PERALTE!$X$26-PERALTE!$AB$26)*(RASANTE!F43-PERALTE!$AB$26)-2))))),IF(F43&lt;=PERALTE!#REF!,-2,"Abscisa fuera de la vía")))))))))))))))))))))</f>
        <v>-2</v>
      </c>
      <c r="J43" s="28">
        <f t="shared" si="1"/>
        <v>1652.1692</v>
      </c>
      <c r="K43" s="28">
        <f>+IF(AND(AV!$S$6&lt;F43,F43&lt;=AV!$T$6),AV!$P$6*((AV!$S$6-RASANTE!F43)/(AV!$N$6))^2,IF(AND(AV!$T$6&lt;RASANTE!F43,F43&lt;AV!$U$6),AV!$P$6*((AV!$U$6-RASANTE!F43)/(AV!$O$6))^2,IF(AND(AV!$S$8&lt;F43,F43&lt;=AV!$T$8),AV!$P$8*((AV!$S$8-RASANTE!F43)/(AV!$N$8))^2,IF(AND(AV!$T$8&lt;RASANTE!F43,F43&lt;AV!$U$8),AV!$P$8*((AV!$U$8-RASANTE!F43)/(AV!$O$8))^2,IF(AND(AV!$S$10&lt;F43,F43&lt;=AV!$T$10),AV!$P$10*((AV!$S$10-RASANTE!F43)/(AV!$N$10))^2,IF(AND(AV!$T$10&lt;RASANTE!F43,F43&lt;AV!$U$10),AV!$P$10*((AV!$U$10-RASANTE!F43)/(AV!$O$10))^2,IF(AND(AV!$S$12&lt;F43,F43&lt;=AV!$T$12),AV!$P$12*((AV!$S$12-RASANTE!F43)/(AV!$N$12))^2,IF(AND(AV!$T$12&lt;RASANTE!F43,F43&lt;AV!$U$12),AV!$P$12*((AV!$U$12-RASANTE!F43)/(AV!$O$12))^2,IF(AND(AV!$S$14&lt;F43,F43&lt;=AV!$T$14),AV!$P$14*((AV!$S$14-RASANTE!F43)/(AV!$N$14))^2,IF(AND(AV!$T$14&lt;RASANTE!F43,F43&lt;AV!$U$14),AV!$P$14*((AV!$U$14-RASANTE!F43)/(AV!$O$14))^2,IF(AND(AV!$S$16&lt;F43,F43&lt;=AV!$T$16),AV!$P$16*((AV!$S$16-RASANTE!F43)/(AV!$N$16))^2,IF(AND(AV!$T$16&lt;RASANTE!F43,F43&lt;AV!$U$16),AV!$P$16*((AV!$U$16-RASANTE!F43)/(AV!$O$16))^2,IF(AND(AV!$S$18&lt;F43,F43&lt;=AV!$T$18),AV!$P$18*((AV!$S$18-RASANTE!F43)/(AV!$N$18))^2,IF(AND(AV!$T$18&lt;RASANTE!F43,F43&lt;AV!$U$18),AV!$P$18*((AV!$U$18-RASANTE!F43)/(AV!$O$18))^2,IF(AND(AV!$S$20&lt;F43,F43&lt;=AV!$T$20),AV!$P$20*((AV!$S$20-RASANTE!F43)/(AV!$N$20))^2,IF(AND(AV!$T$20&lt;RASANTE!F43,F43&lt;AV!$U$20),AV!$P$20*((AV!$U$20-RASANTE!F43)/(AV!$O$20))^2,IF(AND(AV!$S$22&lt;F43,F43&lt;=AV!$T$22),AV!$P$22*((AV!$S$22-RASANTE!F43)/(AV!$N$22))^2,IF(AND(AV!$T$22&lt;RASANTE!F43,F43&lt;AV!$U$22),AV!$P$22*((AV!$U$22-RASANTE!F43)/(AV!$O$22))^2,IF(AND(AV!$S$24&lt;F43,F43&lt;=AV!$T$24),AV!$P$24*((AV!$S$24-RASANTE!F43)/(AV!$N$24))^2,IF(AND(AV!$T$24&lt;RASANTE!F43,F43&lt;AV!$U$24),AV!$P$24*((AV!$U$24-RASANTE!F43)/(AV!$O$24))^2,0))))))))))))))))))))</f>
        <v>-0.21893442199768454</v>
      </c>
      <c r="L43" s="28">
        <f>+M43+H43%*PERALTE!$C$32</f>
        <v>1651.8802655780025</v>
      </c>
      <c r="M43" s="28">
        <f t="shared" si="3"/>
        <v>1651.9502655780025</v>
      </c>
      <c r="N43" s="28">
        <f>+M43+I43%*PERALTE!$C$32</f>
        <v>1651.8802655780025</v>
      </c>
      <c r="O43" s="92"/>
      <c r="P43" s="84"/>
      <c r="Q43" s="84"/>
      <c r="R43" s="84"/>
      <c r="S43" s="84"/>
      <c r="T43" s="84"/>
      <c r="U43" s="84"/>
      <c r="V43" s="84"/>
      <c r="W43" s="84"/>
      <c r="X43" s="84"/>
      <c r="Y43" s="84"/>
    </row>
    <row r="44" spans="1:25" ht="15.75" customHeight="1" x14ac:dyDescent="0.2">
      <c r="A44" s="90"/>
      <c r="B44" s="86"/>
      <c r="C44" s="86"/>
      <c r="D44" s="86"/>
      <c r="E44" s="135">
        <f>AV!P6</f>
        <v>-1.2962750000000001</v>
      </c>
      <c r="F44" s="34">
        <v>270</v>
      </c>
      <c r="G44" s="88">
        <f>IF(F44&lt;=AV!$T$6,AV!$C$5,IF(RASANTE!F44&lt;=AV!$T$8,AV!$C$7,IF(RASANTE!F44&lt;=AV!$T$10,AV!$C$9,IF(RASANTE!F44&lt;=AV!$T$12,AV!#REF!,IF(RASANTE!F44&lt;=AV!$T$14,AV!$C$11,IF(RASANTE!F44&lt;=AV!$T$16,AV!$C$13, IF(RASANTE!F44&lt;=AV!$T$18,AV!$C$15,IF(RASANTE!F44&lt;=AV!$T$20,AV!$C$19,IF(RASANTE!F44&lt;=AV!$T$22,AV!$C$21,IF(RASANTE!F44&lt;=AV!$T$24,AV!$C$23,AV!$C$25))))))))))</f>
        <v>3.1419999999999999</v>
      </c>
      <c r="H44" s="28">
        <f>+IF(AND(AH!$H$8="Izquierda",RASANTE!F44&lt;=PERALTE!$AB$6),IF(RASANTE!F44&lt;=PERALTE!$S$6,-2,IF(RASANTE!F44&lt;=PERALTE!$U$6,(-6/(PERALTE!$U$6-PERALTE!$S$6)*(RASANTE!F44-PERALTE!$S$6)-2),IF(RASANTE!F44&lt;=PERALTE!$X$6,-8,IF(RASANTE!F44&lt;=PERALTE!$Z$6,(-6/(PERALTE!$X$6-PERALTE!$Z$6)*(RASANTE!F44-PERALTE!$Z$6)-2),IF(RASANTE!F44&lt;=PERALTE!$AB$6,-2))))),IF(AND(AH!$H$8="Derecha",RASANTE!F44&lt;=PERALTE!$AB$6),IF(RASANTE!F44&lt;=PERALTE!$Q$6,-2,IF(RASANTE!F44&lt;=PERALTE!$U$6,(10/(PERALTE!$U$6-PERALTE!$Q$6)*(RASANTE!F44-PERALTE!$Q$6)-2),IF(RASANTE!F44&lt;=PERALTE!$X$6,8,IF(RASANTE!F44&lt;=PERALTE!$AB$6,(10/(PERALTE!$X$6-PERALTE!$AB$6)*(RASANTE!F44-PERALTE!$AB$6)-2))))),IF(AND(AH!$H$10="Izquierda",RASANTE!F44&lt;=PERALTE!$AB$8),IF(RASANTE!F44&lt;=PERALTE!$S$8,-2,IF(RASANTE!F44&lt;=PERALTE!$U$8,(-6/(PERALTE!$U$8-PERALTE!$S$8)*(RASANTE!F44-PERALTE!$S$8)-2),IF(RASANTE!F44&lt;=PERALTE!$X$8,-8,IF(RASANTE!F44&lt;=PERALTE!$Z$8,(-6/(PERALTE!$X$8-PERALTE!$Z$8)*(RASANTE!F44-PERALTE!$Z$8)-2),IF(RASANTE!F44&lt;=PERALTE!$AB$8,-2))))),IF(AND(AH!$H$10="Derecha",RASANTE!F44&lt;=PERALTE!$AB$8),IF(RASANTE!F44&lt;=PERALTE!$Q$8,-2,IF(RASANTE!F44&lt;=PERALTE!$U$8,(10/(PERALTE!$U$8-PERALTE!$Q$8)*(RASANTE!F44-PERALTE!$Q$8)-2),IF(RASANTE!F44&lt;=PERALTE!$X$8,8,IF(RASANTE!F44&lt;=PERALTE!$AB$8,(10/(PERALTE!$X$8-PERALTE!$AB$8)*(RASANTE!F44-PERALTE!$AB$8)-2))))),IF(AND(AH!$H$12="Izquierda",RASANTE!F44&lt;=PERALTE!$AB$10),IF(RASANTE!F44&lt;=PERALTE!$S$10,-2,IF(RASANTE!F44&lt;=PERALTE!$U$10,(-6/(PERALTE!$U$10-PERALTE!$S$10)*(RASANTE!F44-PERALTE!$S$10)-2),IF(RASANTE!F44&lt;=PERALTE!$X$10,-8,IF(RASANTE!F44&lt;=PERALTE!$Z$10,(-6/(PERALTE!$X$10-PERALTE!$Z$10)*(RASANTE!F44-PERALTE!$Z$10)-2),IF(RASANTE!F44&lt;=PERALTE!$AB$10,-2))))),IF(AND(AH!$H$12="Derecha",RASANTE!F44&lt;=PERALTE!$AB$10),IF(RASANTE!F44&lt;=PERALTE!$Q$10,-2,IF(RASANTE!F44&lt;=PERALTE!$U$10,(10/(PERALTE!$U$10-PERALTE!$Q$10)*(RASANTE!F44-PERALTE!$Q$10)-2),IF(RASANTE!F44&lt;=PERALTE!$X$10,8,IF(RASANTE!F44&lt;=PERALTE!$AB$10,(10/(PERALTE!$X$10-PERALTE!$AB$10)*(RASANTE!F44-PERALTE!$AB$10)-2))))),IF(AND(AH!$H$14="Izquierda",RASANTE!F44&lt;=PERALTE!$AB$12),IF(RASANTE!F44&lt;=PERALTE!$S$12,-2,IF(RASANTE!F44&lt;=PERALTE!$U$12,(-6/(PERALTE!$U$12-PERALTE!$S$12)*(RASANTE!F44-PERALTE!$S$12)-2),IF(RASANTE!F44&lt;=PERALTE!$X$12,-8,IF(RASANTE!F44&lt;=PERALTE!$Z$12,(-6/(PERALTE!$X$12-PERALTE!$Z$12)*(RASANTE!F44-PERALTE!$Z$12)-2),IF(RASANTE!F44&lt;=PERALTE!$AB$12,-2))))),IF(AND(AH!$H$14="Derecha",RASANTE!F44&lt;=PERALTE!$AB$12),IF(RASANTE!F44&lt;=PERALTE!$Q$12,-2,IF(RASANTE!F44&lt;=PERALTE!$U$12,(10/(PERALTE!$U$12-PERALTE!$Q$12)*(RASANTE!F44-PERALTE!$Q$12)-2),IF(RASANTE!F44&lt;=PERALTE!$X$12,8,IF(RASANTE!F44&lt;=PERALTE!$AB$12,(10/(PERALTE!$X$12-PERALTE!$AB$12)*(RASANTE!F44-PERALTE!$AB$12)-2))))),IF(AND(AH!$H$16="Izquierda",RASANTE!F44&lt;=PERALTE!$AB$14),IF(RASANTE!F44&lt;=PERALTE!$S$14,-2,IF(RASANTE!F44&lt;=PERALTE!$U$14,(-6/(PERALTE!$U$14-PERALTE!$S$14)*(RASANTE!F44-PERALTE!$S$14)-2),IF(RASANTE!F44&lt;=PERALTE!$X$14,-8,IF(RASANTE!F44&lt;=PERALTE!$Z$14,(-6/(PERALTE!$X$14-PERALTE!$Z$14)*(RASANTE!F44-PERALTE!$Z$14)-2),IF(RASANTE!F44&lt;=PERALTE!$AB$14,-2))))),IF(AND(AH!$H$16="Derecha",RASANTE!F44&lt;=PERALTE!$AB$14),IF(RASANTE!F44&lt;=PERALTE!$Q$14,-2,IF(RASANTE!F44&lt;=PERALTE!$U$14,(10/(PERALTE!$U$14-PERALTE!$Q$14)*(RASANTE!F44-PERALTE!$Q$14)-2),IF(RASANTE!F44&lt;=PERALTE!$X$14,8,IF(RASANTE!F44&lt;=PERALTE!$AB$14,(10/(PERALTE!$X$14-PERALTE!$AB$14)*(RASANTE!F44-PERALTE!$AB$14)-2))))),IF(AND(AH!$H$18="Izquierda",RASANTE!F44&lt;=PERALTE!$AB$16),IF(RASANTE!F44&lt;=PERALTE!$S$16,-2,IF(RASANTE!F44&lt;=PERALTE!$U$16,(-6/(PERALTE!$U$16-PERALTE!$S$16)*(RASANTE!F44-PERALTE!$S$16)-2),IF(RASANTE!F44&lt;=PERALTE!$X$16,-8,IF(RASANTE!F44&lt;=PERALTE!$Z$16,(-6/(PERALTE!$X$16-PERALTE!$Z$16)*(RASANTE!F44-PERALTE!$Z$16)-2),IF(RASANTE!F44&lt;=PERALTE!$AB$16,-2))))),IF(AND(AH!$H$18="Derecha",RASANTE!F44&lt;=PERALTE!$AB$16),IF(RASANTE!F44&lt;=PERALTE!$Q$16,-2,IF(RASANTE!F44&lt;=PERALTE!$U$16,(10/(PERALTE!$U$16-PERALTE!$Q$16)*(RASANTE!F44-PERALTE!$Q$16)-2),IF(RASANTE!F44&lt;=PERALTE!$X$16,8,IF(RASANTE!F44&lt;=PERALTE!$AB$16,(10/(PERALTE!$X$16-PERALTE!$AB$16)*(RASANTE!F44-PERALTE!$AB$16)-2))))),IF(AND(AH!$H$20="Izquierda",RASANTE!F44&lt;=PERALTE!$AB$18),IF(RASANTE!F44&lt;=PERALTE!$S$18,-2,IF(RASANTE!F44&lt;=PERALTE!$U$18,(-6/(PERALTE!$U$18-PERALTE!$S$18)*(RASANTE!F44-PERALTE!$S$18)-2),IF(RASANTE!F44&lt;=PERALTE!$X$18,-8,IF(RASANTE!F44&lt;=PERALTE!$Z$18,(-6/(PERALTE!$X$18-PERALTE!$Z$18)*(RASANTE!F44-PERALTE!$Z$18)-2),IF(RASANTE!F44&lt;=PERALTE!$AB$18,-2))))),IF(AND(AH!$H$20="Derecha",RASANTE!F44&lt;=PERALTE!$AB$18),IF(RASANTE!F44&lt;=PERALTE!$Q$18,-2,IF(RASANTE!F44&lt;=PERALTE!$U$18,(10/(PERALTE!$U$18-PERALTE!$Q$18)*(RASANTE!F44-PERALTE!$Q$18)-2),IF(RASANTE!F44&lt;=PERALTE!$X$18,8,IF(RASANTE!F44&lt;=PERALTE!$AB$18,(10/(PERALTE!$X$18-PERALTE!$AB$18)*(RASANTE!F44-PERALTE!$AB$18)-2))))),IF(AND(AH!$H$24="Izquierda",RASANTE!F44&lt;=PERALTE!$AB$22),IF(RASANTE!F44&lt;=PERALTE!$S$22,-2,IF(RASANTE!F44&lt;=PERALTE!$U$22,(-6/(PERALTE!$U$22-PERALTE!$S$22)*(RASANTE!F44-PERALTE!$S$22)-2),IF(RASANTE!F44&lt;=PERALTE!$X$22,-8,IF(RASANTE!F44&lt;=PERALTE!$Z$22,(-6/(PERALTE!$X$22-PERALTE!$Z$22)*(RASANTE!F44-PERALTE!$Z$22)-2),IF(RASANTE!F44&lt;=PERALTE!$AB$22,-2))))),IF(AND(AH!$H$24="Derecha",RASANTE!F44&lt;=PERALTE!$AB$22),IF(RASANTE!F44&lt;=PERALTE!$Q$22,-2,IF(RASANTE!F44&lt;=PERALTE!$U$22,(10/(PERALTE!$U$22-PERALTE!$Q$22)*(RASANTE!F44-PERALTE!$Q$22)-2),IF(RASANTE!F44&lt;=PERALTE!$X$22,8,IF(RASANTE!F44&lt;=PERALTE!$AB$22,(10/(PERALTE!$X$22-PERALTE!$AB$22)*(RASANTE!F44-PERALTE!$AB$22)-2))))),IF(AND(AH!#REF!="Izquierda",RASANTE!F44&lt;=PERALTE!#REF!),IF(RASANTE!F44&lt;=PERALTE!#REF!,-2,IF(RASANTE!F44&lt;=PERALTE!#REF!,(-6/(PERALTE!#REF!-PERALTE!#REF!)*(RASANTE!F44-PERALTE!#REF!)-2),IF(RASANTE!F44&lt;=PERALTE!#REF!,-8,IF(RASANTE!F44&lt;=PERALTE!#REF!,(-6/(PERALTE!#REF!-PERALTE!#REF!)*(RASANTE!F44-PERALTE!#REF!)-2),IF(RASANTE!F44&lt;=PERALTE!#REF!,-2))))),IF(AND(AH!#REF!="Derecha",RASANTE!F44&lt;=PERALTE!#REF!),IF(RASANTE!F44&lt;=PERALTE!#REF!,-2,IF(RASANTE!F44&lt;=PERALTE!#REF!,(10/(PERALTE!#REF!-PERALTE!#REF!)*(RASANTE!F44-PERALTE!#REF!)-2),IF(RASANTE!F44&lt;=PERALTE!#REF!,8,IF(RASANTE!F44&lt;=PERALTE!#REF!,(10/(PERALTE!#REF!-PERALTE!#REF!)*(RASANTE!F44-PERALTE!#REF!)-2))))),IF(AND(AH!#REF!="Izquierda",RASANTE!F44&lt;=PERALTE!$AB$26),IF(RASANTE!F44&lt;=PERALTE!$S$26,-2,IF(RASANTE!F44&lt;=PERALTE!$U$26,(-6/(PERALTE!$U$26-PERALTE!$S$26)*(RASANTE!F44-PERALTE!$S$26)-2),IF(RASANTE!F44&lt;=PERALTE!$X$26,-8,IF(RASANTE!F44&lt;=PERALTE!$Z$26,(-6/(PERALTE!$X$26-PERALTE!$Z$26)*(RASANTE!F44-PERALTE!$Z$26)-2),IF(RASANTE!F44&lt;=PERALTE!$AB$26,-2))))),IF(AND(AH!#REF!="Derecha",RASANTE!F44&lt;=PERALTE!$AB$26),IF(RASANTE!F44&lt;=PERALTE!$Q$26,-2,IF(RASANTE!F44&lt;=PERALTE!$U$26,(10/(PERALTE!$U$26-PERALTE!$Q$26)*(RASANTE!F44-PERALTE!$Q$26)-2),IF(RASANTE!F44&lt;=PERALTE!$X$26,8,IF(RASANTE!F44&lt;=PERALTE!$AB$26,(10/(PERALTE!$X$26-PERALTE!$AB$26)*(RASANTE!F44-PERALTE!$AB$26)-2))))),IF(F44&lt;=PERALTE!#REF!,-2,"Abscisa fuera de la vía")))))))))))))))))))))</f>
        <v>-2</v>
      </c>
      <c r="I44" s="28">
        <f>+IF(AND(AH!$H$8="Derecha",RASANTE!F44&lt;=PERALTE!$AB$6),IF(RASANTE!F44&lt;=PERALTE!$S$6,-2,IF(RASANTE!F44&lt;=PERALTE!$U$6,(-6/(PERALTE!$U$6-PERALTE!$S$6)*(RASANTE!F44-PERALTE!$S$6)-2),IF(RASANTE!F44&lt;=PERALTE!$X$6,-8,IF(RASANTE!F44&lt;=PERALTE!$Z$6,(-6/(PERALTE!$X$6-PERALTE!$Z$6)*(RASANTE!F44-PERALTE!$Z$6)-2),IF(RASANTE!F44&lt;=PERALTE!$AB$6,-2))))),IF(AND(AH!$H$8="Izquierda",RASANTE!F44&lt;=PERALTE!$AB$6),IF(RASANTE!F44&lt;=PERALTE!$Q$6,-2,IF(RASANTE!F44&lt;=PERALTE!$U$6,(10/(PERALTE!$U$6-PERALTE!$Q$6)*(RASANTE!F44-PERALTE!$Q$6)-2),IF(RASANTE!F44&lt;=PERALTE!$X$6,8,IF(RASANTE!F44&lt;=PERALTE!$AB$6,(10/(PERALTE!$X$6-PERALTE!$AB$6)*(RASANTE!F44-PERALTE!$AB$6)-2))))),IF(AND(AH!$H$10="Derecha",RASANTE!F44&lt;=PERALTE!$AB$8),IF(RASANTE!F44&lt;=PERALTE!$S$8,-2,IF(RASANTE!F44&lt;=PERALTE!$U$8,(-6/(PERALTE!$U$8-PERALTE!$S$8)*(RASANTE!F44-PERALTE!$S$8)-2),IF(RASANTE!F44&lt;=PERALTE!$X$8,-8,IF(RASANTE!F44&lt;=PERALTE!$Z$8,(-6/(PERALTE!$X$8-PERALTE!$Z$8)*(RASANTE!F44-PERALTE!$Z$8)-2),IF(RASANTE!F44&lt;=PERALTE!$AB$8,-2))))),IF(AND(AH!$H$10="Izquierda",RASANTE!F44&lt;=PERALTE!$AB$8),IF(RASANTE!F44&lt;=PERALTE!$Q$8,-2,IF(RASANTE!F44&lt;=PERALTE!$U$8,(10/(PERALTE!$U$8-PERALTE!$Q$8)*(RASANTE!F44-PERALTE!$Q$8)-2),IF(RASANTE!F44&lt;=PERALTE!$X$8,8,IF(RASANTE!F44&lt;=PERALTE!$AB$8,(10/(PERALTE!$X$8-PERALTE!$AB$8)*(RASANTE!F44-PERALTE!$AB$8)-2))))),IF(AND(AH!$H$12="Derecha",RASANTE!F44&lt;=PERALTE!$AB$10),IF(RASANTE!F44&lt;=PERALTE!$S$10,-2,IF(RASANTE!F44&lt;=PERALTE!$U$10,(-6/(PERALTE!$U$10-PERALTE!$S$10)*(RASANTE!F44-PERALTE!$S$10)-2),IF(RASANTE!F44&lt;=PERALTE!$X$10,-8,IF(RASANTE!F44&lt;=PERALTE!$Z$10,(-6/(PERALTE!$X$10-PERALTE!$Z$10)*(RASANTE!F44-PERALTE!$Z$10)-2),IF(RASANTE!F44&lt;=PERALTE!$AB$10,-2))))),IF(AND(AH!$H$12="Izquierda",RASANTE!F44&lt;=PERALTE!$AB$10),IF(RASANTE!F44&lt;=PERALTE!$Q$10,-2,IF(RASANTE!F44&lt;=PERALTE!$U$10,(10/(PERALTE!$U$10-PERALTE!$Q$10)*(RASANTE!F44-PERALTE!$Q$10)-2),IF(RASANTE!F44&lt;=PERALTE!$X$10,8,IF(RASANTE!F44&lt;=PERALTE!$AB$10,(10/(PERALTE!$X$10-PERALTE!$AB$10)*(RASANTE!F44-PERALTE!$AB$10)-2))))),IF(AND(AH!$H$14="Derecha",RASANTE!F44&lt;=PERALTE!$AB$12),IF(RASANTE!F44&lt;=PERALTE!$S$12,-2,IF(RASANTE!F44&lt;=PERALTE!$U$12,(-6/(PERALTE!$U$12-PERALTE!$S$12)*(RASANTE!F44-PERALTE!$S$12)-2),IF(RASANTE!F44&lt;=PERALTE!$X$12,-8,IF(RASANTE!F44&lt;=PERALTE!$Z$12,(-6/(PERALTE!$X$12-PERALTE!$Z$12)*(RASANTE!F44-PERALTE!$Z$12)-2),IF(RASANTE!F44&lt;=PERALTE!$AB$12,-2))))),IF(AND(AH!$H$14="Izquierda",RASANTE!F44&lt;=PERALTE!$AB$12),IF(RASANTE!F44&lt;=PERALTE!$Q$12,-2,IF(RASANTE!F44&lt;=PERALTE!$U$12,(10/(PERALTE!$U$12-PERALTE!$Q$12)*(RASANTE!F44-PERALTE!$Q$12)-2),IF(RASANTE!F44&lt;=PERALTE!$X$12,8,IF(RASANTE!F44&lt;=PERALTE!$AB$12,(10/(PERALTE!$X$12-PERALTE!$AB$12)*(RASANTE!F44-PERALTE!$AB$12)-2))))),IF(AND(AH!$H$16="Derecha",RASANTE!F44&lt;=PERALTE!$AB$14),IF(RASANTE!F44&lt;=PERALTE!$S$14,-2,IF(RASANTE!F44&lt;=PERALTE!$U$14,(-6/(PERALTE!$U$14-PERALTE!$S$14)*(RASANTE!F44-PERALTE!$S$14)-2),IF(RASANTE!F44&lt;=PERALTE!$X$14,-8,IF(RASANTE!F44&lt;=PERALTE!$Z$14,(-6/(PERALTE!$X$14-PERALTE!$Z$14)*(RASANTE!F44-PERALTE!$Z$14)-2),IF(RASANTE!F44&lt;=PERALTE!$AB$14,-2))))),IF(AND(AH!$H$16="Izquierda",RASANTE!F44&lt;=PERALTE!$AB$14),IF(RASANTE!F44&lt;=PERALTE!$Q$14,-2,IF(RASANTE!F44&lt;=PERALTE!$U$14,(10/(PERALTE!$U$14-PERALTE!$Q$14)*(RASANTE!F44-PERALTE!$Q$14)-2),IF(RASANTE!F44&lt;=PERALTE!$X$14,8,IF(RASANTE!F44&lt;=PERALTE!$AB$14,(10/(PERALTE!$X$14-PERALTE!$AB$14)*(RASANTE!F44-PERALTE!$AB$14)-2))))),IF(AND(AH!$H$18="Derecha",RASANTE!F44&lt;=PERALTE!$AB$16),IF(RASANTE!F44&lt;=PERALTE!$S$16,-2,IF(RASANTE!F44&lt;=PERALTE!$U$16,(-6/(PERALTE!$U$16-PERALTE!$S$16)*(RASANTE!F44-PERALTE!$S$16)-2),IF(RASANTE!F44&lt;=PERALTE!$X$16,-8,IF(RASANTE!F44&lt;=PERALTE!$Z$16,(-6/(PERALTE!$X$16-PERALTE!$Z$16)*(RASANTE!F44-PERALTE!$Z$16)-2),IF(RASANTE!F44&lt;=PERALTE!$AB$16,-2))))),IF(AND(AH!$H$18="Izquierda",RASANTE!F44&lt;=PERALTE!$AB$16),IF(RASANTE!F44&lt;=PERALTE!$Q$16,-2,IF(RASANTE!F44&lt;=PERALTE!$U$16,(10/(PERALTE!$U$16-PERALTE!$Q$16)*(RASANTE!F44-PERALTE!$Q$16)-2),IF(RASANTE!F44&lt;=PERALTE!$X$16,8,IF(RASANTE!F44&lt;=PERALTE!$AB$16,(10/(PERALTE!$X$16-PERALTE!$AB$16)*(RASANTE!F44-PERALTE!$AB$16)-2))))),IF(AND(AH!$H$20="Derecha",RASANTE!F44&lt;=PERALTE!$AB$18),IF(RASANTE!F44&lt;=PERALTE!$S$18,-2,IF(RASANTE!F44&lt;=PERALTE!$U$18,(-6/(PERALTE!$U$18-PERALTE!$S$18)*(RASANTE!F44-PERALTE!$S$18)-2),IF(RASANTE!F44&lt;=PERALTE!$X$18,-8,IF(RASANTE!F44&lt;=PERALTE!$Z$18,(-6/(PERALTE!$X$18-PERALTE!$Z$18)*(RASANTE!F44-PERALTE!$Z$18)-2),IF(RASANTE!F44&lt;=PERALTE!$AB$18,-2))))),IF(AND(AH!$H$20="Izquierda",RASANTE!F44&lt;=PERALTE!$AB$18),IF(RASANTE!F44&lt;=PERALTE!$Q$18,-2,IF(RASANTE!F44&lt;=PERALTE!$U$18,(10/(PERALTE!$U$18-PERALTE!$Q$18)*(RASANTE!F44-PERALTE!$Q$18)-2),IF(RASANTE!F44&lt;=PERALTE!$X$18,8,IF(RASANTE!F44&lt;=PERALTE!$AB$18,(10/(PERALTE!$X$18-PERALTE!$AB$18)*(RASANTE!F44-PERALTE!$AB$18)-2))))),IF(AND(AH!$H$24="Derecha",RASANTE!F44&lt;=PERALTE!$AB$22),IF(RASANTE!F44&lt;=PERALTE!$S$22,-2,IF(RASANTE!F44&lt;=PERALTE!$U$22,(-6/(PERALTE!$U$22-PERALTE!$S$22)*(RASANTE!F44-PERALTE!$S$22)-2),IF(RASANTE!F44&lt;=PERALTE!$X$22,-8,IF(RASANTE!F44&lt;=PERALTE!$Z$22,(-6/(PERALTE!$X$22-PERALTE!$Z$22)*(RASANTE!F44-PERALTE!$Z$22)-2),IF(RASANTE!F44&lt;=PERALTE!$AB$22,-2))))),IF(AND(AH!$H$24="Izquierda",RASANTE!F44&lt;=PERALTE!$AB$22),IF(RASANTE!F44&lt;=PERALTE!$Q$22,-2,IF(RASANTE!F44&lt;=PERALTE!$U$22,(10/(PERALTE!$U$22-PERALTE!$Q$22)*(RASANTE!F44-PERALTE!$Q$22)-2),IF(RASANTE!F44&lt;=PERALTE!$X$22,8,IF(RASANTE!F44&lt;=PERALTE!$AB$22,(10/(PERALTE!$X$22-PERALTE!$AB$22)*(RASANTE!F44-PERALTE!$AB$22)-2))))),IF(AND(AH!#REF!="Derecha",RASANTE!F44&lt;=PERALTE!#REF!),IF(RASANTE!F44&lt;=PERALTE!#REF!,-2,IF(RASANTE!F44&lt;=PERALTE!#REF!,(-6/(PERALTE!#REF!-PERALTE!#REF!)*(RASANTE!F44-PERALTE!#REF!)-2),IF(RASANTE!F44&lt;=PERALTE!#REF!,-8,IF(RASANTE!F44&lt;=PERALTE!#REF!,(-6/(PERALTE!#REF!-PERALTE!#REF!)*(RASANTE!F44-PERALTE!#REF!)-2),IF(RASANTE!F44&lt;=PERALTE!#REF!,-2))))),IF(AND(AH!#REF!="Izquierda",RASANTE!F44&lt;=PERALTE!#REF!),IF(RASANTE!F44&lt;=PERALTE!#REF!,-2,IF(RASANTE!F44&lt;=PERALTE!#REF!,(10/(PERALTE!#REF!-PERALTE!#REF!)*(RASANTE!F44-PERALTE!#REF!)-2),IF(RASANTE!F44&lt;=PERALTE!#REF!,8,IF(RASANTE!F44&lt;=PERALTE!#REF!,(10/(PERALTE!#REF!-PERALTE!#REF!)*(RASANTE!F44-PERALTE!#REF!)-2))))),IF(AND(AH!#REF!="Derecha",RASANTE!F44&lt;=PERALTE!$AB$26),IF(RASANTE!F44&lt;=PERALTE!$S$26,-2,IF(RASANTE!F44&lt;=PERALTE!$U$26,(-6/(PERALTE!$U$26-PERALTE!$S$26)*(RASANTE!F44-PERALTE!$S$26)-2),IF(RASANTE!F44&lt;=PERALTE!$X$26,-8,IF(RASANTE!F44&lt;=PERALTE!$Z$26,(-6/(PERALTE!$X$26-PERALTE!$Z$26)*(RASANTE!F44-PERALTE!$Z$26)-2),IF(RASANTE!F44&lt;=PERALTE!$AB$26,-2))))),IF(AND(AH!#REF!="Izquierda",RASANTE!F44&lt;=PERALTE!$AB$26),IF(RASANTE!F44&lt;=PERALTE!$Q$26,-2,IF(RASANTE!F44&lt;=PERALTE!$U$26,(10/(PERALTE!$U$26-PERALTE!$Q$26)*(RASANTE!F44-PERALTE!$Q$26)-2),IF(RASANTE!F44&lt;=PERALTE!$X$26,8,IF(RASANTE!F44&lt;=PERALTE!$AB$26,(10/(PERALTE!$X$26-PERALTE!$AB$26)*(RASANTE!F44-PERALTE!$AB$26)-2))))),IF(F44&lt;=PERALTE!#REF!,-2,"Abscisa fuera de la vía")))))))))))))))))))))</f>
        <v>-2</v>
      </c>
      <c r="J44" s="28">
        <f t="shared" si="1"/>
        <v>1652.4834000000001</v>
      </c>
      <c r="K44" s="28">
        <f>+IF(AND(AV!$S$6&lt;F44,F44&lt;=AV!$T$6),AV!$P$6*((AV!$S$6-RASANTE!F44)/(AV!$N$6))^2,IF(AND(AV!$T$6&lt;RASANTE!F44,F44&lt;AV!$U$6),AV!$P$6*((AV!$U$6-RASANTE!F44)/(AV!$O$6))^2,IF(AND(AV!$S$8&lt;F44,F44&lt;=AV!$T$8),AV!$P$8*((AV!$S$8-RASANTE!F44)/(AV!$N$8))^2,IF(AND(AV!$T$8&lt;RASANTE!F44,F44&lt;AV!$U$8),AV!$P$8*((AV!$U$8-RASANTE!F44)/(AV!$O$8))^2,IF(AND(AV!$S$10&lt;F44,F44&lt;=AV!$T$10),AV!$P$10*((AV!$S$10-RASANTE!F44)/(AV!$N$10))^2,IF(AND(AV!$T$10&lt;RASANTE!F44,F44&lt;AV!$U$10),AV!$P$10*((AV!$U$10-RASANTE!F44)/(AV!$O$10))^2,IF(AND(AV!$S$12&lt;F44,F44&lt;=AV!$T$12),AV!$P$12*((AV!$S$12-RASANTE!F44)/(AV!$N$12))^2,IF(AND(AV!$T$12&lt;RASANTE!F44,F44&lt;AV!$U$12),AV!$P$12*((AV!$U$12-RASANTE!F44)/(AV!$O$12))^2,IF(AND(AV!$S$14&lt;F44,F44&lt;=AV!$T$14),AV!$P$14*((AV!$S$14-RASANTE!F44)/(AV!$N$14))^2,IF(AND(AV!$T$14&lt;RASANTE!F44,F44&lt;AV!$U$14),AV!$P$14*((AV!$U$14-RASANTE!F44)/(AV!$O$14))^2,IF(AND(AV!$S$16&lt;F44,F44&lt;=AV!$T$16),AV!$P$16*((AV!$S$16-RASANTE!F44)/(AV!$N$16))^2,IF(AND(AV!$T$16&lt;RASANTE!F44,F44&lt;AV!$U$16),AV!$P$16*((AV!$U$16-RASANTE!F44)/(AV!$O$16))^2,IF(AND(AV!$S$18&lt;F44,F44&lt;=AV!$T$18),AV!$P$18*((AV!$S$18-RASANTE!F44)/(AV!$N$18))^2,IF(AND(AV!$T$18&lt;RASANTE!F44,F44&lt;AV!$U$18),AV!$P$18*((AV!$U$18-RASANTE!F44)/(AV!$O$18))^2,IF(AND(AV!$S$20&lt;F44,F44&lt;=AV!$T$20),AV!$P$20*((AV!$S$20-RASANTE!F44)/(AV!$N$20))^2,IF(AND(AV!$T$20&lt;RASANTE!F44,F44&lt;AV!$U$20),AV!$P$20*((AV!$U$20-RASANTE!F44)/(AV!$O$20))^2,IF(AND(AV!$S$22&lt;F44,F44&lt;=AV!$T$22),AV!$P$22*((AV!$S$22-RASANTE!F44)/(AV!$N$22))^2,IF(AND(AV!$T$22&lt;RASANTE!F44,F44&lt;AV!$U$22),AV!$P$22*((AV!$U$22-RASANTE!F44)/(AV!$O$22))^2,IF(AND(AV!$S$24&lt;F44,F44&lt;=AV!$T$24),AV!$P$24*((AV!$S$24-RASANTE!F44)/(AV!$N$24))^2,IF(AND(AV!$T$24&lt;RASANTE!F44,F44&lt;AV!$U$24),AV!$P$24*((AV!$U$24-RASANTE!F44)/(AV!$O$24))^2,0))))))))))))))))))))</f>
        <v>-0.50069361778715837</v>
      </c>
      <c r="L44" s="28">
        <f>+M44+H44%*PERALTE!$C$32</f>
        <v>1651.9127063822129</v>
      </c>
      <c r="M44" s="28">
        <f t="shared" si="3"/>
        <v>1651.9827063822129</v>
      </c>
      <c r="N44" s="28">
        <f>+M44+I44%*PERALTE!$C$32</f>
        <v>1651.9127063822129</v>
      </c>
      <c r="O44" s="92"/>
      <c r="P44" s="84"/>
      <c r="Q44" s="84"/>
      <c r="R44" s="84"/>
      <c r="S44" s="84"/>
      <c r="T44" s="84"/>
      <c r="U44" s="84"/>
      <c r="V44" s="84"/>
      <c r="W44" s="84"/>
      <c r="X44" s="84"/>
      <c r="Y44" s="84"/>
    </row>
    <row r="45" spans="1:25" ht="15.75" customHeight="1" x14ac:dyDescent="0.2">
      <c r="A45" s="90"/>
      <c r="B45" s="86"/>
      <c r="C45" s="86"/>
      <c r="D45" s="86"/>
      <c r="E45" s="138" t="str">
        <f>AV!Q6</f>
        <v>CONVEXA</v>
      </c>
      <c r="F45" s="34">
        <v>280</v>
      </c>
      <c r="G45" s="88">
        <f>IF(F45&lt;=AV!$T$6,AV!$C$5,IF(RASANTE!F45&lt;=AV!$T$8,AV!$C$7,IF(RASANTE!F45&lt;=AV!$T$10,AV!$C$9,IF(RASANTE!F45&lt;=AV!$T$12,AV!#REF!,IF(RASANTE!F45&lt;=AV!$T$14,AV!$C$11,IF(RASANTE!F45&lt;=AV!$T$16,AV!$C$13, IF(RASANTE!F45&lt;=AV!$T$18,AV!$C$15,IF(RASANTE!F45&lt;=AV!$T$20,AV!$C$19,IF(RASANTE!F45&lt;=AV!$T$22,AV!$C$21,IF(RASANTE!F45&lt;=AV!$T$24,AV!$C$23,AV!$C$25))))))))))</f>
        <v>3.1419999999999999</v>
      </c>
      <c r="H45" s="28">
        <f>+IF(AND(AH!$H$8="Izquierda",RASANTE!F45&lt;=PERALTE!$AB$6),IF(RASANTE!F45&lt;=PERALTE!$S$6,-2,IF(RASANTE!F45&lt;=PERALTE!$U$6,(-6/(PERALTE!$U$6-PERALTE!$S$6)*(RASANTE!F45-PERALTE!$S$6)-2),IF(RASANTE!F45&lt;=PERALTE!$X$6,-8,IF(RASANTE!F45&lt;=PERALTE!$Z$6,(-6/(PERALTE!$X$6-PERALTE!$Z$6)*(RASANTE!F45-PERALTE!$Z$6)-2),IF(RASANTE!F45&lt;=PERALTE!$AB$6,-2))))),IF(AND(AH!$H$8="Derecha",RASANTE!F45&lt;=PERALTE!$AB$6),IF(RASANTE!F45&lt;=PERALTE!$Q$6,-2,IF(RASANTE!F45&lt;=PERALTE!$U$6,(10/(PERALTE!$U$6-PERALTE!$Q$6)*(RASANTE!F45-PERALTE!$Q$6)-2),IF(RASANTE!F45&lt;=PERALTE!$X$6,8,IF(RASANTE!F45&lt;=PERALTE!$AB$6,(10/(PERALTE!$X$6-PERALTE!$AB$6)*(RASANTE!F45-PERALTE!$AB$6)-2))))),IF(AND(AH!$H$10="Izquierda",RASANTE!F45&lt;=PERALTE!$AB$8),IF(RASANTE!F45&lt;=PERALTE!$S$8,-2,IF(RASANTE!F45&lt;=PERALTE!$U$8,(-6/(PERALTE!$U$8-PERALTE!$S$8)*(RASANTE!F45-PERALTE!$S$8)-2),IF(RASANTE!F45&lt;=PERALTE!$X$8,-8,IF(RASANTE!F45&lt;=PERALTE!$Z$8,(-6/(PERALTE!$X$8-PERALTE!$Z$8)*(RASANTE!F45-PERALTE!$Z$8)-2),IF(RASANTE!F45&lt;=PERALTE!$AB$8,-2))))),IF(AND(AH!$H$10="Derecha",RASANTE!F45&lt;=PERALTE!$AB$8),IF(RASANTE!F45&lt;=PERALTE!$Q$8,-2,IF(RASANTE!F45&lt;=PERALTE!$U$8,(10/(PERALTE!$U$8-PERALTE!$Q$8)*(RASANTE!F45-PERALTE!$Q$8)-2),IF(RASANTE!F45&lt;=PERALTE!$X$8,8,IF(RASANTE!F45&lt;=PERALTE!$AB$8,(10/(PERALTE!$X$8-PERALTE!$AB$8)*(RASANTE!F45-PERALTE!$AB$8)-2))))),IF(AND(AH!$H$12="Izquierda",RASANTE!F45&lt;=PERALTE!$AB$10),IF(RASANTE!F45&lt;=PERALTE!$S$10,-2,IF(RASANTE!F45&lt;=PERALTE!$U$10,(-6/(PERALTE!$U$10-PERALTE!$S$10)*(RASANTE!F45-PERALTE!$S$10)-2),IF(RASANTE!F45&lt;=PERALTE!$X$10,-8,IF(RASANTE!F45&lt;=PERALTE!$Z$10,(-6/(PERALTE!$X$10-PERALTE!$Z$10)*(RASANTE!F45-PERALTE!$Z$10)-2),IF(RASANTE!F45&lt;=PERALTE!$AB$10,-2))))),IF(AND(AH!$H$12="Derecha",RASANTE!F45&lt;=PERALTE!$AB$10),IF(RASANTE!F45&lt;=PERALTE!$Q$10,-2,IF(RASANTE!F45&lt;=PERALTE!$U$10,(10/(PERALTE!$U$10-PERALTE!$Q$10)*(RASANTE!F45-PERALTE!$Q$10)-2),IF(RASANTE!F45&lt;=PERALTE!$X$10,8,IF(RASANTE!F45&lt;=PERALTE!$AB$10,(10/(PERALTE!$X$10-PERALTE!$AB$10)*(RASANTE!F45-PERALTE!$AB$10)-2))))),IF(AND(AH!$H$14="Izquierda",RASANTE!F45&lt;=PERALTE!$AB$12),IF(RASANTE!F45&lt;=PERALTE!$S$12,-2,IF(RASANTE!F45&lt;=PERALTE!$U$12,(-6/(PERALTE!$U$12-PERALTE!$S$12)*(RASANTE!F45-PERALTE!$S$12)-2),IF(RASANTE!F45&lt;=PERALTE!$X$12,-8,IF(RASANTE!F45&lt;=PERALTE!$Z$12,(-6/(PERALTE!$X$12-PERALTE!$Z$12)*(RASANTE!F45-PERALTE!$Z$12)-2),IF(RASANTE!F45&lt;=PERALTE!$AB$12,-2))))),IF(AND(AH!$H$14="Derecha",RASANTE!F45&lt;=PERALTE!$AB$12),IF(RASANTE!F45&lt;=PERALTE!$Q$12,-2,IF(RASANTE!F45&lt;=PERALTE!$U$12,(10/(PERALTE!$U$12-PERALTE!$Q$12)*(RASANTE!F45-PERALTE!$Q$12)-2),IF(RASANTE!F45&lt;=PERALTE!$X$12,8,IF(RASANTE!F45&lt;=PERALTE!$AB$12,(10/(PERALTE!$X$12-PERALTE!$AB$12)*(RASANTE!F45-PERALTE!$AB$12)-2))))),IF(AND(AH!$H$16="Izquierda",RASANTE!F45&lt;=PERALTE!$AB$14),IF(RASANTE!F45&lt;=PERALTE!$S$14,-2,IF(RASANTE!F45&lt;=PERALTE!$U$14,(-6/(PERALTE!$U$14-PERALTE!$S$14)*(RASANTE!F45-PERALTE!$S$14)-2),IF(RASANTE!F45&lt;=PERALTE!$X$14,-8,IF(RASANTE!F45&lt;=PERALTE!$Z$14,(-6/(PERALTE!$X$14-PERALTE!$Z$14)*(RASANTE!F45-PERALTE!$Z$14)-2),IF(RASANTE!F45&lt;=PERALTE!$AB$14,-2))))),IF(AND(AH!$H$16="Derecha",RASANTE!F45&lt;=PERALTE!$AB$14),IF(RASANTE!F45&lt;=PERALTE!$Q$14,-2,IF(RASANTE!F45&lt;=PERALTE!$U$14,(10/(PERALTE!$U$14-PERALTE!$Q$14)*(RASANTE!F45-PERALTE!$Q$14)-2),IF(RASANTE!F45&lt;=PERALTE!$X$14,8,IF(RASANTE!F45&lt;=PERALTE!$AB$14,(10/(PERALTE!$X$14-PERALTE!$AB$14)*(RASANTE!F45-PERALTE!$AB$14)-2))))),IF(AND(AH!$H$18="Izquierda",RASANTE!F45&lt;=PERALTE!$AB$16),IF(RASANTE!F45&lt;=PERALTE!$S$16,-2,IF(RASANTE!F45&lt;=PERALTE!$U$16,(-6/(PERALTE!$U$16-PERALTE!$S$16)*(RASANTE!F45-PERALTE!$S$16)-2),IF(RASANTE!F45&lt;=PERALTE!$X$16,-8,IF(RASANTE!F45&lt;=PERALTE!$Z$16,(-6/(PERALTE!$X$16-PERALTE!$Z$16)*(RASANTE!F45-PERALTE!$Z$16)-2),IF(RASANTE!F45&lt;=PERALTE!$AB$16,-2))))),IF(AND(AH!$H$18="Derecha",RASANTE!F45&lt;=PERALTE!$AB$16),IF(RASANTE!F45&lt;=PERALTE!$Q$16,-2,IF(RASANTE!F45&lt;=PERALTE!$U$16,(10/(PERALTE!$U$16-PERALTE!$Q$16)*(RASANTE!F45-PERALTE!$Q$16)-2),IF(RASANTE!F45&lt;=PERALTE!$X$16,8,IF(RASANTE!F45&lt;=PERALTE!$AB$16,(10/(PERALTE!$X$16-PERALTE!$AB$16)*(RASANTE!F45-PERALTE!$AB$16)-2))))),IF(AND(AH!$H$20="Izquierda",RASANTE!F45&lt;=PERALTE!$AB$18),IF(RASANTE!F45&lt;=PERALTE!$S$18,-2,IF(RASANTE!F45&lt;=PERALTE!$U$18,(-6/(PERALTE!$U$18-PERALTE!$S$18)*(RASANTE!F45-PERALTE!$S$18)-2),IF(RASANTE!F45&lt;=PERALTE!$X$18,-8,IF(RASANTE!F45&lt;=PERALTE!$Z$18,(-6/(PERALTE!$X$18-PERALTE!$Z$18)*(RASANTE!F45-PERALTE!$Z$18)-2),IF(RASANTE!F45&lt;=PERALTE!$AB$18,-2))))),IF(AND(AH!$H$20="Derecha",RASANTE!F45&lt;=PERALTE!$AB$18),IF(RASANTE!F45&lt;=PERALTE!$Q$18,-2,IF(RASANTE!F45&lt;=PERALTE!$U$18,(10/(PERALTE!$U$18-PERALTE!$Q$18)*(RASANTE!F45-PERALTE!$Q$18)-2),IF(RASANTE!F45&lt;=PERALTE!$X$18,8,IF(RASANTE!F45&lt;=PERALTE!$AB$18,(10/(PERALTE!$X$18-PERALTE!$AB$18)*(RASANTE!F45-PERALTE!$AB$18)-2))))),IF(AND(AH!$H$24="Izquierda",RASANTE!F45&lt;=PERALTE!$AB$22),IF(RASANTE!F45&lt;=PERALTE!$S$22,-2,IF(RASANTE!F45&lt;=PERALTE!$U$22,(-6/(PERALTE!$U$22-PERALTE!$S$22)*(RASANTE!F45-PERALTE!$S$22)-2),IF(RASANTE!F45&lt;=PERALTE!$X$22,-8,IF(RASANTE!F45&lt;=PERALTE!$Z$22,(-6/(PERALTE!$X$22-PERALTE!$Z$22)*(RASANTE!F45-PERALTE!$Z$22)-2),IF(RASANTE!F45&lt;=PERALTE!$AB$22,-2))))),IF(AND(AH!$H$24="Derecha",RASANTE!F45&lt;=PERALTE!$AB$22),IF(RASANTE!F45&lt;=PERALTE!$Q$22,-2,IF(RASANTE!F45&lt;=PERALTE!$U$22,(10/(PERALTE!$U$22-PERALTE!$Q$22)*(RASANTE!F45-PERALTE!$Q$22)-2),IF(RASANTE!F45&lt;=PERALTE!$X$22,8,IF(RASANTE!F45&lt;=PERALTE!$AB$22,(10/(PERALTE!$X$22-PERALTE!$AB$22)*(RASANTE!F45-PERALTE!$AB$22)-2))))),IF(AND(AH!#REF!="Izquierda",RASANTE!F45&lt;=PERALTE!#REF!),IF(RASANTE!F45&lt;=PERALTE!#REF!,-2,IF(RASANTE!F45&lt;=PERALTE!#REF!,(-6/(PERALTE!#REF!-PERALTE!#REF!)*(RASANTE!F45-PERALTE!#REF!)-2),IF(RASANTE!F45&lt;=PERALTE!#REF!,-8,IF(RASANTE!F45&lt;=PERALTE!#REF!,(-6/(PERALTE!#REF!-PERALTE!#REF!)*(RASANTE!F45-PERALTE!#REF!)-2),IF(RASANTE!F45&lt;=PERALTE!#REF!,-2))))),IF(AND(AH!#REF!="Derecha",RASANTE!F45&lt;=PERALTE!#REF!),IF(RASANTE!F45&lt;=PERALTE!#REF!,-2,IF(RASANTE!F45&lt;=PERALTE!#REF!,(10/(PERALTE!#REF!-PERALTE!#REF!)*(RASANTE!F45-PERALTE!#REF!)-2),IF(RASANTE!F45&lt;=PERALTE!#REF!,8,IF(RASANTE!F45&lt;=PERALTE!#REF!,(10/(PERALTE!#REF!-PERALTE!#REF!)*(RASANTE!F45-PERALTE!#REF!)-2))))),IF(AND(AH!#REF!="Izquierda",RASANTE!F45&lt;=PERALTE!$AB$26),IF(RASANTE!F45&lt;=PERALTE!$S$26,-2,IF(RASANTE!F45&lt;=PERALTE!$U$26,(-6/(PERALTE!$U$26-PERALTE!$S$26)*(RASANTE!F45-PERALTE!$S$26)-2),IF(RASANTE!F45&lt;=PERALTE!$X$26,-8,IF(RASANTE!F45&lt;=PERALTE!$Z$26,(-6/(PERALTE!$X$26-PERALTE!$Z$26)*(RASANTE!F45-PERALTE!$Z$26)-2),IF(RASANTE!F45&lt;=PERALTE!$AB$26,-2))))),IF(AND(AH!#REF!="Derecha",RASANTE!F45&lt;=PERALTE!$AB$26),IF(RASANTE!F45&lt;=PERALTE!$Q$26,-2,IF(RASANTE!F45&lt;=PERALTE!$U$26,(10/(PERALTE!$U$26-PERALTE!$Q$26)*(RASANTE!F45-PERALTE!$Q$26)-2),IF(RASANTE!F45&lt;=PERALTE!$X$26,8,IF(RASANTE!F45&lt;=PERALTE!$AB$26,(10/(PERALTE!$X$26-PERALTE!$AB$26)*(RASANTE!F45-PERALTE!$AB$26)-2))))),IF(F45&lt;=PERALTE!#REF!,-2,"Abscisa fuera de la vía")))))))))))))))))))))</f>
        <v>-2</v>
      </c>
      <c r="I45" s="28">
        <f>+IF(AND(AH!$H$8="Derecha",RASANTE!F45&lt;=PERALTE!$AB$6),IF(RASANTE!F45&lt;=PERALTE!$S$6,-2,IF(RASANTE!F45&lt;=PERALTE!$U$6,(-6/(PERALTE!$U$6-PERALTE!$S$6)*(RASANTE!F45-PERALTE!$S$6)-2),IF(RASANTE!F45&lt;=PERALTE!$X$6,-8,IF(RASANTE!F45&lt;=PERALTE!$Z$6,(-6/(PERALTE!$X$6-PERALTE!$Z$6)*(RASANTE!F45-PERALTE!$Z$6)-2),IF(RASANTE!F45&lt;=PERALTE!$AB$6,-2))))),IF(AND(AH!$H$8="Izquierda",RASANTE!F45&lt;=PERALTE!$AB$6),IF(RASANTE!F45&lt;=PERALTE!$Q$6,-2,IF(RASANTE!F45&lt;=PERALTE!$U$6,(10/(PERALTE!$U$6-PERALTE!$Q$6)*(RASANTE!F45-PERALTE!$Q$6)-2),IF(RASANTE!F45&lt;=PERALTE!$X$6,8,IF(RASANTE!F45&lt;=PERALTE!$AB$6,(10/(PERALTE!$X$6-PERALTE!$AB$6)*(RASANTE!F45-PERALTE!$AB$6)-2))))),IF(AND(AH!$H$10="Derecha",RASANTE!F45&lt;=PERALTE!$AB$8),IF(RASANTE!F45&lt;=PERALTE!$S$8,-2,IF(RASANTE!F45&lt;=PERALTE!$U$8,(-6/(PERALTE!$U$8-PERALTE!$S$8)*(RASANTE!F45-PERALTE!$S$8)-2),IF(RASANTE!F45&lt;=PERALTE!$X$8,-8,IF(RASANTE!F45&lt;=PERALTE!$Z$8,(-6/(PERALTE!$X$8-PERALTE!$Z$8)*(RASANTE!F45-PERALTE!$Z$8)-2),IF(RASANTE!F45&lt;=PERALTE!$AB$8,-2))))),IF(AND(AH!$H$10="Izquierda",RASANTE!F45&lt;=PERALTE!$AB$8),IF(RASANTE!F45&lt;=PERALTE!$Q$8,-2,IF(RASANTE!F45&lt;=PERALTE!$U$8,(10/(PERALTE!$U$8-PERALTE!$Q$8)*(RASANTE!F45-PERALTE!$Q$8)-2),IF(RASANTE!F45&lt;=PERALTE!$X$8,8,IF(RASANTE!F45&lt;=PERALTE!$AB$8,(10/(PERALTE!$X$8-PERALTE!$AB$8)*(RASANTE!F45-PERALTE!$AB$8)-2))))),IF(AND(AH!$H$12="Derecha",RASANTE!F45&lt;=PERALTE!$AB$10),IF(RASANTE!F45&lt;=PERALTE!$S$10,-2,IF(RASANTE!F45&lt;=PERALTE!$U$10,(-6/(PERALTE!$U$10-PERALTE!$S$10)*(RASANTE!F45-PERALTE!$S$10)-2),IF(RASANTE!F45&lt;=PERALTE!$X$10,-8,IF(RASANTE!F45&lt;=PERALTE!$Z$10,(-6/(PERALTE!$X$10-PERALTE!$Z$10)*(RASANTE!F45-PERALTE!$Z$10)-2),IF(RASANTE!F45&lt;=PERALTE!$AB$10,-2))))),IF(AND(AH!$H$12="Izquierda",RASANTE!F45&lt;=PERALTE!$AB$10),IF(RASANTE!F45&lt;=PERALTE!$Q$10,-2,IF(RASANTE!F45&lt;=PERALTE!$U$10,(10/(PERALTE!$U$10-PERALTE!$Q$10)*(RASANTE!F45-PERALTE!$Q$10)-2),IF(RASANTE!F45&lt;=PERALTE!$X$10,8,IF(RASANTE!F45&lt;=PERALTE!$AB$10,(10/(PERALTE!$X$10-PERALTE!$AB$10)*(RASANTE!F45-PERALTE!$AB$10)-2))))),IF(AND(AH!$H$14="Derecha",RASANTE!F45&lt;=PERALTE!$AB$12),IF(RASANTE!F45&lt;=PERALTE!$S$12,-2,IF(RASANTE!F45&lt;=PERALTE!$U$12,(-6/(PERALTE!$U$12-PERALTE!$S$12)*(RASANTE!F45-PERALTE!$S$12)-2),IF(RASANTE!F45&lt;=PERALTE!$X$12,-8,IF(RASANTE!F45&lt;=PERALTE!$Z$12,(-6/(PERALTE!$X$12-PERALTE!$Z$12)*(RASANTE!F45-PERALTE!$Z$12)-2),IF(RASANTE!F45&lt;=PERALTE!$AB$12,-2))))),IF(AND(AH!$H$14="Izquierda",RASANTE!F45&lt;=PERALTE!$AB$12),IF(RASANTE!F45&lt;=PERALTE!$Q$12,-2,IF(RASANTE!F45&lt;=PERALTE!$U$12,(10/(PERALTE!$U$12-PERALTE!$Q$12)*(RASANTE!F45-PERALTE!$Q$12)-2),IF(RASANTE!F45&lt;=PERALTE!$X$12,8,IF(RASANTE!F45&lt;=PERALTE!$AB$12,(10/(PERALTE!$X$12-PERALTE!$AB$12)*(RASANTE!F45-PERALTE!$AB$12)-2))))),IF(AND(AH!$H$16="Derecha",RASANTE!F45&lt;=PERALTE!$AB$14),IF(RASANTE!F45&lt;=PERALTE!$S$14,-2,IF(RASANTE!F45&lt;=PERALTE!$U$14,(-6/(PERALTE!$U$14-PERALTE!$S$14)*(RASANTE!F45-PERALTE!$S$14)-2),IF(RASANTE!F45&lt;=PERALTE!$X$14,-8,IF(RASANTE!F45&lt;=PERALTE!$Z$14,(-6/(PERALTE!$X$14-PERALTE!$Z$14)*(RASANTE!F45-PERALTE!$Z$14)-2),IF(RASANTE!F45&lt;=PERALTE!$AB$14,-2))))),IF(AND(AH!$H$16="Izquierda",RASANTE!F45&lt;=PERALTE!$AB$14),IF(RASANTE!F45&lt;=PERALTE!$Q$14,-2,IF(RASANTE!F45&lt;=PERALTE!$U$14,(10/(PERALTE!$U$14-PERALTE!$Q$14)*(RASANTE!F45-PERALTE!$Q$14)-2),IF(RASANTE!F45&lt;=PERALTE!$X$14,8,IF(RASANTE!F45&lt;=PERALTE!$AB$14,(10/(PERALTE!$X$14-PERALTE!$AB$14)*(RASANTE!F45-PERALTE!$AB$14)-2))))),IF(AND(AH!$H$18="Derecha",RASANTE!F45&lt;=PERALTE!$AB$16),IF(RASANTE!F45&lt;=PERALTE!$S$16,-2,IF(RASANTE!F45&lt;=PERALTE!$U$16,(-6/(PERALTE!$U$16-PERALTE!$S$16)*(RASANTE!F45-PERALTE!$S$16)-2),IF(RASANTE!F45&lt;=PERALTE!$X$16,-8,IF(RASANTE!F45&lt;=PERALTE!$Z$16,(-6/(PERALTE!$X$16-PERALTE!$Z$16)*(RASANTE!F45-PERALTE!$Z$16)-2),IF(RASANTE!F45&lt;=PERALTE!$AB$16,-2))))),IF(AND(AH!$H$18="Izquierda",RASANTE!F45&lt;=PERALTE!$AB$16),IF(RASANTE!F45&lt;=PERALTE!$Q$16,-2,IF(RASANTE!F45&lt;=PERALTE!$U$16,(10/(PERALTE!$U$16-PERALTE!$Q$16)*(RASANTE!F45-PERALTE!$Q$16)-2),IF(RASANTE!F45&lt;=PERALTE!$X$16,8,IF(RASANTE!F45&lt;=PERALTE!$AB$16,(10/(PERALTE!$X$16-PERALTE!$AB$16)*(RASANTE!F45-PERALTE!$AB$16)-2))))),IF(AND(AH!$H$20="Derecha",RASANTE!F45&lt;=PERALTE!$AB$18),IF(RASANTE!F45&lt;=PERALTE!$S$18,-2,IF(RASANTE!F45&lt;=PERALTE!$U$18,(-6/(PERALTE!$U$18-PERALTE!$S$18)*(RASANTE!F45-PERALTE!$S$18)-2),IF(RASANTE!F45&lt;=PERALTE!$X$18,-8,IF(RASANTE!F45&lt;=PERALTE!$Z$18,(-6/(PERALTE!$X$18-PERALTE!$Z$18)*(RASANTE!F45-PERALTE!$Z$18)-2),IF(RASANTE!F45&lt;=PERALTE!$AB$18,-2))))),IF(AND(AH!$H$20="Izquierda",RASANTE!F45&lt;=PERALTE!$AB$18),IF(RASANTE!F45&lt;=PERALTE!$Q$18,-2,IF(RASANTE!F45&lt;=PERALTE!$U$18,(10/(PERALTE!$U$18-PERALTE!$Q$18)*(RASANTE!F45-PERALTE!$Q$18)-2),IF(RASANTE!F45&lt;=PERALTE!$X$18,8,IF(RASANTE!F45&lt;=PERALTE!$AB$18,(10/(PERALTE!$X$18-PERALTE!$AB$18)*(RASANTE!F45-PERALTE!$AB$18)-2))))),IF(AND(AH!$H$24="Derecha",RASANTE!F45&lt;=PERALTE!$AB$22),IF(RASANTE!F45&lt;=PERALTE!$S$22,-2,IF(RASANTE!F45&lt;=PERALTE!$U$22,(-6/(PERALTE!$U$22-PERALTE!$S$22)*(RASANTE!F45-PERALTE!$S$22)-2),IF(RASANTE!F45&lt;=PERALTE!$X$22,-8,IF(RASANTE!F45&lt;=PERALTE!$Z$22,(-6/(PERALTE!$X$22-PERALTE!$Z$22)*(RASANTE!F45-PERALTE!$Z$22)-2),IF(RASANTE!F45&lt;=PERALTE!$AB$22,-2))))),IF(AND(AH!$H$24="Izquierda",RASANTE!F45&lt;=PERALTE!$AB$22),IF(RASANTE!F45&lt;=PERALTE!$Q$22,-2,IF(RASANTE!F45&lt;=PERALTE!$U$22,(10/(PERALTE!$U$22-PERALTE!$Q$22)*(RASANTE!F45-PERALTE!$Q$22)-2),IF(RASANTE!F45&lt;=PERALTE!$X$22,8,IF(RASANTE!F45&lt;=PERALTE!$AB$22,(10/(PERALTE!$X$22-PERALTE!$AB$22)*(RASANTE!F45-PERALTE!$AB$22)-2))))),IF(AND(AH!#REF!="Derecha",RASANTE!F45&lt;=PERALTE!#REF!),IF(RASANTE!F45&lt;=PERALTE!#REF!,-2,IF(RASANTE!F45&lt;=PERALTE!#REF!,(-6/(PERALTE!#REF!-PERALTE!#REF!)*(RASANTE!F45-PERALTE!#REF!)-2),IF(RASANTE!F45&lt;=PERALTE!#REF!,-8,IF(RASANTE!F45&lt;=PERALTE!#REF!,(-6/(PERALTE!#REF!-PERALTE!#REF!)*(RASANTE!F45-PERALTE!#REF!)-2),IF(RASANTE!F45&lt;=PERALTE!#REF!,-2))))),IF(AND(AH!#REF!="Izquierda",RASANTE!F45&lt;=PERALTE!#REF!),IF(RASANTE!F45&lt;=PERALTE!#REF!,-2,IF(RASANTE!F45&lt;=PERALTE!#REF!,(10/(PERALTE!#REF!-PERALTE!#REF!)*(RASANTE!F45-PERALTE!#REF!)-2),IF(RASANTE!F45&lt;=PERALTE!#REF!,8,IF(RASANTE!F45&lt;=PERALTE!#REF!,(10/(PERALTE!#REF!-PERALTE!#REF!)*(RASANTE!F45-PERALTE!#REF!)-2))))),IF(AND(AH!#REF!="Derecha",RASANTE!F45&lt;=PERALTE!$AB$26),IF(RASANTE!F45&lt;=PERALTE!$S$26,-2,IF(RASANTE!F45&lt;=PERALTE!$U$26,(-6/(PERALTE!$U$26-PERALTE!$S$26)*(RASANTE!F45-PERALTE!$S$26)-2),IF(RASANTE!F45&lt;=PERALTE!$X$26,-8,IF(RASANTE!F45&lt;=PERALTE!$Z$26,(-6/(PERALTE!$X$26-PERALTE!$Z$26)*(RASANTE!F45-PERALTE!$Z$26)-2),IF(RASANTE!F45&lt;=PERALTE!$AB$26,-2))))),IF(AND(AH!#REF!="Izquierda",RASANTE!F45&lt;=PERALTE!$AB$26),IF(RASANTE!F45&lt;=PERALTE!$Q$26,-2,IF(RASANTE!F45&lt;=PERALTE!$U$26,(10/(PERALTE!$U$26-PERALTE!$Q$26)*(RASANTE!F45-PERALTE!$Q$26)-2),IF(RASANTE!F45&lt;=PERALTE!$X$26,8,IF(RASANTE!F45&lt;=PERALTE!$AB$26,(10/(PERALTE!$X$26-PERALTE!$AB$26)*(RASANTE!F45-PERALTE!$AB$26)-2))))),IF(F45&lt;=PERALTE!#REF!,-2,"Abscisa fuera de la vía")))))))))))))))))))))</f>
        <v>-2</v>
      </c>
      <c r="J45" s="28">
        <f t="shared" si="1"/>
        <v>1652.7976000000001</v>
      </c>
      <c r="K45" s="28">
        <f>+IF(AND(AV!$S$6&lt;F45,F45&lt;=AV!$T$6),AV!$P$6*((AV!$S$6-RASANTE!F45)/(AV!$N$6))^2,IF(AND(AV!$T$6&lt;RASANTE!F45,F45&lt;AV!$U$6),AV!$P$6*((AV!$U$6-RASANTE!F45)/(AV!$O$6))^2,IF(AND(AV!$S$8&lt;F45,F45&lt;=AV!$T$8),AV!$P$8*((AV!$S$8-RASANTE!F45)/(AV!$N$8))^2,IF(AND(AV!$T$8&lt;RASANTE!F45,F45&lt;AV!$U$8),AV!$P$8*((AV!$U$8-RASANTE!F45)/(AV!$O$8))^2,IF(AND(AV!$S$10&lt;F45,F45&lt;=AV!$T$10),AV!$P$10*((AV!$S$10-RASANTE!F45)/(AV!$N$10))^2,IF(AND(AV!$T$10&lt;RASANTE!F45,F45&lt;AV!$U$10),AV!$P$10*((AV!$U$10-RASANTE!F45)/(AV!$O$10))^2,IF(AND(AV!$S$12&lt;F45,F45&lt;=AV!$T$12),AV!$P$12*((AV!$S$12-RASANTE!F45)/(AV!$N$12))^2,IF(AND(AV!$T$12&lt;RASANTE!F45,F45&lt;AV!$U$12),AV!$P$12*((AV!$U$12-RASANTE!F45)/(AV!$O$12))^2,IF(AND(AV!$S$14&lt;F45,F45&lt;=AV!$T$14),AV!$P$14*((AV!$S$14-RASANTE!F45)/(AV!$N$14))^2,IF(AND(AV!$T$14&lt;RASANTE!F45,F45&lt;AV!$U$14),AV!$P$14*((AV!$U$14-RASANTE!F45)/(AV!$O$14))^2,IF(AND(AV!$S$16&lt;F45,F45&lt;=AV!$T$16),AV!$P$16*((AV!$S$16-RASANTE!F45)/(AV!$N$16))^2,IF(AND(AV!$T$16&lt;RASANTE!F45,F45&lt;AV!$U$16),AV!$P$16*((AV!$U$16-RASANTE!F45)/(AV!$O$16))^2,IF(AND(AV!$S$18&lt;F45,F45&lt;=AV!$T$18),AV!$P$18*((AV!$S$18-RASANTE!F45)/(AV!$N$18))^2,IF(AND(AV!$T$18&lt;RASANTE!F45,F45&lt;AV!$U$18),AV!$P$18*((AV!$U$18-RASANTE!F45)/(AV!$O$18))^2,IF(AND(AV!$S$20&lt;F45,F45&lt;=AV!$T$20),AV!$P$20*((AV!$S$20-RASANTE!F45)/(AV!$N$20))^2,IF(AND(AV!$T$20&lt;RASANTE!F45,F45&lt;AV!$U$20),AV!$P$20*((AV!$U$20-RASANTE!F45)/(AV!$O$20))^2,IF(AND(AV!$S$22&lt;F45,F45&lt;=AV!$T$22),AV!$P$22*((AV!$S$22-RASANTE!F45)/(AV!$N$22))^2,IF(AND(AV!$T$22&lt;RASANTE!F45,F45&lt;AV!$U$22),AV!$P$22*((AV!$U$22-RASANTE!F45)/(AV!$O$22))^2,IF(AND(AV!$S$24&lt;F45,F45&lt;=AV!$T$24),AV!$P$24*((AV!$S$24-RASANTE!F45)/(AV!$N$24))^2,IF(AND(AV!$T$24&lt;RASANTE!F45,F45&lt;AV!$U$24),AV!$P$24*((AV!$U$24-RASANTE!F45)/(AV!$O$24))^2,0))))))))))))))))))))</f>
        <v>-0.89735807673452694</v>
      </c>
      <c r="L45" s="28">
        <f>+M45+H45%*PERALTE!$C$32</f>
        <v>1651.8302419232657</v>
      </c>
      <c r="M45" s="28">
        <f t="shared" si="3"/>
        <v>1651.9002419232656</v>
      </c>
      <c r="N45" s="28">
        <f>+M45+I45%*PERALTE!$C$32</f>
        <v>1651.8302419232657</v>
      </c>
      <c r="O45" s="92"/>
      <c r="P45" s="84"/>
      <c r="Q45" s="84"/>
      <c r="R45" s="84"/>
      <c r="S45" s="84"/>
      <c r="T45" s="84"/>
      <c r="U45" s="84"/>
      <c r="V45" s="84"/>
      <c r="W45" s="84"/>
      <c r="X45" s="84"/>
      <c r="Y45" s="84"/>
    </row>
    <row r="46" spans="1:25" ht="15.75" customHeight="1" x14ac:dyDescent="0.2">
      <c r="A46" s="315" t="s">
        <v>111</v>
      </c>
      <c r="B46" s="86"/>
      <c r="C46" s="86"/>
      <c r="D46" s="86"/>
      <c r="F46" s="34">
        <f>AV!T6</f>
        <v>287.97899999999998</v>
      </c>
      <c r="G46" s="88">
        <f>IF(F46&lt;=AV!$T$6,AV!$C$5,IF(RASANTE!F46&lt;=AV!$T$8,AV!$C$7,IF(RASANTE!F46&lt;=AV!$T$10,AV!$C$9,IF(RASANTE!F46&lt;=AV!$T$12,AV!#REF!,IF(RASANTE!F46&lt;=AV!$T$14,AV!$C$11,IF(RASANTE!F46&lt;=AV!$T$16,AV!$C$13, IF(RASANTE!F46&lt;=AV!$T$18,AV!$C$15,IF(RASANTE!F46&lt;=AV!$T$20,AV!$C$19,IF(RASANTE!F46&lt;=AV!$T$22,AV!$C$21,IF(RASANTE!F46&lt;=AV!$T$24,AV!$C$23,AV!$C$25))))))))))</f>
        <v>3.1419999999999999</v>
      </c>
      <c r="H46" s="28">
        <f>+IF(AND(AH!$H$8="Izquierda",RASANTE!F46&lt;=PERALTE!$AB$6),IF(RASANTE!F46&lt;=PERALTE!$S$6,-2,IF(RASANTE!F46&lt;=PERALTE!$U$6,(-6/(PERALTE!$U$6-PERALTE!$S$6)*(RASANTE!F46-PERALTE!$S$6)-2),IF(RASANTE!F46&lt;=PERALTE!$X$6,-8,IF(RASANTE!F46&lt;=PERALTE!$Z$6,(-6/(PERALTE!$X$6-PERALTE!$Z$6)*(RASANTE!F46-PERALTE!$Z$6)-2),IF(RASANTE!F46&lt;=PERALTE!$AB$6,-2))))),IF(AND(AH!$H$8="Derecha",RASANTE!F46&lt;=PERALTE!$AB$6),IF(RASANTE!F46&lt;=PERALTE!$Q$6,-2,IF(RASANTE!F46&lt;=PERALTE!$U$6,(10/(PERALTE!$U$6-PERALTE!$Q$6)*(RASANTE!F46-PERALTE!$Q$6)-2),IF(RASANTE!F46&lt;=PERALTE!$X$6,8,IF(RASANTE!F46&lt;=PERALTE!$AB$6,(10/(PERALTE!$X$6-PERALTE!$AB$6)*(RASANTE!F46-PERALTE!$AB$6)-2))))),IF(AND(AH!$H$10="Izquierda",RASANTE!F46&lt;=PERALTE!$AB$8),IF(RASANTE!F46&lt;=PERALTE!$S$8,-2,IF(RASANTE!F46&lt;=PERALTE!$U$8,(-6/(PERALTE!$U$8-PERALTE!$S$8)*(RASANTE!F46-PERALTE!$S$8)-2),IF(RASANTE!F46&lt;=PERALTE!$X$8,-8,IF(RASANTE!F46&lt;=PERALTE!$Z$8,(-6/(PERALTE!$X$8-PERALTE!$Z$8)*(RASANTE!F46-PERALTE!$Z$8)-2),IF(RASANTE!F46&lt;=PERALTE!$AB$8,-2))))),IF(AND(AH!$H$10="Derecha",RASANTE!F46&lt;=PERALTE!$AB$8),IF(RASANTE!F46&lt;=PERALTE!$Q$8,-2,IF(RASANTE!F46&lt;=PERALTE!$U$8,(10/(PERALTE!$U$8-PERALTE!$Q$8)*(RASANTE!F46-PERALTE!$Q$8)-2),IF(RASANTE!F46&lt;=PERALTE!$X$8,8,IF(RASANTE!F46&lt;=PERALTE!$AB$8,(10/(PERALTE!$X$8-PERALTE!$AB$8)*(RASANTE!F46-PERALTE!$AB$8)-2))))),IF(AND(AH!$H$12="Izquierda",RASANTE!F46&lt;=PERALTE!$AB$10),IF(RASANTE!F46&lt;=PERALTE!$S$10,-2,IF(RASANTE!F46&lt;=PERALTE!$U$10,(-6/(PERALTE!$U$10-PERALTE!$S$10)*(RASANTE!F46-PERALTE!$S$10)-2),IF(RASANTE!F46&lt;=PERALTE!$X$10,-8,IF(RASANTE!F46&lt;=PERALTE!$Z$10,(-6/(PERALTE!$X$10-PERALTE!$Z$10)*(RASANTE!F46-PERALTE!$Z$10)-2),IF(RASANTE!F46&lt;=PERALTE!$AB$10,-2))))),IF(AND(AH!$H$12="Derecha",RASANTE!F46&lt;=PERALTE!$AB$10),IF(RASANTE!F46&lt;=PERALTE!$Q$10,-2,IF(RASANTE!F46&lt;=PERALTE!$U$10,(10/(PERALTE!$U$10-PERALTE!$Q$10)*(RASANTE!F46-PERALTE!$Q$10)-2),IF(RASANTE!F46&lt;=PERALTE!$X$10,8,IF(RASANTE!F46&lt;=PERALTE!$AB$10,(10/(PERALTE!$X$10-PERALTE!$AB$10)*(RASANTE!F46-PERALTE!$AB$10)-2))))),IF(AND(AH!$H$14="Izquierda",RASANTE!F46&lt;=PERALTE!$AB$12),IF(RASANTE!F46&lt;=PERALTE!$S$12,-2,IF(RASANTE!F46&lt;=PERALTE!$U$12,(-6/(PERALTE!$U$12-PERALTE!$S$12)*(RASANTE!F46-PERALTE!$S$12)-2),IF(RASANTE!F46&lt;=PERALTE!$X$12,-8,IF(RASANTE!F46&lt;=PERALTE!$Z$12,(-6/(PERALTE!$X$12-PERALTE!$Z$12)*(RASANTE!F46-PERALTE!$Z$12)-2),IF(RASANTE!F46&lt;=PERALTE!$AB$12,-2))))),IF(AND(AH!$H$14="Derecha",RASANTE!F46&lt;=PERALTE!$AB$12),IF(RASANTE!F46&lt;=PERALTE!$Q$12,-2,IF(RASANTE!F46&lt;=PERALTE!$U$12,(10/(PERALTE!$U$12-PERALTE!$Q$12)*(RASANTE!F46-PERALTE!$Q$12)-2),IF(RASANTE!F46&lt;=PERALTE!$X$12,8,IF(RASANTE!F46&lt;=PERALTE!$AB$12,(10/(PERALTE!$X$12-PERALTE!$AB$12)*(RASANTE!F46-PERALTE!$AB$12)-2))))),IF(AND(AH!$H$16="Izquierda",RASANTE!F46&lt;=PERALTE!$AB$14),IF(RASANTE!F46&lt;=PERALTE!$S$14,-2,IF(RASANTE!F46&lt;=PERALTE!$U$14,(-6/(PERALTE!$U$14-PERALTE!$S$14)*(RASANTE!F46-PERALTE!$S$14)-2),IF(RASANTE!F46&lt;=PERALTE!$X$14,-8,IF(RASANTE!F46&lt;=PERALTE!$Z$14,(-6/(PERALTE!$X$14-PERALTE!$Z$14)*(RASANTE!F46-PERALTE!$Z$14)-2),IF(RASANTE!F46&lt;=PERALTE!$AB$14,-2))))),IF(AND(AH!$H$16="Derecha",RASANTE!F46&lt;=PERALTE!$AB$14),IF(RASANTE!F46&lt;=PERALTE!$Q$14,-2,IF(RASANTE!F46&lt;=PERALTE!$U$14,(10/(PERALTE!$U$14-PERALTE!$Q$14)*(RASANTE!F46-PERALTE!$Q$14)-2),IF(RASANTE!F46&lt;=PERALTE!$X$14,8,IF(RASANTE!F46&lt;=PERALTE!$AB$14,(10/(PERALTE!$X$14-PERALTE!$AB$14)*(RASANTE!F46-PERALTE!$AB$14)-2))))),IF(AND(AH!$H$18="Izquierda",RASANTE!F46&lt;=PERALTE!$AB$16),IF(RASANTE!F46&lt;=PERALTE!$S$16,-2,IF(RASANTE!F46&lt;=PERALTE!$U$16,(-6/(PERALTE!$U$16-PERALTE!$S$16)*(RASANTE!F46-PERALTE!$S$16)-2),IF(RASANTE!F46&lt;=PERALTE!$X$16,-8,IF(RASANTE!F46&lt;=PERALTE!$Z$16,(-6/(PERALTE!$X$16-PERALTE!$Z$16)*(RASANTE!F46-PERALTE!$Z$16)-2),IF(RASANTE!F46&lt;=PERALTE!$AB$16,-2))))),IF(AND(AH!$H$18="Derecha",RASANTE!F46&lt;=PERALTE!$AB$16),IF(RASANTE!F46&lt;=PERALTE!$Q$16,-2,IF(RASANTE!F46&lt;=PERALTE!$U$16,(10/(PERALTE!$U$16-PERALTE!$Q$16)*(RASANTE!F46-PERALTE!$Q$16)-2),IF(RASANTE!F46&lt;=PERALTE!$X$16,8,IF(RASANTE!F46&lt;=PERALTE!$AB$16,(10/(PERALTE!$X$16-PERALTE!$AB$16)*(RASANTE!F46-PERALTE!$AB$16)-2))))),IF(AND(AH!$H$20="Izquierda",RASANTE!F46&lt;=PERALTE!$AB$18),IF(RASANTE!F46&lt;=PERALTE!$S$18,-2,IF(RASANTE!F46&lt;=PERALTE!$U$18,(-6/(PERALTE!$U$18-PERALTE!$S$18)*(RASANTE!F46-PERALTE!$S$18)-2),IF(RASANTE!F46&lt;=PERALTE!$X$18,-8,IF(RASANTE!F46&lt;=PERALTE!$Z$18,(-6/(PERALTE!$X$18-PERALTE!$Z$18)*(RASANTE!F46-PERALTE!$Z$18)-2),IF(RASANTE!F46&lt;=PERALTE!$AB$18,-2))))),IF(AND(AH!$H$20="Derecha",RASANTE!F46&lt;=PERALTE!$AB$18),IF(RASANTE!F46&lt;=PERALTE!$Q$18,-2,IF(RASANTE!F46&lt;=PERALTE!$U$18,(10/(PERALTE!$U$18-PERALTE!$Q$18)*(RASANTE!F46-PERALTE!$Q$18)-2),IF(RASANTE!F46&lt;=PERALTE!$X$18,8,IF(RASANTE!F46&lt;=PERALTE!$AB$18,(10/(PERALTE!$X$18-PERALTE!$AB$18)*(RASANTE!F46-PERALTE!$AB$18)-2))))),IF(AND(AH!$H$24="Izquierda",RASANTE!F46&lt;=PERALTE!$AB$22),IF(RASANTE!F46&lt;=PERALTE!$S$22,-2,IF(RASANTE!F46&lt;=PERALTE!$U$22,(-6/(PERALTE!$U$22-PERALTE!$S$22)*(RASANTE!F46-PERALTE!$S$22)-2),IF(RASANTE!F46&lt;=PERALTE!$X$22,-8,IF(RASANTE!F46&lt;=PERALTE!$Z$22,(-6/(PERALTE!$X$22-PERALTE!$Z$22)*(RASANTE!F46-PERALTE!$Z$22)-2),IF(RASANTE!F46&lt;=PERALTE!$AB$22,-2))))),IF(AND(AH!$H$24="Derecha",RASANTE!F46&lt;=PERALTE!$AB$22),IF(RASANTE!F46&lt;=PERALTE!$Q$22,-2,IF(RASANTE!F46&lt;=PERALTE!$U$22,(10/(PERALTE!$U$22-PERALTE!$Q$22)*(RASANTE!F46-PERALTE!$Q$22)-2),IF(RASANTE!F46&lt;=PERALTE!$X$22,8,IF(RASANTE!F46&lt;=PERALTE!$AB$22,(10/(PERALTE!$X$22-PERALTE!$AB$22)*(RASANTE!F46-PERALTE!$AB$22)-2))))),IF(AND(AH!#REF!="Izquierda",RASANTE!F46&lt;=PERALTE!#REF!),IF(RASANTE!F46&lt;=PERALTE!#REF!,-2,IF(RASANTE!F46&lt;=PERALTE!#REF!,(-6/(PERALTE!#REF!-PERALTE!#REF!)*(RASANTE!F46-PERALTE!#REF!)-2),IF(RASANTE!F46&lt;=PERALTE!#REF!,-8,IF(RASANTE!F46&lt;=PERALTE!#REF!,(-6/(PERALTE!#REF!-PERALTE!#REF!)*(RASANTE!F46-PERALTE!#REF!)-2),IF(RASANTE!F46&lt;=PERALTE!#REF!,-2))))),IF(AND(AH!#REF!="Derecha",RASANTE!F46&lt;=PERALTE!#REF!),IF(RASANTE!F46&lt;=PERALTE!#REF!,-2,IF(RASANTE!F46&lt;=PERALTE!#REF!,(10/(PERALTE!#REF!-PERALTE!#REF!)*(RASANTE!F46-PERALTE!#REF!)-2),IF(RASANTE!F46&lt;=PERALTE!#REF!,8,IF(RASANTE!F46&lt;=PERALTE!#REF!,(10/(PERALTE!#REF!-PERALTE!#REF!)*(RASANTE!F46-PERALTE!#REF!)-2))))),IF(AND(AH!#REF!="Izquierda",RASANTE!F46&lt;=PERALTE!$AB$26),IF(RASANTE!F46&lt;=PERALTE!$S$26,-2,IF(RASANTE!F46&lt;=PERALTE!$U$26,(-6/(PERALTE!$U$26-PERALTE!$S$26)*(RASANTE!F46-PERALTE!$S$26)-2),IF(RASANTE!F46&lt;=PERALTE!$X$26,-8,IF(RASANTE!F46&lt;=PERALTE!$Z$26,(-6/(PERALTE!$X$26-PERALTE!$Z$26)*(RASANTE!F46-PERALTE!$Z$26)-2),IF(RASANTE!F46&lt;=PERALTE!$AB$26,-2))))),IF(AND(AH!#REF!="Derecha",RASANTE!F46&lt;=PERALTE!$AB$26),IF(RASANTE!F46&lt;=PERALTE!$Q$26,-2,IF(RASANTE!F46&lt;=PERALTE!$U$26,(10/(PERALTE!$U$26-PERALTE!$Q$26)*(RASANTE!F46-PERALTE!$Q$26)-2),IF(RASANTE!F46&lt;=PERALTE!$X$26,8,IF(RASANTE!F46&lt;=PERALTE!$AB$26,(10/(PERALTE!$X$26-PERALTE!$AB$26)*(RASANTE!F46-PERALTE!$AB$26)-2))))),IF(F46&lt;=PERALTE!#REF!,-2,"Abscisa fuera de la vía")))))))))))))))))))))</f>
        <v>-2</v>
      </c>
      <c r="I46" s="28">
        <f>+IF(AND(AH!$H$8="Derecha",RASANTE!F46&lt;=PERALTE!$AB$6),IF(RASANTE!F46&lt;=PERALTE!$S$6,-2,IF(RASANTE!F46&lt;=PERALTE!$U$6,(-6/(PERALTE!$U$6-PERALTE!$S$6)*(RASANTE!F46-PERALTE!$S$6)-2),IF(RASANTE!F46&lt;=PERALTE!$X$6,-8,IF(RASANTE!F46&lt;=PERALTE!$Z$6,(-6/(PERALTE!$X$6-PERALTE!$Z$6)*(RASANTE!F46-PERALTE!$Z$6)-2),IF(RASANTE!F46&lt;=PERALTE!$AB$6,-2))))),IF(AND(AH!$H$8="Izquierda",RASANTE!F46&lt;=PERALTE!$AB$6),IF(RASANTE!F46&lt;=PERALTE!$Q$6,-2,IF(RASANTE!F46&lt;=PERALTE!$U$6,(10/(PERALTE!$U$6-PERALTE!$Q$6)*(RASANTE!F46-PERALTE!$Q$6)-2),IF(RASANTE!F46&lt;=PERALTE!$X$6,8,IF(RASANTE!F46&lt;=PERALTE!$AB$6,(10/(PERALTE!$X$6-PERALTE!$AB$6)*(RASANTE!F46-PERALTE!$AB$6)-2))))),IF(AND(AH!$H$10="Derecha",RASANTE!F46&lt;=PERALTE!$AB$8),IF(RASANTE!F46&lt;=PERALTE!$S$8,-2,IF(RASANTE!F46&lt;=PERALTE!$U$8,(-6/(PERALTE!$U$8-PERALTE!$S$8)*(RASANTE!F46-PERALTE!$S$8)-2),IF(RASANTE!F46&lt;=PERALTE!$X$8,-8,IF(RASANTE!F46&lt;=PERALTE!$Z$8,(-6/(PERALTE!$X$8-PERALTE!$Z$8)*(RASANTE!F46-PERALTE!$Z$8)-2),IF(RASANTE!F46&lt;=PERALTE!$AB$8,-2))))),IF(AND(AH!$H$10="Izquierda",RASANTE!F46&lt;=PERALTE!$AB$8),IF(RASANTE!F46&lt;=PERALTE!$Q$8,-2,IF(RASANTE!F46&lt;=PERALTE!$U$8,(10/(PERALTE!$U$8-PERALTE!$Q$8)*(RASANTE!F46-PERALTE!$Q$8)-2),IF(RASANTE!F46&lt;=PERALTE!$X$8,8,IF(RASANTE!F46&lt;=PERALTE!$AB$8,(10/(PERALTE!$X$8-PERALTE!$AB$8)*(RASANTE!F46-PERALTE!$AB$8)-2))))),IF(AND(AH!$H$12="Derecha",RASANTE!F46&lt;=PERALTE!$AB$10),IF(RASANTE!F46&lt;=PERALTE!$S$10,-2,IF(RASANTE!F46&lt;=PERALTE!$U$10,(-6/(PERALTE!$U$10-PERALTE!$S$10)*(RASANTE!F46-PERALTE!$S$10)-2),IF(RASANTE!F46&lt;=PERALTE!$X$10,-8,IF(RASANTE!F46&lt;=PERALTE!$Z$10,(-6/(PERALTE!$X$10-PERALTE!$Z$10)*(RASANTE!F46-PERALTE!$Z$10)-2),IF(RASANTE!F46&lt;=PERALTE!$AB$10,-2))))),IF(AND(AH!$H$12="Izquierda",RASANTE!F46&lt;=PERALTE!$AB$10),IF(RASANTE!F46&lt;=PERALTE!$Q$10,-2,IF(RASANTE!F46&lt;=PERALTE!$U$10,(10/(PERALTE!$U$10-PERALTE!$Q$10)*(RASANTE!F46-PERALTE!$Q$10)-2),IF(RASANTE!F46&lt;=PERALTE!$X$10,8,IF(RASANTE!F46&lt;=PERALTE!$AB$10,(10/(PERALTE!$X$10-PERALTE!$AB$10)*(RASANTE!F46-PERALTE!$AB$10)-2))))),IF(AND(AH!$H$14="Derecha",RASANTE!F46&lt;=PERALTE!$AB$12),IF(RASANTE!F46&lt;=PERALTE!$S$12,-2,IF(RASANTE!F46&lt;=PERALTE!$U$12,(-6/(PERALTE!$U$12-PERALTE!$S$12)*(RASANTE!F46-PERALTE!$S$12)-2),IF(RASANTE!F46&lt;=PERALTE!$X$12,-8,IF(RASANTE!F46&lt;=PERALTE!$Z$12,(-6/(PERALTE!$X$12-PERALTE!$Z$12)*(RASANTE!F46-PERALTE!$Z$12)-2),IF(RASANTE!F46&lt;=PERALTE!$AB$12,-2))))),IF(AND(AH!$H$14="Izquierda",RASANTE!F46&lt;=PERALTE!$AB$12),IF(RASANTE!F46&lt;=PERALTE!$Q$12,-2,IF(RASANTE!F46&lt;=PERALTE!$U$12,(10/(PERALTE!$U$12-PERALTE!$Q$12)*(RASANTE!F46-PERALTE!$Q$12)-2),IF(RASANTE!F46&lt;=PERALTE!$X$12,8,IF(RASANTE!F46&lt;=PERALTE!$AB$12,(10/(PERALTE!$X$12-PERALTE!$AB$12)*(RASANTE!F46-PERALTE!$AB$12)-2))))),IF(AND(AH!$H$16="Derecha",RASANTE!F46&lt;=PERALTE!$AB$14),IF(RASANTE!F46&lt;=PERALTE!$S$14,-2,IF(RASANTE!F46&lt;=PERALTE!$U$14,(-6/(PERALTE!$U$14-PERALTE!$S$14)*(RASANTE!F46-PERALTE!$S$14)-2),IF(RASANTE!F46&lt;=PERALTE!$X$14,-8,IF(RASANTE!F46&lt;=PERALTE!$Z$14,(-6/(PERALTE!$X$14-PERALTE!$Z$14)*(RASANTE!F46-PERALTE!$Z$14)-2),IF(RASANTE!F46&lt;=PERALTE!$AB$14,-2))))),IF(AND(AH!$H$16="Izquierda",RASANTE!F46&lt;=PERALTE!$AB$14),IF(RASANTE!F46&lt;=PERALTE!$Q$14,-2,IF(RASANTE!F46&lt;=PERALTE!$U$14,(10/(PERALTE!$U$14-PERALTE!$Q$14)*(RASANTE!F46-PERALTE!$Q$14)-2),IF(RASANTE!F46&lt;=PERALTE!$X$14,8,IF(RASANTE!F46&lt;=PERALTE!$AB$14,(10/(PERALTE!$X$14-PERALTE!$AB$14)*(RASANTE!F46-PERALTE!$AB$14)-2))))),IF(AND(AH!$H$18="Derecha",RASANTE!F46&lt;=PERALTE!$AB$16),IF(RASANTE!F46&lt;=PERALTE!$S$16,-2,IF(RASANTE!F46&lt;=PERALTE!$U$16,(-6/(PERALTE!$U$16-PERALTE!$S$16)*(RASANTE!F46-PERALTE!$S$16)-2),IF(RASANTE!F46&lt;=PERALTE!$X$16,-8,IF(RASANTE!F46&lt;=PERALTE!$Z$16,(-6/(PERALTE!$X$16-PERALTE!$Z$16)*(RASANTE!F46-PERALTE!$Z$16)-2),IF(RASANTE!F46&lt;=PERALTE!$AB$16,-2))))),IF(AND(AH!$H$18="Izquierda",RASANTE!F46&lt;=PERALTE!$AB$16),IF(RASANTE!F46&lt;=PERALTE!$Q$16,-2,IF(RASANTE!F46&lt;=PERALTE!$U$16,(10/(PERALTE!$U$16-PERALTE!$Q$16)*(RASANTE!F46-PERALTE!$Q$16)-2),IF(RASANTE!F46&lt;=PERALTE!$X$16,8,IF(RASANTE!F46&lt;=PERALTE!$AB$16,(10/(PERALTE!$X$16-PERALTE!$AB$16)*(RASANTE!F46-PERALTE!$AB$16)-2))))),IF(AND(AH!$H$20="Derecha",RASANTE!F46&lt;=PERALTE!$AB$18),IF(RASANTE!F46&lt;=PERALTE!$S$18,-2,IF(RASANTE!F46&lt;=PERALTE!$U$18,(-6/(PERALTE!$U$18-PERALTE!$S$18)*(RASANTE!F46-PERALTE!$S$18)-2),IF(RASANTE!F46&lt;=PERALTE!$X$18,-8,IF(RASANTE!F46&lt;=PERALTE!$Z$18,(-6/(PERALTE!$X$18-PERALTE!$Z$18)*(RASANTE!F46-PERALTE!$Z$18)-2),IF(RASANTE!F46&lt;=PERALTE!$AB$18,-2))))),IF(AND(AH!$H$20="Izquierda",RASANTE!F46&lt;=PERALTE!$AB$18),IF(RASANTE!F46&lt;=PERALTE!$Q$18,-2,IF(RASANTE!F46&lt;=PERALTE!$U$18,(10/(PERALTE!$U$18-PERALTE!$Q$18)*(RASANTE!F46-PERALTE!$Q$18)-2),IF(RASANTE!F46&lt;=PERALTE!$X$18,8,IF(RASANTE!F46&lt;=PERALTE!$AB$18,(10/(PERALTE!$X$18-PERALTE!$AB$18)*(RASANTE!F46-PERALTE!$AB$18)-2))))),IF(AND(AH!$H$24="Derecha",RASANTE!F46&lt;=PERALTE!$AB$22),IF(RASANTE!F46&lt;=PERALTE!$S$22,-2,IF(RASANTE!F46&lt;=PERALTE!$U$22,(-6/(PERALTE!$U$22-PERALTE!$S$22)*(RASANTE!F46-PERALTE!$S$22)-2),IF(RASANTE!F46&lt;=PERALTE!$X$22,-8,IF(RASANTE!F46&lt;=PERALTE!$Z$22,(-6/(PERALTE!$X$22-PERALTE!$Z$22)*(RASANTE!F46-PERALTE!$Z$22)-2),IF(RASANTE!F46&lt;=PERALTE!$AB$22,-2))))),IF(AND(AH!$H$24="Izquierda",RASANTE!F46&lt;=PERALTE!$AB$22),IF(RASANTE!F46&lt;=PERALTE!$Q$22,-2,IF(RASANTE!F46&lt;=PERALTE!$U$22,(10/(PERALTE!$U$22-PERALTE!$Q$22)*(RASANTE!F46-PERALTE!$Q$22)-2),IF(RASANTE!F46&lt;=PERALTE!$X$22,8,IF(RASANTE!F46&lt;=PERALTE!$AB$22,(10/(PERALTE!$X$22-PERALTE!$AB$22)*(RASANTE!F46-PERALTE!$AB$22)-2))))),IF(AND(AH!#REF!="Derecha",RASANTE!F46&lt;=PERALTE!#REF!),IF(RASANTE!F46&lt;=PERALTE!#REF!,-2,IF(RASANTE!F46&lt;=PERALTE!#REF!,(-6/(PERALTE!#REF!-PERALTE!#REF!)*(RASANTE!F46-PERALTE!#REF!)-2),IF(RASANTE!F46&lt;=PERALTE!#REF!,-8,IF(RASANTE!F46&lt;=PERALTE!#REF!,(-6/(PERALTE!#REF!-PERALTE!#REF!)*(RASANTE!F46-PERALTE!#REF!)-2),IF(RASANTE!F46&lt;=PERALTE!#REF!,-2))))),IF(AND(AH!#REF!="Izquierda",RASANTE!F46&lt;=PERALTE!#REF!),IF(RASANTE!F46&lt;=PERALTE!#REF!,-2,IF(RASANTE!F46&lt;=PERALTE!#REF!,(10/(PERALTE!#REF!-PERALTE!#REF!)*(RASANTE!F46-PERALTE!#REF!)-2),IF(RASANTE!F46&lt;=PERALTE!#REF!,8,IF(RASANTE!F46&lt;=PERALTE!#REF!,(10/(PERALTE!#REF!-PERALTE!#REF!)*(RASANTE!F46-PERALTE!#REF!)-2))))),IF(AND(AH!#REF!="Derecha",RASANTE!F46&lt;=PERALTE!$AB$26),IF(RASANTE!F46&lt;=PERALTE!$S$26,-2,IF(RASANTE!F46&lt;=PERALTE!$U$26,(-6/(PERALTE!$U$26-PERALTE!$S$26)*(RASANTE!F46-PERALTE!$S$26)-2),IF(RASANTE!F46&lt;=PERALTE!$X$26,-8,IF(RASANTE!F46&lt;=PERALTE!$Z$26,(-6/(PERALTE!$X$26-PERALTE!$Z$26)*(RASANTE!F46-PERALTE!$Z$26)-2),IF(RASANTE!F46&lt;=PERALTE!$AB$26,-2))))),IF(AND(AH!#REF!="Izquierda",RASANTE!F46&lt;=PERALTE!$AB$26),IF(RASANTE!F46&lt;=PERALTE!$Q$26,-2,IF(RASANTE!F46&lt;=PERALTE!$U$26,(10/(PERALTE!$U$26-PERALTE!$Q$26)*(RASANTE!F46-PERALTE!$Q$26)-2),IF(RASANTE!F46&lt;=PERALTE!$X$26,8,IF(RASANTE!F46&lt;=PERALTE!$AB$26,(10/(PERALTE!$X$26-PERALTE!$AB$26)*(RASANTE!F46-PERALTE!$AB$26)-2))))),IF(F46&lt;=PERALTE!#REF!,-2,"Abscisa fuera de la vía")))))))))))))))))))))</f>
        <v>-2</v>
      </c>
      <c r="J46" s="28">
        <f t="shared" si="1"/>
        <v>1653.0483001800001</v>
      </c>
      <c r="K46" s="28">
        <f>+IF(AND(AV!$S$6&lt;F46,F46&lt;=AV!$T$6),AV!$P$6*((AV!$S$6-RASANTE!F46)/(AV!$N$6))^2,IF(AND(AV!$T$6&lt;RASANTE!F46,F46&lt;AV!$U$6),AV!$P$6*((AV!$U$6-RASANTE!F46)/(AV!$O$6))^2,IF(AND(AV!$S$8&lt;F46,F46&lt;=AV!$T$8),AV!$P$8*((AV!$S$8-RASANTE!F46)/(AV!$N$8))^2,IF(AND(AV!$T$8&lt;RASANTE!F46,F46&lt;AV!$U$8),AV!$P$8*((AV!$U$8-RASANTE!F46)/(AV!$O$8))^2,IF(AND(AV!$S$10&lt;F46,F46&lt;=AV!$T$10),AV!$P$10*((AV!$S$10-RASANTE!F46)/(AV!$N$10))^2,IF(AND(AV!$T$10&lt;RASANTE!F46,F46&lt;AV!$U$10),AV!$P$10*((AV!$U$10-RASANTE!F46)/(AV!$O$10))^2,IF(AND(AV!$S$12&lt;F46,F46&lt;=AV!$T$12),AV!$P$12*((AV!$S$12-RASANTE!F46)/(AV!$N$12))^2,IF(AND(AV!$T$12&lt;RASANTE!F46,F46&lt;AV!$U$12),AV!$P$12*((AV!$U$12-RASANTE!F46)/(AV!$O$12))^2,IF(AND(AV!$S$14&lt;F46,F46&lt;=AV!$T$14),AV!$P$14*((AV!$S$14-RASANTE!F46)/(AV!$N$14))^2,IF(AND(AV!$T$14&lt;RASANTE!F46,F46&lt;AV!$U$14),AV!$P$14*((AV!$U$14-RASANTE!F46)/(AV!$O$14))^2,IF(AND(AV!$S$16&lt;F46,F46&lt;=AV!$T$16),AV!$P$16*((AV!$S$16-RASANTE!F46)/(AV!$N$16))^2,IF(AND(AV!$T$16&lt;RASANTE!F46,F46&lt;AV!$U$16),AV!$P$16*((AV!$U$16-RASANTE!F46)/(AV!$O$16))^2,IF(AND(AV!$S$18&lt;F46,F46&lt;=AV!$T$18),AV!$P$18*((AV!$S$18-RASANTE!F46)/(AV!$N$18))^2,IF(AND(AV!$T$18&lt;RASANTE!F46,F46&lt;AV!$U$18),AV!$P$18*((AV!$U$18-RASANTE!F46)/(AV!$O$18))^2,IF(AND(AV!$S$20&lt;F46,F46&lt;=AV!$T$20),AV!$P$20*((AV!$S$20-RASANTE!F46)/(AV!$N$20))^2,IF(AND(AV!$T$20&lt;RASANTE!F46,F46&lt;AV!$U$20),AV!$P$20*((AV!$U$20-RASANTE!F46)/(AV!$O$20))^2,IF(AND(AV!$S$22&lt;F46,F46&lt;=AV!$T$22),AV!$P$22*((AV!$S$22-RASANTE!F46)/(AV!$N$22))^2,IF(AND(AV!$T$22&lt;RASANTE!F46,F46&lt;AV!$U$22),AV!$P$22*((AV!$U$22-RASANTE!F46)/(AV!$O$22))^2,IF(AND(AV!$S$24&lt;F46,F46&lt;=AV!$T$24),AV!$P$24*((AV!$S$24-RASANTE!F46)/(AV!$N$24))^2,IF(AND(AV!$T$24&lt;RASANTE!F46,F46&lt;AV!$U$24),AV!$P$24*((AV!$U$24-RASANTE!F46)/(AV!$O$24))^2,0))))))))))))))))))))</f>
        <v>-1.2962750000000001</v>
      </c>
      <c r="L46" s="28">
        <f>+M46+H46%*PERALTE!$C$32</f>
        <v>1651.6820251800002</v>
      </c>
      <c r="M46" s="28">
        <f t="shared" si="3"/>
        <v>1651.7520251800001</v>
      </c>
      <c r="N46" s="28">
        <f>+M46+I46%*PERALTE!$C$32</f>
        <v>1651.6820251800002</v>
      </c>
      <c r="O46" s="92"/>
      <c r="P46" s="84"/>
      <c r="Q46" s="84"/>
      <c r="R46" s="84"/>
      <c r="S46" s="84"/>
      <c r="T46" s="84"/>
      <c r="U46" s="84"/>
      <c r="V46" s="84"/>
      <c r="W46" s="84"/>
      <c r="X46" s="84"/>
      <c r="Y46" s="84"/>
    </row>
    <row r="47" spans="1:25" ht="15.75" customHeight="1" x14ac:dyDescent="0.2">
      <c r="A47" s="90"/>
      <c r="B47" s="86"/>
      <c r="C47" s="86"/>
      <c r="D47" s="86"/>
      <c r="E47" s="91"/>
      <c r="F47" s="34">
        <v>290</v>
      </c>
      <c r="G47" s="88">
        <f>IF(F47&lt;=AV!$T$6,AV!$C$5,IF(RASANTE!F47&lt;=AV!$T$8,AV!$C$7,IF(RASANTE!F47&lt;=AV!$T$10,AV!$C$9,IF(RASANTE!F47&lt;=AV!$T$12,AV!#REF!,IF(RASANTE!F47&lt;=AV!$T$14,AV!$C$11,IF(RASANTE!F47&lt;=AV!$T$16,AV!$C$13, IF(RASANTE!F47&lt;=AV!$T$18,AV!$C$15,IF(RASANTE!F47&lt;=AV!$T$20,AV!$C$19,IF(RASANTE!F47&lt;=AV!$T$22,AV!$C$21,IF(RASANTE!F47&lt;=AV!$T$24,AV!$C$23,AV!$C$25))))))))))</f>
        <v>-7.774</v>
      </c>
      <c r="H47" s="28">
        <f>+IF(AND(AH!$H$8="Izquierda",RASANTE!F47&lt;=PERALTE!$AB$6),IF(RASANTE!F47&lt;=PERALTE!$S$6,-2,IF(RASANTE!F47&lt;=PERALTE!$U$6,(-6/(PERALTE!$U$6-PERALTE!$S$6)*(RASANTE!F47-PERALTE!$S$6)-2),IF(RASANTE!F47&lt;=PERALTE!$X$6,-8,IF(RASANTE!F47&lt;=PERALTE!$Z$6,(-6/(PERALTE!$X$6-PERALTE!$Z$6)*(RASANTE!F47-PERALTE!$Z$6)-2),IF(RASANTE!F47&lt;=PERALTE!$AB$6,-2))))),IF(AND(AH!$H$8="Derecha",RASANTE!F47&lt;=PERALTE!$AB$6),IF(RASANTE!F47&lt;=PERALTE!$Q$6,-2,IF(RASANTE!F47&lt;=PERALTE!$U$6,(10/(PERALTE!$U$6-PERALTE!$Q$6)*(RASANTE!F47-PERALTE!$Q$6)-2),IF(RASANTE!F47&lt;=PERALTE!$X$6,8,IF(RASANTE!F47&lt;=PERALTE!$AB$6,(10/(PERALTE!$X$6-PERALTE!$AB$6)*(RASANTE!F47-PERALTE!$AB$6)-2))))),IF(AND(AH!$H$10="Izquierda",RASANTE!F47&lt;=PERALTE!$AB$8),IF(RASANTE!F47&lt;=PERALTE!$S$8,-2,IF(RASANTE!F47&lt;=PERALTE!$U$8,(-6/(PERALTE!$U$8-PERALTE!$S$8)*(RASANTE!F47-PERALTE!$S$8)-2),IF(RASANTE!F47&lt;=PERALTE!$X$8,-8,IF(RASANTE!F47&lt;=PERALTE!$Z$8,(-6/(PERALTE!$X$8-PERALTE!$Z$8)*(RASANTE!F47-PERALTE!$Z$8)-2),IF(RASANTE!F47&lt;=PERALTE!$AB$8,-2))))),IF(AND(AH!$H$10="Derecha",RASANTE!F47&lt;=PERALTE!$AB$8),IF(RASANTE!F47&lt;=PERALTE!$Q$8,-2,IF(RASANTE!F47&lt;=PERALTE!$U$8,(10/(PERALTE!$U$8-PERALTE!$Q$8)*(RASANTE!F47-PERALTE!$Q$8)-2),IF(RASANTE!F47&lt;=PERALTE!$X$8,8,IF(RASANTE!F47&lt;=PERALTE!$AB$8,(10/(PERALTE!$X$8-PERALTE!$AB$8)*(RASANTE!F47-PERALTE!$AB$8)-2))))),IF(AND(AH!$H$12="Izquierda",RASANTE!F47&lt;=PERALTE!$AB$10),IF(RASANTE!F47&lt;=PERALTE!$S$10,-2,IF(RASANTE!F47&lt;=PERALTE!$U$10,(-6/(PERALTE!$U$10-PERALTE!$S$10)*(RASANTE!F47-PERALTE!$S$10)-2),IF(RASANTE!F47&lt;=PERALTE!$X$10,-8,IF(RASANTE!F47&lt;=PERALTE!$Z$10,(-6/(PERALTE!$X$10-PERALTE!$Z$10)*(RASANTE!F47-PERALTE!$Z$10)-2),IF(RASANTE!F47&lt;=PERALTE!$AB$10,-2))))),IF(AND(AH!$H$12="Derecha",RASANTE!F47&lt;=PERALTE!$AB$10),IF(RASANTE!F47&lt;=PERALTE!$Q$10,-2,IF(RASANTE!F47&lt;=PERALTE!$U$10,(10/(PERALTE!$U$10-PERALTE!$Q$10)*(RASANTE!F47-PERALTE!$Q$10)-2),IF(RASANTE!F47&lt;=PERALTE!$X$10,8,IF(RASANTE!F47&lt;=PERALTE!$AB$10,(10/(PERALTE!$X$10-PERALTE!$AB$10)*(RASANTE!F47-PERALTE!$AB$10)-2))))),IF(AND(AH!$H$14="Izquierda",RASANTE!F47&lt;=PERALTE!$AB$12),IF(RASANTE!F47&lt;=PERALTE!$S$12,-2,IF(RASANTE!F47&lt;=PERALTE!$U$12,(-6/(PERALTE!$U$12-PERALTE!$S$12)*(RASANTE!F47-PERALTE!$S$12)-2),IF(RASANTE!F47&lt;=PERALTE!$X$12,-8,IF(RASANTE!F47&lt;=PERALTE!$Z$12,(-6/(PERALTE!$X$12-PERALTE!$Z$12)*(RASANTE!F47-PERALTE!$Z$12)-2),IF(RASANTE!F47&lt;=PERALTE!$AB$12,-2))))),IF(AND(AH!$H$14="Derecha",RASANTE!F47&lt;=PERALTE!$AB$12),IF(RASANTE!F47&lt;=PERALTE!$Q$12,-2,IF(RASANTE!F47&lt;=PERALTE!$U$12,(10/(PERALTE!$U$12-PERALTE!$Q$12)*(RASANTE!F47-PERALTE!$Q$12)-2),IF(RASANTE!F47&lt;=PERALTE!$X$12,8,IF(RASANTE!F47&lt;=PERALTE!$AB$12,(10/(PERALTE!$X$12-PERALTE!$AB$12)*(RASANTE!F47-PERALTE!$AB$12)-2))))),IF(AND(AH!$H$16="Izquierda",RASANTE!F47&lt;=PERALTE!$AB$14),IF(RASANTE!F47&lt;=PERALTE!$S$14,-2,IF(RASANTE!F47&lt;=PERALTE!$U$14,(-6/(PERALTE!$U$14-PERALTE!$S$14)*(RASANTE!F47-PERALTE!$S$14)-2),IF(RASANTE!F47&lt;=PERALTE!$X$14,-8,IF(RASANTE!F47&lt;=PERALTE!$Z$14,(-6/(PERALTE!$X$14-PERALTE!$Z$14)*(RASANTE!F47-PERALTE!$Z$14)-2),IF(RASANTE!F47&lt;=PERALTE!$AB$14,-2))))),IF(AND(AH!$H$16="Derecha",RASANTE!F47&lt;=PERALTE!$AB$14),IF(RASANTE!F47&lt;=PERALTE!$Q$14,-2,IF(RASANTE!F47&lt;=PERALTE!$U$14,(10/(PERALTE!$U$14-PERALTE!$Q$14)*(RASANTE!F47-PERALTE!$Q$14)-2),IF(RASANTE!F47&lt;=PERALTE!$X$14,8,IF(RASANTE!F47&lt;=PERALTE!$AB$14,(10/(PERALTE!$X$14-PERALTE!$AB$14)*(RASANTE!F47-PERALTE!$AB$14)-2))))),IF(AND(AH!$H$18="Izquierda",RASANTE!F47&lt;=PERALTE!$AB$16),IF(RASANTE!F47&lt;=PERALTE!$S$16,-2,IF(RASANTE!F47&lt;=PERALTE!$U$16,(-6/(PERALTE!$U$16-PERALTE!$S$16)*(RASANTE!F47-PERALTE!$S$16)-2),IF(RASANTE!F47&lt;=PERALTE!$X$16,-8,IF(RASANTE!F47&lt;=PERALTE!$Z$16,(-6/(PERALTE!$X$16-PERALTE!$Z$16)*(RASANTE!F47-PERALTE!$Z$16)-2),IF(RASANTE!F47&lt;=PERALTE!$AB$16,-2))))),IF(AND(AH!$H$18="Derecha",RASANTE!F47&lt;=PERALTE!$AB$16),IF(RASANTE!F47&lt;=PERALTE!$Q$16,-2,IF(RASANTE!F47&lt;=PERALTE!$U$16,(10/(PERALTE!$U$16-PERALTE!$Q$16)*(RASANTE!F47-PERALTE!$Q$16)-2),IF(RASANTE!F47&lt;=PERALTE!$X$16,8,IF(RASANTE!F47&lt;=PERALTE!$AB$16,(10/(PERALTE!$X$16-PERALTE!$AB$16)*(RASANTE!F47-PERALTE!$AB$16)-2))))),IF(AND(AH!$H$20="Izquierda",RASANTE!F47&lt;=PERALTE!$AB$18),IF(RASANTE!F47&lt;=PERALTE!$S$18,-2,IF(RASANTE!F47&lt;=PERALTE!$U$18,(-6/(PERALTE!$U$18-PERALTE!$S$18)*(RASANTE!F47-PERALTE!$S$18)-2),IF(RASANTE!F47&lt;=PERALTE!$X$18,-8,IF(RASANTE!F47&lt;=PERALTE!$Z$18,(-6/(PERALTE!$X$18-PERALTE!$Z$18)*(RASANTE!F47-PERALTE!$Z$18)-2),IF(RASANTE!F47&lt;=PERALTE!$AB$18,-2))))),IF(AND(AH!$H$20="Derecha",RASANTE!F47&lt;=PERALTE!$AB$18),IF(RASANTE!F47&lt;=PERALTE!$Q$18,-2,IF(RASANTE!F47&lt;=PERALTE!$U$18,(10/(PERALTE!$U$18-PERALTE!$Q$18)*(RASANTE!F47-PERALTE!$Q$18)-2),IF(RASANTE!F47&lt;=PERALTE!$X$18,8,IF(RASANTE!F47&lt;=PERALTE!$AB$18,(10/(PERALTE!$X$18-PERALTE!$AB$18)*(RASANTE!F47-PERALTE!$AB$18)-2))))),IF(AND(AH!$H$24="Izquierda",RASANTE!F47&lt;=PERALTE!$AB$22),IF(RASANTE!F47&lt;=PERALTE!$S$22,-2,IF(RASANTE!F47&lt;=PERALTE!$U$22,(-6/(PERALTE!$U$22-PERALTE!$S$22)*(RASANTE!F47-PERALTE!$S$22)-2),IF(RASANTE!F47&lt;=PERALTE!$X$22,-8,IF(RASANTE!F47&lt;=PERALTE!$Z$22,(-6/(PERALTE!$X$22-PERALTE!$Z$22)*(RASANTE!F47-PERALTE!$Z$22)-2),IF(RASANTE!F47&lt;=PERALTE!$AB$22,-2))))),IF(AND(AH!$H$24="Derecha",RASANTE!F47&lt;=PERALTE!$AB$22),IF(RASANTE!F47&lt;=PERALTE!$Q$22,-2,IF(RASANTE!F47&lt;=PERALTE!$U$22,(10/(PERALTE!$U$22-PERALTE!$Q$22)*(RASANTE!F47-PERALTE!$Q$22)-2),IF(RASANTE!F47&lt;=PERALTE!$X$22,8,IF(RASANTE!F47&lt;=PERALTE!$AB$22,(10/(PERALTE!$X$22-PERALTE!$AB$22)*(RASANTE!F47-PERALTE!$AB$22)-2))))),IF(AND(AH!#REF!="Izquierda",RASANTE!F47&lt;=PERALTE!#REF!),IF(RASANTE!F47&lt;=PERALTE!#REF!,-2,IF(RASANTE!F47&lt;=PERALTE!#REF!,(-6/(PERALTE!#REF!-PERALTE!#REF!)*(RASANTE!F47-PERALTE!#REF!)-2),IF(RASANTE!F47&lt;=PERALTE!#REF!,-8,IF(RASANTE!F47&lt;=PERALTE!#REF!,(-6/(PERALTE!#REF!-PERALTE!#REF!)*(RASANTE!F47-PERALTE!#REF!)-2),IF(RASANTE!F47&lt;=PERALTE!#REF!,-2))))),IF(AND(AH!#REF!="Derecha",RASANTE!F47&lt;=PERALTE!#REF!),IF(RASANTE!F47&lt;=PERALTE!#REF!,-2,IF(RASANTE!F47&lt;=PERALTE!#REF!,(10/(PERALTE!#REF!-PERALTE!#REF!)*(RASANTE!F47-PERALTE!#REF!)-2),IF(RASANTE!F47&lt;=PERALTE!#REF!,8,IF(RASANTE!F47&lt;=PERALTE!#REF!,(10/(PERALTE!#REF!-PERALTE!#REF!)*(RASANTE!F47-PERALTE!#REF!)-2))))),IF(AND(AH!#REF!="Izquierda",RASANTE!F47&lt;=PERALTE!$AB$26),IF(RASANTE!F47&lt;=PERALTE!$S$26,-2,IF(RASANTE!F47&lt;=PERALTE!$U$26,(-6/(PERALTE!$U$26-PERALTE!$S$26)*(RASANTE!F47-PERALTE!$S$26)-2),IF(RASANTE!F47&lt;=PERALTE!$X$26,-8,IF(RASANTE!F47&lt;=PERALTE!$Z$26,(-6/(PERALTE!$X$26-PERALTE!$Z$26)*(RASANTE!F47-PERALTE!$Z$26)-2),IF(RASANTE!F47&lt;=PERALTE!$AB$26,-2))))),IF(AND(AH!#REF!="Derecha",RASANTE!F47&lt;=PERALTE!$AB$26),IF(RASANTE!F47&lt;=PERALTE!$Q$26,-2,IF(RASANTE!F47&lt;=PERALTE!$U$26,(10/(PERALTE!$U$26-PERALTE!$Q$26)*(RASANTE!F47-PERALTE!$Q$26)-2),IF(RASANTE!F47&lt;=PERALTE!$X$26,8,IF(RASANTE!F47&lt;=PERALTE!$AB$26,(10/(PERALTE!$X$26-PERALTE!$AB$26)*(RASANTE!F47-PERALTE!$AB$26)-2))))),IF(F47&lt;=PERALTE!#REF!,-2,"Abscisa fuera de la vía")))))))))))))))))))))</f>
        <v>-2</v>
      </c>
      <c r="I47" s="28">
        <f>+IF(AND(AH!$H$8="Derecha",RASANTE!F47&lt;=PERALTE!$AB$6),IF(RASANTE!F47&lt;=PERALTE!$S$6,-2,IF(RASANTE!F47&lt;=PERALTE!$U$6,(-6/(PERALTE!$U$6-PERALTE!$S$6)*(RASANTE!F47-PERALTE!$S$6)-2),IF(RASANTE!F47&lt;=PERALTE!$X$6,-8,IF(RASANTE!F47&lt;=PERALTE!$Z$6,(-6/(PERALTE!$X$6-PERALTE!$Z$6)*(RASANTE!F47-PERALTE!$Z$6)-2),IF(RASANTE!F47&lt;=PERALTE!$AB$6,-2))))),IF(AND(AH!$H$8="Izquierda",RASANTE!F47&lt;=PERALTE!$AB$6),IF(RASANTE!F47&lt;=PERALTE!$Q$6,-2,IF(RASANTE!F47&lt;=PERALTE!$U$6,(10/(PERALTE!$U$6-PERALTE!$Q$6)*(RASANTE!F47-PERALTE!$Q$6)-2),IF(RASANTE!F47&lt;=PERALTE!$X$6,8,IF(RASANTE!F47&lt;=PERALTE!$AB$6,(10/(PERALTE!$X$6-PERALTE!$AB$6)*(RASANTE!F47-PERALTE!$AB$6)-2))))),IF(AND(AH!$H$10="Derecha",RASANTE!F47&lt;=PERALTE!$AB$8),IF(RASANTE!F47&lt;=PERALTE!$S$8,-2,IF(RASANTE!F47&lt;=PERALTE!$U$8,(-6/(PERALTE!$U$8-PERALTE!$S$8)*(RASANTE!F47-PERALTE!$S$8)-2),IF(RASANTE!F47&lt;=PERALTE!$X$8,-8,IF(RASANTE!F47&lt;=PERALTE!$Z$8,(-6/(PERALTE!$X$8-PERALTE!$Z$8)*(RASANTE!F47-PERALTE!$Z$8)-2),IF(RASANTE!F47&lt;=PERALTE!$AB$8,-2))))),IF(AND(AH!$H$10="Izquierda",RASANTE!F47&lt;=PERALTE!$AB$8),IF(RASANTE!F47&lt;=PERALTE!$Q$8,-2,IF(RASANTE!F47&lt;=PERALTE!$U$8,(10/(PERALTE!$U$8-PERALTE!$Q$8)*(RASANTE!F47-PERALTE!$Q$8)-2),IF(RASANTE!F47&lt;=PERALTE!$X$8,8,IF(RASANTE!F47&lt;=PERALTE!$AB$8,(10/(PERALTE!$X$8-PERALTE!$AB$8)*(RASANTE!F47-PERALTE!$AB$8)-2))))),IF(AND(AH!$H$12="Derecha",RASANTE!F47&lt;=PERALTE!$AB$10),IF(RASANTE!F47&lt;=PERALTE!$S$10,-2,IF(RASANTE!F47&lt;=PERALTE!$U$10,(-6/(PERALTE!$U$10-PERALTE!$S$10)*(RASANTE!F47-PERALTE!$S$10)-2),IF(RASANTE!F47&lt;=PERALTE!$X$10,-8,IF(RASANTE!F47&lt;=PERALTE!$Z$10,(-6/(PERALTE!$X$10-PERALTE!$Z$10)*(RASANTE!F47-PERALTE!$Z$10)-2),IF(RASANTE!F47&lt;=PERALTE!$AB$10,-2))))),IF(AND(AH!$H$12="Izquierda",RASANTE!F47&lt;=PERALTE!$AB$10),IF(RASANTE!F47&lt;=PERALTE!$Q$10,-2,IF(RASANTE!F47&lt;=PERALTE!$U$10,(10/(PERALTE!$U$10-PERALTE!$Q$10)*(RASANTE!F47-PERALTE!$Q$10)-2),IF(RASANTE!F47&lt;=PERALTE!$X$10,8,IF(RASANTE!F47&lt;=PERALTE!$AB$10,(10/(PERALTE!$X$10-PERALTE!$AB$10)*(RASANTE!F47-PERALTE!$AB$10)-2))))),IF(AND(AH!$H$14="Derecha",RASANTE!F47&lt;=PERALTE!$AB$12),IF(RASANTE!F47&lt;=PERALTE!$S$12,-2,IF(RASANTE!F47&lt;=PERALTE!$U$12,(-6/(PERALTE!$U$12-PERALTE!$S$12)*(RASANTE!F47-PERALTE!$S$12)-2),IF(RASANTE!F47&lt;=PERALTE!$X$12,-8,IF(RASANTE!F47&lt;=PERALTE!$Z$12,(-6/(PERALTE!$X$12-PERALTE!$Z$12)*(RASANTE!F47-PERALTE!$Z$12)-2),IF(RASANTE!F47&lt;=PERALTE!$AB$12,-2))))),IF(AND(AH!$H$14="Izquierda",RASANTE!F47&lt;=PERALTE!$AB$12),IF(RASANTE!F47&lt;=PERALTE!$Q$12,-2,IF(RASANTE!F47&lt;=PERALTE!$U$12,(10/(PERALTE!$U$12-PERALTE!$Q$12)*(RASANTE!F47-PERALTE!$Q$12)-2),IF(RASANTE!F47&lt;=PERALTE!$X$12,8,IF(RASANTE!F47&lt;=PERALTE!$AB$12,(10/(PERALTE!$X$12-PERALTE!$AB$12)*(RASANTE!F47-PERALTE!$AB$12)-2))))),IF(AND(AH!$H$16="Derecha",RASANTE!F47&lt;=PERALTE!$AB$14),IF(RASANTE!F47&lt;=PERALTE!$S$14,-2,IF(RASANTE!F47&lt;=PERALTE!$U$14,(-6/(PERALTE!$U$14-PERALTE!$S$14)*(RASANTE!F47-PERALTE!$S$14)-2),IF(RASANTE!F47&lt;=PERALTE!$X$14,-8,IF(RASANTE!F47&lt;=PERALTE!$Z$14,(-6/(PERALTE!$X$14-PERALTE!$Z$14)*(RASANTE!F47-PERALTE!$Z$14)-2),IF(RASANTE!F47&lt;=PERALTE!$AB$14,-2))))),IF(AND(AH!$H$16="Izquierda",RASANTE!F47&lt;=PERALTE!$AB$14),IF(RASANTE!F47&lt;=PERALTE!$Q$14,-2,IF(RASANTE!F47&lt;=PERALTE!$U$14,(10/(PERALTE!$U$14-PERALTE!$Q$14)*(RASANTE!F47-PERALTE!$Q$14)-2),IF(RASANTE!F47&lt;=PERALTE!$X$14,8,IF(RASANTE!F47&lt;=PERALTE!$AB$14,(10/(PERALTE!$X$14-PERALTE!$AB$14)*(RASANTE!F47-PERALTE!$AB$14)-2))))),IF(AND(AH!$H$18="Derecha",RASANTE!F47&lt;=PERALTE!$AB$16),IF(RASANTE!F47&lt;=PERALTE!$S$16,-2,IF(RASANTE!F47&lt;=PERALTE!$U$16,(-6/(PERALTE!$U$16-PERALTE!$S$16)*(RASANTE!F47-PERALTE!$S$16)-2),IF(RASANTE!F47&lt;=PERALTE!$X$16,-8,IF(RASANTE!F47&lt;=PERALTE!$Z$16,(-6/(PERALTE!$X$16-PERALTE!$Z$16)*(RASANTE!F47-PERALTE!$Z$16)-2),IF(RASANTE!F47&lt;=PERALTE!$AB$16,-2))))),IF(AND(AH!$H$18="Izquierda",RASANTE!F47&lt;=PERALTE!$AB$16),IF(RASANTE!F47&lt;=PERALTE!$Q$16,-2,IF(RASANTE!F47&lt;=PERALTE!$U$16,(10/(PERALTE!$U$16-PERALTE!$Q$16)*(RASANTE!F47-PERALTE!$Q$16)-2),IF(RASANTE!F47&lt;=PERALTE!$X$16,8,IF(RASANTE!F47&lt;=PERALTE!$AB$16,(10/(PERALTE!$X$16-PERALTE!$AB$16)*(RASANTE!F47-PERALTE!$AB$16)-2))))),IF(AND(AH!$H$20="Derecha",RASANTE!F47&lt;=PERALTE!$AB$18),IF(RASANTE!F47&lt;=PERALTE!$S$18,-2,IF(RASANTE!F47&lt;=PERALTE!$U$18,(-6/(PERALTE!$U$18-PERALTE!$S$18)*(RASANTE!F47-PERALTE!$S$18)-2),IF(RASANTE!F47&lt;=PERALTE!$X$18,-8,IF(RASANTE!F47&lt;=PERALTE!$Z$18,(-6/(PERALTE!$X$18-PERALTE!$Z$18)*(RASANTE!F47-PERALTE!$Z$18)-2),IF(RASANTE!F47&lt;=PERALTE!$AB$18,-2))))),IF(AND(AH!$H$20="Izquierda",RASANTE!F47&lt;=PERALTE!$AB$18),IF(RASANTE!F47&lt;=PERALTE!$Q$18,-2,IF(RASANTE!F47&lt;=PERALTE!$U$18,(10/(PERALTE!$U$18-PERALTE!$Q$18)*(RASANTE!F47-PERALTE!$Q$18)-2),IF(RASANTE!F47&lt;=PERALTE!$X$18,8,IF(RASANTE!F47&lt;=PERALTE!$AB$18,(10/(PERALTE!$X$18-PERALTE!$AB$18)*(RASANTE!F47-PERALTE!$AB$18)-2))))),IF(AND(AH!$H$24="Derecha",RASANTE!F47&lt;=PERALTE!$AB$22),IF(RASANTE!F47&lt;=PERALTE!$S$22,-2,IF(RASANTE!F47&lt;=PERALTE!$U$22,(-6/(PERALTE!$U$22-PERALTE!$S$22)*(RASANTE!F47-PERALTE!$S$22)-2),IF(RASANTE!F47&lt;=PERALTE!$X$22,-8,IF(RASANTE!F47&lt;=PERALTE!$Z$22,(-6/(PERALTE!$X$22-PERALTE!$Z$22)*(RASANTE!F47-PERALTE!$Z$22)-2),IF(RASANTE!F47&lt;=PERALTE!$AB$22,-2))))),IF(AND(AH!$H$24="Izquierda",RASANTE!F47&lt;=PERALTE!$AB$22),IF(RASANTE!F47&lt;=PERALTE!$Q$22,-2,IF(RASANTE!F47&lt;=PERALTE!$U$22,(10/(PERALTE!$U$22-PERALTE!$Q$22)*(RASANTE!F47-PERALTE!$Q$22)-2),IF(RASANTE!F47&lt;=PERALTE!$X$22,8,IF(RASANTE!F47&lt;=PERALTE!$AB$22,(10/(PERALTE!$X$22-PERALTE!$AB$22)*(RASANTE!F47-PERALTE!$AB$22)-2))))),IF(AND(AH!#REF!="Derecha",RASANTE!F47&lt;=PERALTE!#REF!),IF(RASANTE!F47&lt;=PERALTE!#REF!,-2,IF(RASANTE!F47&lt;=PERALTE!#REF!,(-6/(PERALTE!#REF!-PERALTE!#REF!)*(RASANTE!F47-PERALTE!#REF!)-2),IF(RASANTE!F47&lt;=PERALTE!#REF!,-8,IF(RASANTE!F47&lt;=PERALTE!#REF!,(-6/(PERALTE!#REF!-PERALTE!#REF!)*(RASANTE!F47-PERALTE!#REF!)-2),IF(RASANTE!F47&lt;=PERALTE!#REF!,-2))))),IF(AND(AH!#REF!="Izquierda",RASANTE!F47&lt;=PERALTE!#REF!),IF(RASANTE!F47&lt;=PERALTE!#REF!,-2,IF(RASANTE!F47&lt;=PERALTE!#REF!,(10/(PERALTE!#REF!-PERALTE!#REF!)*(RASANTE!F47-PERALTE!#REF!)-2),IF(RASANTE!F47&lt;=PERALTE!#REF!,8,IF(RASANTE!F47&lt;=PERALTE!#REF!,(10/(PERALTE!#REF!-PERALTE!#REF!)*(RASANTE!F47-PERALTE!#REF!)-2))))),IF(AND(AH!#REF!="Derecha",RASANTE!F47&lt;=PERALTE!$AB$26),IF(RASANTE!F47&lt;=PERALTE!$S$26,-2,IF(RASANTE!F47&lt;=PERALTE!$U$26,(-6/(PERALTE!$U$26-PERALTE!$S$26)*(RASANTE!F47-PERALTE!$S$26)-2),IF(RASANTE!F47&lt;=PERALTE!$X$26,-8,IF(RASANTE!F47&lt;=PERALTE!$Z$26,(-6/(PERALTE!$X$26-PERALTE!$Z$26)*(RASANTE!F47-PERALTE!$Z$26)-2),IF(RASANTE!F47&lt;=PERALTE!$AB$26,-2))))),IF(AND(AH!#REF!="Izquierda",RASANTE!F47&lt;=PERALTE!$AB$26),IF(RASANTE!F47&lt;=PERALTE!$Q$26,-2,IF(RASANTE!F47&lt;=PERALTE!$U$26,(10/(PERALTE!$U$26-PERALTE!$Q$26)*(RASANTE!F47-PERALTE!$Q$26)-2),IF(RASANTE!F47&lt;=PERALTE!$X$26,8,IF(RASANTE!F47&lt;=PERALTE!$AB$26,(10/(PERALTE!$X$26-PERALTE!$AB$26)*(RASANTE!F47-PERALTE!$AB$26)-2))))),IF(F47&lt;=PERALTE!#REF!,-2,"Abscisa fuera de la vía")))))))))))))))))))))</f>
        <v>-2</v>
      </c>
      <c r="J47" s="28">
        <f t="shared" si="1"/>
        <v>1653.1118000000001</v>
      </c>
      <c r="K47" s="28">
        <f>+IF(AND(AV!$S$6&lt;F47,F47&lt;=AV!$T$6),AV!$P$6*((AV!$S$6-RASANTE!F47)/(AV!$N$6))^2,IF(AND(AV!$T$6&lt;RASANTE!F47,F47&lt;AV!$U$6),AV!$P$6*((AV!$U$6-RASANTE!F47)/(AV!$O$6))^2,IF(AND(AV!$S$8&lt;F47,F47&lt;=AV!$T$8),AV!$P$8*((AV!$S$8-RASANTE!F47)/(AV!$N$8))^2,IF(AND(AV!$T$8&lt;RASANTE!F47,F47&lt;AV!$U$8),AV!$P$8*((AV!$U$8-RASANTE!F47)/(AV!$O$8))^2,IF(AND(AV!$S$10&lt;F47,F47&lt;=AV!$T$10),AV!$P$10*((AV!$S$10-RASANTE!F47)/(AV!$N$10))^2,IF(AND(AV!$T$10&lt;RASANTE!F47,F47&lt;AV!$U$10),AV!$P$10*((AV!$U$10-RASANTE!F47)/(AV!$O$10))^2,IF(AND(AV!$S$12&lt;F47,F47&lt;=AV!$T$12),AV!$P$12*((AV!$S$12-RASANTE!F47)/(AV!$N$12))^2,IF(AND(AV!$T$12&lt;RASANTE!F47,F47&lt;AV!$U$12),AV!$P$12*((AV!$U$12-RASANTE!F47)/(AV!$O$12))^2,IF(AND(AV!$S$14&lt;F47,F47&lt;=AV!$T$14),AV!$P$14*((AV!$S$14-RASANTE!F47)/(AV!$N$14))^2,IF(AND(AV!$T$14&lt;RASANTE!F47,F47&lt;AV!$U$14),AV!$P$14*((AV!$U$14-RASANTE!F47)/(AV!$O$14))^2,IF(AND(AV!$S$16&lt;F47,F47&lt;=AV!$T$16),AV!$P$16*((AV!$S$16-RASANTE!F47)/(AV!$N$16))^2,IF(AND(AV!$T$16&lt;RASANTE!F47,F47&lt;AV!$U$16),AV!$P$16*((AV!$U$16-RASANTE!F47)/(AV!$O$16))^2,IF(AND(AV!$S$18&lt;F47,F47&lt;=AV!$T$18),AV!$P$18*((AV!$S$18-RASANTE!F47)/(AV!$N$18))^2,IF(AND(AV!$T$18&lt;RASANTE!F47,F47&lt;AV!$U$18),AV!$P$18*((AV!$U$18-RASANTE!F47)/(AV!$O$18))^2,IF(AND(AV!$S$20&lt;F47,F47&lt;=AV!$T$20),AV!$P$20*((AV!$S$20-RASANTE!F47)/(AV!$N$20))^2,IF(AND(AV!$T$20&lt;RASANTE!F47,F47&lt;AV!$U$20),AV!$P$20*((AV!$U$20-RASANTE!F47)/(AV!$O$20))^2,IF(AND(AV!$S$22&lt;F47,F47&lt;=AV!$T$22),AV!$P$22*((AV!$S$22-RASANTE!F47)/(AV!$N$22))^2,IF(AND(AV!$T$22&lt;RASANTE!F47,F47&lt;AV!$U$22),AV!$P$22*((AV!$U$22-RASANTE!F47)/(AV!$O$22))^2,IF(AND(AV!$S$24&lt;F47,F47&lt;=AV!$T$24),AV!$P$24*((AV!$S$24-RASANTE!F47)/(AV!$N$24))^2,IF(AND(AV!$T$24&lt;RASANTE!F47,F47&lt;AV!$U$24),AV!$P$24*((AV!$U$24-RASANTE!F47)/(AV!$O$24))^2,0))))))))))))))))))))</f>
        <v>-1.1883154388397887</v>
      </c>
      <c r="L47" s="28">
        <f>+M47+H47%*PERALTE!$C$32</f>
        <v>1651.8534845611605</v>
      </c>
      <c r="M47" s="28">
        <f t="shared" si="3"/>
        <v>1651.9234845611604</v>
      </c>
      <c r="N47" s="28">
        <f>+M47+I47%*PERALTE!$C$32</f>
        <v>1651.8534845611605</v>
      </c>
      <c r="O47" s="92"/>
      <c r="P47" s="84"/>
      <c r="Q47" s="84"/>
      <c r="R47" s="84"/>
      <c r="S47" s="84"/>
      <c r="T47" s="84"/>
      <c r="U47" s="84"/>
      <c r="V47" s="84"/>
      <c r="W47" s="84"/>
      <c r="X47" s="84"/>
      <c r="Y47" s="84"/>
    </row>
    <row r="48" spans="1:25" ht="15.75" customHeight="1" x14ac:dyDescent="0.2">
      <c r="A48" s="90"/>
      <c r="B48" s="86"/>
      <c r="C48" s="86"/>
      <c r="D48" s="86"/>
      <c r="E48" s="91"/>
      <c r="F48" s="34">
        <v>300</v>
      </c>
      <c r="G48" s="88">
        <f>IF(F48&lt;=AV!$T$6,AV!$C$5,IF(RASANTE!F48&lt;=AV!$T$8,AV!$C$7,IF(RASANTE!F48&lt;=AV!$T$10,AV!$C$9,IF(RASANTE!F48&lt;=AV!$T$12,AV!#REF!,IF(RASANTE!F48&lt;=AV!$T$14,AV!$C$11,IF(RASANTE!F48&lt;=AV!$T$16,AV!$C$13, IF(RASANTE!F48&lt;=AV!$T$18,AV!$C$15,IF(RASANTE!F48&lt;=AV!$T$20,AV!$C$19,IF(RASANTE!F48&lt;=AV!$T$22,AV!$C$21,IF(RASANTE!F48&lt;=AV!$T$24,AV!$C$23,AV!$C$25))))))))))</f>
        <v>-7.774</v>
      </c>
      <c r="H48" s="28">
        <f>+IF(AND(AH!$H$8="Izquierda",RASANTE!F48&lt;=PERALTE!$AB$6),IF(RASANTE!F48&lt;=PERALTE!$S$6,-2,IF(RASANTE!F48&lt;=PERALTE!$U$6,(-6/(PERALTE!$U$6-PERALTE!$S$6)*(RASANTE!F48-PERALTE!$S$6)-2),IF(RASANTE!F48&lt;=PERALTE!$X$6,-8,IF(RASANTE!F48&lt;=PERALTE!$Z$6,(-6/(PERALTE!$X$6-PERALTE!$Z$6)*(RASANTE!F48-PERALTE!$Z$6)-2),IF(RASANTE!F48&lt;=PERALTE!$AB$6,-2))))),IF(AND(AH!$H$8="Derecha",RASANTE!F48&lt;=PERALTE!$AB$6),IF(RASANTE!F48&lt;=PERALTE!$Q$6,-2,IF(RASANTE!F48&lt;=PERALTE!$U$6,(10/(PERALTE!$U$6-PERALTE!$Q$6)*(RASANTE!F48-PERALTE!$Q$6)-2),IF(RASANTE!F48&lt;=PERALTE!$X$6,8,IF(RASANTE!F48&lt;=PERALTE!$AB$6,(10/(PERALTE!$X$6-PERALTE!$AB$6)*(RASANTE!F48-PERALTE!$AB$6)-2))))),IF(AND(AH!$H$10="Izquierda",RASANTE!F48&lt;=PERALTE!$AB$8),IF(RASANTE!F48&lt;=PERALTE!$S$8,-2,IF(RASANTE!F48&lt;=PERALTE!$U$8,(-6/(PERALTE!$U$8-PERALTE!$S$8)*(RASANTE!F48-PERALTE!$S$8)-2),IF(RASANTE!F48&lt;=PERALTE!$X$8,-8,IF(RASANTE!F48&lt;=PERALTE!$Z$8,(-6/(PERALTE!$X$8-PERALTE!$Z$8)*(RASANTE!F48-PERALTE!$Z$8)-2),IF(RASANTE!F48&lt;=PERALTE!$AB$8,-2))))),IF(AND(AH!$H$10="Derecha",RASANTE!F48&lt;=PERALTE!$AB$8),IF(RASANTE!F48&lt;=PERALTE!$Q$8,-2,IF(RASANTE!F48&lt;=PERALTE!$U$8,(10/(PERALTE!$U$8-PERALTE!$Q$8)*(RASANTE!F48-PERALTE!$Q$8)-2),IF(RASANTE!F48&lt;=PERALTE!$X$8,8,IF(RASANTE!F48&lt;=PERALTE!$AB$8,(10/(PERALTE!$X$8-PERALTE!$AB$8)*(RASANTE!F48-PERALTE!$AB$8)-2))))),IF(AND(AH!$H$12="Izquierda",RASANTE!F48&lt;=PERALTE!$AB$10),IF(RASANTE!F48&lt;=PERALTE!$S$10,-2,IF(RASANTE!F48&lt;=PERALTE!$U$10,(-6/(PERALTE!$U$10-PERALTE!$S$10)*(RASANTE!F48-PERALTE!$S$10)-2),IF(RASANTE!F48&lt;=PERALTE!$X$10,-8,IF(RASANTE!F48&lt;=PERALTE!$Z$10,(-6/(PERALTE!$X$10-PERALTE!$Z$10)*(RASANTE!F48-PERALTE!$Z$10)-2),IF(RASANTE!F48&lt;=PERALTE!$AB$10,-2))))),IF(AND(AH!$H$12="Derecha",RASANTE!F48&lt;=PERALTE!$AB$10),IF(RASANTE!F48&lt;=PERALTE!$Q$10,-2,IF(RASANTE!F48&lt;=PERALTE!$U$10,(10/(PERALTE!$U$10-PERALTE!$Q$10)*(RASANTE!F48-PERALTE!$Q$10)-2),IF(RASANTE!F48&lt;=PERALTE!$X$10,8,IF(RASANTE!F48&lt;=PERALTE!$AB$10,(10/(PERALTE!$X$10-PERALTE!$AB$10)*(RASANTE!F48-PERALTE!$AB$10)-2))))),IF(AND(AH!$H$14="Izquierda",RASANTE!F48&lt;=PERALTE!$AB$12),IF(RASANTE!F48&lt;=PERALTE!$S$12,-2,IF(RASANTE!F48&lt;=PERALTE!$U$12,(-6/(PERALTE!$U$12-PERALTE!$S$12)*(RASANTE!F48-PERALTE!$S$12)-2),IF(RASANTE!F48&lt;=PERALTE!$X$12,-8,IF(RASANTE!F48&lt;=PERALTE!$Z$12,(-6/(PERALTE!$X$12-PERALTE!$Z$12)*(RASANTE!F48-PERALTE!$Z$12)-2),IF(RASANTE!F48&lt;=PERALTE!$AB$12,-2))))),IF(AND(AH!$H$14="Derecha",RASANTE!F48&lt;=PERALTE!$AB$12),IF(RASANTE!F48&lt;=PERALTE!$Q$12,-2,IF(RASANTE!F48&lt;=PERALTE!$U$12,(10/(PERALTE!$U$12-PERALTE!$Q$12)*(RASANTE!F48-PERALTE!$Q$12)-2),IF(RASANTE!F48&lt;=PERALTE!$X$12,8,IF(RASANTE!F48&lt;=PERALTE!$AB$12,(10/(PERALTE!$X$12-PERALTE!$AB$12)*(RASANTE!F48-PERALTE!$AB$12)-2))))),IF(AND(AH!$H$16="Izquierda",RASANTE!F48&lt;=PERALTE!$AB$14),IF(RASANTE!F48&lt;=PERALTE!$S$14,-2,IF(RASANTE!F48&lt;=PERALTE!$U$14,(-6/(PERALTE!$U$14-PERALTE!$S$14)*(RASANTE!F48-PERALTE!$S$14)-2),IF(RASANTE!F48&lt;=PERALTE!$X$14,-8,IF(RASANTE!F48&lt;=PERALTE!$Z$14,(-6/(PERALTE!$X$14-PERALTE!$Z$14)*(RASANTE!F48-PERALTE!$Z$14)-2),IF(RASANTE!F48&lt;=PERALTE!$AB$14,-2))))),IF(AND(AH!$H$16="Derecha",RASANTE!F48&lt;=PERALTE!$AB$14),IF(RASANTE!F48&lt;=PERALTE!$Q$14,-2,IF(RASANTE!F48&lt;=PERALTE!$U$14,(10/(PERALTE!$U$14-PERALTE!$Q$14)*(RASANTE!F48-PERALTE!$Q$14)-2),IF(RASANTE!F48&lt;=PERALTE!$X$14,8,IF(RASANTE!F48&lt;=PERALTE!$AB$14,(10/(PERALTE!$X$14-PERALTE!$AB$14)*(RASANTE!F48-PERALTE!$AB$14)-2))))),IF(AND(AH!$H$18="Izquierda",RASANTE!F48&lt;=PERALTE!$AB$16),IF(RASANTE!F48&lt;=PERALTE!$S$16,-2,IF(RASANTE!F48&lt;=PERALTE!$U$16,(-6/(PERALTE!$U$16-PERALTE!$S$16)*(RASANTE!F48-PERALTE!$S$16)-2),IF(RASANTE!F48&lt;=PERALTE!$X$16,-8,IF(RASANTE!F48&lt;=PERALTE!$Z$16,(-6/(PERALTE!$X$16-PERALTE!$Z$16)*(RASANTE!F48-PERALTE!$Z$16)-2),IF(RASANTE!F48&lt;=PERALTE!$AB$16,-2))))),IF(AND(AH!$H$18="Derecha",RASANTE!F48&lt;=PERALTE!$AB$16),IF(RASANTE!F48&lt;=PERALTE!$Q$16,-2,IF(RASANTE!F48&lt;=PERALTE!$U$16,(10/(PERALTE!$U$16-PERALTE!$Q$16)*(RASANTE!F48-PERALTE!$Q$16)-2),IF(RASANTE!F48&lt;=PERALTE!$X$16,8,IF(RASANTE!F48&lt;=PERALTE!$AB$16,(10/(PERALTE!$X$16-PERALTE!$AB$16)*(RASANTE!F48-PERALTE!$AB$16)-2))))),IF(AND(AH!$H$20="Izquierda",RASANTE!F48&lt;=PERALTE!$AB$18),IF(RASANTE!F48&lt;=PERALTE!$S$18,-2,IF(RASANTE!F48&lt;=PERALTE!$U$18,(-6/(PERALTE!$U$18-PERALTE!$S$18)*(RASANTE!F48-PERALTE!$S$18)-2),IF(RASANTE!F48&lt;=PERALTE!$X$18,-8,IF(RASANTE!F48&lt;=PERALTE!$Z$18,(-6/(PERALTE!$X$18-PERALTE!$Z$18)*(RASANTE!F48-PERALTE!$Z$18)-2),IF(RASANTE!F48&lt;=PERALTE!$AB$18,-2))))),IF(AND(AH!$H$20="Derecha",RASANTE!F48&lt;=PERALTE!$AB$18),IF(RASANTE!F48&lt;=PERALTE!$Q$18,-2,IF(RASANTE!F48&lt;=PERALTE!$U$18,(10/(PERALTE!$U$18-PERALTE!$Q$18)*(RASANTE!F48-PERALTE!$Q$18)-2),IF(RASANTE!F48&lt;=PERALTE!$X$18,8,IF(RASANTE!F48&lt;=PERALTE!$AB$18,(10/(PERALTE!$X$18-PERALTE!$AB$18)*(RASANTE!F48-PERALTE!$AB$18)-2))))),IF(AND(AH!$H$24="Izquierda",RASANTE!F48&lt;=PERALTE!$AB$22),IF(RASANTE!F48&lt;=PERALTE!$S$22,-2,IF(RASANTE!F48&lt;=PERALTE!$U$22,(-6/(PERALTE!$U$22-PERALTE!$S$22)*(RASANTE!F48-PERALTE!$S$22)-2),IF(RASANTE!F48&lt;=PERALTE!$X$22,-8,IF(RASANTE!F48&lt;=PERALTE!$Z$22,(-6/(PERALTE!$X$22-PERALTE!$Z$22)*(RASANTE!F48-PERALTE!$Z$22)-2),IF(RASANTE!F48&lt;=PERALTE!$AB$22,-2))))),IF(AND(AH!$H$24="Derecha",RASANTE!F48&lt;=PERALTE!$AB$22),IF(RASANTE!F48&lt;=PERALTE!$Q$22,-2,IF(RASANTE!F48&lt;=PERALTE!$U$22,(10/(PERALTE!$U$22-PERALTE!$Q$22)*(RASANTE!F48-PERALTE!$Q$22)-2),IF(RASANTE!F48&lt;=PERALTE!$X$22,8,IF(RASANTE!F48&lt;=PERALTE!$AB$22,(10/(PERALTE!$X$22-PERALTE!$AB$22)*(RASANTE!F48-PERALTE!$AB$22)-2))))),IF(AND(AH!#REF!="Izquierda",RASANTE!F48&lt;=PERALTE!#REF!),IF(RASANTE!F48&lt;=PERALTE!#REF!,-2,IF(RASANTE!F48&lt;=PERALTE!#REF!,(-6/(PERALTE!#REF!-PERALTE!#REF!)*(RASANTE!F48-PERALTE!#REF!)-2),IF(RASANTE!F48&lt;=PERALTE!#REF!,-8,IF(RASANTE!F48&lt;=PERALTE!#REF!,(-6/(PERALTE!#REF!-PERALTE!#REF!)*(RASANTE!F48-PERALTE!#REF!)-2),IF(RASANTE!F48&lt;=PERALTE!#REF!,-2))))),IF(AND(AH!#REF!="Derecha",RASANTE!F48&lt;=PERALTE!#REF!),IF(RASANTE!F48&lt;=PERALTE!#REF!,-2,IF(RASANTE!F48&lt;=PERALTE!#REF!,(10/(PERALTE!#REF!-PERALTE!#REF!)*(RASANTE!F48-PERALTE!#REF!)-2),IF(RASANTE!F48&lt;=PERALTE!#REF!,8,IF(RASANTE!F48&lt;=PERALTE!#REF!,(10/(PERALTE!#REF!-PERALTE!#REF!)*(RASANTE!F48-PERALTE!#REF!)-2))))),IF(AND(AH!#REF!="Izquierda",RASANTE!F48&lt;=PERALTE!$AB$26),IF(RASANTE!F48&lt;=PERALTE!$S$26,-2,IF(RASANTE!F48&lt;=PERALTE!$U$26,(-6/(PERALTE!$U$26-PERALTE!$S$26)*(RASANTE!F48-PERALTE!$S$26)-2),IF(RASANTE!F48&lt;=PERALTE!$X$26,-8,IF(RASANTE!F48&lt;=PERALTE!$Z$26,(-6/(PERALTE!$X$26-PERALTE!$Z$26)*(RASANTE!F48-PERALTE!$Z$26)-2),IF(RASANTE!F48&lt;=PERALTE!$AB$26,-2))))),IF(AND(AH!#REF!="Derecha",RASANTE!F48&lt;=PERALTE!$AB$26),IF(RASANTE!F48&lt;=PERALTE!$Q$26,-2,IF(RASANTE!F48&lt;=PERALTE!$U$26,(10/(PERALTE!$U$26-PERALTE!$Q$26)*(RASANTE!F48-PERALTE!$Q$26)-2),IF(RASANTE!F48&lt;=PERALTE!$X$26,8,IF(RASANTE!F48&lt;=PERALTE!$AB$26,(10/(PERALTE!$X$26-PERALTE!$AB$26)*(RASANTE!F48-PERALTE!$AB$26)-2))))),IF(F48&lt;=PERALTE!#REF!,-2,"Abscisa fuera de la vía")))))))))))))))))))))</f>
        <v>-2</v>
      </c>
      <c r="I48" s="28">
        <f>+IF(AND(AH!$H$8="Derecha",RASANTE!F48&lt;=PERALTE!$AB$6),IF(RASANTE!F48&lt;=PERALTE!$S$6,-2,IF(RASANTE!F48&lt;=PERALTE!$U$6,(-6/(PERALTE!$U$6-PERALTE!$S$6)*(RASANTE!F48-PERALTE!$S$6)-2),IF(RASANTE!F48&lt;=PERALTE!$X$6,-8,IF(RASANTE!F48&lt;=PERALTE!$Z$6,(-6/(PERALTE!$X$6-PERALTE!$Z$6)*(RASANTE!F48-PERALTE!$Z$6)-2),IF(RASANTE!F48&lt;=PERALTE!$AB$6,-2))))),IF(AND(AH!$H$8="Izquierda",RASANTE!F48&lt;=PERALTE!$AB$6),IF(RASANTE!F48&lt;=PERALTE!$Q$6,-2,IF(RASANTE!F48&lt;=PERALTE!$U$6,(10/(PERALTE!$U$6-PERALTE!$Q$6)*(RASANTE!F48-PERALTE!$Q$6)-2),IF(RASANTE!F48&lt;=PERALTE!$X$6,8,IF(RASANTE!F48&lt;=PERALTE!$AB$6,(10/(PERALTE!$X$6-PERALTE!$AB$6)*(RASANTE!F48-PERALTE!$AB$6)-2))))),IF(AND(AH!$H$10="Derecha",RASANTE!F48&lt;=PERALTE!$AB$8),IF(RASANTE!F48&lt;=PERALTE!$S$8,-2,IF(RASANTE!F48&lt;=PERALTE!$U$8,(-6/(PERALTE!$U$8-PERALTE!$S$8)*(RASANTE!F48-PERALTE!$S$8)-2),IF(RASANTE!F48&lt;=PERALTE!$X$8,-8,IF(RASANTE!F48&lt;=PERALTE!$Z$8,(-6/(PERALTE!$X$8-PERALTE!$Z$8)*(RASANTE!F48-PERALTE!$Z$8)-2),IF(RASANTE!F48&lt;=PERALTE!$AB$8,-2))))),IF(AND(AH!$H$10="Izquierda",RASANTE!F48&lt;=PERALTE!$AB$8),IF(RASANTE!F48&lt;=PERALTE!$Q$8,-2,IF(RASANTE!F48&lt;=PERALTE!$U$8,(10/(PERALTE!$U$8-PERALTE!$Q$8)*(RASANTE!F48-PERALTE!$Q$8)-2),IF(RASANTE!F48&lt;=PERALTE!$X$8,8,IF(RASANTE!F48&lt;=PERALTE!$AB$8,(10/(PERALTE!$X$8-PERALTE!$AB$8)*(RASANTE!F48-PERALTE!$AB$8)-2))))),IF(AND(AH!$H$12="Derecha",RASANTE!F48&lt;=PERALTE!$AB$10),IF(RASANTE!F48&lt;=PERALTE!$S$10,-2,IF(RASANTE!F48&lt;=PERALTE!$U$10,(-6/(PERALTE!$U$10-PERALTE!$S$10)*(RASANTE!F48-PERALTE!$S$10)-2),IF(RASANTE!F48&lt;=PERALTE!$X$10,-8,IF(RASANTE!F48&lt;=PERALTE!$Z$10,(-6/(PERALTE!$X$10-PERALTE!$Z$10)*(RASANTE!F48-PERALTE!$Z$10)-2),IF(RASANTE!F48&lt;=PERALTE!$AB$10,-2))))),IF(AND(AH!$H$12="Izquierda",RASANTE!F48&lt;=PERALTE!$AB$10),IF(RASANTE!F48&lt;=PERALTE!$Q$10,-2,IF(RASANTE!F48&lt;=PERALTE!$U$10,(10/(PERALTE!$U$10-PERALTE!$Q$10)*(RASANTE!F48-PERALTE!$Q$10)-2),IF(RASANTE!F48&lt;=PERALTE!$X$10,8,IF(RASANTE!F48&lt;=PERALTE!$AB$10,(10/(PERALTE!$X$10-PERALTE!$AB$10)*(RASANTE!F48-PERALTE!$AB$10)-2))))),IF(AND(AH!$H$14="Derecha",RASANTE!F48&lt;=PERALTE!$AB$12),IF(RASANTE!F48&lt;=PERALTE!$S$12,-2,IF(RASANTE!F48&lt;=PERALTE!$U$12,(-6/(PERALTE!$U$12-PERALTE!$S$12)*(RASANTE!F48-PERALTE!$S$12)-2),IF(RASANTE!F48&lt;=PERALTE!$X$12,-8,IF(RASANTE!F48&lt;=PERALTE!$Z$12,(-6/(PERALTE!$X$12-PERALTE!$Z$12)*(RASANTE!F48-PERALTE!$Z$12)-2),IF(RASANTE!F48&lt;=PERALTE!$AB$12,-2))))),IF(AND(AH!$H$14="Izquierda",RASANTE!F48&lt;=PERALTE!$AB$12),IF(RASANTE!F48&lt;=PERALTE!$Q$12,-2,IF(RASANTE!F48&lt;=PERALTE!$U$12,(10/(PERALTE!$U$12-PERALTE!$Q$12)*(RASANTE!F48-PERALTE!$Q$12)-2),IF(RASANTE!F48&lt;=PERALTE!$X$12,8,IF(RASANTE!F48&lt;=PERALTE!$AB$12,(10/(PERALTE!$X$12-PERALTE!$AB$12)*(RASANTE!F48-PERALTE!$AB$12)-2))))),IF(AND(AH!$H$16="Derecha",RASANTE!F48&lt;=PERALTE!$AB$14),IF(RASANTE!F48&lt;=PERALTE!$S$14,-2,IF(RASANTE!F48&lt;=PERALTE!$U$14,(-6/(PERALTE!$U$14-PERALTE!$S$14)*(RASANTE!F48-PERALTE!$S$14)-2),IF(RASANTE!F48&lt;=PERALTE!$X$14,-8,IF(RASANTE!F48&lt;=PERALTE!$Z$14,(-6/(PERALTE!$X$14-PERALTE!$Z$14)*(RASANTE!F48-PERALTE!$Z$14)-2),IF(RASANTE!F48&lt;=PERALTE!$AB$14,-2))))),IF(AND(AH!$H$16="Izquierda",RASANTE!F48&lt;=PERALTE!$AB$14),IF(RASANTE!F48&lt;=PERALTE!$Q$14,-2,IF(RASANTE!F48&lt;=PERALTE!$U$14,(10/(PERALTE!$U$14-PERALTE!$Q$14)*(RASANTE!F48-PERALTE!$Q$14)-2),IF(RASANTE!F48&lt;=PERALTE!$X$14,8,IF(RASANTE!F48&lt;=PERALTE!$AB$14,(10/(PERALTE!$X$14-PERALTE!$AB$14)*(RASANTE!F48-PERALTE!$AB$14)-2))))),IF(AND(AH!$H$18="Derecha",RASANTE!F48&lt;=PERALTE!$AB$16),IF(RASANTE!F48&lt;=PERALTE!$S$16,-2,IF(RASANTE!F48&lt;=PERALTE!$U$16,(-6/(PERALTE!$U$16-PERALTE!$S$16)*(RASANTE!F48-PERALTE!$S$16)-2),IF(RASANTE!F48&lt;=PERALTE!$X$16,-8,IF(RASANTE!F48&lt;=PERALTE!$Z$16,(-6/(PERALTE!$X$16-PERALTE!$Z$16)*(RASANTE!F48-PERALTE!$Z$16)-2),IF(RASANTE!F48&lt;=PERALTE!$AB$16,-2))))),IF(AND(AH!$H$18="Izquierda",RASANTE!F48&lt;=PERALTE!$AB$16),IF(RASANTE!F48&lt;=PERALTE!$Q$16,-2,IF(RASANTE!F48&lt;=PERALTE!$U$16,(10/(PERALTE!$U$16-PERALTE!$Q$16)*(RASANTE!F48-PERALTE!$Q$16)-2),IF(RASANTE!F48&lt;=PERALTE!$X$16,8,IF(RASANTE!F48&lt;=PERALTE!$AB$16,(10/(PERALTE!$X$16-PERALTE!$AB$16)*(RASANTE!F48-PERALTE!$AB$16)-2))))),IF(AND(AH!$H$20="Derecha",RASANTE!F48&lt;=PERALTE!$AB$18),IF(RASANTE!F48&lt;=PERALTE!$S$18,-2,IF(RASANTE!F48&lt;=PERALTE!$U$18,(-6/(PERALTE!$U$18-PERALTE!$S$18)*(RASANTE!F48-PERALTE!$S$18)-2),IF(RASANTE!F48&lt;=PERALTE!$X$18,-8,IF(RASANTE!F48&lt;=PERALTE!$Z$18,(-6/(PERALTE!$X$18-PERALTE!$Z$18)*(RASANTE!F48-PERALTE!$Z$18)-2),IF(RASANTE!F48&lt;=PERALTE!$AB$18,-2))))),IF(AND(AH!$H$20="Izquierda",RASANTE!F48&lt;=PERALTE!$AB$18),IF(RASANTE!F48&lt;=PERALTE!$Q$18,-2,IF(RASANTE!F48&lt;=PERALTE!$U$18,(10/(PERALTE!$U$18-PERALTE!$Q$18)*(RASANTE!F48-PERALTE!$Q$18)-2),IF(RASANTE!F48&lt;=PERALTE!$X$18,8,IF(RASANTE!F48&lt;=PERALTE!$AB$18,(10/(PERALTE!$X$18-PERALTE!$AB$18)*(RASANTE!F48-PERALTE!$AB$18)-2))))),IF(AND(AH!$H$24="Derecha",RASANTE!F48&lt;=PERALTE!$AB$22),IF(RASANTE!F48&lt;=PERALTE!$S$22,-2,IF(RASANTE!F48&lt;=PERALTE!$U$22,(-6/(PERALTE!$U$22-PERALTE!$S$22)*(RASANTE!F48-PERALTE!$S$22)-2),IF(RASANTE!F48&lt;=PERALTE!$X$22,-8,IF(RASANTE!F48&lt;=PERALTE!$Z$22,(-6/(PERALTE!$X$22-PERALTE!$Z$22)*(RASANTE!F48-PERALTE!$Z$22)-2),IF(RASANTE!F48&lt;=PERALTE!$AB$22,-2))))),IF(AND(AH!$H$24="Izquierda",RASANTE!F48&lt;=PERALTE!$AB$22),IF(RASANTE!F48&lt;=PERALTE!$Q$22,-2,IF(RASANTE!F48&lt;=PERALTE!$U$22,(10/(PERALTE!$U$22-PERALTE!$Q$22)*(RASANTE!F48-PERALTE!$Q$22)-2),IF(RASANTE!F48&lt;=PERALTE!$X$22,8,IF(RASANTE!F48&lt;=PERALTE!$AB$22,(10/(PERALTE!$X$22-PERALTE!$AB$22)*(RASANTE!F48-PERALTE!$AB$22)-2))))),IF(AND(AH!#REF!="Derecha",RASANTE!F48&lt;=PERALTE!#REF!),IF(RASANTE!F48&lt;=PERALTE!#REF!,-2,IF(RASANTE!F48&lt;=PERALTE!#REF!,(-6/(PERALTE!#REF!-PERALTE!#REF!)*(RASANTE!F48-PERALTE!#REF!)-2),IF(RASANTE!F48&lt;=PERALTE!#REF!,-8,IF(RASANTE!F48&lt;=PERALTE!#REF!,(-6/(PERALTE!#REF!-PERALTE!#REF!)*(RASANTE!F48-PERALTE!#REF!)-2),IF(RASANTE!F48&lt;=PERALTE!#REF!,-2))))),IF(AND(AH!#REF!="Izquierda",RASANTE!F48&lt;=PERALTE!#REF!),IF(RASANTE!F48&lt;=PERALTE!#REF!,-2,IF(RASANTE!F48&lt;=PERALTE!#REF!,(10/(PERALTE!#REF!-PERALTE!#REF!)*(RASANTE!F48-PERALTE!#REF!)-2),IF(RASANTE!F48&lt;=PERALTE!#REF!,8,IF(RASANTE!F48&lt;=PERALTE!#REF!,(10/(PERALTE!#REF!-PERALTE!#REF!)*(RASANTE!F48-PERALTE!#REF!)-2))))),IF(AND(AH!#REF!="Derecha",RASANTE!F48&lt;=PERALTE!$AB$26),IF(RASANTE!F48&lt;=PERALTE!$S$26,-2,IF(RASANTE!F48&lt;=PERALTE!$U$26,(-6/(PERALTE!$U$26-PERALTE!$S$26)*(RASANTE!F48-PERALTE!$S$26)-2),IF(RASANTE!F48&lt;=PERALTE!$X$26,-8,IF(RASANTE!F48&lt;=PERALTE!$Z$26,(-6/(PERALTE!$X$26-PERALTE!$Z$26)*(RASANTE!F48-PERALTE!$Z$26)-2),IF(RASANTE!F48&lt;=PERALTE!$AB$26,-2))))),IF(AND(AH!#REF!="Izquierda",RASANTE!F48&lt;=PERALTE!$AB$26),IF(RASANTE!F48&lt;=PERALTE!$Q$26,-2,IF(RASANTE!F48&lt;=PERALTE!$U$26,(10/(PERALTE!$U$26-PERALTE!$Q$26)*(RASANTE!F48-PERALTE!$Q$26)-2),IF(RASANTE!F48&lt;=PERALTE!$X$26,8,IF(RASANTE!F48&lt;=PERALTE!$AB$26,(10/(PERALTE!$X$26-PERALTE!$AB$26)*(RASANTE!F48-PERALTE!$AB$26)-2))))),IF(F48&lt;=PERALTE!#REF!,-2,"Abscisa fuera de la vía")))))))))))))))))))))</f>
        <v>-2</v>
      </c>
      <c r="J48" s="28">
        <f t="shared" si="1"/>
        <v>1652.3344000000002</v>
      </c>
      <c r="K48" s="28">
        <f>+IF(AND(AV!$S$6&lt;F48,F48&lt;=AV!$T$6),AV!$P$6*((AV!$S$6-RASANTE!F48)/(AV!$N$6))^2,IF(AND(AV!$T$6&lt;RASANTE!F48,F48&lt;AV!$U$6),AV!$P$6*((AV!$U$6-RASANTE!F48)/(AV!$O$6))^2,IF(AND(AV!$S$8&lt;F48,F48&lt;=AV!$T$8),AV!$P$8*((AV!$S$8-RASANTE!F48)/(AV!$N$8))^2,IF(AND(AV!$T$8&lt;RASANTE!F48,F48&lt;AV!$U$8),AV!$P$8*((AV!$U$8-RASANTE!F48)/(AV!$O$8))^2,IF(AND(AV!$S$10&lt;F48,F48&lt;=AV!$T$10),AV!$P$10*((AV!$S$10-RASANTE!F48)/(AV!$N$10))^2,IF(AND(AV!$T$10&lt;RASANTE!F48,F48&lt;AV!$U$10),AV!$P$10*((AV!$U$10-RASANTE!F48)/(AV!$O$10))^2,IF(AND(AV!$S$12&lt;F48,F48&lt;=AV!$T$12),AV!$P$12*((AV!$S$12-RASANTE!F48)/(AV!$N$12))^2,IF(AND(AV!$T$12&lt;RASANTE!F48,F48&lt;AV!$U$12),AV!$P$12*((AV!$U$12-RASANTE!F48)/(AV!$O$12))^2,IF(AND(AV!$S$14&lt;F48,F48&lt;=AV!$T$14),AV!$P$14*((AV!$S$14-RASANTE!F48)/(AV!$N$14))^2,IF(AND(AV!$T$14&lt;RASANTE!F48,F48&lt;AV!$U$14),AV!$P$14*((AV!$U$14-RASANTE!F48)/(AV!$O$14))^2,IF(AND(AV!$S$16&lt;F48,F48&lt;=AV!$T$16),AV!$P$16*((AV!$S$16-RASANTE!F48)/(AV!$N$16))^2,IF(AND(AV!$T$16&lt;RASANTE!F48,F48&lt;AV!$U$16),AV!$P$16*((AV!$U$16-RASANTE!F48)/(AV!$O$16))^2,IF(AND(AV!$S$18&lt;F48,F48&lt;=AV!$T$18),AV!$P$18*((AV!$S$18-RASANTE!F48)/(AV!$N$18))^2,IF(AND(AV!$T$18&lt;RASANTE!F48,F48&lt;AV!$U$18),AV!$P$18*((AV!$U$18-RASANTE!F48)/(AV!$O$18))^2,IF(AND(AV!$S$20&lt;F48,F48&lt;=AV!$T$20),AV!$P$20*((AV!$S$20-RASANTE!F48)/(AV!$N$20))^2,IF(AND(AV!$T$20&lt;RASANTE!F48,F48&lt;AV!$U$20),AV!$P$20*((AV!$U$20-RASANTE!F48)/(AV!$O$20))^2,IF(AND(AV!$S$22&lt;F48,F48&lt;=AV!$T$22),AV!$P$22*((AV!$S$22-RASANTE!F48)/(AV!$N$22))^2,IF(AND(AV!$T$22&lt;RASANTE!F48,F48&lt;AV!$U$22),AV!$P$22*((AV!$U$22-RASANTE!F48)/(AV!$O$22))^2,IF(AND(AV!$S$24&lt;F48,F48&lt;=AV!$T$24),AV!$P$24*((AV!$S$24-RASANTE!F48)/(AV!$N$24))^2,IF(AND(AV!$T$24&lt;RASANTE!F48,F48&lt;AV!$U$24),AV!$P$24*((AV!$U$24-RASANTE!F48)/(AV!$O$24))^2,0))))))))))))))))))))</f>
        <v>-0.72319042410294665</v>
      </c>
      <c r="L48" s="28">
        <f>+M48+H48%*PERALTE!$C$32</f>
        <v>1651.5412095758973</v>
      </c>
      <c r="M48" s="28">
        <f t="shared" si="3"/>
        <v>1651.6112095758972</v>
      </c>
      <c r="N48" s="28">
        <f>+M48+I48%*PERALTE!$C$32</f>
        <v>1651.5412095758973</v>
      </c>
      <c r="O48" s="92"/>
      <c r="P48" s="84"/>
      <c r="Q48" s="84"/>
      <c r="R48" s="84"/>
      <c r="S48" s="84"/>
      <c r="T48" s="84"/>
      <c r="U48" s="84"/>
      <c r="V48" s="84"/>
      <c r="W48" s="84"/>
      <c r="X48" s="84"/>
      <c r="Y48" s="84"/>
    </row>
    <row r="49" spans="1:25" ht="15.75" customHeight="1" x14ac:dyDescent="0.2">
      <c r="A49" s="90"/>
      <c r="B49" s="86"/>
      <c r="C49" s="86"/>
      <c r="D49" s="86"/>
      <c r="E49" s="91"/>
      <c r="F49" s="34">
        <v>310</v>
      </c>
      <c r="G49" s="88">
        <f>IF(F49&lt;=AV!$T$6,AV!$C$5,IF(RASANTE!F49&lt;=AV!$T$8,AV!$C$7,IF(RASANTE!F49&lt;=AV!$T$10,AV!$C$9,IF(RASANTE!F49&lt;=AV!$T$12,AV!#REF!,IF(RASANTE!F49&lt;=AV!$T$14,AV!$C$11,IF(RASANTE!F49&lt;=AV!$T$16,AV!$C$13, IF(RASANTE!F49&lt;=AV!$T$18,AV!$C$15,IF(RASANTE!F49&lt;=AV!$T$20,AV!$C$19,IF(RASANTE!F49&lt;=AV!$T$22,AV!$C$21,IF(RASANTE!F49&lt;=AV!$T$24,AV!$C$23,AV!$C$25))))))))))</f>
        <v>-7.774</v>
      </c>
      <c r="H49" s="28">
        <f>+IF(AND(AH!$H$8="Izquierda",RASANTE!F49&lt;=PERALTE!$AB$6),IF(RASANTE!F49&lt;=PERALTE!$S$6,-2,IF(RASANTE!F49&lt;=PERALTE!$U$6,(-6/(PERALTE!$U$6-PERALTE!$S$6)*(RASANTE!F49-PERALTE!$S$6)-2),IF(RASANTE!F49&lt;=PERALTE!$X$6,-8,IF(RASANTE!F49&lt;=PERALTE!$Z$6,(-6/(PERALTE!$X$6-PERALTE!$Z$6)*(RASANTE!F49-PERALTE!$Z$6)-2),IF(RASANTE!F49&lt;=PERALTE!$AB$6,-2))))),IF(AND(AH!$H$8="Derecha",RASANTE!F49&lt;=PERALTE!$AB$6),IF(RASANTE!F49&lt;=PERALTE!$Q$6,-2,IF(RASANTE!F49&lt;=PERALTE!$U$6,(10/(PERALTE!$U$6-PERALTE!$Q$6)*(RASANTE!F49-PERALTE!$Q$6)-2),IF(RASANTE!F49&lt;=PERALTE!$X$6,8,IF(RASANTE!F49&lt;=PERALTE!$AB$6,(10/(PERALTE!$X$6-PERALTE!$AB$6)*(RASANTE!F49-PERALTE!$AB$6)-2))))),IF(AND(AH!$H$10="Izquierda",RASANTE!F49&lt;=PERALTE!$AB$8),IF(RASANTE!F49&lt;=PERALTE!$S$8,-2,IF(RASANTE!F49&lt;=PERALTE!$U$8,(-6/(PERALTE!$U$8-PERALTE!$S$8)*(RASANTE!F49-PERALTE!$S$8)-2),IF(RASANTE!F49&lt;=PERALTE!$X$8,-8,IF(RASANTE!F49&lt;=PERALTE!$Z$8,(-6/(PERALTE!$X$8-PERALTE!$Z$8)*(RASANTE!F49-PERALTE!$Z$8)-2),IF(RASANTE!F49&lt;=PERALTE!$AB$8,-2))))),IF(AND(AH!$H$10="Derecha",RASANTE!F49&lt;=PERALTE!$AB$8),IF(RASANTE!F49&lt;=PERALTE!$Q$8,-2,IF(RASANTE!F49&lt;=PERALTE!$U$8,(10/(PERALTE!$U$8-PERALTE!$Q$8)*(RASANTE!F49-PERALTE!$Q$8)-2),IF(RASANTE!F49&lt;=PERALTE!$X$8,8,IF(RASANTE!F49&lt;=PERALTE!$AB$8,(10/(PERALTE!$X$8-PERALTE!$AB$8)*(RASANTE!F49-PERALTE!$AB$8)-2))))),IF(AND(AH!$H$12="Izquierda",RASANTE!F49&lt;=PERALTE!$AB$10),IF(RASANTE!F49&lt;=PERALTE!$S$10,-2,IF(RASANTE!F49&lt;=PERALTE!$U$10,(-6/(PERALTE!$U$10-PERALTE!$S$10)*(RASANTE!F49-PERALTE!$S$10)-2),IF(RASANTE!F49&lt;=PERALTE!$X$10,-8,IF(RASANTE!F49&lt;=PERALTE!$Z$10,(-6/(PERALTE!$X$10-PERALTE!$Z$10)*(RASANTE!F49-PERALTE!$Z$10)-2),IF(RASANTE!F49&lt;=PERALTE!$AB$10,-2))))),IF(AND(AH!$H$12="Derecha",RASANTE!F49&lt;=PERALTE!$AB$10),IF(RASANTE!F49&lt;=PERALTE!$Q$10,-2,IF(RASANTE!F49&lt;=PERALTE!$U$10,(10/(PERALTE!$U$10-PERALTE!$Q$10)*(RASANTE!F49-PERALTE!$Q$10)-2),IF(RASANTE!F49&lt;=PERALTE!$X$10,8,IF(RASANTE!F49&lt;=PERALTE!$AB$10,(10/(PERALTE!$X$10-PERALTE!$AB$10)*(RASANTE!F49-PERALTE!$AB$10)-2))))),IF(AND(AH!$H$14="Izquierda",RASANTE!F49&lt;=PERALTE!$AB$12),IF(RASANTE!F49&lt;=PERALTE!$S$12,-2,IF(RASANTE!F49&lt;=PERALTE!$U$12,(-6/(PERALTE!$U$12-PERALTE!$S$12)*(RASANTE!F49-PERALTE!$S$12)-2),IF(RASANTE!F49&lt;=PERALTE!$X$12,-8,IF(RASANTE!F49&lt;=PERALTE!$Z$12,(-6/(PERALTE!$X$12-PERALTE!$Z$12)*(RASANTE!F49-PERALTE!$Z$12)-2),IF(RASANTE!F49&lt;=PERALTE!$AB$12,-2))))),IF(AND(AH!$H$14="Derecha",RASANTE!F49&lt;=PERALTE!$AB$12),IF(RASANTE!F49&lt;=PERALTE!$Q$12,-2,IF(RASANTE!F49&lt;=PERALTE!$U$12,(10/(PERALTE!$U$12-PERALTE!$Q$12)*(RASANTE!F49-PERALTE!$Q$12)-2),IF(RASANTE!F49&lt;=PERALTE!$X$12,8,IF(RASANTE!F49&lt;=PERALTE!$AB$12,(10/(PERALTE!$X$12-PERALTE!$AB$12)*(RASANTE!F49-PERALTE!$AB$12)-2))))),IF(AND(AH!$H$16="Izquierda",RASANTE!F49&lt;=PERALTE!$AB$14),IF(RASANTE!F49&lt;=PERALTE!$S$14,-2,IF(RASANTE!F49&lt;=PERALTE!$U$14,(-6/(PERALTE!$U$14-PERALTE!$S$14)*(RASANTE!F49-PERALTE!$S$14)-2),IF(RASANTE!F49&lt;=PERALTE!$X$14,-8,IF(RASANTE!F49&lt;=PERALTE!$Z$14,(-6/(PERALTE!$X$14-PERALTE!$Z$14)*(RASANTE!F49-PERALTE!$Z$14)-2),IF(RASANTE!F49&lt;=PERALTE!$AB$14,-2))))),IF(AND(AH!$H$16="Derecha",RASANTE!F49&lt;=PERALTE!$AB$14),IF(RASANTE!F49&lt;=PERALTE!$Q$14,-2,IF(RASANTE!F49&lt;=PERALTE!$U$14,(10/(PERALTE!$U$14-PERALTE!$Q$14)*(RASANTE!F49-PERALTE!$Q$14)-2),IF(RASANTE!F49&lt;=PERALTE!$X$14,8,IF(RASANTE!F49&lt;=PERALTE!$AB$14,(10/(PERALTE!$X$14-PERALTE!$AB$14)*(RASANTE!F49-PERALTE!$AB$14)-2))))),IF(AND(AH!$H$18="Izquierda",RASANTE!F49&lt;=PERALTE!$AB$16),IF(RASANTE!F49&lt;=PERALTE!$S$16,-2,IF(RASANTE!F49&lt;=PERALTE!$U$16,(-6/(PERALTE!$U$16-PERALTE!$S$16)*(RASANTE!F49-PERALTE!$S$16)-2),IF(RASANTE!F49&lt;=PERALTE!$X$16,-8,IF(RASANTE!F49&lt;=PERALTE!$Z$16,(-6/(PERALTE!$X$16-PERALTE!$Z$16)*(RASANTE!F49-PERALTE!$Z$16)-2),IF(RASANTE!F49&lt;=PERALTE!$AB$16,-2))))),IF(AND(AH!$H$18="Derecha",RASANTE!F49&lt;=PERALTE!$AB$16),IF(RASANTE!F49&lt;=PERALTE!$Q$16,-2,IF(RASANTE!F49&lt;=PERALTE!$U$16,(10/(PERALTE!$U$16-PERALTE!$Q$16)*(RASANTE!F49-PERALTE!$Q$16)-2),IF(RASANTE!F49&lt;=PERALTE!$X$16,8,IF(RASANTE!F49&lt;=PERALTE!$AB$16,(10/(PERALTE!$X$16-PERALTE!$AB$16)*(RASANTE!F49-PERALTE!$AB$16)-2))))),IF(AND(AH!$H$20="Izquierda",RASANTE!F49&lt;=PERALTE!$AB$18),IF(RASANTE!F49&lt;=PERALTE!$S$18,-2,IF(RASANTE!F49&lt;=PERALTE!$U$18,(-6/(PERALTE!$U$18-PERALTE!$S$18)*(RASANTE!F49-PERALTE!$S$18)-2),IF(RASANTE!F49&lt;=PERALTE!$X$18,-8,IF(RASANTE!F49&lt;=PERALTE!$Z$18,(-6/(PERALTE!$X$18-PERALTE!$Z$18)*(RASANTE!F49-PERALTE!$Z$18)-2),IF(RASANTE!F49&lt;=PERALTE!$AB$18,-2))))),IF(AND(AH!$H$20="Derecha",RASANTE!F49&lt;=PERALTE!$AB$18),IF(RASANTE!F49&lt;=PERALTE!$Q$18,-2,IF(RASANTE!F49&lt;=PERALTE!$U$18,(10/(PERALTE!$U$18-PERALTE!$Q$18)*(RASANTE!F49-PERALTE!$Q$18)-2),IF(RASANTE!F49&lt;=PERALTE!$X$18,8,IF(RASANTE!F49&lt;=PERALTE!$AB$18,(10/(PERALTE!$X$18-PERALTE!$AB$18)*(RASANTE!F49-PERALTE!$AB$18)-2))))),IF(AND(AH!$H$24="Izquierda",RASANTE!F49&lt;=PERALTE!$AB$22),IF(RASANTE!F49&lt;=PERALTE!$S$22,-2,IF(RASANTE!F49&lt;=PERALTE!$U$22,(-6/(PERALTE!$U$22-PERALTE!$S$22)*(RASANTE!F49-PERALTE!$S$22)-2),IF(RASANTE!F49&lt;=PERALTE!$X$22,-8,IF(RASANTE!F49&lt;=PERALTE!$Z$22,(-6/(PERALTE!$X$22-PERALTE!$Z$22)*(RASANTE!F49-PERALTE!$Z$22)-2),IF(RASANTE!F49&lt;=PERALTE!$AB$22,-2))))),IF(AND(AH!$H$24="Derecha",RASANTE!F49&lt;=PERALTE!$AB$22),IF(RASANTE!F49&lt;=PERALTE!$Q$22,-2,IF(RASANTE!F49&lt;=PERALTE!$U$22,(10/(PERALTE!$U$22-PERALTE!$Q$22)*(RASANTE!F49-PERALTE!$Q$22)-2),IF(RASANTE!F49&lt;=PERALTE!$X$22,8,IF(RASANTE!F49&lt;=PERALTE!$AB$22,(10/(PERALTE!$X$22-PERALTE!$AB$22)*(RASANTE!F49-PERALTE!$AB$22)-2))))),IF(AND(AH!#REF!="Izquierda",RASANTE!F49&lt;=PERALTE!#REF!),IF(RASANTE!F49&lt;=PERALTE!#REF!,-2,IF(RASANTE!F49&lt;=PERALTE!#REF!,(-6/(PERALTE!#REF!-PERALTE!#REF!)*(RASANTE!F49-PERALTE!#REF!)-2),IF(RASANTE!F49&lt;=PERALTE!#REF!,-8,IF(RASANTE!F49&lt;=PERALTE!#REF!,(-6/(PERALTE!#REF!-PERALTE!#REF!)*(RASANTE!F49-PERALTE!#REF!)-2),IF(RASANTE!F49&lt;=PERALTE!#REF!,-2))))),IF(AND(AH!#REF!="Derecha",RASANTE!F49&lt;=PERALTE!#REF!),IF(RASANTE!F49&lt;=PERALTE!#REF!,-2,IF(RASANTE!F49&lt;=PERALTE!#REF!,(10/(PERALTE!#REF!-PERALTE!#REF!)*(RASANTE!F49-PERALTE!#REF!)-2),IF(RASANTE!F49&lt;=PERALTE!#REF!,8,IF(RASANTE!F49&lt;=PERALTE!#REF!,(10/(PERALTE!#REF!-PERALTE!#REF!)*(RASANTE!F49-PERALTE!#REF!)-2))))),IF(AND(AH!#REF!="Izquierda",RASANTE!F49&lt;=PERALTE!$AB$26),IF(RASANTE!F49&lt;=PERALTE!$S$26,-2,IF(RASANTE!F49&lt;=PERALTE!$U$26,(-6/(PERALTE!$U$26-PERALTE!$S$26)*(RASANTE!F49-PERALTE!$S$26)-2),IF(RASANTE!F49&lt;=PERALTE!$X$26,-8,IF(RASANTE!F49&lt;=PERALTE!$Z$26,(-6/(PERALTE!$X$26-PERALTE!$Z$26)*(RASANTE!F49-PERALTE!$Z$26)-2),IF(RASANTE!F49&lt;=PERALTE!$AB$26,-2))))),IF(AND(AH!#REF!="Derecha",RASANTE!F49&lt;=PERALTE!$AB$26),IF(RASANTE!F49&lt;=PERALTE!$Q$26,-2,IF(RASANTE!F49&lt;=PERALTE!$U$26,(10/(PERALTE!$U$26-PERALTE!$Q$26)*(RASANTE!F49-PERALTE!$Q$26)-2),IF(RASANTE!F49&lt;=PERALTE!$X$26,8,IF(RASANTE!F49&lt;=PERALTE!$AB$26,(10/(PERALTE!$X$26-PERALTE!$AB$26)*(RASANTE!F49-PERALTE!$AB$26)-2))))),IF(F49&lt;=PERALTE!#REF!,-2,"Abscisa fuera de la vía")))))))))))))))))))))</f>
        <v>-2</v>
      </c>
      <c r="I49" s="28">
        <f>+IF(AND(AH!$H$8="Derecha",RASANTE!F49&lt;=PERALTE!$AB$6),IF(RASANTE!F49&lt;=PERALTE!$S$6,-2,IF(RASANTE!F49&lt;=PERALTE!$U$6,(-6/(PERALTE!$U$6-PERALTE!$S$6)*(RASANTE!F49-PERALTE!$S$6)-2),IF(RASANTE!F49&lt;=PERALTE!$X$6,-8,IF(RASANTE!F49&lt;=PERALTE!$Z$6,(-6/(PERALTE!$X$6-PERALTE!$Z$6)*(RASANTE!F49-PERALTE!$Z$6)-2),IF(RASANTE!F49&lt;=PERALTE!$AB$6,-2))))),IF(AND(AH!$H$8="Izquierda",RASANTE!F49&lt;=PERALTE!$AB$6),IF(RASANTE!F49&lt;=PERALTE!$Q$6,-2,IF(RASANTE!F49&lt;=PERALTE!$U$6,(10/(PERALTE!$U$6-PERALTE!$Q$6)*(RASANTE!F49-PERALTE!$Q$6)-2),IF(RASANTE!F49&lt;=PERALTE!$X$6,8,IF(RASANTE!F49&lt;=PERALTE!$AB$6,(10/(PERALTE!$X$6-PERALTE!$AB$6)*(RASANTE!F49-PERALTE!$AB$6)-2))))),IF(AND(AH!$H$10="Derecha",RASANTE!F49&lt;=PERALTE!$AB$8),IF(RASANTE!F49&lt;=PERALTE!$S$8,-2,IF(RASANTE!F49&lt;=PERALTE!$U$8,(-6/(PERALTE!$U$8-PERALTE!$S$8)*(RASANTE!F49-PERALTE!$S$8)-2),IF(RASANTE!F49&lt;=PERALTE!$X$8,-8,IF(RASANTE!F49&lt;=PERALTE!$Z$8,(-6/(PERALTE!$X$8-PERALTE!$Z$8)*(RASANTE!F49-PERALTE!$Z$8)-2),IF(RASANTE!F49&lt;=PERALTE!$AB$8,-2))))),IF(AND(AH!$H$10="Izquierda",RASANTE!F49&lt;=PERALTE!$AB$8),IF(RASANTE!F49&lt;=PERALTE!$Q$8,-2,IF(RASANTE!F49&lt;=PERALTE!$U$8,(10/(PERALTE!$U$8-PERALTE!$Q$8)*(RASANTE!F49-PERALTE!$Q$8)-2),IF(RASANTE!F49&lt;=PERALTE!$X$8,8,IF(RASANTE!F49&lt;=PERALTE!$AB$8,(10/(PERALTE!$X$8-PERALTE!$AB$8)*(RASANTE!F49-PERALTE!$AB$8)-2))))),IF(AND(AH!$H$12="Derecha",RASANTE!F49&lt;=PERALTE!$AB$10),IF(RASANTE!F49&lt;=PERALTE!$S$10,-2,IF(RASANTE!F49&lt;=PERALTE!$U$10,(-6/(PERALTE!$U$10-PERALTE!$S$10)*(RASANTE!F49-PERALTE!$S$10)-2),IF(RASANTE!F49&lt;=PERALTE!$X$10,-8,IF(RASANTE!F49&lt;=PERALTE!$Z$10,(-6/(PERALTE!$X$10-PERALTE!$Z$10)*(RASANTE!F49-PERALTE!$Z$10)-2),IF(RASANTE!F49&lt;=PERALTE!$AB$10,-2))))),IF(AND(AH!$H$12="Izquierda",RASANTE!F49&lt;=PERALTE!$AB$10),IF(RASANTE!F49&lt;=PERALTE!$Q$10,-2,IF(RASANTE!F49&lt;=PERALTE!$U$10,(10/(PERALTE!$U$10-PERALTE!$Q$10)*(RASANTE!F49-PERALTE!$Q$10)-2),IF(RASANTE!F49&lt;=PERALTE!$X$10,8,IF(RASANTE!F49&lt;=PERALTE!$AB$10,(10/(PERALTE!$X$10-PERALTE!$AB$10)*(RASANTE!F49-PERALTE!$AB$10)-2))))),IF(AND(AH!$H$14="Derecha",RASANTE!F49&lt;=PERALTE!$AB$12),IF(RASANTE!F49&lt;=PERALTE!$S$12,-2,IF(RASANTE!F49&lt;=PERALTE!$U$12,(-6/(PERALTE!$U$12-PERALTE!$S$12)*(RASANTE!F49-PERALTE!$S$12)-2),IF(RASANTE!F49&lt;=PERALTE!$X$12,-8,IF(RASANTE!F49&lt;=PERALTE!$Z$12,(-6/(PERALTE!$X$12-PERALTE!$Z$12)*(RASANTE!F49-PERALTE!$Z$12)-2),IF(RASANTE!F49&lt;=PERALTE!$AB$12,-2))))),IF(AND(AH!$H$14="Izquierda",RASANTE!F49&lt;=PERALTE!$AB$12),IF(RASANTE!F49&lt;=PERALTE!$Q$12,-2,IF(RASANTE!F49&lt;=PERALTE!$U$12,(10/(PERALTE!$U$12-PERALTE!$Q$12)*(RASANTE!F49-PERALTE!$Q$12)-2),IF(RASANTE!F49&lt;=PERALTE!$X$12,8,IF(RASANTE!F49&lt;=PERALTE!$AB$12,(10/(PERALTE!$X$12-PERALTE!$AB$12)*(RASANTE!F49-PERALTE!$AB$12)-2))))),IF(AND(AH!$H$16="Derecha",RASANTE!F49&lt;=PERALTE!$AB$14),IF(RASANTE!F49&lt;=PERALTE!$S$14,-2,IF(RASANTE!F49&lt;=PERALTE!$U$14,(-6/(PERALTE!$U$14-PERALTE!$S$14)*(RASANTE!F49-PERALTE!$S$14)-2),IF(RASANTE!F49&lt;=PERALTE!$X$14,-8,IF(RASANTE!F49&lt;=PERALTE!$Z$14,(-6/(PERALTE!$X$14-PERALTE!$Z$14)*(RASANTE!F49-PERALTE!$Z$14)-2),IF(RASANTE!F49&lt;=PERALTE!$AB$14,-2))))),IF(AND(AH!$H$16="Izquierda",RASANTE!F49&lt;=PERALTE!$AB$14),IF(RASANTE!F49&lt;=PERALTE!$Q$14,-2,IF(RASANTE!F49&lt;=PERALTE!$U$14,(10/(PERALTE!$U$14-PERALTE!$Q$14)*(RASANTE!F49-PERALTE!$Q$14)-2),IF(RASANTE!F49&lt;=PERALTE!$X$14,8,IF(RASANTE!F49&lt;=PERALTE!$AB$14,(10/(PERALTE!$X$14-PERALTE!$AB$14)*(RASANTE!F49-PERALTE!$AB$14)-2))))),IF(AND(AH!$H$18="Derecha",RASANTE!F49&lt;=PERALTE!$AB$16),IF(RASANTE!F49&lt;=PERALTE!$S$16,-2,IF(RASANTE!F49&lt;=PERALTE!$U$16,(-6/(PERALTE!$U$16-PERALTE!$S$16)*(RASANTE!F49-PERALTE!$S$16)-2),IF(RASANTE!F49&lt;=PERALTE!$X$16,-8,IF(RASANTE!F49&lt;=PERALTE!$Z$16,(-6/(PERALTE!$X$16-PERALTE!$Z$16)*(RASANTE!F49-PERALTE!$Z$16)-2),IF(RASANTE!F49&lt;=PERALTE!$AB$16,-2))))),IF(AND(AH!$H$18="Izquierda",RASANTE!F49&lt;=PERALTE!$AB$16),IF(RASANTE!F49&lt;=PERALTE!$Q$16,-2,IF(RASANTE!F49&lt;=PERALTE!$U$16,(10/(PERALTE!$U$16-PERALTE!$Q$16)*(RASANTE!F49-PERALTE!$Q$16)-2),IF(RASANTE!F49&lt;=PERALTE!$X$16,8,IF(RASANTE!F49&lt;=PERALTE!$AB$16,(10/(PERALTE!$X$16-PERALTE!$AB$16)*(RASANTE!F49-PERALTE!$AB$16)-2))))),IF(AND(AH!$H$20="Derecha",RASANTE!F49&lt;=PERALTE!$AB$18),IF(RASANTE!F49&lt;=PERALTE!$S$18,-2,IF(RASANTE!F49&lt;=PERALTE!$U$18,(-6/(PERALTE!$U$18-PERALTE!$S$18)*(RASANTE!F49-PERALTE!$S$18)-2),IF(RASANTE!F49&lt;=PERALTE!$X$18,-8,IF(RASANTE!F49&lt;=PERALTE!$Z$18,(-6/(PERALTE!$X$18-PERALTE!$Z$18)*(RASANTE!F49-PERALTE!$Z$18)-2),IF(RASANTE!F49&lt;=PERALTE!$AB$18,-2))))),IF(AND(AH!$H$20="Izquierda",RASANTE!F49&lt;=PERALTE!$AB$18),IF(RASANTE!F49&lt;=PERALTE!$Q$18,-2,IF(RASANTE!F49&lt;=PERALTE!$U$18,(10/(PERALTE!$U$18-PERALTE!$Q$18)*(RASANTE!F49-PERALTE!$Q$18)-2),IF(RASANTE!F49&lt;=PERALTE!$X$18,8,IF(RASANTE!F49&lt;=PERALTE!$AB$18,(10/(PERALTE!$X$18-PERALTE!$AB$18)*(RASANTE!F49-PERALTE!$AB$18)-2))))),IF(AND(AH!$H$24="Derecha",RASANTE!F49&lt;=PERALTE!$AB$22),IF(RASANTE!F49&lt;=PERALTE!$S$22,-2,IF(RASANTE!F49&lt;=PERALTE!$U$22,(-6/(PERALTE!$U$22-PERALTE!$S$22)*(RASANTE!F49-PERALTE!$S$22)-2),IF(RASANTE!F49&lt;=PERALTE!$X$22,-8,IF(RASANTE!F49&lt;=PERALTE!$Z$22,(-6/(PERALTE!$X$22-PERALTE!$Z$22)*(RASANTE!F49-PERALTE!$Z$22)-2),IF(RASANTE!F49&lt;=PERALTE!$AB$22,-2))))),IF(AND(AH!$H$24="Izquierda",RASANTE!F49&lt;=PERALTE!$AB$22),IF(RASANTE!F49&lt;=PERALTE!$Q$22,-2,IF(RASANTE!F49&lt;=PERALTE!$U$22,(10/(PERALTE!$U$22-PERALTE!$Q$22)*(RASANTE!F49-PERALTE!$Q$22)-2),IF(RASANTE!F49&lt;=PERALTE!$X$22,8,IF(RASANTE!F49&lt;=PERALTE!$AB$22,(10/(PERALTE!$X$22-PERALTE!$AB$22)*(RASANTE!F49-PERALTE!$AB$22)-2))))),IF(AND(AH!#REF!="Derecha",RASANTE!F49&lt;=PERALTE!#REF!),IF(RASANTE!F49&lt;=PERALTE!#REF!,-2,IF(RASANTE!F49&lt;=PERALTE!#REF!,(-6/(PERALTE!#REF!-PERALTE!#REF!)*(RASANTE!F49-PERALTE!#REF!)-2),IF(RASANTE!F49&lt;=PERALTE!#REF!,-8,IF(RASANTE!F49&lt;=PERALTE!#REF!,(-6/(PERALTE!#REF!-PERALTE!#REF!)*(RASANTE!F49-PERALTE!#REF!)-2),IF(RASANTE!F49&lt;=PERALTE!#REF!,-2))))),IF(AND(AH!#REF!="Izquierda",RASANTE!F49&lt;=PERALTE!#REF!),IF(RASANTE!F49&lt;=PERALTE!#REF!,-2,IF(RASANTE!F49&lt;=PERALTE!#REF!,(10/(PERALTE!#REF!-PERALTE!#REF!)*(RASANTE!F49-PERALTE!#REF!)-2),IF(RASANTE!F49&lt;=PERALTE!#REF!,8,IF(RASANTE!F49&lt;=PERALTE!#REF!,(10/(PERALTE!#REF!-PERALTE!#REF!)*(RASANTE!F49-PERALTE!#REF!)-2))))),IF(AND(AH!#REF!="Derecha",RASANTE!F49&lt;=PERALTE!$AB$26),IF(RASANTE!F49&lt;=PERALTE!$S$26,-2,IF(RASANTE!F49&lt;=PERALTE!$U$26,(-6/(PERALTE!$U$26-PERALTE!$S$26)*(RASANTE!F49-PERALTE!$S$26)-2),IF(RASANTE!F49&lt;=PERALTE!$X$26,-8,IF(RASANTE!F49&lt;=PERALTE!$Z$26,(-6/(PERALTE!$X$26-PERALTE!$Z$26)*(RASANTE!F49-PERALTE!$Z$26)-2),IF(RASANTE!F49&lt;=PERALTE!$AB$26,-2))))),IF(AND(AH!#REF!="Izquierda",RASANTE!F49&lt;=PERALTE!$AB$26),IF(RASANTE!F49&lt;=PERALTE!$Q$26,-2,IF(RASANTE!F49&lt;=PERALTE!$U$26,(10/(PERALTE!$U$26-PERALTE!$Q$26)*(RASANTE!F49-PERALTE!$Q$26)-2),IF(RASANTE!F49&lt;=PERALTE!$X$26,8,IF(RASANTE!F49&lt;=PERALTE!$AB$26,(10/(PERALTE!$X$26-PERALTE!$AB$26)*(RASANTE!F49-PERALTE!$AB$26)-2))))),IF(F49&lt;=PERALTE!#REF!,-2,"Abscisa fuera de la vía")))))))))))))))))))))</f>
        <v>-2</v>
      </c>
      <c r="J49" s="28">
        <f t="shared" si="1"/>
        <v>1651.5570000000002</v>
      </c>
      <c r="K49" s="28">
        <f>+IF(AND(AV!$S$6&lt;F49,F49&lt;=AV!$T$6),AV!$P$6*((AV!$S$6-RASANTE!F49)/(AV!$N$6))^2,IF(AND(AV!$T$6&lt;RASANTE!F49,F49&lt;AV!$U$6),AV!$P$6*((AV!$U$6-RASANTE!F49)/(AV!$O$6))^2,IF(AND(AV!$S$8&lt;F49,F49&lt;=AV!$T$8),AV!$P$8*((AV!$S$8-RASANTE!F49)/(AV!$N$8))^2,IF(AND(AV!$T$8&lt;RASANTE!F49,F49&lt;AV!$U$8),AV!$P$8*((AV!$U$8-RASANTE!F49)/(AV!$O$8))^2,IF(AND(AV!$S$10&lt;F49,F49&lt;=AV!$T$10),AV!$P$10*((AV!$S$10-RASANTE!F49)/(AV!$N$10))^2,IF(AND(AV!$T$10&lt;RASANTE!F49,F49&lt;AV!$U$10),AV!$P$10*((AV!$U$10-RASANTE!F49)/(AV!$O$10))^2,IF(AND(AV!$S$12&lt;F49,F49&lt;=AV!$T$12),AV!$P$12*((AV!$S$12-RASANTE!F49)/(AV!$N$12))^2,IF(AND(AV!$T$12&lt;RASANTE!F49,F49&lt;AV!$U$12),AV!$P$12*((AV!$U$12-RASANTE!F49)/(AV!$O$12))^2,IF(AND(AV!$S$14&lt;F49,F49&lt;=AV!$T$14),AV!$P$14*((AV!$S$14-RASANTE!F49)/(AV!$N$14))^2,IF(AND(AV!$T$14&lt;RASANTE!F49,F49&lt;AV!$U$14),AV!$P$14*((AV!$U$14-RASANTE!F49)/(AV!$O$14))^2,IF(AND(AV!$S$16&lt;F49,F49&lt;=AV!$T$16),AV!$P$16*((AV!$S$16-RASANTE!F49)/(AV!$N$16))^2,IF(AND(AV!$T$16&lt;RASANTE!F49,F49&lt;AV!$U$16),AV!$P$16*((AV!$U$16-RASANTE!F49)/(AV!$O$16))^2,IF(AND(AV!$S$18&lt;F49,F49&lt;=AV!$T$18),AV!$P$18*((AV!$S$18-RASANTE!F49)/(AV!$N$18))^2,IF(AND(AV!$T$18&lt;RASANTE!F49,F49&lt;AV!$U$18),AV!$P$18*((AV!$U$18-RASANTE!F49)/(AV!$O$18))^2,IF(AND(AV!$S$20&lt;F49,F49&lt;=AV!$T$20),AV!$P$20*((AV!$S$20-RASANTE!F49)/(AV!$N$20))^2,IF(AND(AV!$T$20&lt;RASANTE!F49,F49&lt;AV!$U$20),AV!$P$20*((AV!$U$20-RASANTE!F49)/(AV!$O$20))^2,IF(AND(AV!$S$22&lt;F49,F49&lt;=AV!$T$22),AV!$P$22*((AV!$S$22-RASANTE!F49)/(AV!$N$22))^2,IF(AND(AV!$T$22&lt;RASANTE!F49,F49&lt;AV!$U$22),AV!$P$22*((AV!$U$22-RASANTE!F49)/(AV!$O$22))^2,IF(AND(AV!$S$24&lt;F49,F49&lt;=AV!$T$24),AV!$P$24*((AV!$S$24-RASANTE!F49)/(AV!$N$24))^2,IF(AND(AV!$T$24&lt;RASANTE!F49,F49&lt;AV!$U$24),AV!$P$24*((AV!$U$24-RASANTE!F49)/(AV!$O$24))^2,0))))))))))))))))))))</f>
        <v>-0.37297067252399957</v>
      </c>
      <c r="L49" s="28">
        <f>+M49+H49%*PERALTE!$C$32</f>
        <v>1651.1140293274764</v>
      </c>
      <c r="M49" s="28">
        <f t="shared" si="3"/>
        <v>1651.1840293274763</v>
      </c>
      <c r="N49" s="28">
        <f>+M49+I49%*PERALTE!$C$32</f>
        <v>1651.1140293274764</v>
      </c>
      <c r="O49" s="92"/>
      <c r="P49" s="84"/>
      <c r="Q49" s="84"/>
      <c r="R49" s="84"/>
      <c r="S49" s="84"/>
      <c r="T49" s="84"/>
      <c r="U49" s="84"/>
      <c r="V49" s="84"/>
      <c r="W49" s="84"/>
      <c r="X49" s="84"/>
      <c r="Y49" s="84"/>
    </row>
    <row r="50" spans="1:25" ht="15.75" customHeight="1" x14ac:dyDescent="0.2">
      <c r="A50" s="90"/>
      <c r="B50" s="86"/>
      <c r="C50" s="86"/>
      <c r="D50" s="86"/>
      <c r="E50" s="91"/>
      <c r="F50" s="34">
        <v>320</v>
      </c>
      <c r="G50" s="88">
        <f>IF(F50&lt;=AV!$T$6,AV!$C$5,IF(RASANTE!F50&lt;=AV!$T$8,AV!$C$7,IF(RASANTE!F50&lt;=AV!$T$10,AV!$C$9,IF(RASANTE!F50&lt;=AV!$T$12,AV!#REF!,IF(RASANTE!F50&lt;=AV!$T$14,AV!$C$11,IF(RASANTE!F50&lt;=AV!$T$16,AV!$C$13, IF(RASANTE!F50&lt;=AV!$T$18,AV!$C$15,IF(RASANTE!F50&lt;=AV!$T$20,AV!$C$19,IF(RASANTE!F50&lt;=AV!$T$22,AV!$C$21,IF(RASANTE!F50&lt;=AV!$T$24,AV!$C$23,AV!$C$25))))))))))</f>
        <v>-7.774</v>
      </c>
      <c r="H50" s="28">
        <f>+IF(AND(AH!$H$8="Izquierda",RASANTE!F50&lt;=PERALTE!$AB$6),IF(RASANTE!F50&lt;=PERALTE!$S$6,-2,IF(RASANTE!F50&lt;=PERALTE!$U$6,(-6/(PERALTE!$U$6-PERALTE!$S$6)*(RASANTE!F50-PERALTE!$S$6)-2),IF(RASANTE!F50&lt;=PERALTE!$X$6,-8,IF(RASANTE!F50&lt;=PERALTE!$Z$6,(-6/(PERALTE!$X$6-PERALTE!$Z$6)*(RASANTE!F50-PERALTE!$Z$6)-2),IF(RASANTE!F50&lt;=PERALTE!$AB$6,-2))))),IF(AND(AH!$H$8="Derecha",RASANTE!F50&lt;=PERALTE!$AB$6),IF(RASANTE!F50&lt;=PERALTE!$Q$6,-2,IF(RASANTE!F50&lt;=PERALTE!$U$6,(10/(PERALTE!$U$6-PERALTE!$Q$6)*(RASANTE!F50-PERALTE!$Q$6)-2),IF(RASANTE!F50&lt;=PERALTE!$X$6,8,IF(RASANTE!F50&lt;=PERALTE!$AB$6,(10/(PERALTE!$X$6-PERALTE!$AB$6)*(RASANTE!F50-PERALTE!$AB$6)-2))))),IF(AND(AH!$H$10="Izquierda",RASANTE!F50&lt;=PERALTE!$AB$8),IF(RASANTE!F50&lt;=PERALTE!$S$8,-2,IF(RASANTE!F50&lt;=PERALTE!$U$8,(-6/(PERALTE!$U$8-PERALTE!$S$8)*(RASANTE!F50-PERALTE!$S$8)-2),IF(RASANTE!F50&lt;=PERALTE!$X$8,-8,IF(RASANTE!F50&lt;=PERALTE!$Z$8,(-6/(PERALTE!$X$8-PERALTE!$Z$8)*(RASANTE!F50-PERALTE!$Z$8)-2),IF(RASANTE!F50&lt;=PERALTE!$AB$8,-2))))),IF(AND(AH!$H$10="Derecha",RASANTE!F50&lt;=PERALTE!$AB$8),IF(RASANTE!F50&lt;=PERALTE!$Q$8,-2,IF(RASANTE!F50&lt;=PERALTE!$U$8,(10/(PERALTE!$U$8-PERALTE!$Q$8)*(RASANTE!F50-PERALTE!$Q$8)-2),IF(RASANTE!F50&lt;=PERALTE!$X$8,8,IF(RASANTE!F50&lt;=PERALTE!$AB$8,(10/(PERALTE!$X$8-PERALTE!$AB$8)*(RASANTE!F50-PERALTE!$AB$8)-2))))),IF(AND(AH!$H$12="Izquierda",RASANTE!F50&lt;=PERALTE!$AB$10),IF(RASANTE!F50&lt;=PERALTE!$S$10,-2,IF(RASANTE!F50&lt;=PERALTE!$U$10,(-6/(PERALTE!$U$10-PERALTE!$S$10)*(RASANTE!F50-PERALTE!$S$10)-2),IF(RASANTE!F50&lt;=PERALTE!$X$10,-8,IF(RASANTE!F50&lt;=PERALTE!$Z$10,(-6/(PERALTE!$X$10-PERALTE!$Z$10)*(RASANTE!F50-PERALTE!$Z$10)-2),IF(RASANTE!F50&lt;=PERALTE!$AB$10,-2))))),IF(AND(AH!$H$12="Derecha",RASANTE!F50&lt;=PERALTE!$AB$10),IF(RASANTE!F50&lt;=PERALTE!$Q$10,-2,IF(RASANTE!F50&lt;=PERALTE!$U$10,(10/(PERALTE!$U$10-PERALTE!$Q$10)*(RASANTE!F50-PERALTE!$Q$10)-2),IF(RASANTE!F50&lt;=PERALTE!$X$10,8,IF(RASANTE!F50&lt;=PERALTE!$AB$10,(10/(PERALTE!$X$10-PERALTE!$AB$10)*(RASANTE!F50-PERALTE!$AB$10)-2))))),IF(AND(AH!$H$14="Izquierda",RASANTE!F50&lt;=PERALTE!$AB$12),IF(RASANTE!F50&lt;=PERALTE!$S$12,-2,IF(RASANTE!F50&lt;=PERALTE!$U$12,(-6/(PERALTE!$U$12-PERALTE!$S$12)*(RASANTE!F50-PERALTE!$S$12)-2),IF(RASANTE!F50&lt;=PERALTE!$X$12,-8,IF(RASANTE!F50&lt;=PERALTE!$Z$12,(-6/(PERALTE!$X$12-PERALTE!$Z$12)*(RASANTE!F50-PERALTE!$Z$12)-2),IF(RASANTE!F50&lt;=PERALTE!$AB$12,-2))))),IF(AND(AH!$H$14="Derecha",RASANTE!F50&lt;=PERALTE!$AB$12),IF(RASANTE!F50&lt;=PERALTE!$Q$12,-2,IF(RASANTE!F50&lt;=PERALTE!$U$12,(10/(PERALTE!$U$12-PERALTE!$Q$12)*(RASANTE!F50-PERALTE!$Q$12)-2),IF(RASANTE!F50&lt;=PERALTE!$X$12,8,IF(RASANTE!F50&lt;=PERALTE!$AB$12,(10/(PERALTE!$X$12-PERALTE!$AB$12)*(RASANTE!F50-PERALTE!$AB$12)-2))))),IF(AND(AH!$H$16="Izquierda",RASANTE!F50&lt;=PERALTE!$AB$14),IF(RASANTE!F50&lt;=PERALTE!$S$14,-2,IF(RASANTE!F50&lt;=PERALTE!$U$14,(-6/(PERALTE!$U$14-PERALTE!$S$14)*(RASANTE!F50-PERALTE!$S$14)-2),IF(RASANTE!F50&lt;=PERALTE!$X$14,-8,IF(RASANTE!F50&lt;=PERALTE!$Z$14,(-6/(PERALTE!$X$14-PERALTE!$Z$14)*(RASANTE!F50-PERALTE!$Z$14)-2),IF(RASANTE!F50&lt;=PERALTE!$AB$14,-2))))),IF(AND(AH!$H$16="Derecha",RASANTE!F50&lt;=PERALTE!$AB$14),IF(RASANTE!F50&lt;=PERALTE!$Q$14,-2,IF(RASANTE!F50&lt;=PERALTE!$U$14,(10/(PERALTE!$U$14-PERALTE!$Q$14)*(RASANTE!F50-PERALTE!$Q$14)-2),IF(RASANTE!F50&lt;=PERALTE!$X$14,8,IF(RASANTE!F50&lt;=PERALTE!$AB$14,(10/(PERALTE!$X$14-PERALTE!$AB$14)*(RASANTE!F50-PERALTE!$AB$14)-2))))),IF(AND(AH!$H$18="Izquierda",RASANTE!F50&lt;=PERALTE!$AB$16),IF(RASANTE!F50&lt;=PERALTE!$S$16,-2,IF(RASANTE!F50&lt;=PERALTE!$U$16,(-6/(PERALTE!$U$16-PERALTE!$S$16)*(RASANTE!F50-PERALTE!$S$16)-2),IF(RASANTE!F50&lt;=PERALTE!$X$16,-8,IF(RASANTE!F50&lt;=PERALTE!$Z$16,(-6/(PERALTE!$X$16-PERALTE!$Z$16)*(RASANTE!F50-PERALTE!$Z$16)-2),IF(RASANTE!F50&lt;=PERALTE!$AB$16,-2))))),IF(AND(AH!$H$18="Derecha",RASANTE!F50&lt;=PERALTE!$AB$16),IF(RASANTE!F50&lt;=PERALTE!$Q$16,-2,IF(RASANTE!F50&lt;=PERALTE!$U$16,(10/(PERALTE!$U$16-PERALTE!$Q$16)*(RASANTE!F50-PERALTE!$Q$16)-2),IF(RASANTE!F50&lt;=PERALTE!$X$16,8,IF(RASANTE!F50&lt;=PERALTE!$AB$16,(10/(PERALTE!$X$16-PERALTE!$AB$16)*(RASANTE!F50-PERALTE!$AB$16)-2))))),IF(AND(AH!$H$20="Izquierda",RASANTE!F50&lt;=PERALTE!$AB$18),IF(RASANTE!F50&lt;=PERALTE!$S$18,-2,IF(RASANTE!F50&lt;=PERALTE!$U$18,(-6/(PERALTE!$U$18-PERALTE!$S$18)*(RASANTE!F50-PERALTE!$S$18)-2),IF(RASANTE!F50&lt;=PERALTE!$X$18,-8,IF(RASANTE!F50&lt;=PERALTE!$Z$18,(-6/(PERALTE!$X$18-PERALTE!$Z$18)*(RASANTE!F50-PERALTE!$Z$18)-2),IF(RASANTE!F50&lt;=PERALTE!$AB$18,-2))))),IF(AND(AH!$H$20="Derecha",RASANTE!F50&lt;=PERALTE!$AB$18),IF(RASANTE!F50&lt;=PERALTE!$Q$18,-2,IF(RASANTE!F50&lt;=PERALTE!$U$18,(10/(PERALTE!$U$18-PERALTE!$Q$18)*(RASANTE!F50-PERALTE!$Q$18)-2),IF(RASANTE!F50&lt;=PERALTE!$X$18,8,IF(RASANTE!F50&lt;=PERALTE!$AB$18,(10/(PERALTE!$X$18-PERALTE!$AB$18)*(RASANTE!F50-PERALTE!$AB$18)-2))))),IF(AND(AH!$H$24="Izquierda",RASANTE!F50&lt;=PERALTE!$AB$22),IF(RASANTE!F50&lt;=PERALTE!$S$22,-2,IF(RASANTE!F50&lt;=PERALTE!$U$22,(-6/(PERALTE!$U$22-PERALTE!$S$22)*(RASANTE!F50-PERALTE!$S$22)-2),IF(RASANTE!F50&lt;=PERALTE!$X$22,-8,IF(RASANTE!F50&lt;=PERALTE!$Z$22,(-6/(PERALTE!$X$22-PERALTE!$Z$22)*(RASANTE!F50-PERALTE!$Z$22)-2),IF(RASANTE!F50&lt;=PERALTE!$AB$22,-2))))),IF(AND(AH!$H$24="Derecha",RASANTE!F50&lt;=PERALTE!$AB$22),IF(RASANTE!F50&lt;=PERALTE!$Q$22,-2,IF(RASANTE!F50&lt;=PERALTE!$U$22,(10/(PERALTE!$U$22-PERALTE!$Q$22)*(RASANTE!F50-PERALTE!$Q$22)-2),IF(RASANTE!F50&lt;=PERALTE!$X$22,8,IF(RASANTE!F50&lt;=PERALTE!$AB$22,(10/(PERALTE!$X$22-PERALTE!$AB$22)*(RASANTE!F50-PERALTE!$AB$22)-2))))),IF(AND(AH!#REF!="Izquierda",RASANTE!F50&lt;=PERALTE!#REF!),IF(RASANTE!F50&lt;=PERALTE!#REF!,-2,IF(RASANTE!F50&lt;=PERALTE!#REF!,(-6/(PERALTE!#REF!-PERALTE!#REF!)*(RASANTE!F50-PERALTE!#REF!)-2),IF(RASANTE!F50&lt;=PERALTE!#REF!,-8,IF(RASANTE!F50&lt;=PERALTE!#REF!,(-6/(PERALTE!#REF!-PERALTE!#REF!)*(RASANTE!F50-PERALTE!#REF!)-2),IF(RASANTE!F50&lt;=PERALTE!#REF!,-2))))),IF(AND(AH!#REF!="Derecha",RASANTE!F50&lt;=PERALTE!#REF!),IF(RASANTE!F50&lt;=PERALTE!#REF!,-2,IF(RASANTE!F50&lt;=PERALTE!#REF!,(10/(PERALTE!#REF!-PERALTE!#REF!)*(RASANTE!F50-PERALTE!#REF!)-2),IF(RASANTE!F50&lt;=PERALTE!#REF!,8,IF(RASANTE!F50&lt;=PERALTE!#REF!,(10/(PERALTE!#REF!-PERALTE!#REF!)*(RASANTE!F50-PERALTE!#REF!)-2))))),IF(AND(AH!#REF!="Izquierda",RASANTE!F50&lt;=PERALTE!$AB$26),IF(RASANTE!F50&lt;=PERALTE!$S$26,-2,IF(RASANTE!F50&lt;=PERALTE!$U$26,(-6/(PERALTE!$U$26-PERALTE!$S$26)*(RASANTE!F50-PERALTE!$S$26)-2),IF(RASANTE!F50&lt;=PERALTE!$X$26,-8,IF(RASANTE!F50&lt;=PERALTE!$Z$26,(-6/(PERALTE!$X$26-PERALTE!$Z$26)*(RASANTE!F50-PERALTE!$Z$26)-2),IF(RASANTE!F50&lt;=PERALTE!$AB$26,-2))))),IF(AND(AH!#REF!="Derecha",RASANTE!F50&lt;=PERALTE!$AB$26),IF(RASANTE!F50&lt;=PERALTE!$Q$26,-2,IF(RASANTE!F50&lt;=PERALTE!$U$26,(10/(PERALTE!$U$26-PERALTE!$Q$26)*(RASANTE!F50-PERALTE!$Q$26)-2),IF(RASANTE!F50&lt;=PERALTE!$X$26,8,IF(RASANTE!F50&lt;=PERALTE!$AB$26,(10/(PERALTE!$X$26-PERALTE!$AB$26)*(RASANTE!F50-PERALTE!$AB$26)-2))))),IF(F50&lt;=PERALTE!#REF!,-2,"Abscisa fuera de la vía")))))))))))))))))))))</f>
        <v>-2</v>
      </c>
      <c r="I50" s="28">
        <f>+IF(AND(AH!$H$8="Derecha",RASANTE!F50&lt;=PERALTE!$AB$6),IF(RASANTE!F50&lt;=PERALTE!$S$6,-2,IF(RASANTE!F50&lt;=PERALTE!$U$6,(-6/(PERALTE!$U$6-PERALTE!$S$6)*(RASANTE!F50-PERALTE!$S$6)-2),IF(RASANTE!F50&lt;=PERALTE!$X$6,-8,IF(RASANTE!F50&lt;=PERALTE!$Z$6,(-6/(PERALTE!$X$6-PERALTE!$Z$6)*(RASANTE!F50-PERALTE!$Z$6)-2),IF(RASANTE!F50&lt;=PERALTE!$AB$6,-2))))),IF(AND(AH!$H$8="Izquierda",RASANTE!F50&lt;=PERALTE!$AB$6),IF(RASANTE!F50&lt;=PERALTE!$Q$6,-2,IF(RASANTE!F50&lt;=PERALTE!$U$6,(10/(PERALTE!$U$6-PERALTE!$Q$6)*(RASANTE!F50-PERALTE!$Q$6)-2),IF(RASANTE!F50&lt;=PERALTE!$X$6,8,IF(RASANTE!F50&lt;=PERALTE!$AB$6,(10/(PERALTE!$X$6-PERALTE!$AB$6)*(RASANTE!F50-PERALTE!$AB$6)-2))))),IF(AND(AH!$H$10="Derecha",RASANTE!F50&lt;=PERALTE!$AB$8),IF(RASANTE!F50&lt;=PERALTE!$S$8,-2,IF(RASANTE!F50&lt;=PERALTE!$U$8,(-6/(PERALTE!$U$8-PERALTE!$S$8)*(RASANTE!F50-PERALTE!$S$8)-2),IF(RASANTE!F50&lt;=PERALTE!$X$8,-8,IF(RASANTE!F50&lt;=PERALTE!$Z$8,(-6/(PERALTE!$X$8-PERALTE!$Z$8)*(RASANTE!F50-PERALTE!$Z$8)-2),IF(RASANTE!F50&lt;=PERALTE!$AB$8,-2))))),IF(AND(AH!$H$10="Izquierda",RASANTE!F50&lt;=PERALTE!$AB$8),IF(RASANTE!F50&lt;=PERALTE!$Q$8,-2,IF(RASANTE!F50&lt;=PERALTE!$U$8,(10/(PERALTE!$U$8-PERALTE!$Q$8)*(RASANTE!F50-PERALTE!$Q$8)-2),IF(RASANTE!F50&lt;=PERALTE!$X$8,8,IF(RASANTE!F50&lt;=PERALTE!$AB$8,(10/(PERALTE!$X$8-PERALTE!$AB$8)*(RASANTE!F50-PERALTE!$AB$8)-2))))),IF(AND(AH!$H$12="Derecha",RASANTE!F50&lt;=PERALTE!$AB$10),IF(RASANTE!F50&lt;=PERALTE!$S$10,-2,IF(RASANTE!F50&lt;=PERALTE!$U$10,(-6/(PERALTE!$U$10-PERALTE!$S$10)*(RASANTE!F50-PERALTE!$S$10)-2),IF(RASANTE!F50&lt;=PERALTE!$X$10,-8,IF(RASANTE!F50&lt;=PERALTE!$Z$10,(-6/(PERALTE!$X$10-PERALTE!$Z$10)*(RASANTE!F50-PERALTE!$Z$10)-2),IF(RASANTE!F50&lt;=PERALTE!$AB$10,-2))))),IF(AND(AH!$H$12="Izquierda",RASANTE!F50&lt;=PERALTE!$AB$10),IF(RASANTE!F50&lt;=PERALTE!$Q$10,-2,IF(RASANTE!F50&lt;=PERALTE!$U$10,(10/(PERALTE!$U$10-PERALTE!$Q$10)*(RASANTE!F50-PERALTE!$Q$10)-2),IF(RASANTE!F50&lt;=PERALTE!$X$10,8,IF(RASANTE!F50&lt;=PERALTE!$AB$10,(10/(PERALTE!$X$10-PERALTE!$AB$10)*(RASANTE!F50-PERALTE!$AB$10)-2))))),IF(AND(AH!$H$14="Derecha",RASANTE!F50&lt;=PERALTE!$AB$12),IF(RASANTE!F50&lt;=PERALTE!$S$12,-2,IF(RASANTE!F50&lt;=PERALTE!$U$12,(-6/(PERALTE!$U$12-PERALTE!$S$12)*(RASANTE!F50-PERALTE!$S$12)-2),IF(RASANTE!F50&lt;=PERALTE!$X$12,-8,IF(RASANTE!F50&lt;=PERALTE!$Z$12,(-6/(PERALTE!$X$12-PERALTE!$Z$12)*(RASANTE!F50-PERALTE!$Z$12)-2),IF(RASANTE!F50&lt;=PERALTE!$AB$12,-2))))),IF(AND(AH!$H$14="Izquierda",RASANTE!F50&lt;=PERALTE!$AB$12),IF(RASANTE!F50&lt;=PERALTE!$Q$12,-2,IF(RASANTE!F50&lt;=PERALTE!$U$12,(10/(PERALTE!$U$12-PERALTE!$Q$12)*(RASANTE!F50-PERALTE!$Q$12)-2),IF(RASANTE!F50&lt;=PERALTE!$X$12,8,IF(RASANTE!F50&lt;=PERALTE!$AB$12,(10/(PERALTE!$X$12-PERALTE!$AB$12)*(RASANTE!F50-PERALTE!$AB$12)-2))))),IF(AND(AH!$H$16="Derecha",RASANTE!F50&lt;=PERALTE!$AB$14),IF(RASANTE!F50&lt;=PERALTE!$S$14,-2,IF(RASANTE!F50&lt;=PERALTE!$U$14,(-6/(PERALTE!$U$14-PERALTE!$S$14)*(RASANTE!F50-PERALTE!$S$14)-2),IF(RASANTE!F50&lt;=PERALTE!$X$14,-8,IF(RASANTE!F50&lt;=PERALTE!$Z$14,(-6/(PERALTE!$X$14-PERALTE!$Z$14)*(RASANTE!F50-PERALTE!$Z$14)-2),IF(RASANTE!F50&lt;=PERALTE!$AB$14,-2))))),IF(AND(AH!$H$16="Izquierda",RASANTE!F50&lt;=PERALTE!$AB$14),IF(RASANTE!F50&lt;=PERALTE!$Q$14,-2,IF(RASANTE!F50&lt;=PERALTE!$U$14,(10/(PERALTE!$U$14-PERALTE!$Q$14)*(RASANTE!F50-PERALTE!$Q$14)-2),IF(RASANTE!F50&lt;=PERALTE!$X$14,8,IF(RASANTE!F50&lt;=PERALTE!$AB$14,(10/(PERALTE!$X$14-PERALTE!$AB$14)*(RASANTE!F50-PERALTE!$AB$14)-2))))),IF(AND(AH!$H$18="Derecha",RASANTE!F50&lt;=PERALTE!$AB$16),IF(RASANTE!F50&lt;=PERALTE!$S$16,-2,IF(RASANTE!F50&lt;=PERALTE!$U$16,(-6/(PERALTE!$U$16-PERALTE!$S$16)*(RASANTE!F50-PERALTE!$S$16)-2),IF(RASANTE!F50&lt;=PERALTE!$X$16,-8,IF(RASANTE!F50&lt;=PERALTE!$Z$16,(-6/(PERALTE!$X$16-PERALTE!$Z$16)*(RASANTE!F50-PERALTE!$Z$16)-2),IF(RASANTE!F50&lt;=PERALTE!$AB$16,-2))))),IF(AND(AH!$H$18="Izquierda",RASANTE!F50&lt;=PERALTE!$AB$16),IF(RASANTE!F50&lt;=PERALTE!$Q$16,-2,IF(RASANTE!F50&lt;=PERALTE!$U$16,(10/(PERALTE!$U$16-PERALTE!$Q$16)*(RASANTE!F50-PERALTE!$Q$16)-2),IF(RASANTE!F50&lt;=PERALTE!$X$16,8,IF(RASANTE!F50&lt;=PERALTE!$AB$16,(10/(PERALTE!$X$16-PERALTE!$AB$16)*(RASANTE!F50-PERALTE!$AB$16)-2))))),IF(AND(AH!$H$20="Derecha",RASANTE!F50&lt;=PERALTE!$AB$18),IF(RASANTE!F50&lt;=PERALTE!$S$18,-2,IF(RASANTE!F50&lt;=PERALTE!$U$18,(-6/(PERALTE!$U$18-PERALTE!$S$18)*(RASANTE!F50-PERALTE!$S$18)-2),IF(RASANTE!F50&lt;=PERALTE!$X$18,-8,IF(RASANTE!F50&lt;=PERALTE!$Z$18,(-6/(PERALTE!$X$18-PERALTE!$Z$18)*(RASANTE!F50-PERALTE!$Z$18)-2),IF(RASANTE!F50&lt;=PERALTE!$AB$18,-2))))),IF(AND(AH!$H$20="Izquierda",RASANTE!F50&lt;=PERALTE!$AB$18),IF(RASANTE!F50&lt;=PERALTE!$Q$18,-2,IF(RASANTE!F50&lt;=PERALTE!$U$18,(10/(PERALTE!$U$18-PERALTE!$Q$18)*(RASANTE!F50-PERALTE!$Q$18)-2),IF(RASANTE!F50&lt;=PERALTE!$X$18,8,IF(RASANTE!F50&lt;=PERALTE!$AB$18,(10/(PERALTE!$X$18-PERALTE!$AB$18)*(RASANTE!F50-PERALTE!$AB$18)-2))))),IF(AND(AH!$H$24="Derecha",RASANTE!F50&lt;=PERALTE!$AB$22),IF(RASANTE!F50&lt;=PERALTE!$S$22,-2,IF(RASANTE!F50&lt;=PERALTE!$U$22,(-6/(PERALTE!$U$22-PERALTE!$S$22)*(RASANTE!F50-PERALTE!$S$22)-2),IF(RASANTE!F50&lt;=PERALTE!$X$22,-8,IF(RASANTE!F50&lt;=PERALTE!$Z$22,(-6/(PERALTE!$X$22-PERALTE!$Z$22)*(RASANTE!F50-PERALTE!$Z$22)-2),IF(RASANTE!F50&lt;=PERALTE!$AB$22,-2))))),IF(AND(AH!$H$24="Izquierda",RASANTE!F50&lt;=PERALTE!$AB$22),IF(RASANTE!F50&lt;=PERALTE!$Q$22,-2,IF(RASANTE!F50&lt;=PERALTE!$U$22,(10/(PERALTE!$U$22-PERALTE!$Q$22)*(RASANTE!F50-PERALTE!$Q$22)-2),IF(RASANTE!F50&lt;=PERALTE!$X$22,8,IF(RASANTE!F50&lt;=PERALTE!$AB$22,(10/(PERALTE!$X$22-PERALTE!$AB$22)*(RASANTE!F50-PERALTE!$AB$22)-2))))),IF(AND(AH!#REF!="Derecha",RASANTE!F50&lt;=PERALTE!#REF!),IF(RASANTE!F50&lt;=PERALTE!#REF!,-2,IF(RASANTE!F50&lt;=PERALTE!#REF!,(-6/(PERALTE!#REF!-PERALTE!#REF!)*(RASANTE!F50-PERALTE!#REF!)-2),IF(RASANTE!F50&lt;=PERALTE!#REF!,-8,IF(RASANTE!F50&lt;=PERALTE!#REF!,(-6/(PERALTE!#REF!-PERALTE!#REF!)*(RASANTE!F50-PERALTE!#REF!)-2),IF(RASANTE!F50&lt;=PERALTE!#REF!,-2))))),IF(AND(AH!#REF!="Izquierda",RASANTE!F50&lt;=PERALTE!#REF!),IF(RASANTE!F50&lt;=PERALTE!#REF!,-2,IF(RASANTE!F50&lt;=PERALTE!#REF!,(10/(PERALTE!#REF!-PERALTE!#REF!)*(RASANTE!F50-PERALTE!#REF!)-2),IF(RASANTE!F50&lt;=PERALTE!#REF!,8,IF(RASANTE!F50&lt;=PERALTE!#REF!,(10/(PERALTE!#REF!-PERALTE!#REF!)*(RASANTE!F50-PERALTE!#REF!)-2))))),IF(AND(AH!#REF!="Derecha",RASANTE!F50&lt;=PERALTE!$AB$26),IF(RASANTE!F50&lt;=PERALTE!$S$26,-2,IF(RASANTE!F50&lt;=PERALTE!$U$26,(-6/(PERALTE!$U$26-PERALTE!$S$26)*(RASANTE!F50-PERALTE!$S$26)-2),IF(RASANTE!F50&lt;=PERALTE!$X$26,-8,IF(RASANTE!F50&lt;=PERALTE!$Z$26,(-6/(PERALTE!$X$26-PERALTE!$Z$26)*(RASANTE!F50-PERALTE!$Z$26)-2),IF(RASANTE!F50&lt;=PERALTE!$AB$26,-2))))),IF(AND(AH!#REF!="Izquierda",RASANTE!F50&lt;=PERALTE!$AB$26),IF(RASANTE!F50&lt;=PERALTE!$Q$26,-2,IF(RASANTE!F50&lt;=PERALTE!$U$26,(10/(PERALTE!$U$26-PERALTE!$Q$26)*(RASANTE!F50-PERALTE!$Q$26)-2),IF(RASANTE!F50&lt;=PERALTE!$X$26,8,IF(RASANTE!F50&lt;=PERALTE!$AB$26,(10/(PERALTE!$X$26-PERALTE!$AB$26)*(RASANTE!F50-PERALTE!$AB$26)-2))))),IF(F50&lt;=PERALTE!#REF!,-2,"Abscisa fuera de la vía")))))))))))))))))))))</f>
        <v>-2</v>
      </c>
      <c r="J50" s="28">
        <f t="shared" si="1"/>
        <v>1650.7796000000003</v>
      </c>
      <c r="K50" s="28">
        <f>+IF(AND(AV!$S$6&lt;F50,F50&lt;=AV!$T$6),AV!$P$6*((AV!$S$6-RASANTE!F50)/(AV!$N$6))^2,IF(AND(AV!$T$6&lt;RASANTE!F50,F50&lt;AV!$U$6),AV!$P$6*((AV!$U$6-RASANTE!F50)/(AV!$O$6))^2,IF(AND(AV!$S$8&lt;F50,F50&lt;=AV!$T$8),AV!$P$8*((AV!$S$8-RASANTE!F50)/(AV!$N$8))^2,IF(AND(AV!$T$8&lt;RASANTE!F50,F50&lt;AV!$U$8),AV!$P$8*((AV!$U$8-RASANTE!F50)/(AV!$O$8))^2,IF(AND(AV!$S$10&lt;F50,F50&lt;=AV!$T$10),AV!$P$10*((AV!$S$10-RASANTE!F50)/(AV!$N$10))^2,IF(AND(AV!$T$10&lt;RASANTE!F50,F50&lt;AV!$U$10),AV!$P$10*((AV!$U$10-RASANTE!F50)/(AV!$O$10))^2,IF(AND(AV!$S$12&lt;F50,F50&lt;=AV!$T$12),AV!$P$12*((AV!$S$12-RASANTE!F50)/(AV!$N$12))^2,IF(AND(AV!$T$12&lt;RASANTE!F50,F50&lt;AV!$U$12),AV!$P$12*((AV!$U$12-RASANTE!F50)/(AV!$O$12))^2,IF(AND(AV!$S$14&lt;F50,F50&lt;=AV!$T$14),AV!$P$14*((AV!$S$14-RASANTE!F50)/(AV!$N$14))^2,IF(AND(AV!$T$14&lt;RASANTE!F50,F50&lt;AV!$U$14),AV!$P$14*((AV!$U$14-RASANTE!F50)/(AV!$O$14))^2,IF(AND(AV!$S$16&lt;F50,F50&lt;=AV!$T$16),AV!$P$16*((AV!$S$16-RASANTE!F50)/(AV!$N$16))^2,IF(AND(AV!$T$16&lt;RASANTE!F50,F50&lt;AV!$U$16),AV!$P$16*((AV!$U$16-RASANTE!F50)/(AV!$O$16))^2,IF(AND(AV!$S$18&lt;F50,F50&lt;=AV!$T$18),AV!$P$18*((AV!$S$18-RASANTE!F50)/(AV!$N$18))^2,IF(AND(AV!$T$18&lt;RASANTE!F50,F50&lt;AV!$U$18),AV!$P$18*((AV!$U$18-RASANTE!F50)/(AV!$O$18))^2,IF(AND(AV!$S$20&lt;F50,F50&lt;=AV!$T$20),AV!$P$20*((AV!$S$20-RASANTE!F50)/(AV!$N$20))^2,IF(AND(AV!$T$20&lt;RASANTE!F50,F50&lt;AV!$U$20),AV!$P$20*((AV!$U$20-RASANTE!F50)/(AV!$O$20))^2,IF(AND(AV!$S$22&lt;F50,F50&lt;=AV!$T$22),AV!$P$22*((AV!$S$22-RASANTE!F50)/(AV!$N$22))^2,IF(AND(AV!$T$22&lt;RASANTE!F50,F50&lt;AV!$U$22),AV!$P$22*((AV!$U$22-RASANTE!F50)/(AV!$O$22))^2,IF(AND(AV!$S$24&lt;F50,F50&lt;=AV!$T$24),AV!$P$24*((AV!$S$24-RASANTE!F50)/(AV!$N$24))^2,IF(AND(AV!$T$24&lt;RASANTE!F50,F50&lt;AV!$U$24),AV!$P$24*((AV!$U$24-RASANTE!F50)/(AV!$O$24))^2,0))))))))))))))))))))</f>
        <v>-0.13765618410294708</v>
      </c>
      <c r="L50" s="28">
        <f>+M50+H50%*PERALTE!$C$32</f>
        <v>1650.5719438158974</v>
      </c>
      <c r="M50" s="28">
        <f t="shared" si="3"/>
        <v>1650.6419438158973</v>
      </c>
      <c r="N50" s="28">
        <f>+M50+I50%*PERALTE!$C$32</f>
        <v>1650.5719438158974</v>
      </c>
      <c r="O50" s="92"/>
      <c r="P50" s="84"/>
      <c r="Q50" s="84"/>
      <c r="R50" s="84"/>
      <c r="S50" s="84"/>
      <c r="T50" s="84"/>
      <c r="U50" s="84"/>
      <c r="V50" s="84"/>
      <c r="W50" s="84"/>
      <c r="X50" s="84"/>
      <c r="Y50" s="84"/>
    </row>
    <row r="51" spans="1:25" ht="15.75" customHeight="1" x14ac:dyDescent="0.2">
      <c r="A51" s="90"/>
      <c r="B51" s="86"/>
      <c r="C51" s="86"/>
      <c r="D51" s="86"/>
      <c r="E51" s="91"/>
      <c r="F51" s="34">
        <v>330</v>
      </c>
      <c r="G51" s="88">
        <f>IF(F51&lt;=AV!$T$6,AV!$C$5,IF(RASANTE!F51&lt;=AV!$T$8,AV!$C$7,IF(RASANTE!F51&lt;=AV!$T$10,AV!$C$9,IF(RASANTE!F51&lt;=AV!$T$12,AV!#REF!,IF(RASANTE!F51&lt;=AV!$T$14,AV!$C$11,IF(RASANTE!F51&lt;=AV!$T$16,AV!$C$13, IF(RASANTE!F51&lt;=AV!$T$18,AV!$C$15,IF(RASANTE!F51&lt;=AV!$T$20,AV!$C$19,IF(RASANTE!F51&lt;=AV!$T$22,AV!$C$21,IF(RASANTE!F51&lt;=AV!$T$24,AV!$C$23,AV!$C$25))))))))))</f>
        <v>-7.774</v>
      </c>
      <c r="H51" s="28">
        <f>+IF(AND(AH!$H$8="Izquierda",RASANTE!F51&lt;=PERALTE!$AB$6),IF(RASANTE!F51&lt;=PERALTE!$S$6,-2,IF(RASANTE!F51&lt;=PERALTE!$U$6,(-6/(PERALTE!$U$6-PERALTE!$S$6)*(RASANTE!F51-PERALTE!$S$6)-2),IF(RASANTE!F51&lt;=PERALTE!$X$6,-8,IF(RASANTE!F51&lt;=PERALTE!$Z$6,(-6/(PERALTE!$X$6-PERALTE!$Z$6)*(RASANTE!F51-PERALTE!$Z$6)-2),IF(RASANTE!F51&lt;=PERALTE!$AB$6,-2))))),IF(AND(AH!$H$8="Derecha",RASANTE!F51&lt;=PERALTE!$AB$6),IF(RASANTE!F51&lt;=PERALTE!$Q$6,-2,IF(RASANTE!F51&lt;=PERALTE!$U$6,(10/(PERALTE!$U$6-PERALTE!$Q$6)*(RASANTE!F51-PERALTE!$Q$6)-2),IF(RASANTE!F51&lt;=PERALTE!$X$6,8,IF(RASANTE!F51&lt;=PERALTE!$AB$6,(10/(PERALTE!$X$6-PERALTE!$AB$6)*(RASANTE!F51-PERALTE!$AB$6)-2))))),IF(AND(AH!$H$10="Izquierda",RASANTE!F51&lt;=PERALTE!$AB$8),IF(RASANTE!F51&lt;=PERALTE!$S$8,-2,IF(RASANTE!F51&lt;=PERALTE!$U$8,(-6/(PERALTE!$U$8-PERALTE!$S$8)*(RASANTE!F51-PERALTE!$S$8)-2),IF(RASANTE!F51&lt;=PERALTE!$X$8,-8,IF(RASANTE!F51&lt;=PERALTE!$Z$8,(-6/(PERALTE!$X$8-PERALTE!$Z$8)*(RASANTE!F51-PERALTE!$Z$8)-2),IF(RASANTE!F51&lt;=PERALTE!$AB$8,-2))))),IF(AND(AH!$H$10="Derecha",RASANTE!F51&lt;=PERALTE!$AB$8),IF(RASANTE!F51&lt;=PERALTE!$Q$8,-2,IF(RASANTE!F51&lt;=PERALTE!$U$8,(10/(PERALTE!$U$8-PERALTE!$Q$8)*(RASANTE!F51-PERALTE!$Q$8)-2),IF(RASANTE!F51&lt;=PERALTE!$X$8,8,IF(RASANTE!F51&lt;=PERALTE!$AB$8,(10/(PERALTE!$X$8-PERALTE!$AB$8)*(RASANTE!F51-PERALTE!$AB$8)-2))))),IF(AND(AH!$H$12="Izquierda",RASANTE!F51&lt;=PERALTE!$AB$10),IF(RASANTE!F51&lt;=PERALTE!$S$10,-2,IF(RASANTE!F51&lt;=PERALTE!$U$10,(-6/(PERALTE!$U$10-PERALTE!$S$10)*(RASANTE!F51-PERALTE!$S$10)-2),IF(RASANTE!F51&lt;=PERALTE!$X$10,-8,IF(RASANTE!F51&lt;=PERALTE!$Z$10,(-6/(PERALTE!$X$10-PERALTE!$Z$10)*(RASANTE!F51-PERALTE!$Z$10)-2),IF(RASANTE!F51&lt;=PERALTE!$AB$10,-2))))),IF(AND(AH!$H$12="Derecha",RASANTE!F51&lt;=PERALTE!$AB$10),IF(RASANTE!F51&lt;=PERALTE!$Q$10,-2,IF(RASANTE!F51&lt;=PERALTE!$U$10,(10/(PERALTE!$U$10-PERALTE!$Q$10)*(RASANTE!F51-PERALTE!$Q$10)-2),IF(RASANTE!F51&lt;=PERALTE!$X$10,8,IF(RASANTE!F51&lt;=PERALTE!$AB$10,(10/(PERALTE!$X$10-PERALTE!$AB$10)*(RASANTE!F51-PERALTE!$AB$10)-2))))),IF(AND(AH!$H$14="Izquierda",RASANTE!F51&lt;=PERALTE!$AB$12),IF(RASANTE!F51&lt;=PERALTE!$S$12,-2,IF(RASANTE!F51&lt;=PERALTE!$U$12,(-6/(PERALTE!$U$12-PERALTE!$S$12)*(RASANTE!F51-PERALTE!$S$12)-2),IF(RASANTE!F51&lt;=PERALTE!$X$12,-8,IF(RASANTE!F51&lt;=PERALTE!$Z$12,(-6/(PERALTE!$X$12-PERALTE!$Z$12)*(RASANTE!F51-PERALTE!$Z$12)-2),IF(RASANTE!F51&lt;=PERALTE!$AB$12,-2))))),IF(AND(AH!$H$14="Derecha",RASANTE!F51&lt;=PERALTE!$AB$12),IF(RASANTE!F51&lt;=PERALTE!$Q$12,-2,IF(RASANTE!F51&lt;=PERALTE!$U$12,(10/(PERALTE!$U$12-PERALTE!$Q$12)*(RASANTE!F51-PERALTE!$Q$12)-2),IF(RASANTE!F51&lt;=PERALTE!$X$12,8,IF(RASANTE!F51&lt;=PERALTE!$AB$12,(10/(PERALTE!$X$12-PERALTE!$AB$12)*(RASANTE!F51-PERALTE!$AB$12)-2))))),IF(AND(AH!$H$16="Izquierda",RASANTE!F51&lt;=PERALTE!$AB$14),IF(RASANTE!F51&lt;=PERALTE!$S$14,-2,IF(RASANTE!F51&lt;=PERALTE!$U$14,(-6/(PERALTE!$U$14-PERALTE!$S$14)*(RASANTE!F51-PERALTE!$S$14)-2),IF(RASANTE!F51&lt;=PERALTE!$X$14,-8,IF(RASANTE!F51&lt;=PERALTE!$Z$14,(-6/(PERALTE!$X$14-PERALTE!$Z$14)*(RASANTE!F51-PERALTE!$Z$14)-2),IF(RASANTE!F51&lt;=PERALTE!$AB$14,-2))))),IF(AND(AH!$H$16="Derecha",RASANTE!F51&lt;=PERALTE!$AB$14),IF(RASANTE!F51&lt;=PERALTE!$Q$14,-2,IF(RASANTE!F51&lt;=PERALTE!$U$14,(10/(PERALTE!$U$14-PERALTE!$Q$14)*(RASANTE!F51-PERALTE!$Q$14)-2),IF(RASANTE!F51&lt;=PERALTE!$X$14,8,IF(RASANTE!F51&lt;=PERALTE!$AB$14,(10/(PERALTE!$X$14-PERALTE!$AB$14)*(RASANTE!F51-PERALTE!$AB$14)-2))))),IF(AND(AH!$H$18="Izquierda",RASANTE!F51&lt;=PERALTE!$AB$16),IF(RASANTE!F51&lt;=PERALTE!$S$16,-2,IF(RASANTE!F51&lt;=PERALTE!$U$16,(-6/(PERALTE!$U$16-PERALTE!$S$16)*(RASANTE!F51-PERALTE!$S$16)-2),IF(RASANTE!F51&lt;=PERALTE!$X$16,-8,IF(RASANTE!F51&lt;=PERALTE!$Z$16,(-6/(PERALTE!$X$16-PERALTE!$Z$16)*(RASANTE!F51-PERALTE!$Z$16)-2),IF(RASANTE!F51&lt;=PERALTE!$AB$16,-2))))),IF(AND(AH!$H$18="Derecha",RASANTE!F51&lt;=PERALTE!$AB$16),IF(RASANTE!F51&lt;=PERALTE!$Q$16,-2,IF(RASANTE!F51&lt;=PERALTE!$U$16,(10/(PERALTE!$U$16-PERALTE!$Q$16)*(RASANTE!F51-PERALTE!$Q$16)-2),IF(RASANTE!F51&lt;=PERALTE!$X$16,8,IF(RASANTE!F51&lt;=PERALTE!$AB$16,(10/(PERALTE!$X$16-PERALTE!$AB$16)*(RASANTE!F51-PERALTE!$AB$16)-2))))),IF(AND(AH!$H$20="Izquierda",RASANTE!F51&lt;=PERALTE!$AB$18),IF(RASANTE!F51&lt;=PERALTE!$S$18,-2,IF(RASANTE!F51&lt;=PERALTE!$U$18,(-6/(PERALTE!$U$18-PERALTE!$S$18)*(RASANTE!F51-PERALTE!$S$18)-2),IF(RASANTE!F51&lt;=PERALTE!$X$18,-8,IF(RASANTE!F51&lt;=PERALTE!$Z$18,(-6/(PERALTE!$X$18-PERALTE!$Z$18)*(RASANTE!F51-PERALTE!$Z$18)-2),IF(RASANTE!F51&lt;=PERALTE!$AB$18,-2))))),IF(AND(AH!$H$20="Derecha",RASANTE!F51&lt;=PERALTE!$AB$18),IF(RASANTE!F51&lt;=PERALTE!$Q$18,-2,IF(RASANTE!F51&lt;=PERALTE!$U$18,(10/(PERALTE!$U$18-PERALTE!$Q$18)*(RASANTE!F51-PERALTE!$Q$18)-2),IF(RASANTE!F51&lt;=PERALTE!$X$18,8,IF(RASANTE!F51&lt;=PERALTE!$AB$18,(10/(PERALTE!$X$18-PERALTE!$AB$18)*(RASANTE!F51-PERALTE!$AB$18)-2))))),IF(AND(AH!$H$24="Izquierda",RASANTE!F51&lt;=PERALTE!$AB$22),IF(RASANTE!F51&lt;=PERALTE!$S$22,-2,IF(RASANTE!F51&lt;=PERALTE!$U$22,(-6/(PERALTE!$U$22-PERALTE!$S$22)*(RASANTE!F51-PERALTE!$S$22)-2),IF(RASANTE!F51&lt;=PERALTE!$X$22,-8,IF(RASANTE!F51&lt;=PERALTE!$Z$22,(-6/(PERALTE!$X$22-PERALTE!$Z$22)*(RASANTE!F51-PERALTE!$Z$22)-2),IF(RASANTE!F51&lt;=PERALTE!$AB$22,-2))))),IF(AND(AH!$H$24="Derecha",RASANTE!F51&lt;=PERALTE!$AB$22),IF(RASANTE!F51&lt;=PERALTE!$Q$22,-2,IF(RASANTE!F51&lt;=PERALTE!$U$22,(10/(PERALTE!$U$22-PERALTE!$Q$22)*(RASANTE!F51-PERALTE!$Q$22)-2),IF(RASANTE!F51&lt;=PERALTE!$X$22,8,IF(RASANTE!F51&lt;=PERALTE!$AB$22,(10/(PERALTE!$X$22-PERALTE!$AB$22)*(RASANTE!F51-PERALTE!$AB$22)-2))))),IF(AND(AH!#REF!="Izquierda",RASANTE!F51&lt;=PERALTE!#REF!),IF(RASANTE!F51&lt;=PERALTE!#REF!,-2,IF(RASANTE!F51&lt;=PERALTE!#REF!,(-6/(PERALTE!#REF!-PERALTE!#REF!)*(RASANTE!F51-PERALTE!#REF!)-2),IF(RASANTE!F51&lt;=PERALTE!#REF!,-8,IF(RASANTE!F51&lt;=PERALTE!#REF!,(-6/(PERALTE!#REF!-PERALTE!#REF!)*(RASANTE!F51-PERALTE!#REF!)-2),IF(RASANTE!F51&lt;=PERALTE!#REF!,-2))))),IF(AND(AH!#REF!="Derecha",RASANTE!F51&lt;=PERALTE!#REF!),IF(RASANTE!F51&lt;=PERALTE!#REF!,-2,IF(RASANTE!F51&lt;=PERALTE!#REF!,(10/(PERALTE!#REF!-PERALTE!#REF!)*(RASANTE!F51-PERALTE!#REF!)-2),IF(RASANTE!F51&lt;=PERALTE!#REF!,8,IF(RASANTE!F51&lt;=PERALTE!#REF!,(10/(PERALTE!#REF!-PERALTE!#REF!)*(RASANTE!F51-PERALTE!#REF!)-2))))),IF(AND(AH!#REF!="Izquierda",RASANTE!F51&lt;=PERALTE!$AB$26),IF(RASANTE!F51&lt;=PERALTE!$S$26,-2,IF(RASANTE!F51&lt;=PERALTE!$U$26,(-6/(PERALTE!$U$26-PERALTE!$S$26)*(RASANTE!F51-PERALTE!$S$26)-2),IF(RASANTE!F51&lt;=PERALTE!$X$26,-8,IF(RASANTE!F51&lt;=PERALTE!$Z$26,(-6/(PERALTE!$X$26-PERALTE!$Z$26)*(RASANTE!F51-PERALTE!$Z$26)-2),IF(RASANTE!F51&lt;=PERALTE!$AB$26,-2))))),IF(AND(AH!#REF!="Derecha",RASANTE!F51&lt;=PERALTE!$AB$26),IF(RASANTE!F51&lt;=PERALTE!$Q$26,-2,IF(RASANTE!F51&lt;=PERALTE!$U$26,(10/(PERALTE!$U$26-PERALTE!$Q$26)*(RASANTE!F51-PERALTE!$Q$26)-2),IF(RASANTE!F51&lt;=PERALTE!$X$26,8,IF(RASANTE!F51&lt;=PERALTE!$AB$26,(10/(PERALTE!$X$26-PERALTE!$AB$26)*(RASANTE!F51-PERALTE!$AB$26)-2))))),IF(F51&lt;=PERALTE!#REF!,-2,"Abscisa fuera de la vía")))))))))))))))))))))</f>
        <v>-2</v>
      </c>
      <c r="I51" s="28">
        <f>+IF(AND(AH!$H$8="Derecha",RASANTE!F51&lt;=PERALTE!$AB$6),IF(RASANTE!F51&lt;=PERALTE!$S$6,-2,IF(RASANTE!F51&lt;=PERALTE!$U$6,(-6/(PERALTE!$U$6-PERALTE!$S$6)*(RASANTE!F51-PERALTE!$S$6)-2),IF(RASANTE!F51&lt;=PERALTE!$X$6,-8,IF(RASANTE!F51&lt;=PERALTE!$Z$6,(-6/(PERALTE!$X$6-PERALTE!$Z$6)*(RASANTE!F51-PERALTE!$Z$6)-2),IF(RASANTE!F51&lt;=PERALTE!$AB$6,-2))))),IF(AND(AH!$H$8="Izquierda",RASANTE!F51&lt;=PERALTE!$AB$6),IF(RASANTE!F51&lt;=PERALTE!$Q$6,-2,IF(RASANTE!F51&lt;=PERALTE!$U$6,(10/(PERALTE!$U$6-PERALTE!$Q$6)*(RASANTE!F51-PERALTE!$Q$6)-2),IF(RASANTE!F51&lt;=PERALTE!$X$6,8,IF(RASANTE!F51&lt;=PERALTE!$AB$6,(10/(PERALTE!$X$6-PERALTE!$AB$6)*(RASANTE!F51-PERALTE!$AB$6)-2))))),IF(AND(AH!$H$10="Derecha",RASANTE!F51&lt;=PERALTE!$AB$8),IF(RASANTE!F51&lt;=PERALTE!$S$8,-2,IF(RASANTE!F51&lt;=PERALTE!$U$8,(-6/(PERALTE!$U$8-PERALTE!$S$8)*(RASANTE!F51-PERALTE!$S$8)-2),IF(RASANTE!F51&lt;=PERALTE!$X$8,-8,IF(RASANTE!F51&lt;=PERALTE!$Z$8,(-6/(PERALTE!$X$8-PERALTE!$Z$8)*(RASANTE!F51-PERALTE!$Z$8)-2),IF(RASANTE!F51&lt;=PERALTE!$AB$8,-2))))),IF(AND(AH!$H$10="Izquierda",RASANTE!F51&lt;=PERALTE!$AB$8),IF(RASANTE!F51&lt;=PERALTE!$Q$8,-2,IF(RASANTE!F51&lt;=PERALTE!$U$8,(10/(PERALTE!$U$8-PERALTE!$Q$8)*(RASANTE!F51-PERALTE!$Q$8)-2),IF(RASANTE!F51&lt;=PERALTE!$X$8,8,IF(RASANTE!F51&lt;=PERALTE!$AB$8,(10/(PERALTE!$X$8-PERALTE!$AB$8)*(RASANTE!F51-PERALTE!$AB$8)-2))))),IF(AND(AH!$H$12="Derecha",RASANTE!F51&lt;=PERALTE!$AB$10),IF(RASANTE!F51&lt;=PERALTE!$S$10,-2,IF(RASANTE!F51&lt;=PERALTE!$U$10,(-6/(PERALTE!$U$10-PERALTE!$S$10)*(RASANTE!F51-PERALTE!$S$10)-2),IF(RASANTE!F51&lt;=PERALTE!$X$10,-8,IF(RASANTE!F51&lt;=PERALTE!$Z$10,(-6/(PERALTE!$X$10-PERALTE!$Z$10)*(RASANTE!F51-PERALTE!$Z$10)-2),IF(RASANTE!F51&lt;=PERALTE!$AB$10,-2))))),IF(AND(AH!$H$12="Izquierda",RASANTE!F51&lt;=PERALTE!$AB$10),IF(RASANTE!F51&lt;=PERALTE!$Q$10,-2,IF(RASANTE!F51&lt;=PERALTE!$U$10,(10/(PERALTE!$U$10-PERALTE!$Q$10)*(RASANTE!F51-PERALTE!$Q$10)-2),IF(RASANTE!F51&lt;=PERALTE!$X$10,8,IF(RASANTE!F51&lt;=PERALTE!$AB$10,(10/(PERALTE!$X$10-PERALTE!$AB$10)*(RASANTE!F51-PERALTE!$AB$10)-2))))),IF(AND(AH!$H$14="Derecha",RASANTE!F51&lt;=PERALTE!$AB$12),IF(RASANTE!F51&lt;=PERALTE!$S$12,-2,IF(RASANTE!F51&lt;=PERALTE!$U$12,(-6/(PERALTE!$U$12-PERALTE!$S$12)*(RASANTE!F51-PERALTE!$S$12)-2),IF(RASANTE!F51&lt;=PERALTE!$X$12,-8,IF(RASANTE!F51&lt;=PERALTE!$Z$12,(-6/(PERALTE!$X$12-PERALTE!$Z$12)*(RASANTE!F51-PERALTE!$Z$12)-2),IF(RASANTE!F51&lt;=PERALTE!$AB$12,-2))))),IF(AND(AH!$H$14="Izquierda",RASANTE!F51&lt;=PERALTE!$AB$12),IF(RASANTE!F51&lt;=PERALTE!$Q$12,-2,IF(RASANTE!F51&lt;=PERALTE!$U$12,(10/(PERALTE!$U$12-PERALTE!$Q$12)*(RASANTE!F51-PERALTE!$Q$12)-2),IF(RASANTE!F51&lt;=PERALTE!$X$12,8,IF(RASANTE!F51&lt;=PERALTE!$AB$12,(10/(PERALTE!$X$12-PERALTE!$AB$12)*(RASANTE!F51-PERALTE!$AB$12)-2))))),IF(AND(AH!$H$16="Derecha",RASANTE!F51&lt;=PERALTE!$AB$14),IF(RASANTE!F51&lt;=PERALTE!$S$14,-2,IF(RASANTE!F51&lt;=PERALTE!$U$14,(-6/(PERALTE!$U$14-PERALTE!$S$14)*(RASANTE!F51-PERALTE!$S$14)-2),IF(RASANTE!F51&lt;=PERALTE!$X$14,-8,IF(RASANTE!F51&lt;=PERALTE!$Z$14,(-6/(PERALTE!$X$14-PERALTE!$Z$14)*(RASANTE!F51-PERALTE!$Z$14)-2),IF(RASANTE!F51&lt;=PERALTE!$AB$14,-2))))),IF(AND(AH!$H$16="Izquierda",RASANTE!F51&lt;=PERALTE!$AB$14),IF(RASANTE!F51&lt;=PERALTE!$Q$14,-2,IF(RASANTE!F51&lt;=PERALTE!$U$14,(10/(PERALTE!$U$14-PERALTE!$Q$14)*(RASANTE!F51-PERALTE!$Q$14)-2),IF(RASANTE!F51&lt;=PERALTE!$X$14,8,IF(RASANTE!F51&lt;=PERALTE!$AB$14,(10/(PERALTE!$X$14-PERALTE!$AB$14)*(RASANTE!F51-PERALTE!$AB$14)-2))))),IF(AND(AH!$H$18="Derecha",RASANTE!F51&lt;=PERALTE!$AB$16),IF(RASANTE!F51&lt;=PERALTE!$S$16,-2,IF(RASANTE!F51&lt;=PERALTE!$U$16,(-6/(PERALTE!$U$16-PERALTE!$S$16)*(RASANTE!F51-PERALTE!$S$16)-2),IF(RASANTE!F51&lt;=PERALTE!$X$16,-8,IF(RASANTE!F51&lt;=PERALTE!$Z$16,(-6/(PERALTE!$X$16-PERALTE!$Z$16)*(RASANTE!F51-PERALTE!$Z$16)-2),IF(RASANTE!F51&lt;=PERALTE!$AB$16,-2))))),IF(AND(AH!$H$18="Izquierda",RASANTE!F51&lt;=PERALTE!$AB$16),IF(RASANTE!F51&lt;=PERALTE!$Q$16,-2,IF(RASANTE!F51&lt;=PERALTE!$U$16,(10/(PERALTE!$U$16-PERALTE!$Q$16)*(RASANTE!F51-PERALTE!$Q$16)-2),IF(RASANTE!F51&lt;=PERALTE!$X$16,8,IF(RASANTE!F51&lt;=PERALTE!$AB$16,(10/(PERALTE!$X$16-PERALTE!$AB$16)*(RASANTE!F51-PERALTE!$AB$16)-2))))),IF(AND(AH!$H$20="Derecha",RASANTE!F51&lt;=PERALTE!$AB$18),IF(RASANTE!F51&lt;=PERALTE!$S$18,-2,IF(RASANTE!F51&lt;=PERALTE!$U$18,(-6/(PERALTE!$U$18-PERALTE!$S$18)*(RASANTE!F51-PERALTE!$S$18)-2),IF(RASANTE!F51&lt;=PERALTE!$X$18,-8,IF(RASANTE!F51&lt;=PERALTE!$Z$18,(-6/(PERALTE!$X$18-PERALTE!$Z$18)*(RASANTE!F51-PERALTE!$Z$18)-2),IF(RASANTE!F51&lt;=PERALTE!$AB$18,-2))))),IF(AND(AH!$H$20="Izquierda",RASANTE!F51&lt;=PERALTE!$AB$18),IF(RASANTE!F51&lt;=PERALTE!$Q$18,-2,IF(RASANTE!F51&lt;=PERALTE!$U$18,(10/(PERALTE!$U$18-PERALTE!$Q$18)*(RASANTE!F51-PERALTE!$Q$18)-2),IF(RASANTE!F51&lt;=PERALTE!$X$18,8,IF(RASANTE!F51&lt;=PERALTE!$AB$18,(10/(PERALTE!$X$18-PERALTE!$AB$18)*(RASANTE!F51-PERALTE!$AB$18)-2))))),IF(AND(AH!$H$24="Derecha",RASANTE!F51&lt;=PERALTE!$AB$22),IF(RASANTE!F51&lt;=PERALTE!$S$22,-2,IF(RASANTE!F51&lt;=PERALTE!$U$22,(-6/(PERALTE!$U$22-PERALTE!$S$22)*(RASANTE!F51-PERALTE!$S$22)-2),IF(RASANTE!F51&lt;=PERALTE!$X$22,-8,IF(RASANTE!F51&lt;=PERALTE!$Z$22,(-6/(PERALTE!$X$22-PERALTE!$Z$22)*(RASANTE!F51-PERALTE!$Z$22)-2),IF(RASANTE!F51&lt;=PERALTE!$AB$22,-2))))),IF(AND(AH!$H$24="Izquierda",RASANTE!F51&lt;=PERALTE!$AB$22),IF(RASANTE!F51&lt;=PERALTE!$Q$22,-2,IF(RASANTE!F51&lt;=PERALTE!$U$22,(10/(PERALTE!$U$22-PERALTE!$Q$22)*(RASANTE!F51-PERALTE!$Q$22)-2),IF(RASANTE!F51&lt;=PERALTE!$X$22,8,IF(RASANTE!F51&lt;=PERALTE!$AB$22,(10/(PERALTE!$X$22-PERALTE!$AB$22)*(RASANTE!F51-PERALTE!$AB$22)-2))))),IF(AND(AH!#REF!="Derecha",RASANTE!F51&lt;=PERALTE!#REF!),IF(RASANTE!F51&lt;=PERALTE!#REF!,-2,IF(RASANTE!F51&lt;=PERALTE!#REF!,(-6/(PERALTE!#REF!-PERALTE!#REF!)*(RASANTE!F51-PERALTE!#REF!)-2),IF(RASANTE!F51&lt;=PERALTE!#REF!,-8,IF(RASANTE!F51&lt;=PERALTE!#REF!,(-6/(PERALTE!#REF!-PERALTE!#REF!)*(RASANTE!F51-PERALTE!#REF!)-2),IF(RASANTE!F51&lt;=PERALTE!#REF!,-2))))),IF(AND(AH!#REF!="Izquierda",RASANTE!F51&lt;=PERALTE!#REF!),IF(RASANTE!F51&lt;=PERALTE!#REF!,-2,IF(RASANTE!F51&lt;=PERALTE!#REF!,(10/(PERALTE!#REF!-PERALTE!#REF!)*(RASANTE!F51-PERALTE!#REF!)-2),IF(RASANTE!F51&lt;=PERALTE!#REF!,8,IF(RASANTE!F51&lt;=PERALTE!#REF!,(10/(PERALTE!#REF!-PERALTE!#REF!)*(RASANTE!F51-PERALTE!#REF!)-2))))),IF(AND(AH!#REF!="Derecha",RASANTE!F51&lt;=PERALTE!$AB$26),IF(RASANTE!F51&lt;=PERALTE!$S$26,-2,IF(RASANTE!F51&lt;=PERALTE!$U$26,(-6/(PERALTE!$U$26-PERALTE!$S$26)*(RASANTE!F51-PERALTE!$S$26)-2),IF(RASANTE!F51&lt;=PERALTE!$X$26,-8,IF(RASANTE!F51&lt;=PERALTE!$Z$26,(-6/(PERALTE!$X$26-PERALTE!$Z$26)*(RASANTE!F51-PERALTE!$Z$26)-2),IF(RASANTE!F51&lt;=PERALTE!$AB$26,-2))))),IF(AND(AH!#REF!="Izquierda",RASANTE!F51&lt;=PERALTE!$AB$26),IF(RASANTE!F51&lt;=PERALTE!$Q$26,-2,IF(RASANTE!F51&lt;=PERALTE!$U$26,(10/(PERALTE!$U$26-PERALTE!$Q$26)*(RASANTE!F51-PERALTE!$Q$26)-2),IF(RASANTE!F51&lt;=PERALTE!$X$26,8,IF(RASANTE!F51&lt;=PERALTE!$AB$26,(10/(PERALTE!$X$26-PERALTE!$AB$26)*(RASANTE!F51-PERALTE!$AB$26)-2))))),IF(F51&lt;=PERALTE!#REF!,-2,"Abscisa fuera de la vía")))))))))))))))))))))</f>
        <v>-2</v>
      </c>
      <c r="J51" s="28">
        <f t="shared" si="1"/>
        <v>1650.0022000000004</v>
      </c>
      <c r="K51" s="28">
        <f>+IF(AND(AV!$S$6&lt;F51,F51&lt;=AV!$T$6),AV!$P$6*((AV!$S$6-RASANTE!F51)/(AV!$N$6))^2,IF(AND(AV!$T$6&lt;RASANTE!F51,F51&lt;AV!$U$6),AV!$P$6*((AV!$U$6-RASANTE!F51)/(AV!$O$6))^2,IF(AND(AV!$S$8&lt;F51,F51&lt;=AV!$T$8),AV!$P$8*((AV!$S$8-RASANTE!F51)/(AV!$N$8))^2,IF(AND(AV!$T$8&lt;RASANTE!F51,F51&lt;AV!$U$8),AV!$P$8*((AV!$U$8-RASANTE!F51)/(AV!$O$8))^2,IF(AND(AV!$S$10&lt;F51,F51&lt;=AV!$T$10),AV!$P$10*((AV!$S$10-RASANTE!F51)/(AV!$N$10))^2,IF(AND(AV!$T$10&lt;RASANTE!F51,F51&lt;AV!$U$10),AV!$P$10*((AV!$U$10-RASANTE!F51)/(AV!$O$10))^2,IF(AND(AV!$S$12&lt;F51,F51&lt;=AV!$T$12),AV!$P$12*((AV!$S$12-RASANTE!F51)/(AV!$N$12))^2,IF(AND(AV!$T$12&lt;RASANTE!F51,F51&lt;AV!$U$12),AV!$P$12*((AV!$U$12-RASANTE!F51)/(AV!$O$12))^2,IF(AND(AV!$S$14&lt;F51,F51&lt;=AV!$T$14),AV!$P$14*((AV!$S$14-RASANTE!F51)/(AV!$N$14))^2,IF(AND(AV!$T$14&lt;RASANTE!F51,F51&lt;AV!$U$14),AV!$P$14*((AV!$U$14-RASANTE!F51)/(AV!$O$14))^2,IF(AND(AV!$S$16&lt;F51,F51&lt;=AV!$T$16),AV!$P$16*((AV!$S$16-RASANTE!F51)/(AV!$N$16))^2,IF(AND(AV!$T$16&lt;RASANTE!F51,F51&lt;AV!$U$16),AV!$P$16*((AV!$U$16-RASANTE!F51)/(AV!$O$16))^2,IF(AND(AV!$S$18&lt;F51,F51&lt;=AV!$T$18),AV!$P$18*((AV!$S$18-RASANTE!F51)/(AV!$N$18))^2,IF(AND(AV!$T$18&lt;RASANTE!F51,F51&lt;AV!$U$18),AV!$P$18*((AV!$U$18-RASANTE!F51)/(AV!$O$18))^2,IF(AND(AV!$S$20&lt;F51,F51&lt;=AV!$T$20),AV!$P$20*((AV!$S$20-RASANTE!F51)/(AV!$N$20))^2,IF(AND(AV!$T$20&lt;RASANTE!F51,F51&lt;AV!$U$20),AV!$P$20*((AV!$U$20-RASANTE!F51)/(AV!$O$20))^2,IF(AND(AV!$S$22&lt;F51,F51&lt;=AV!$T$22),AV!$P$22*((AV!$S$22-RASANTE!F51)/(AV!$N$22))^2,IF(AND(AV!$T$22&lt;RASANTE!F51,F51&lt;AV!$U$22),AV!$P$22*((AV!$U$22-RASANTE!F51)/(AV!$O$22))^2,IF(AND(AV!$S$24&lt;F51,F51&lt;=AV!$T$24),AV!$P$24*((AV!$S$24-RASANTE!F51)/(AV!$N$24))^2,IF(AND(AV!$T$24&lt;RASANTE!F51,F51&lt;AV!$U$24),AV!$P$24*((AV!$U$24-RASANTE!F51)/(AV!$O$24))^2,0))))))))))))))))))))</f>
        <v>-1.724695883978938E-2</v>
      </c>
      <c r="L51" s="28">
        <f>+M51+H51%*PERALTE!$C$32</f>
        <v>1649.9149530411607</v>
      </c>
      <c r="M51" s="28">
        <f t="shared" si="3"/>
        <v>1649.9849530411607</v>
      </c>
      <c r="N51" s="28">
        <f>+M51+I51%*PERALTE!$C$32</f>
        <v>1649.9149530411607</v>
      </c>
      <c r="O51" s="92"/>
      <c r="P51" s="84"/>
      <c r="Q51" s="84"/>
      <c r="R51" s="84"/>
      <c r="S51" s="84"/>
      <c r="T51" s="84"/>
      <c r="U51" s="84"/>
      <c r="V51" s="84"/>
      <c r="W51" s="84"/>
      <c r="X51" s="84"/>
      <c r="Y51" s="84"/>
    </row>
    <row r="52" spans="1:25" ht="15.75" customHeight="1" x14ac:dyDescent="0.2">
      <c r="A52" s="130" t="s">
        <v>197</v>
      </c>
      <c r="B52" s="86"/>
      <c r="C52" s="86"/>
      <c r="D52" s="86"/>
      <c r="F52" s="34">
        <f>AV!U6</f>
        <v>335.47899999999998</v>
      </c>
      <c r="G52" s="88">
        <f>IF(F52&lt;=AV!$T$6,AV!$C$5,IF(RASANTE!F52&lt;=AV!$T$8,AV!$C$7,IF(RASANTE!F52&lt;=AV!$T$10,AV!$C$9,IF(RASANTE!F52&lt;=AV!$T$12,AV!#REF!,IF(RASANTE!F52&lt;=AV!$T$14,AV!$C$11,IF(RASANTE!F52&lt;=AV!$T$16,AV!$C$13, IF(RASANTE!F52&lt;=AV!$T$18,AV!$C$15,IF(RASANTE!F52&lt;=AV!$T$20,AV!$C$19,IF(RASANTE!F52&lt;=AV!$T$22,AV!$C$21,IF(RASANTE!F52&lt;=AV!$T$24,AV!$C$23,AV!$C$25))))))))))</f>
        <v>-7.774</v>
      </c>
      <c r="H52" s="28">
        <f>+IF(AND(AH!$H$8="Izquierda",RASANTE!F52&lt;=PERALTE!$AB$6),IF(RASANTE!F52&lt;=PERALTE!$S$6,-2,IF(RASANTE!F52&lt;=PERALTE!$U$6,(-6/(PERALTE!$U$6-PERALTE!$S$6)*(RASANTE!F52-PERALTE!$S$6)-2),IF(RASANTE!F52&lt;=PERALTE!$X$6,-8,IF(RASANTE!F52&lt;=PERALTE!$Z$6,(-6/(PERALTE!$X$6-PERALTE!$Z$6)*(RASANTE!F52-PERALTE!$Z$6)-2),IF(RASANTE!F52&lt;=PERALTE!$AB$6,-2))))),IF(AND(AH!$H$8="Derecha",RASANTE!F52&lt;=PERALTE!$AB$6),IF(RASANTE!F52&lt;=PERALTE!$Q$6,-2,IF(RASANTE!F52&lt;=PERALTE!$U$6,(10/(PERALTE!$U$6-PERALTE!$Q$6)*(RASANTE!F52-PERALTE!$Q$6)-2),IF(RASANTE!F52&lt;=PERALTE!$X$6,8,IF(RASANTE!F52&lt;=PERALTE!$AB$6,(10/(PERALTE!$X$6-PERALTE!$AB$6)*(RASANTE!F52-PERALTE!$AB$6)-2))))),IF(AND(AH!$H$10="Izquierda",RASANTE!F52&lt;=PERALTE!$AB$8),IF(RASANTE!F52&lt;=PERALTE!$S$8,-2,IF(RASANTE!F52&lt;=PERALTE!$U$8,(-6/(PERALTE!$U$8-PERALTE!$S$8)*(RASANTE!F52-PERALTE!$S$8)-2),IF(RASANTE!F52&lt;=PERALTE!$X$8,-8,IF(RASANTE!F52&lt;=PERALTE!$Z$8,(-6/(PERALTE!$X$8-PERALTE!$Z$8)*(RASANTE!F52-PERALTE!$Z$8)-2),IF(RASANTE!F52&lt;=PERALTE!$AB$8,-2))))),IF(AND(AH!$H$10="Derecha",RASANTE!F52&lt;=PERALTE!$AB$8),IF(RASANTE!F52&lt;=PERALTE!$Q$8,-2,IF(RASANTE!F52&lt;=PERALTE!$U$8,(10/(PERALTE!$U$8-PERALTE!$Q$8)*(RASANTE!F52-PERALTE!$Q$8)-2),IF(RASANTE!F52&lt;=PERALTE!$X$8,8,IF(RASANTE!F52&lt;=PERALTE!$AB$8,(10/(PERALTE!$X$8-PERALTE!$AB$8)*(RASANTE!F52-PERALTE!$AB$8)-2))))),IF(AND(AH!$H$12="Izquierda",RASANTE!F52&lt;=PERALTE!$AB$10),IF(RASANTE!F52&lt;=PERALTE!$S$10,-2,IF(RASANTE!F52&lt;=PERALTE!$U$10,(-6/(PERALTE!$U$10-PERALTE!$S$10)*(RASANTE!F52-PERALTE!$S$10)-2),IF(RASANTE!F52&lt;=PERALTE!$X$10,-8,IF(RASANTE!F52&lt;=PERALTE!$Z$10,(-6/(PERALTE!$X$10-PERALTE!$Z$10)*(RASANTE!F52-PERALTE!$Z$10)-2),IF(RASANTE!F52&lt;=PERALTE!$AB$10,-2))))),IF(AND(AH!$H$12="Derecha",RASANTE!F52&lt;=PERALTE!$AB$10),IF(RASANTE!F52&lt;=PERALTE!$Q$10,-2,IF(RASANTE!F52&lt;=PERALTE!$U$10,(10/(PERALTE!$U$10-PERALTE!$Q$10)*(RASANTE!F52-PERALTE!$Q$10)-2),IF(RASANTE!F52&lt;=PERALTE!$X$10,8,IF(RASANTE!F52&lt;=PERALTE!$AB$10,(10/(PERALTE!$X$10-PERALTE!$AB$10)*(RASANTE!F52-PERALTE!$AB$10)-2))))),IF(AND(AH!$H$14="Izquierda",RASANTE!F52&lt;=PERALTE!$AB$12),IF(RASANTE!F52&lt;=PERALTE!$S$12,-2,IF(RASANTE!F52&lt;=PERALTE!$U$12,(-6/(PERALTE!$U$12-PERALTE!$S$12)*(RASANTE!F52-PERALTE!$S$12)-2),IF(RASANTE!F52&lt;=PERALTE!$X$12,-8,IF(RASANTE!F52&lt;=PERALTE!$Z$12,(-6/(PERALTE!$X$12-PERALTE!$Z$12)*(RASANTE!F52-PERALTE!$Z$12)-2),IF(RASANTE!F52&lt;=PERALTE!$AB$12,-2))))),IF(AND(AH!$H$14="Derecha",RASANTE!F52&lt;=PERALTE!$AB$12),IF(RASANTE!F52&lt;=PERALTE!$Q$12,-2,IF(RASANTE!F52&lt;=PERALTE!$U$12,(10/(PERALTE!$U$12-PERALTE!$Q$12)*(RASANTE!F52-PERALTE!$Q$12)-2),IF(RASANTE!F52&lt;=PERALTE!$X$12,8,IF(RASANTE!F52&lt;=PERALTE!$AB$12,(10/(PERALTE!$X$12-PERALTE!$AB$12)*(RASANTE!F52-PERALTE!$AB$12)-2))))),IF(AND(AH!$H$16="Izquierda",RASANTE!F52&lt;=PERALTE!$AB$14),IF(RASANTE!F52&lt;=PERALTE!$S$14,-2,IF(RASANTE!F52&lt;=PERALTE!$U$14,(-6/(PERALTE!$U$14-PERALTE!$S$14)*(RASANTE!F52-PERALTE!$S$14)-2),IF(RASANTE!F52&lt;=PERALTE!$X$14,-8,IF(RASANTE!F52&lt;=PERALTE!$Z$14,(-6/(PERALTE!$X$14-PERALTE!$Z$14)*(RASANTE!F52-PERALTE!$Z$14)-2),IF(RASANTE!F52&lt;=PERALTE!$AB$14,-2))))),IF(AND(AH!$H$16="Derecha",RASANTE!F52&lt;=PERALTE!$AB$14),IF(RASANTE!F52&lt;=PERALTE!$Q$14,-2,IF(RASANTE!F52&lt;=PERALTE!$U$14,(10/(PERALTE!$U$14-PERALTE!$Q$14)*(RASANTE!F52-PERALTE!$Q$14)-2),IF(RASANTE!F52&lt;=PERALTE!$X$14,8,IF(RASANTE!F52&lt;=PERALTE!$AB$14,(10/(PERALTE!$X$14-PERALTE!$AB$14)*(RASANTE!F52-PERALTE!$AB$14)-2))))),IF(AND(AH!$H$18="Izquierda",RASANTE!F52&lt;=PERALTE!$AB$16),IF(RASANTE!F52&lt;=PERALTE!$S$16,-2,IF(RASANTE!F52&lt;=PERALTE!$U$16,(-6/(PERALTE!$U$16-PERALTE!$S$16)*(RASANTE!F52-PERALTE!$S$16)-2),IF(RASANTE!F52&lt;=PERALTE!$X$16,-8,IF(RASANTE!F52&lt;=PERALTE!$Z$16,(-6/(PERALTE!$X$16-PERALTE!$Z$16)*(RASANTE!F52-PERALTE!$Z$16)-2),IF(RASANTE!F52&lt;=PERALTE!$AB$16,-2))))),IF(AND(AH!$H$18="Derecha",RASANTE!F52&lt;=PERALTE!$AB$16),IF(RASANTE!F52&lt;=PERALTE!$Q$16,-2,IF(RASANTE!F52&lt;=PERALTE!$U$16,(10/(PERALTE!$U$16-PERALTE!$Q$16)*(RASANTE!F52-PERALTE!$Q$16)-2),IF(RASANTE!F52&lt;=PERALTE!$X$16,8,IF(RASANTE!F52&lt;=PERALTE!$AB$16,(10/(PERALTE!$X$16-PERALTE!$AB$16)*(RASANTE!F52-PERALTE!$AB$16)-2))))),IF(AND(AH!$H$20="Izquierda",RASANTE!F52&lt;=PERALTE!$AB$18),IF(RASANTE!F52&lt;=PERALTE!$S$18,-2,IF(RASANTE!F52&lt;=PERALTE!$U$18,(-6/(PERALTE!$U$18-PERALTE!$S$18)*(RASANTE!F52-PERALTE!$S$18)-2),IF(RASANTE!F52&lt;=PERALTE!$X$18,-8,IF(RASANTE!F52&lt;=PERALTE!$Z$18,(-6/(PERALTE!$X$18-PERALTE!$Z$18)*(RASANTE!F52-PERALTE!$Z$18)-2),IF(RASANTE!F52&lt;=PERALTE!$AB$18,-2))))),IF(AND(AH!$H$20="Derecha",RASANTE!F52&lt;=PERALTE!$AB$18),IF(RASANTE!F52&lt;=PERALTE!$Q$18,-2,IF(RASANTE!F52&lt;=PERALTE!$U$18,(10/(PERALTE!$U$18-PERALTE!$Q$18)*(RASANTE!F52-PERALTE!$Q$18)-2),IF(RASANTE!F52&lt;=PERALTE!$X$18,8,IF(RASANTE!F52&lt;=PERALTE!$AB$18,(10/(PERALTE!$X$18-PERALTE!$AB$18)*(RASANTE!F52-PERALTE!$AB$18)-2))))),IF(AND(AH!$H$24="Izquierda",RASANTE!F52&lt;=PERALTE!$AB$22),IF(RASANTE!F52&lt;=PERALTE!$S$22,-2,IF(RASANTE!F52&lt;=PERALTE!$U$22,(-6/(PERALTE!$U$22-PERALTE!$S$22)*(RASANTE!F52-PERALTE!$S$22)-2),IF(RASANTE!F52&lt;=PERALTE!$X$22,-8,IF(RASANTE!F52&lt;=PERALTE!$Z$22,(-6/(PERALTE!$X$22-PERALTE!$Z$22)*(RASANTE!F52-PERALTE!$Z$22)-2),IF(RASANTE!F52&lt;=PERALTE!$AB$22,-2))))),IF(AND(AH!$H$24="Derecha",RASANTE!F52&lt;=PERALTE!$AB$22),IF(RASANTE!F52&lt;=PERALTE!$Q$22,-2,IF(RASANTE!F52&lt;=PERALTE!$U$22,(10/(PERALTE!$U$22-PERALTE!$Q$22)*(RASANTE!F52-PERALTE!$Q$22)-2),IF(RASANTE!F52&lt;=PERALTE!$X$22,8,IF(RASANTE!F52&lt;=PERALTE!$AB$22,(10/(PERALTE!$X$22-PERALTE!$AB$22)*(RASANTE!F52-PERALTE!$AB$22)-2))))),IF(AND(AH!#REF!="Izquierda",RASANTE!F52&lt;=PERALTE!#REF!),IF(RASANTE!F52&lt;=PERALTE!#REF!,-2,IF(RASANTE!F52&lt;=PERALTE!#REF!,(-6/(PERALTE!#REF!-PERALTE!#REF!)*(RASANTE!F52-PERALTE!#REF!)-2),IF(RASANTE!F52&lt;=PERALTE!#REF!,-8,IF(RASANTE!F52&lt;=PERALTE!#REF!,(-6/(PERALTE!#REF!-PERALTE!#REF!)*(RASANTE!F52-PERALTE!#REF!)-2),IF(RASANTE!F52&lt;=PERALTE!#REF!,-2))))),IF(AND(AH!#REF!="Derecha",RASANTE!F52&lt;=PERALTE!#REF!),IF(RASANTE!F52&lt;=PERALTE!#REF!,-2,IF(RASANTE!F52&lt;=PERALTE!#REF!,(10/(PERALTE!#REF!-PERALTE!#REF!)*(RASANTE!F52-PERALTE!#REF!)-2),IF(RASANTE!F52&lt;=PERALTE!#REF!,8,IF(RASANTE!F52&lt;=PERALTE!#REF!,(10/(PERALTE!#REF!-PERALTE!#REF!)*(RASANTE!F52-PERALTE!#REF!)-2))))),IF(AND(AH!#REF!="Izquierda",RASANTE!F52&lt;=PERALTE!$AB$26),IF(RASANTE!F52&lt;=PERALTE!$S$26,-2,IF(RASANTE!F52&lt;=PERALTE!$U$26,(-6/(PERALTE!$U$26-PERALTE!$S$26)*(RASANTE!F52-PERALTE!$S$26)-2),IF(RASANTE!F52&lt;=PERALTE!$X$26,-8,IF(RASANTE!F52&lt;=PERALTE!$Z$26,(-6/(PERALTE!$X$26-PERALTE!$Z$26)*(RASANTE!F52-PERALTE!$Z$26)-2),IF(RASANTE!F52&lt;=PERALTE!$AB$26,-2))))),IF(AND(AH!#REF!="Derecha",RASANTE!F52&lt;=PERALTE!$AB$26),IF(RASANTE!F52&lt;=PERALTE!$Q$26,-2,IF(RASANTE!F52&lt;=PERALTE!$U$26,(10/(PERALTE!$U$26-PERALTE!$Q$26)*(RASANTE!F52-PERALTE!$Q$26)-2),IF(RASANTE!F52&lt;=PERALTE!$X$26,8,IF(RASANTE!F52&lt;=PERALTE!$AB$26,(10/(PERALTE!$X$26-PERALTE!$AB$26)*(RASANTE!F52-PERALTE!$AB$26)-2))))),IF(F52&lt;=PERALTE!#REF!,-2,"Abscisa fuera de la vía")))))))))))))))))))))</f>
        <v>-2</v>
      </c>
      <c r="I52" s="28">
        <f>+IF(AND(AH!$H$8="Derecha",RASANTE!F52&lt;=PERALTE!$AB$6),IF(RASANTE!F52&lt;=PERALTE!$S$6,-2,IF(RASANTE!F52&lt;=PERALTE!$U$6,(-6/(PERALTE!$U$6-PERALTE!$S$6)*(RASANTE!F52-PERALTE!$S$6)-2),IF(RASANTE!F52&lt;=PERALTE!$X$6,-8,IF(RASANTE!F52&lt;=PERALTE!$Z$6,(-6/(PERALTE!$X$6-PERALTE!$Z$6)*(RASANTE!F52-PERALTE!$Z$6)-2),IF(RASANTE!F52&lt;=PERALTE!$AB$6,-2))))),IF(AND(AH!$H$8="Izquierda",RASANTE!F52&lt;=PERALTE!$AB$6),IF(RASANTE!F52&lt;=PERALTE!$Q$6,-2,IF(RASANTE!F52&lt;=PERALTE!$U$6,(10/(PERALTE!$U$6-PERALTE!$Q$6)*(RASANTE!F52-PERALTE!$Q$6)-2),IF(RASANTE!F52&lt;=PERALTE!$X$6,8,IF(RASANTE!F52&lt;=PERALTE!$AB$6,(10/(PERALTE!$X$6-PERALTE!$AB$6)*(RASANTE!F52-PERALTE!$AB$6)-2))))),IF(AND(AH!$H$10="Derecha",RASANTE!F52&lt;=PERALTE!$AB$8),IF(RASANTE!F52&lt;=PERALTE!$S$8,-2,IF(RASANTE!F52&lt;=PERALTE!$U$8,(-6/(PERALTE!$U$8-PERALTE!$S$8)*(RASANTE!F52-PERALTE!$S$8)-2),IF(RASANTE!F52&lt;=PERALTE!$X$8,-8,IF(RASANTE!F52&lt;=PERALTE!$Z$8,(-6/(PERALTE!$X$8-PERALTE!$Z$8)*(RASANTE!F52-PERALTE!$Z$8)-2),IF(RASANTE!F52&lt;=PERALTE!$AB$8,-2))))),IF(AND(AH!$H$10="Izquierda",RASANTE!F52&lt;=PERALTE!$AB$8),IF(RASANTE!F52&lt;=PERALTE!$Q$8,-2,IF(RASANTE!F52&lt;=PERALTE!$U$8,(10/(PERALTE!$U$8-PERALTE!$Q$8)*(RASANTE!F52-PERALTE!$Q$8)-2),IF(RASANTE!F52&lt;=PERALTE!$X$8,8,IF(RASANTE!F52&lt;=PERALTE!$AB$8,(10/(PERALTE!$X$8-PERALTE!$AB$8)*(RASANTE!F52-PERALTE!$AB$8)-2))))),IF(AND(AH!$H$12="Derecha",RASANTE!F52&lt;=PERALTE!$AB$10),IF(RASANTE!F52&lt;=PERALTE!$S$10,-2,IF(RASANTE!F52&lt;=PERALTE!$U$10,(-6/(PERALTE!$U$10-PERALTE!$S$10)*(RASANTE!F52-PERALTE!$S$10)-2),IF(RASANTE!F52&lt;=PERALTE!$X$10,-8,IF(RASANTE!F52&lt;=PERALTE!$Z$10,(-6/(PERALTE!$X$10-PERALTE!$Z$10)*(RASANTE!F52-PERALTE!$Z$10)-2),IF(RASANTE!F52&lt;=PERALTE!$AB$10,-2))))),IF(AND(AH!$H$12="Izquierda",RASANTE!F52&lt;=PERALTE!$AB$10),IF(RASANTE!F52&lt;=PERALTE!$Q$10,-2,IF(RASANTE!F52&lt;=PERALTE!$U$10,(10/(PERALTE!$U$10-PERALTE!$Q$10)*(RASANTE!F52-PERALTE!$Q$10)-2),IF(RASANTE!F52&lt;=PERALTE!$X$10,8,IF(RASANTE!F52&lt;=PERALTE!$AB$10,(10/(PERALTE!$X$10-PERALTE!$AB$10)*(RASANTE!F52-PERALTE!$AB$10)-2))))),IF(AND(AH!$H$14="Derecha",RASANTE!F52&lt;=PERALTE!$AB$12),IF(RASANTE!F52&lt;=PERALTE!$S$12,-2,IF(RASANTE!F52&lt;=PERALTE!$U$12,(-6/(PERALTE!$U$12-PERALTE!$S$12)*(RASANTE!F52-PERALTE!$S$12)-2),IF(RASANTE!F52&lt;=PERALTE!$X$12,-8,IF(RASANTE!F52&lt;=PERALTE!$Z$12,(-6/(PERALTE!$X$12-PERALTE!$Z$12)*(RASANTE!F52-PERALTE!$Z$12)-2),IF(RASANTE!F52&lt;=PERALTE!$AB$12,-2))))),IF(AND(AH!$H$14="Izquierda",RASANTE!F52&lt;=PERALTE!$AB$12),IF(RASANTE!F52&lt;=PERALTE!$Q$12,-2,IF(RASANTE!F52&lt;=PERALTE!$U$12,(10/(PERALTE!$U$12-PERALTE!$Q$12)*(RASANTE!F52-PERALTE!$Q$12)-2),IF(RASANTE!F52&lt;=PERALTE!$X$12,8,IF(RASANTE!F52&lt;=PERALTE!$AB$12,(10/(PERALTE!$X$12-PERALTE!$AB$12)*(RASANTE!F52-PERALTE!$AB$12)-2))))),IF(AND(AH!$H$16="Derecha",RASANTE!F52&lt;=PERALTE!$AB$14),IF(RASANTE!F52&lt;=PERALTE!$S$14,-2,IF(RASANTE!F52&lt;=PERALTE!$U$14,(-6/(PERALTE!$U$14-PERALTE!$S$14)*(RASANTE!F52-PERALTE!$S$14)-2),IF(RASANTE!F52&lt;=PERALTE!$X$14,-8,IF(RASANTE!F52&lt;=PERALTE!$Z$14,(-6/(PERALTE!$X$14-PERALTE!$Z$14)*(RASANTE!F52-PERALTE!$Z$14)-2),IF(RASANTE!F52&lt;=PERALTE!$AB$14,-2))))),IF(AND(AH!$H$16="Izquierda",RASANTE!F52&lt;=PERALTE!$AB$14),IF(RASANTE!F52&lt;=PERALTE!$Q$14,-2,IF(RASANTE!F52&lt;=PERALTE!$U$14,(10/(PERALTE!$U$14-PERALTE!$Q$14)*(RASANTE!F52-PERALTE!$Q$14)-2),IF(RASANTE!F52&lt;=PERALTE!$X$14,8,IF(RASANTE!F52&lt;=PERALTE!$AB$14,(10/(PERALTE!$X$14-PERALTE!$AB$14)*(RASANTE!F52-PERALTE!$AB$14)-2))))),IF(AND(AH!$H$18="Derecha",RASANTE!F52&lt;=PERALTE!$AB$16),IF(RASANTE!F52&lt;=PERALTE!$S$16,-2,IF(RASANTE!F52&lt;=PERALTE!$U$16,(-6/(PERALTE!$U$16-PERALTE!$S$16)*(RASANTE!F52-PERALTE!$S$16)-2),IF(RASANTE!F52&lt;=PERALTE!$X$16,-8,IF(RASANTE!F52&lt;=PERALTE!$Z$16,(-6/(PERALTE!$X$16-PERALTE!$Z$16)*(RASANTE!F52-PERALTE!$Z$16)-2),IF(RASANTE!F52&lt;=PERALTE!$AB$16,-2))))),IF(AND(AH!$H$18="Izquierda",RASANTE!F52&lt;=PERALTE!$AB$16),IF(RASANTE!F52&lt;=PERALTE!$Q$16,-2,IF(RASANTE!F52&lt;=PERALTE!$U$16,(10/(PERALTE!$U$16-PERALTE!$Q$16)*(RASANTE!F52-PERALTE!$Q$16)-2),IF(RASANTE!F52&lt;=PERALTE!$X$16,8,IF(RASANTE!F52&lt;=PERALTE!$AB$16,(10/(PERALTE!$X$16-PERALTE!$AB$16)*(RASANTE!F52-PERALTE!$AB$16)-2))))),IF(AND(AH!$H$20="Derecha",RASANTE!F52&lt;=PERALTE!$AB$18),IF(RASANTE!F52&lt;=PERALTE!$S$18,-2,IF(RASANTE!F52&lt;=PERALTE!$U$18,(-6/(PERALTE!$U$18-PERALTE!$S$18)*(RASANTE!F52-PERALTE!$S$18)-2),IF(RASANTE!F52&lt;=PERALTE!$X$18,-8,IF(RASANTE!F52&lt;=PERALTE!$Z$18,(-6/(PERALTE!$X$18-PERALTE!$Z$18)*(RASANTE!F52-PERALTE!$Z$18)-2),IF(RASANTE!F52&lt;=PERALTE!$AB$18,-2))))),IF(AND(AH!$H$20="Izquierda",RASANTE!F52&lt;=PERALTE!$AB$18),IF(RASANTE!F52&lt;=PERALTE!$Q$18,-2,IF(RASANTE!F52&lt;=PERALTE!$U$18,(10/(PERALTE!$U$18-PERALTE!$Q$18)*(RASANTE!F52-PERALTE!$Q$18)-2),IF(RASANTE!F52&lt;=PERALTE!$X$18,8,IF(RASANTE!F52&lt;=PERALTE!$AB$18,(10/(PERALTE!$X$18-PERALTE!$AB$18)*(RASANTE!F52-PERALTE!$AB$18)-2))))),IF(AND(AH!$H$24="Derecha",RASANTE!F52&lt;=PERALTE!$AB$22),IF(RASANTE!F52&lt;=PERALTE!$S$22,-2,IF(RASANTE!F52&lt;=PERALTE!$U$22,(-6/(PERALTE!$U$22-PERALTE!$S$22)*(RASANTE!F52-PERALTE!$S$22)-2),IF(RASANTE!F52&lt;=PERALTE!$X$22,-8,IF(RASANTE!F52&lt;=PERALTE!$Z$22,(-6/(PERALTE!$X$22-PERALTE!$Z$22)*(RASANTE!F52-PERALTE!$Z$22)-2),IF(RASANTE!F52&lt;=PERALTE!$AB$22,-2))))),IF(AND(AH!$H$24="Izquierda",RASANTE!F52&lt;=PERALTE!$AB$22),IF(RASANTE!F52&lt;=PERALTE!$Q$22,-2,IF(RASANTE!F52&lt;=PERALTE!$U$22,(10/(PERALTE!$U$22-PERALTE!$Q$22)*(RASANTE!F52-PERALTE!$Q$22)-2),IF(RASANTE!F52&lt;=PERALTE!$X$22,8,IF(RASANTE!F52&lt;=PERALTE!$AB$22,(10/(PERALTE!$X$22-PERALTE!$AB$22)*(RASANTE!F52-PERALTE!$AB$22)-2))))),IF(AND(AH!#REF!="Derecha",RASANTE!F52&lt;=PERALTE!#REF!),IF(RASANTE!F52&lt;=PERALTE!#REF!,-2,IF(RASANTE!F52&lt;=PERALTE!#REF!,(-6/(PERALTE!#REF!-PERALTE!#REF!)*(RASANTE!F52-PERALTE!#REF!)-2),IF(RASANTE!F52&lt;=PERALTE!#REF!,-8,IF(RASANTE!F52&lt;=PERALTE!#REF!,(-6/(PERALTE!#REF!-PERALTE!#REF!)*(RASANTE!F52-PERALTE!#REF!)-2),IF(RASANTE!F52&lt;=PERALTE!#REF!,-2))))),IF(AND(AH!#REF!="Izquierda",RASANTE!F52&lt;=PERALTE!#REF!),IF(RASANTE!F52&lt;=PERALTE!#REF!,-2,IF(RASANTE!F52&lt;=PERALTE!#REF!,(10/(PERALTE!#REF!-PERALTE!#REF!)*(RASANTE!F52-PERALTE!#REF!)-2),IF(RASANTE!F52&lt;=PERALTE!#REF!,8,IF(RASANTE!F52&lt;=PERALTE!#REF!,(10/(PERALTE!#REF!-PERALTE!#REF!)*(RASANTE!F52-PERALTE!#REF!)-2))))),IF(AND(AH!#REF!="Derecha",RASANTE!F52&lt;=PERALTE!$AB$26),IF(RASANTE!F52&lt;=PERALTE!$S$26,-2,IF(RASANTE!F52&lt;=PERALTE!$U$26,(-6/(PERALTE!$U$26-PERALTE!$S$26)*(RASANTE!F52-PERALTE!$S$26)-2),IF(RASANTE!F52&lt;=PERALTE!$X$26,-8,IF(RASANTE!F52&lt;=PERALTE!$Z$26,(-6/(PERALTE!$X$26-PERALTE!$Z$26)*(RASANTE!F52-PERALTE!$Z$26)-2),IF(RASANTE!F52&lt;=PERALTE!$AB$26,-2))))),IF(AND(AH!#REF!="Izquierda",RASANTE!F52&lt;=PERALTE!$AB$26),IF(RASANTE!F52&lt;=PERALTE!$Q$26,-2,IF(RASANTE!F52&lt;=PERALTE!$U$26,(10/(PERALTE!$U$26-PERALTE!$Q$26)*(RASANTE!F52-PERALTE!$Q$26)-2),IF(RASANTE!F52&lt;=PERALTE!$X$26,8,IF(RASANTE!F52&lt;=PERALTE!$AB$26,(10/(PERALTE!$X$26-PERALTE!$AB$26)*(RASANTE!F52-PERALTE!$AB$26)-2))))),IF(F52&lt;=PERALTE!#REF!,-2,"Abscisa fuera de la vía")))))))))))))))))))))</f>
        <v>-2</v>
      </c>
      <c r="J52" s="28">
        <f t="shared" si="1"/>
        <v>1649.5762625400005</v>
      </c>
      <c r="K52" s="28">
        <f>+IF(AND(AV!$S$6&lt;F180,F180&lt;=AV!$T$6),AV!$P$6*((AV!$S$6-RASANTE!F180)/(AV!$N$6))^2,IF(AND(AV!$T$6&lt;RASANTE!F180,F180&lt;AV!$U$6),AV!$P$6*((AV!$U$6-RASANTE!F180)/(AV!$O$6))^2,IF(AND(AV!$S$8&lt;F180,F180&lt;=AV!$T$8),AV!$P$8*((AV!$S$8-RASANTE!F180)/(AV!$N$8))^2,IF(AND(AV!$T$8&lt;RASANTE!F180,F180&lt;AV!$U$8),AV!$P$8*((AV!$U$8-RASANTE!F180)/(AV!$O$8))^2,IF(AND(AV!$S$10&lt;F180,F180&lt;=AV!$T$10),AV!$P$10*((AV!$S$10-RASANTE!F180)/(AV!$N$10))^2,IF(AND(AV!$T$10&lt;RASANTE!F180,F180&lt;AV!$U$10),AV!$P$10*((AV!$U$10-RASANTE!F180)/(AV!$O$10))^2,IF(AND(AV!$S$12&lt;F180,F180&lt;=AV!$T$12),AV!$P$12*((AV!$S$12-RASANTE!F180)/(AV!$N$12))^2,IF(AND(AV!$T$12&lt;RASANTE!F180,F180&lt;AV!$U$12),AV!$P$12*((AV!$U$12-RASANTE!F180)/(AV!$O$12))^2,IF(AND(AV!$S$14&lt;F180,F180&lt;=AV!$T$14),AV!$P$14*((AV!$S$14-RASANTE!F180)/(AV!$N$14))^2,IF(AND(AV!$T$14&lt;RASANTE!F180,F180&lt;AV!$U$14),AV!$P$14*((AV!$U$14-RASANTE!F180)/(AV!$O$14))^2,IF(AND(AV!$S$16&lt;F180,F180&lt;=AV!$T$16),AV!$P$16*((AV!$S$16-RASANTE!F180)/(AV!$N$16))^2,IF(AND(AV!$T$16&lt;RASANTE!F180,F180&lt;AV!$U$16),AV!$P$16*((AV!$U$16-RASANTE!F180)/(AV!$O$16))^2,IF(AND(AV!$S$18&lt;F180,F180&lt;=AV!$T$18),AV!$P$18*((AV!$S$18-RASANTE!F180)/(AV!$N$18))^2,IF(AND(AV!$T$18&lt;RASANTE!F180,F180&lt;AV!$U$18),AV!$P$18*((AV!$U$18-RASANTE!F180)/(AV!$O$18))^2,IF(AND(AV!$S$20&lt;F180,F180&lt;=AV!$T$20),AV!$P$20*((AV!$S$20-RASANTE!F180)/(AV!$N$20))^2,IF(AND(AV!$T$20&lt;RASANTE!F180,F180&lt;AV!$U$20),AV!$P$20*((AV!$U$20-RASANTE!F180)/(AV!$O$20))^2,IF(AND(AV!$S$22&lt;F180,F180&lt;=AV!$T$22),AV!$P$22*((AV!$S$22-RASANTE!F180)/(AV!$N$22))^2,IF(AND(AV!$T$22&lt;RASANTE!F180,F180&lt;AV!$U$22),AV!$P$22*((AV!$U$22-RASANTE!F180)/(AV!$O$22))^2,IF(AND(AV!$S$24&lt;F180,F180&lt;=AV!$T$24),AV!$P$24*((AV!$S$24-RASANTE!F180)/(AV!$N$24))^2,IF(AND(AV!$T$24&lt;RASANTE!F180,F180&lt;AV!$U$24),AV!$P$24*((AV!$U$24-RASANTE!F180)/(AV!$O$24))^2,0))))))))))))))))))))</f>
        <v>0</v>
      </c>
      <c r="L52" s="28">
        <f>+M52+H52%*PERALTE!$C$32</f>
        <v>1649.5062625400005</v>
      </c>
      <c r="M52" s="28">
        <f t="shared" si="3"/>
        <v>1649.5762625400005</v>
      </c>
      <c r="N52" s="28">
        <f>+M52+I52%*PERALTE!$C$32</f>
        <v>1649.5062625400005</v>
      </c>
      <c r="O52" s="92"/>
      <c r="P52" s="84"/>
      <c r="Q52" s="84"/>
      <c r="R52" s="84"/>
      <c r="S52" s="84"/>
      <c r="T52" s="84"/>
      <c r="U52" s="84"/>
      <c r="V52" s="84"/>
      <c r="W52" s="84"/>
      <c r="X52" s="84"/>
      <c r="Y52" s="84"/>
    </row>
    <row r="53" spans="1:25" ht="15.75" customHeight="1" x14ac:dyDescent="0.2">
      <c r="A53" s="90"/>
      <c r="B53" s="86"/>
      <c r="C53" s="86"/>
      <c r="D53" s="86"/>
      <c r="E53" s="91"/>
      <c r="F53" s="34">
        <v>340</v>
      </c>
      <c r="G53" s="88">
        <f>IF(F53&lt;=AV!$T$6,AV!$C$5,IF(RASANTE!F53&lt;=AV!$T$8,AV!$C$7,IF(RASANTE!F53&lt;=AV!$T$10,AV!$C$9,IF(RASANTE!F53&lt;=AV!$T$12,AV!#REF!,IF(RASANTE!F53&lt;=AV!$T$14,AV!$C$11,IF(RASANTE!F53&lt;=AV!$T$16,AV!$C$13, IF(RASANTE!F53&lt;=AV!$T$18,AV!$C$15,IF(RASANTE!F53&lt;=AV!$T$20,AV!$C$19,IF(RASANTE!F53&lt;=AV!$T$22,AV!$C$21,IF(RASANTE!F53&lt;=AV!$T$24,AV!$C$23,AV!$C$25))))))))))</f>
        <v>-7.774</v>
      </c>
      <c r="H53" s="28">
        <f>+IF(AND(AH!$H$8="Izquierda",RASANTE!F53&lt;=PERALTE!$AB$6),IF(RASANTE!F53&lt;=PERALTE!$S$6,-2,IF(RASANTE!F53&lt;=PERALTE!$U$6,(-6/(PERALTE!$U$6-PERALTE!$S$6)*(RASANTE!F53-PERALTE!$S$6)-2),IF(RASANTE!F53&lt;=PERALTE!$X$6,-8,IF(RASANTE!F53&lt;=PERALTE!$Z$6,(-6/(PERALTE!$X$6-PERALTE!$Z$6)*(RASANTE!F53-PERALTE!$Z$6)-2),IF(RASANTE!F53&lt;=PERALTE!$AB$6,-2))))),IF(AND(AH!$H$8="Derecha",RASANTE!F53&lt;=PERALTE!$AB$6),IF(RASANTE!F53&lt;=PERALTE!$Q$6,-2,IF(RASANTE!F53&lt;=PERALTE!$U$6,(10/(PERALTE!$U$6-PERALTE!$Q$6)*(RASANTE!F53-PERALTE!$Q$6)-2),IF(RASANTE!F53&lt;=PERALTE!$X$6,8,IF(RASANTE!F53&lt;=PERALTE!$AB$6,(10/(PERALTE!$X$6-PERALTE!$AB$6)*(RASANTE!F53-PERALTE!$AB$6)-2))))),IF(AND(AH!$H$10="Izquierda",RASANTE!F53&lt;=PERALTE!$AB$8),IF(RASANTE!F53&lt;=PERALTE!$S$8,-2,IF(RASANTE!F53&lt;=PERALTE!$U$8,(-6/(PERALTE!$U$8-PERALTE!$S$8)*(RASANTE!F53-PERALTE!$S$8)-2),IF(RASANTE!F53&lt;=PERALTE!$X$8,-8,IF(RASANTE!F53&lt;=PERALTE!$Z$8,(-6/(PERALTE!$X$8-PERALTE!$Z$8)*(RASANTE!F53-PERALTE!$Z$8)-2),IF(RASANTE!F53&lt;=PERALTE!$AB$8,-2))))),IF(AND(AH!$H$10="Derecha",RASANTE!F53&lt;=PERALTE!$AB$8),IF(RASANTE!F53&lt;=PERALTE!$Q$8,-2,IF(RASANTE!F53&lt;=PERALTE!$U$8,(10/(PERALTE!$U$8-PERALTE!$Q$8)*(RASANTE!F53-PERALTE!$Q$8)-2),IF(RASANTE!F53&lt;=PERALTE!$X$8,8,IF(RASANTE!F53&lt;=PERALTE!$AB$8,(10/(PERALTE!$X$8-PERALTE!$AB$8)*(RASANTE!F53-PERALTE!$AB$8)-2))))),IF(AND(AH!$H$12="Izquierda",RASANTE!F53&lt;=PERALTE!$AB$10),IF(RASANTE!F53&lt;=PERALTE!$S$10,-2,IF(RASANTE!F53&lt;=PERALTE!$U$10,(-6/(PERALTE!$U$10-PERALTE!$S$10)*(RASANTE!F53-PERALTE!$S$10)-2),IF(RASANTE!F53&lt;=PERALTE!$X$10,-8,IF(RASANTE!F53&lt;=PERALTE!$Z$10,(-6/(PERALTE!$X$10-PERALTE!$Z$10)*(RASANTE!F53-PERALTE!$Z$10)-2),IF(RASANTE!F53&lt;=PERALTE!$AB$10,-2))))),IF(AND(AH!$H$12="Derecha",RASANTE!F53&lt;=PERALTE!$AB$10),IF(RASANTE!F53&lt;=PERALTE!$Q$10,-2,IF(RASANTE!F53&lt;=PERALTE!$U$10,(10/(PERALTE!$U$10-PERALTE!$Q$10)*(RASANTE!F53-PERALTE!$Q$10)-2),IF(RASANTE!F53&lt;=PERALTE!$X$10,8,IF(RASANTE!F53&lt;=PERALTE!$AB$10,(10/(PERALTE!$X$10-PERALTE!$AB$10)*(RASANTE!F53-PERALTE!$AB$10)-2))))),IF(AND(AH!$H$14="Izquierda",RASANTE!F53&lt;=PERALTE!$AB$12),IF(RASANTE!F53&lt;=PERALTE!$S$12,-2,IF(RASANTE!F53&lt;=PERALTE!$U$12,(-6/(PERALTE!$U$12-PERALTE!$S$12)*(RASANTE!F53-PERALTE!$S$12)-2),IF(RASANTE!F53&lt;=PERALTE!$X$12,-8,IF(RASANTE!F53&lt;=PERALTE!$Z$12,(-6/(PERALTE!$X$12-PERALTE!$Z$12)*(RASANTE!F53-PERALTE!$Z$12)-2),IF(RASANTE!F53&lt;=PERALTE!$AB$12,-2))))),IF(AND(AH!$H$14="Derecha",RASANTE!F53&lt;=PERALTE!$AB$12),IF(RASANTE!F53&lt;=PERALTE!$Q$12,-2,IF(RASANTE!F53&lt;=PERALTE!$U$12,(10/(PERALTE!$U$12-PERALTE!$Q$12)*(RASANTE!F53-PERALTE!$Q$12)-2),IF(RASANTE!F53&lt;=PERALTE!$X$12,8,IF(RASANTE!F53&lt;=PERALTE!$AB$12,(10/(PERALTE!$X$12-PERALTE!$AB$12)*(RASANTE!F53-PERALTE!$AB$12)-2))))),IF(AND(AH!$H$16="Izquierda",RASANTE!F53&lt;=PERALTE!$AB$14),IF(RASANTE!F53&lt;=PERALTE!$S$14,-2,IF(RASANTE!F53&lt;=PERALTE!$U$14,(-6/(PERALTE!$U$14-PERALTE!$S$14)*(RASANTE!F53-PERALTE!$S$14)-2),IF(RASANTE!F53&lt;=PERALTE!$X$14,-8,IF(RASANTE!F53&lt;=PERALTE!$Z$14,(-6/(PERALTE!$X$14-PERALTE!$Z$14)*(RASANTE!F53-PERALTE!$Z$14)-2),IF(RASANTE!F53&lt;=PERALTE!$AB$14,-2))))),IF(AND(AH!$H$16="Derecha",RASANTE!F53&lt;=PERALTE!$AB$14),IF(RASANTE!F53&lt;=PERALTE!$Q$14,-2,IF(RASANTE!F53&lt;=PERALTE!$U$14,(10/(PERALTE!$U$14-PERALTE!$Q$14)*(RASANTE!F53-PERALTE!$Q$14)-2),IF(RASANTE!F53&lt;=PERALTE!$X$14,8,IF(RASANTE!F53&lt;=PERALTE!$AB$14,(10/(PERALTE!$X$14-PERALTE!$AB$14)*(RASANTE!F53-PERALTE!$AB$14)-2))))),IF(AND(AH!$H$18="Izquierda",RASANTE!F53&lt;=PERALTE!$AB$16),IF(RASANTE!F53&lt;=PERALTE!$S$16,-2,IF(RASANTE!F53&lt;=PERALTE!$U$16,(-6/(PERALTE!$U$16-PERALTE!$S$16)*(RASANTE!F53-PERALTE!$S$16)-2),IF(RASANTE!F53&lt;=PERALTE!$X$16,-8,IF(RASANTE!F53&lt;=PERALTE!$Z$16,(-6/(PERALTE!$X$16-PERALTE!$Z$16)*(RASANTE!F53-PERALTE!$Z$16)-2),IF(RASANTE!F53&lt;=PERALTE!$AB$16,-2))))),IF(AND(AH!$H$18="Derecha",RASANTE!F53&lt;=PERALTE!$AB$16),IF(RASANTE!F53&lt;=PERALTE!$Q$16,-2,IF(RASANTE!F53&lt;=PERALTE!$U$16,(10/(PERALTE!$U$16-PERALTE!$Q$16)*(RASANTE!F53-PERALTE!$Q$16)-2),IF(RASANTE!F53&lt;=PERALTE!$X$16,8,IF(RASANTE!F53&lt;=PERALTE!$AB$16,(10/(PERALTE!$X$16-PERALTE!$AB$16)*(RASANTE!F53-PERALTE!$AB$16)-2))))),IF(AND(AH!$H$20="Izquierda",RASANTE!F53&lt;=PERALTE!$AB$18),IF(RASANTE!F53&lt;=PERALTE!$S$18,-2,IF(RASANTE!F53&lt;=PERALTE!$U$18,(-6/(PERALTE!$U$18-PERALTE!$S$18)*(RASANTE!F53-PERALTE!$S$18)-2),IF(RASANTE!F53&lt;=PERALTE!$X$18,-8,IF(RASANTE!F53&lt;=PERALTE!$Z$18,(-6/(PERALTE!$X$18-PERALTE!$Z$18)*(RASANTE!F53-PERALTE!$Z$18)-2),IF(RASANTE!F53&lt;=PERALTE!$AB$18,-2))))),IF(AND(AH!$H$20="Derecha",RASANTE!F53&lt;=PERALTE!$AB$18),IF(RASANTE!F53&lt;=PERALTE!$Q$18,-2,IF(RASANTE!F53&lt;=PERALTE!$U$18,(10/(PERALTE!$U$18-PERALTE!$Q$18)*(RASANTE!F53-PERALTE!$Q$18)-2),IF(RASANTE!F53&lt;=PERALTE!$X$18,8,IF(RASANTE!F53&lt;=PERALTE!$AB$18,(10/(PERALTE!$X$18-PERALTE!$AB$18)*(RASANTE!F53-PERALTE!$AB$18)-2))))),IF(AND(AH!$H$24="Izquierda",RASANTE!F53&lt;=PERALTE!$AB$22),IF(RASANTE!F53&lt;=PERALTE!$S$22,-2,IF(RASANTE!F53&lt;=PERALTE!$U$22,(-6/(PERALTE!$U$22-PERALTE!$S$22)*(RASANTE!F53-PERALTE!$S$22)-2),IF(RASANTE!F53&lt;=PERALTE!$X$22,-8,IF(RASANTE!F53&lt;=PERALTE!$Z$22,(-6/(PERALTE!$X$22-PERALTE!$Z$22)*(RASANTE!F53-PERALTE!$Z$22)-2),IF(RASANTE!F53&lt;=PERALTE!$AB$22,-2))))),IF(AND(AH!$H$24="Derecha",RASANTE!F53&lt;=PERALTE!$AB$22),IF(RASANTE!F53&lt;=PERALTE!$Q$22,-2,IF(RASANTE!F53&lt;=PERALTE!$U$22,(10/(PERALTE!$U$22-PERALTE!$Q$22)*(RASANTE!F53-PERALTE!$Q$22)-2),IF(RASANTE!F53&lt;=PERALTE!$X$22,8,IF(RASANTE!F53&lt;=PERALTE!$AB$22,(10/(PERALTE!$X$22-PERALTE!$AB$22)*(RASANTE!F53-PERALTE!$AB$22)-2))))),IF(AND(AH!#REF!="Izquierda",RASANTE!F53&lt;=PERALTE!#REF!),IF(RASANTE!F53&lt;=PERALTE!#REF!,-2,IF(RASANTE!F53&lt;=PERALTE!#REF!,(-6/(PERALTE!#REF!-PERALTE!#REF!)*(RASANTE!F53-PERALTE!#REF!)-2),IF(RASANTE!F53&lt;=PERALTE!#REF!,-8,IF(RASANTE!F53&lt;=PERALTE!#REF!,(-6/(PERALTE!#REF!-PERALTE!#REF!)*(RASANTE!F53-PERALTE!#REF!)-2),IF(RASANTE!F53&lt;=PERALTE!#REF!,-2))))),IF(AND(AH!#REF!="Derecha",RASANTE!F53&lt;=PERALTE!#REF!),IF(RASANTE!F53&lt;=PERALTE!#REF!,-2,IF(RASANTE!F53&lt;=PERALTE!#REF!,(10/(PERALTE!#REF!-PERALTE!#REF!)*(RASANTE!F53-PERALTE!#REF!)-2),IF(RASANTE!F53&lt;=PERALTE!#REF!,8,IF(RASANTE!F53&lt;=PERALTE!#REF!,(10/(PERALTE!#REF!-PERALTE!#REF!)*(RASANTE!F53-PERALTE!#REF!)-2))))),IF(AND(AH!#REF!="Izquierda",RASANTE!F53&lt;=PERALTE!$AB$26),IF(RASANTE!F53&lt;=PERALTE!$S$26,-2,IF(RASANTE!F53&lt;=PERALTE!$U$26,(-6/(PERALTE!$U$26-PERALTE!$S$26)*(RASANTE!F53-PERALTE!$S$26)-2),IF(RASANTE!F53&lt;=PERALTE!$X$26,-8,IF(RASANTE!F53&lt;=PERALTE!$Z$26,(-6/(PERALTE!$X$26-PERALTE!$Z$26)*(RASANTE!F53-PERALTE!$Z$26)-2),IF(RASANTE!F53&lt;=PERALTE!$AB$26,-2))))),IF(AND(AH!#REF!="Derecha",RASANTE!F53&lt;=PERALTE!$AB$26),IF(RASANTE!F53&lt;=PERALTE!$Q$26,-2,IF(RASANTE!F53&lt;=PERALTE!$U$26,(10/(PERALTE!$U$26-PERALTE!$Q$26)*(RASANTE!F53-PERALTE!$Q$26)-2),IF(RASANTE!F53&lt;=PERALTE!$X$26,8,IF(RASANTE!F53&lt;=PERALTE!$AB$26,(10/(PERALTE!$X$26-PERALTE!$AB$26)*(RASANTE!F53-PERALTE!$AB$26)-2))))),IF(F53&lt;=PERALTE!#REF!,-2,"Abscisa fuera de la vía")))))))))))))))))))))</f>
        <v>-2</v>
      </c>
      <c r="I53" s="28">
        <f>+IF(AND(AH!$H$8="Derecha",RASANTE!F53&lt;=PERALTE!$AB$6),IF(RASANTE!F53&lt;=PERALTE!$S$6,-2,IF(RASANTE!F53&lt;=PERALTE!$U$6,(-6/(PERALTE!$U$6-PERALTE!$S$6)*(RASANTE!F53-PERALTE!$S$6)-2),IF(RASANTE!F53&lt;=PERALTE!$X$6,-8,IF(RASANTE!F53&lt;=PERALTE!$Z$6,(-6/(PERALTE!$X$6-PERALTE!$Z$6)*(RASANTE!F53-PERALTE!$Z$6)-2),IF(RASANTE!F53&lt;=PERALTE!$AB$6,-2))))),IF(AND(AH!$H$8="Izquierda",RASANTE!F53&lt;=PERALTE!$AB$6),IF(RASANTE!F53&lt;=PERALTE!$Q$6,-2,IF(RASANTE!F53&lt;=PERALTE!$U$6,(10/(PERALTE!$U$6-PERALTE!$Q$6)*(RASANTE!F53-PERALTE!$Q$6)-2),IF(RASANTE!F53&lt;=PERALTE!$X$6,8,IF(RASANTE!F53&lt;=PERALTE!$AB$6,(10/(PERALTE!$X$6-PERALTE!$AB$6)*(RASANTE!F53-PERALTE!$AB$6)-2))))),IF(AND(AH!$H$10="Derecha",RASANTE!F53&lt;=PERALTE!$AB$8),IF(RASANTE!F53&lt;=PERALTE!$S$8,-2,IF(RASANTE!F53&lt;=PERALTE!$U$8,(-6/(PERALTE!$U$8-PERALTE!$S$8)*(RASANTE!F53-PERALTE!$S$8)-2),IF(RASANTE!F53&lt;=PERALTE!$X$8,-8,IF(RASANTE!F53&lt;=PERALTE!$Z$8,(-6/(PERALTE!$X$8-PERALTE!$Z$8)*(RASANTE!F53-PERALTE!$Z$8)-2),IF(RASANTE!F53&lt;=PERALTE!$AB$8,-2))))),IF(AND(AH!$H$10="Izquierda",RASANTE!F53&lt;=PERALTE!$AB$8),IF(RASANTE!F53&lt;=PERALTE!$Q$8,-2,IF(RASANTE!F53&lt;=PERALTE!$U$8,(10/(PERALTE!$U$8-PERALTE!$Q$8)*(RASANTE!F53-PERALTE!$Q$8)-2),IF(RASANTE!F53&lt;=PERALTE!$X$8,8,IF(RASANTE!F53&lt;=PERALTE!$AB$8,(10/(PERALTE!$X$8-PERALTE!$AB$8)*(RASANTE!F53-PERALTE!$AB$8)-2))))),IF(AND(AH!$H$12="Derecha",RASANTE!F53&lt;=PERALTE!$AB$10),IF(RASANTE!F53&lt;=PERALTE!$S$10,-2,IF(RASANTE!F53&lt;=PERALTE!$U$10,(-6/(PERALTE!$U$10-PERALTE!$S$10)*(RASANTE!F53-PERALTE!$S$10)-2),IF(RASANTE!F53&lt;=PERALTE!$X$10,-8,IF(RASANTE!F53&lt;=PERALTE!$Z$10,(-6/(PERALTE!$X$10-PERALTE!$Z$10)*(RASANTE!F53-PERALTE!$Z$10)-2),IF(RASANTE!F53&lt;=PERALTE!$AB$10,-2))))),IF(AND(AH!$H$12="Izquierda",RASANTE!F53&lt;=PERALTE!$AB$10),IF(RASANTE!F53&lt;=PERALTE!$Q$10,-2,IF(RASANTE!F53&lt;=PERALTE!$U$10,(10/(PERALTE!$U$10-PERALTE!$Q$10)*(RASANTE!F53-PERALTE!$Q$10)-2),IF(RASANTE!F53&lt;=PERALTE!$X$10,8,IF(RASANTE!F53&lt;=PERALTE!$AB$10,(10/(PERALTE!$X$10-PERALTE!$AB$10)*(RASANTE!F53-PERALTE!$AB$10)-2))))),IF(AND(AH!$H$14="Derecha",RASANTE!F53&lt;=PERALTE!$AB$12),IF(RASANTE!F53&lt;=PERALTE!$S$12,-2,IF(RASANTE!F53&lt;=PERALTE!$U$12,(-6/(PERALTE!$U$12-PERALTE!$S$12)*(RASANTE!F53-PERALTE!$S$12)-2),IF(RASANTE!F53&lt;=PERALTE!$X$12,-8,IF(RASANTE!F53&lt;=PERALTE!$Z$12,(-6/(PERALTE!$X$12-PERALTE!$Z$12)*(RASANTE!F53-PERALTE!$Z$12)-2),IF(RASANTE!F53&lt;=PERALTE!$AB$12,-2))))),IF(AND(AH!$H$14="Izquierda",RASANTE!F53&lt;=PERALTE!$AB$12),IF(RASANTE!F53&lt;=PERALTE!$Q$12,-2,IF(RASANTE!F53&lt;=PERALTE!$U$12,(10/(PERALTE!$U$12-PERALTE!$Q$12)*(RASANTE!F53-PERALTE!$Q$12)-2),IF(RASANTE!F53&lt;=PERALTE!$X$12,8,IF(RASANTE!F53&lt;=PERALTE!$AB$12,(10/(PERALTE!$X$12-PERALTE!$AB$12)*(RASANTE!F53-PERALTE!$AB$12)-2))))),IF(AND(AH!$H$16="Derecha",RASANTE!F53&lt;=PERALTE!$AB$14),IF(RASANTE!F53&lt;=PERALTE!$S$14,-2,IF(RASANTE!F53&lt;=PERALTE!$U$14,(-6/(PERALTE!$U$14-PERALTE!$S$14)*(RASANTE!F53-PERALTE!$S$14)-2),IF(RASANTE!F53&lt;=PERALTE!$X$14,-8,IF(RASANTE!F53&lt;=PERALTE!$Z$14,(-6/(PERALTE!$X$14-PERALTE!$Z$14)*(RASANTE!F53-PERALTE!$Z$14)-2),IF(RASANTE!F53&lt;=PERALTE!$AB$14,-2))))),IF(AND(AH!$H$16="Izquierda",RASANTE!F53&lt;=PERALTE!$AB$14),IF(RASANTE!F53&lt;=PERALTE!$Q$14,-2,IF(RASANTE!F53&lt;=PERALTE!$U$14,(10/(PERALTE!$U$14-PERALTE!$Q$14)*(RASANTE!F53-PERALTE!$Q$14)-2),IF(RASANTE!F53&lt;=PERALTE!$X$14,8,IF(RASANTE!F53&lt;=PERALTE!$AB$14,(10/(PERALTE!$X$14-PERALTE!$AB$14)*(RASANTE!F53-PERALTE!$AB$14)-2))))),IF(AND(AH!$H$18="Derecha",RASANTE!F53&lt;=PERALTE!$AB$16),IF(RASANTE!F53&lt;=PERALTE!$S$16,-2,IF(RASANTE!F53&lt;=PERALTE!$U$16,(-6/(PERALTE!$U$16-PERALTE!$S$16)*(RASANTE!F53-PERALTE!$S$16)-2),IF(RASANTE!F53&lt;=PERALTE!$X$16,-8,IF(RASANTE!F53&lt;=PERALTE!$Z$16,(-6/(PERALTE!$X$16-PERALTE!$Z$16)*(RASANTE!F53-PERALTE!$Z$16)-2),IF(RASANTE!F53&lt;=PERALTE!$AB$16,-2))))),IF(AND(AH!$H$18="Izquierda",RASANTE!F53&lt;=PERALTE!$AB$16),IF(RASANTE!F53&lt;=PERALTE!$Q$16,-2,IF(RASANTE!F53&lt;=PERALTE!$U$16,(10/(PERALTE!$U$16-PERALTE!$Q$16)*(RASANTE!F53-PERALTE!$Q$16)-2),IF(RASANTE!F53&lt;=PERALTE!$X$16,8,IF(RASANTE!F53&lt;=PERALTE!$AB$16,(10/(PERALTE!$X$16-PERALTE!$AB$16)*(RASANTE!F53-PERALTE!$AB$16)-2))))),IF(AND(AH!$H$20="Derecha",RASANTE!F53&lt;=PERALTE!$AB$18),IF(RASANTE!F53&lt;=PERALTE!$S$18,-2,IF(RASANTE!F53&lt;=PERALTE!$U$18,(-6/(PERALTE!$U$18-PERALTE!$S$18)*(RASANTE!F53-PERALTE!$S$18)-2),IF(RASANTE!F53&lt;=PERALTE!$X$18,-8,IF(RASANTE!F53&lt;=PERALTE!$Z$18,(-6/(PERALTE!$X$18-PERALTE!$Z$18)*(RASANTE!F53-PERALTE!$Z$18)-2),IF(RASANTE!F53&lt;=PERALTE!$AB$18,-2))))),IF(AND(AH!$H$20="Izquierda",RASANTE!F53&lt;=PERALTE!$AB$18),IF(RASANTE!F53&lt;=PERALTE!$Q$18,-2,IF(RASANTE!F53&lt;=PERALTE!$U$18,(10/(PERALTE!$U$18-PERALTE!$Q$18)*(RASANTE!F53-PERALTE!$Q$18)-2),IF(RASANTE!F53&lt;=PERALTE!$X$18,8,IF(RASANTE!F53&lt;=PERALTE!$AB$18,(10/(PERALTE!$X$18-PERALTE!$AB$18)*(RASANTE!F53-PERALTE!$AB$18)-2))))),IF(AND(AH!$H$24="Derecha",RASANTE!F53&lt;=PERALTE!$AB$22),IF(RASANTE!F53&lt;=PERALTE!$S$22,-2,IF(RASANTE!F53&lt;=PERALTE!$U$22,(-6/(PERALTE!$U$22-PERALTE!$S$22)*(RASANTE!F53-PERALTE!$S$22)-2),IF(RASANTE!F53&lt;=PERALTE!$X$22,-8,IF(RASANTE!F53&lt;=PERALTE!$Z$22,(-6/(PERALTE!$X$22-PERALTE!$Z$22)*(RASANTE!F53-PERALTE!$Z$22)-2),IF(RASANTE!F53&lt;=PERALTE!$AB$22,-2))))),IF(AND(AH!$H$24="Izquierda",RASANTE!F53&lt;=PERALTE!$AB$22),IF(RASANTE!F53&lt;=PERALTE!$Q$22,-2,IF(RASANTE!F53&lt;=PERALTE!$U$22,(10/(PERALTE!$U$22-PERALTE!$Q$22)*(RASANTE!F53-PERALTE!$Q$22)-2),IF(RASANTE!F53&lt;=PERALTE!$X$22,8,IF(RASANTE!F53&lt;=PERALTE!$AB$22,(10/(PERALTE!$X$22-PERALTE!$AB$22)*(RASANTE!F53-PERALTE!$AB$22)-2))))),IF(AND(AH!#REF!="Derecha",RASANTE!F53&lt;=PERALTE!#REF!),IF(RASANTE!F53&lt;=PERALTE!#REF!,-2,IF(RASANTE!F53&lt;=PERALTE!#REF!,(-6/(PERALTE!#REF!-PERALTE!#REF!)*(RASANTE!F53-PERALTE!#REF!)-2),IF(RASANTE!F53&lt;=PERALTE!#REF!,-8,IF(RASANTE!F53&lt;=PERALTE!#REF!,(-6/(PERALTE!#REF!-PERALTE!#REF!)*(RASANTE!F53-PERALTE!#REF!)-2),IF(RASANTE!F53&lt;=PERALTE!#REF!,-2))))),IF(AND(AH!#REF!="Izquierda",RASANTE!F53&lt;=PERALTE!#REF!),IF(RASANTE!F53&lt;=PERALTE!#REF!,-2,IF(RASANTE!F53&lt;=PERALTE!#REF!,(10/(PERALTE!#REF!-PERALTE!#REF!)*(RASANTE!F53-PERALTE!#REF!)-2),IF(RASANTE!F53&lt;=PERALTE!#REF!,8,IF(RASANTE!F53&lt;=PERALTE!#REF!,(10/(PERALTE!#REF!-PERALTE!#REF!)*(RASANTE!F53-PERALTE!#REF!)-2))))),IF(AND(AH!#REF!="Derecha",RASANTE!F53&lt;=PERALTE!$AB$26),IF(RASANTE!F53&lt;=PERALTE!$S$26,-2,IF(RASANTE!F53&lt;=PERALTE!$U$26,(-6/(PERALTE!$U$26-PERALTE!$S$26)*(RASANTE!F53-PERALTE!$S$26)-2),IF(RASANTE!F53&lt;=PERALTE!$X$26,-8,IF(RASANTE!F53&lt;=PERALTE!$Z$26,(-6/(PERALTE!$X$26-PERALTE!$Z$26)*(RASANTE!F53-PERALTE!$Z$26)-2),IF(RASANTE!F53&lt;=PERALTE!$AB$26,-2))))),IF(AND(AH!#REF!="Izquierda",RASANTE!F53&lt;=PERALTE!$AB$26),IF(RASANTE!F53&lt;=PERALTE!$Q$26,-2,IF(RASANTE!F53&lt;=PERALTE!$U$26,(10/(PERALTE!$U$26-PERALTE!$Q$26)*(RASANTE!F53-PERALTE!$Q$26)-2),IF(RASANTE!F53&lt;=PERALTE!$X$26,8,IF(RASANTE!F53&lt;=PERALTE!$AB$26,(10/(PERALTE!$X$26-PERALTE!$AB$26)*(RASANTE!F53-PERALTE!$AB$26)-2))))),IF(F53&lt;=PERALTE!#REF!,-2,"Abscisa fuera de la vía")))))))))))))))))))))</f>
        <v>-2</v>
      </c>
      <c r="J53" s="28">
        <f t="shared" si="1"/>
        <v>1649.2248000000004</v>
      </c>
      <c r="K53" s="28">
        <f>+IF(AND(AV!$S$6&lt;F181,F181&lt;=AV!$T$6),AV!$P$6*((AV!$S$6-RASANTE!F181)/(AV!$N$6))^2,IF(AND(AV!$T$6&lt;RASANTE!F181,F181&lt;AV!$U$6),AV!$P$6*((AV!$U$6-RASANTE!F181)/(AV!$O$6))^2,IF(AND(AV!$S$8&lt;F181,F181&lt;=AV!$T$8),AV!$P$8*((AV!$S$8-RASANTE!F181)/(AV!$N$8))^2,IF(AND(AV!$T$8&lt;RASANTE!F181,F181&lt;AV!$U$8),AV!$P$8*((AV!$U$8-RASANTE!F181)/(AV!$O$8))^2,IF(AND(AV!$S$10&lt;F181,F181&lt;=AV!$T$10),AV!$P$10*((AV!$S$10-RASANTE!F181)/(AV!$N$10))^2,IF(AND(AV!$T$10&lt;RASANTE!F181,F181&lt;AV!$U$10),AV!$P$10*((AV!$U$10-RASANTE!F181)/(AV!$O$10))^2,IF(AND(AV!$S$12&lt;F181,F181&lt;=AV!$T$12),AV!$P$12*((AV!$S$12-RASANTE!F181)/(AV!$N$12))^2,IF(AND(AV!$T$12&lt;RASANTE!F181,F181&lt;AV!$U$12),AV!$P$12*((AV!$U$12-RASANTE!F181)/(AV!$O$12))^2,IF(AND(AV!$S$14&lt;F181,F181&lt;=AV!$T$14),AV!$P$14*((AV!$S$14-RASANTE!F181)/(AV!$N$14))^2,IF(AND(AV!$T$14&lt;RASANTE!F181,F181&lt;AV!$U$14),AV!$P$14*((AV!$U$14-RASANTE!F181)/(AV!$O$14))^2,IF(AND(AV!$S$16&lt;F181,F181&lt;=AV!$T$16),AV!$P$16*((AV!$S$16-RASANTE!F181)/(AV!$N$16))^2,IF(AND(AV!$T$16&lt;RASANTE!F181,F181&lt;AV!$U$16),AV!$P$16*((AV!$U$16-RASANTE!F181)/(AV!$O$16))^2,IF(AND(AV!$S$18&lt;F181,F181&lt;=AV!$T$18),AV!$P$18*((AV!$S$18-RASANTE!F181)/(AV!$N$18))^2,IF(AND(AV!$T$18&lt;RASANTE!F181,F181&lt;AV!$U$18),AV!$P$18*((AV!$U$18-RASANTE!F181)/(AV!$O$18))^2,IF(AND(AV!$S$20&lt;F181,F181&lt;=AV!$T$20),AV!$P$20*((AV!$S$20-RASANTE!F181)/(AV!$N$20))^2,IF(AND(AV!$T$20&lt;RASANTE!F181,F181&lt;AV!$U$20),AV!$P$20*((AV!$U$20-RASANTE!F181)/(AV!$O$20))^2,IF(AND(AV!$S$22&lt;F181,F181&lt;=AV!$T$22),AV!$P$22*((AV!$S$22-RASANTE!F181)/(AV!$N$22))^2,IF(AND(AV!$T$22&lt;RASANTE!F181,F181&lt;AV!$U$22),AV!$P$22*((AV!$U$22-RASANTE!F181)/(AV!$O$22))^2,IF(AND(AV!$S$24&lt;F181,F181&lt;=AV!$T$24),AV!$P$24*((AV!$S$24-RASANTE!F181)/(AV!$N$24))^2,IF(AND(AV!$T$24&lt;RASANTE!F181,F181&lt;AV!$U$24),AV!$P$24*((AV!$U$24-RASANTE!F181)/(AV!$O$24))^2,0))))))))))))))))))))</f>
        <v>0</v>
      </c>
      <c r="L53" s="28">
        <f>+M53+H53%*PERALTE!$C$32</f>
        <v>1649.1548000000005</v>
      </c>
      <c r="M53" s="28">
        <f t="shared" si="3"/>
        <v>1649.2248000000004</v>
      </c>
      <c r="N53" s="28">
        <f>+M53+I53%*PERALTE!$C$32</f>
        <v>1649.1548000000005</v>
      </c>
      <c r="O53" s="92"/>
      <c r="P53" s="84"/>
      <c r="Q53" s="84"/>
      <c r="R53" s="84"/>
      <c r="S53" s="84"/>
      <c r="T53" s="84"/>
      <c r="U53" s="84"/>
      <c r="V53" s="84"/>
      <c r="W53" s="84"/>
      <c r="X53" s="84"/>
      <c r="Y53" s="84"/>
    </row>
    <row r="54" spans="1:25" ht="15.75" customHeight="1" x14ac:dyDescent="0.2">
      <c r="A54" s="90"/>
      <c r="B54" s="86"/>
      <c r="C54" s="86"/>
      <c r="D54" s="86"/>
      <c r="E54" s="91"/>
      <c r="F54" s="34">
        <v>350</v>
      </c>
      <c r="G54" s="88">
        <f>IF(F54&lt;=AV!$T$6,AV!$C$5,IF(RASANTE!F54&lt;=AV!$T$8,AV!$C$7,IF(RASANTE!F54&lt;=AV!$T$10,AV!$C$9,IF(RASANTE!F54&lt;=AV!$T$12,AV!#REF!,IF(RASANTE!F54&lt;=AV!$T$14,AV!$C$11,IF(RASANTE!F54&lt;=AV!$T$16,AV!$C$13, IF(RASANTE!F54&lt;=AV!$T$18,AV!$C$15,IF(RASANTE!F54&lt;=AV!$T$20,AV!$C$19,IF(RASANTE!F54&lt;=AV!$T$22,AV!$C$21,IF(RASANTE!F54&lt;=AV!$T$24,AV!$C$23,AV!$C$25))))))))))</f>
        <v>-7.774</v>
      </c>
      <c r="H54" s="28">
        <f>+IF(AND(AH!$H$8="Izquierda",RASANTE!F54&lt;=PERALTE!$AB$6),IF(RASANTE!F54&lt;=PERALTE!$S$6,-2,IF(RASANTE!F54&lt;=PERALTE!$U$6,(-6/(PERALTE!$U$6-PERALTE!$S$6)*(RASANTE!F54-PERALTE!$S$6)-2),IF(RASANTE!F54&lt;=PERALTE!$X$6,-8,IF(RASANTE!F54&lt;=PERALTE!$Z$6,(-6/(PERALTE!$X$6-PERALTE!$Z$6)*(RASANTE!F54-PERALTE!$Z$6)-2),IF(RASANTE!F54&lt;=PERALTE!$AB$6,-2))))),IF(AND(AH!$H$8="Derecha",RASANTE!F54&lt;=PERALTE!$AB$6),IF(RASANTE!F54&lt;=PERALTE!$Q$6,-2,IF(RASANTE!F54&lt;=PERALTE!$U$6,(10/(PERALTE!$U$6-PERALTE!$Q$6)*(RASANTE!F54-PERALTE!$Q$6)-2),IF(RASANTE!F54&lt;=PERALTE!$X$6,8,IF(RASANTE!F54&lt;=PERALTE!$AB$6,(10/(PERALTE!$X$6-PERALTE!$AB$6)*(RASANTE!F54-PERALTE!$AB$6)-2))))),IF(AND(AH!$H$10="Izquierda",RASANTE!F54&lt;=PERALTE!$AB$8),IF(RASANTE!F54&lt;=PERALTE!$S$8,-2,IF(RASANTE!F54&lt;=PERALTE!$U$8,(-6/(PERALTE!$U$8-PERALTE!$S$8)*(RASANTE!F54-PERALTE!$S$8)-2),IF(RASANTE!F54&lt;=PERALTE!$X$8,-8,IF(RASANTE!F54&lt;=PERALTE!$Z$8,(-6/(PERALTE!$X$8-PERALTE!$Z$8)*(RASANTE!F54-PERALTE!$Z$8)-2),IF(RASANTE!F54&lt;=PERALTE!$AB$8,-2))))),IF(AND(AH!$H$10="Derecha",RASANTE!F54&lt;=PERALTE!$AB$8),IF(RASANTE!F54&lt;=PERALTE!$Q$8,-2,IF(RASANTE!F54&lt;=PERALTE!$U$8,(10/(PERALTE!$U$8-PERALTE!$Q$8)*(RASANTE!F54-PERALTE!$Q$8)-2),IF(RASANTE!F54&lt;=PERALTE!$X$8,8,IF(RASANTE!F54&lt;=PERALTE!$AB$8,(10/(PERALTE!$X$8-PERALTE!$AB$8)*(RASANTE!F54-PERALTE!$AB$8)-2))))),IF(AND(AH!$H$12="Izquierda",RASANTE!F54&lt;=PERALTE!$AB$10),IF(RASANTE!F54&lt;=PERALTE!$S$10,-2,IF(RASANTE!F54&lt;=PERALTE!$U$10,(-6/(PERALTE!$U$10-PERALTE!$S$10)*(RASANTE!F54-PERALTE!$S$10)-2),IF(RASANTE!F54&lt;=PERALTE!$X$10,-8,IF(RASANTE!F54&lt;=PERALTE!$Z$10,(-6/(PERALTE!$X$10-PERALTE!$Z$10)*(RASANTE!F54-PERALTE!$Z$10)-2),IF(RASANTE!F54&lt;=PERALTE!$AB$10,-2))))),IF(AND(AH!$H$12="Derecha",RASANTE!F54&lt;=PERALTE!$AB$10),IF(RASANTE!F54&lt;=PERALTE!$Q$10,-2,IF(RASANTE!F54&lt;=PERALTE!$U$10,(10/(PERALTE!$U$10-PERALTE!$Q$10)*(RASANTE!F54-PERALTE!$Q$10)-2),IF(RASANTE!F54&lt;=PERALTE!$X$10,8,IF(RASANTE!F54&lt;=PERALTE!$AB$10,(10/(PERALTE!$X$10-PERALTE!$AB$10)*(RASANTE!F54-PERALTE!$AB$10)-2))))),IF(AND(AH!$H$14="Izquierda",RASANTE!F54&lt;=PERALTE!$AB$12),IF(RASANTE!F54&lt;=PERALTE!$S$12,-2,IF(RASANTE!F54&lt;=PERALTE!$U$12,(-6/(PERALTE!$U$12-PERALTE!$S$12)*(RASANTE!F54-PERALTE!$S$12)-2),IF(RASANTE!F54&lt;=PERALTE!$X$12,-8,IF(RASANTE!F54&lt;=PERALTE!$Z$12,(-6/(PERALTE!$X$12-PERALTE!$Z$12)*(RASANTE!F54-PERALTE!$Z$12)-2),IF(RASANTE!F54&lt;=PERALTE!$AB$12,-2))))),IF(AND(AH!$H$14="Derecha",RASANTE!F54&lt;=PERALTE!$AB$12),IF(RASANTE!F54&lt;=PERALTE!$Q$12,-2,IF(RASANTE!F54&lt;=PERALTE!$U$12,(10/(PERALTE!$U$12-PERALTE!$Q$12)*(RASANTE!F54-PERALTE!$Q$12)-2),IF(RASANTE!F54&lt;=PERALTE!$X$12,8,IF(RASANTE!F54&lt;=PERALTE!$AB$12,(10/(PERALTE!$X$12-PERALTE!$AB$12)*(RASANTE!F54-PERALTE!$AB$12)-2))))),IF(AND(AH!$H$16="Izquierda",RASANTE!F54&lt;=PERALTE!$AB$14),IF(RASANTE!F54&lt;=PERALTE!$S$14,-2,IF(RASANTE!F54&lt;=PERALTE!$U$14,(-6/(PERALTE!$U$14-PERALTE!$S$14)*(RASANTE!F54-PERALTE!$S$14)-2),IF(RASANTE!F54&lt;=PERALTE!$X$14,-8,IF(RASANTE!F54&lt;=PERALTE!$Z$14,(-6/(PERALTE!$X$14-PERALTE!$Z$14)*(RASANTE!F54-PERALTE!$Z$14)-2),IF(RASANTE!F54&lt;=PERALTE!$AB$14,-2))))),IF(AND(AH!$H$16="Derecha",RASANTE!F54&lt;=PERALTE!$AB$14),IF(RASANTE!F54&lt;=PERALTE!$Q$14,-2,IF(RASANTE!F54&lt;=PERALTE!$U$14,(10/(PERALTE!$U$14-PERALTE!$Q$14)*(RASANTE!F54-PERALTE!$Q$14)-2),IF(RASANTE!F54&lt;=PERALTE!$X$14,8,IF(RASANTE!F54&lt;=PERALTE!$AB$14,(10/(PERALTE!$X$14-PERALTE!$AB$14)*(RASANTE!F54-PERALTE!$AB$14)-2))))),IF(AND(AH!$H$18="Izquierda",RASANTE!F54&lt;=PERALTE!$AB$16),IF(RASANTE!F54&lt;=PERALTE!$S$16,-2,IF(RASANTE!F54&lt;=PERALTE!$U$16,(-6/(PERALTE!$U$16-PERALTE!$S$16)*(RASANTE!F54-PERALTE!$S$16)-2),IF(RASANTE!F54&lt;=PERALTE!$X$16,-8,IF(RASANTE!F54&lt;=PERALTE!$Z$16,(-6/(PERALTE!$X$16-PERALTE!$Z$16)*(RASANTE!F54-PERALTE!$Z$16)-2),IF(RASANTE!F54&lt;=PERALTE!$AB$16,-2))))),IF(AND(AH!$H$18="Derecha",RASANTE!F54&lt;=PERALTE!$AB$16),IF(RASANTE!F54&lt;=PERALTE!$Q$16,-2,IF(RASANTE!F54&lt;=PERALTE!$U$16,(10/(PERALTE!$U$16-PERALTE!$Q$16)*(RASANTE!F54-PERALTE!$Q$16)-2),IF(RASANTE!F54&lt;=PERALTE!$X$16,8,IF(RASANTE!F54&lt;=PERALTE!$AB$16,(10/(PERALTE!$X$16-PERALTE!$AB$16)*(RASANTE!F54-PERALTE!$AB$16)-2))))),IF(AND(AH!$H$20="Izquierda",RASANTE!F54&lt;=PERALTE!$AB$18),IF(RASANTE!F54&lt;=PERALTE!$S$18,-2,IF(RASANTE!F54&lt;=PERALTE!$U$18,(-6/(PERALTE!$U$18-PERALTE!$S$18)*(RASANTE!F54-PERALTE!$S$18)-2),IF(RASANTE!F54&lt;=PERALTE!$X$18,-8,IF(RASANTE!F54&lt;=PERALTE!$Z$18,(-6/(PERALTE!$X$18-PERALTE!$Z$18)*(RASANTE!F54-PERALTE!$Z$18)-2),IF(RASANTE!F54&lt;=PERALTE!$AB$18,-2))))),IF(AND(AH!$H$20="Derecha",RASANTE!F54&lt;=PERALTE!$AB$18),IF(RASANTE!F54&lt;=PERALTE!$Q$18,-2,IF(RASANTE!F54&lt;=PERALTE!$U$18,(10/(PERALTE!$U$18-PERALTE!$Q$18)*(RASANTE!F54-PERALTE!$Q$18)-2),IF(RASANTE!F54&lt;=PERALTE!$X$18,8,IF(RASANTE!F54&lt;=PERALTE!$AB$18,(10/(PERALTE!$X$18-PERALTE!$AB$18)*(RASANTE!F54-PERALTE!$AB$18)-2))))),IF(AND(AH!$H$24="Izquierda",RASANTE!F54&lt;=PERALTE!$AB$22),IF(RASANTE!F54&lt;=PERALTE!$S$22,-2,IF(RASANTE!F54&lt;=PERALTE!$U$22,(-6/(PERALTE!$U$22-PERALTE!$S$22)*(RASANTE!F54-PERALTE!$S$22)-2),IF(RASANTE!F54&lt;=PERALTE!$X$22,-8,IF(RASANTE!F54&lt;=PERALTE!$Z$22,(-6/(PERALTE!$X$22-PERALTE!$Z$22)*(RASANTE!F54-PERALTE!$Z$22)-2),IF(RASANTE!F54&lt;=PERALTE!$AB$22,-2))))),IF(AND(AH!$H$24="Derecha",RASANTE!F54&lt;=PERALTE!$AB$22),IF(RASANTE!F54&lt;=PERALTE!$Q$22,-2,IF(RASANTE!F54&lt;=PERALTE!$U$22,(10/(PERALTE!$U$22-PERALTE!$Q$22)*(RASANTE!F54-PERALTE!$Q$22)-2),IF(RASANTE!F54&lt;=PERALTE!$X$22,8,IF(RASANTE!F54&lt;=PERALTE!$AB$22,(10/(PERALTE!$X$22-PERALTE!$AB$22)*(RASANTE!F54-PERALTE!$AB$22)-2))))),IF(AND(AH!#REF!="Izquierda",RASANTE!F54&lt;=PERALTE!#REF!),IF(RASANTE!F54&lt;=PERALTE!#REF!,-2,IF(RASANTE!F54&lt;=PERALTE!#REF!,(-6/(PERALTE!#REF!-PERALTE!#REF!)*(RASANTE!F54-PERALTE!#REF!)-2),IF(RASANTE!F54&lt;=PERALTE!#REF!,-8,IF(RASANTE!F54&lt;=PERALTE!#REF!,(-6/(PERALTE!#REF!-PERALTE!#REF!)*(RASANTE!F54-PERALTE!#REF!)-2),IF(RASANTE!F54&lt;=PERALTE!#REF!,-2))))),IF(AND(AH!#REF!="Derecha",RASANTE!F54&lt;=PERALTE!#REF!),IF(RASANTE!F54&lt;=PERALTE!#REF!,-2,IF(RASANTE!F54&lt;=PERALTE!#REF!,(10/(PERALTE!#REF!-PERALTE!#REF!)*(RASANTE!F54-PERALTE!#REF!)-2),IF(RASANTE!F54&lt;=PERALTE!#REF!,8,IF(RASANTE!F54&lt;=PERALTE!#REF!,(10/(PERALTE!#REF!-PERALTE!#REF!)*(RASANTE!F54-PERALTE!#REF!)-2))))),IF(AND(AH!#REF!="Izquierda",RASANTE!F54&lt;=PERALTE!$AB$26),IF(RASANTE!F54&lt;=PERALTE!$S$26,-2,IF(RASANTE!F54&lt;=PERALTE!$U$26,(-6/(PERALTE!$U$26-PERALTE!$S$26)*(RASANTE!F54-PERALTE!$S$26)-2),IF(RASANTE!F54&lt;=PERALTE!$X$26,-8,IF(RASANTE!F54&lt;=PERALTE!$Z$26,(-6/(PERALTE!$X$26-PERALTE!$Z$26)*(RASANTE!F54-PERALTE!$Z$26)-2),IF(RASANTE!F54&lt;=PERALTE!$AB$26,-2))))),IF(AND(AH!#REF!="Derecha",RASANTE!F54&lt;=PERALTE!$AB$26),IF(RASANTE!F54&lt;=PERALTE!$Q$26,-2,IF(RASANTE!F54&lt;=PERALTE!$U$26,(10/(PERALTE!$U$26-PERALTE!$Q$26)*(RASANTE!F54-PERALTE!$Q$26)-2),IF(RASANTE!F54&lt;=PERALTE!$X$26,8,IF(RASANTE!F54&lt;=PERALTE!$AB$26,(10/(PERALTE!$X$26-PERALTE!$AB$26)*(RASANTE!F54-PERALTE!$AB$26)-2))))),IF(F54&lt;=PERALTE!#REF!,-2,"Abscisa fuera de la vía")))))))))))))))))))))</f>
        <v>-2</v>
      </c>
      <c r="I54" s="28">
        <f>+IF(AND(AH!$H$8="Derecha",RASANTE!F54&lt;=PERALTE!$AB$6),IF(RASANTE!F54&lt;=PERALTE!$S$6,-2,IF(RASANTE!F54&lt;=PERALTE!$U$6,(-6/(PERALTE!$U$6-PERALTE!$S$6)*(RASANTE!F54-PERALTE!$S$6)-2),IF(RASANTE!F54&lt;=PERALTE!$X$6,-8,IF(RASANTE!F54&lt;=PERALTE!$Z$6,(-6/(PERALTE!$X$6-PERALTE!$Z$6)*(RASANTE!F54-PERALTE!$Z$6)-2),IF(RASANTE!F54&lt;=PERALTE!$AB$6,-2))))),IF(AND(AH!$H$8="Izquierda",RASANTE!F54&lt;=PERALTE!$AB$6),IF(RASANTE!F54&lt;=PERALTE!$Q$6,-2,IF(RASANTE!F54&lt;=PERALTE!$U$6,(10/(PERALTE!$U$6-PERALTE!$Q$6)*(RASANTE!F54-PERALTE!$Q$6)-2),IF(RASANTE!F54&lt;=PERALTE!$X$6,8,IF(RASANTE!F54&lt;=PERALTE!$AB$6,(10/(PERALTE!$X$6-PERALTE!$AB$6)*(RASANTE!F54-PERALTE!$AB$6)-2))))),IF(AND(AH!$H$10="Derecha",RASANTE!F54&lt;=PERALTE!$AB$8),IF(RASANTE!F54&lt;=PERALTE!$S$8,-2,IF(RASANTE!F54&lt;=PERALTE!$U$8,(-6/(PERALTE!$U$8-PERALTE!$S$8)*(RASANTE!F54-PERALTE!$S$8)-2),IF(RASANTE!F54&lt;=PERALTE!$X$8,-8,IF(RASANTE!F54&lt;=PERALTE!$Z$8,(-6/(PERALTE!$X$8-PERALTE!$Z$8)*(RASANTE!F54-PERALTE!$Z$8)-2),IF(RASANTE!F54&lt;=PERALTE!$AB$8,-2))))),IF(AND(AH!$H$10="Izquierda",RASANTE!F54&lt;=PERALTE!$AB$8),IF(RASANTE!F54&lt;=PERALTE!$Q$8,-2,IF(RASANTE!F54&lt;=PERALTE!$U$8,(10/(PERALTE!$U$8-PERALTE!$Q$8)*(RASANTE!F54-PERALTE!$Q$8)-2),IF(RASANTE!F54&lt;=PERALTE!$X$8,8,IF(RASANTE!F54&lt;=PERALTE!$AB$8,(10/(PERALTE!$X$8-PERALTE!$AB$8)*(RASANTE!F54-PERALTE!$AB$8)-2))))),IF(AND(AH!$H$12="Derecha",RASANTE!F54&lt;=PERALTE!$AB$10),IF(RASANTE!F54&lt;=PERALTE!$S$10,-2,IF(RASANTE!F54&lt;=PERALTE!$U$10,(-6/(PERALTE!$U$10-PERALTE!$S$10)*(RASANTE!F54-PERALTE!$S$10)-2),IF(RASANTE!F54&lt;=PERALTE!$X$10,-8,IF(RASANTE!F54&lt;=PERALTE!$Z$10,(-6/(PERALTE!$X$10-PERALTE!$Z$10)*(RASANTE!F54-PERALTE!$Z$10)-2),IF(RASANTE!F54&lt;=PERALTE!$AB$10,-2))))),IF(AND(AH!$H$12="Izquierda",RASANTE!F54&lt;=PERALTE!$AB$10),IF(RASANTE!F54&lt;=PERALTE!$Q$10,-2,IF(RASANTE!F54&lt;=PERALTE!$U$10,(10/(PERALTE!$U$10-PERALTE!$Q$10)*(RASANTE!F54-PERALTE!$Q$10)-2),IF(RASANTE!F54&lt;=PERALTE!$X$10,8,IF(RASANTE!F54&lt;=PERALTE!$AB$10,(10/(PERALTE!$X$10-PERALTE!$AB$10)*(RASANTE!F54-PERALTE!$AB$10)-2))))),IF(AND(AH!$H$14="Derecha",RASANTE!F54&lt;=PERALTE!$AB$12),IF(RASANTE!F54&lt;=PERALTE!$S$12,-2,IF(RASANTE!F54&lt;=PERALTE!$U$12,(-6/(PERALTE!$U$12-PERALTE!$S$12)*(RASANTE!F54-PERALTE!$S$12)-2),IF(RASANTE!F54&lt;=PERALTE!$X$12,-8,IF(RASANTE!F54&lt;=PERALTE!$Z$12,(-6/(PERALTE!$X$12-PERALTE!$Z$12)*(RASANTE!F54-PERALTE!$Z$12)-2),IF(RASANTE!F54&lt;=PERALTE!$AB$12,-2))))),IF(AND(AH!$H$14="Izquierda",RASANTE!F54&lt;=PERALTE!$AB$12),IF(RASANTE!F54&lt;=PERALTE!$Q$12,-2,IF(RASANTE!F54&lt;=PERALTE!$U$12,(10/(PERALTE!$U$12-PERALTE!$Q$12)*(RASANTE!F54-PERALTE!$Q$12)-2),IF(RASANTE!F54&lt;=PERALTE!$X$12,8,IF(RASANTE!F54&lt;=PERALTE!$AB$12,(10/(PERALTE!$X$12-PERALTE!$AB$12)*(RASANTE!F54-PERALTE!$AB$12)-2))))),IF(AND(AH!$H$16="Derecha",RASANTE!F54&lt;=PERALTE!$AB$14),IF(RASANTE!F54&lt;=PERALTE!$S$14,-2,IF(RASANTE!F54&lt;=PERALTE!$U$14,(-6/(PERALTE!$U$14-PERALTE!$S$14)*(RASANTE!F54-PERALTE!$S$14)-2),IF(RASANTE!F54&lt;=PERALTE!$X$14,-8,IF(RASANTE!F54&lt;=PERALTE!$Z$14,(-6/(PERALTE!$X$14-PERALTE!$Z$14)*(RASANTE!F54-PERALTE!$Z$14)-2),IF(RASANTE!F54&lt;=PERALTE!$AB$14,-2))))),IF(AND(AH!$H$16="Izquierda",RASANTE!F54&lt;=PERALTE!$AB$14),IF(RASANTE!F54&lt;=PERALTE!$Q$14,-2,IF(RASANTE!F54&lt;=PERALTE!$U$14,(10/(PERALTE!$U$14-PERALTE!$Q$14)*(RASANTE!F54-PERALTE!$Q$14)-2),IF(RASANTE!F54&lt;=PERALTE!$X$14,8,IF(RASANTE!F54&lt;=PERALTE!$AB$14,(10/(PERALTE!$X$14-PERALTE!$AB$14)*(RASANTE!F54-PERALTE!$AB$14)-2))))),IF(AND(AH!$H$18="Derecha",RASANTE!F54&lt;=PERALTE!$AB$16),IF(RASANTE!F54&lt;=PERALTE!$S$16,-2,IF(RASANTE!F54&lt;=PERALTE!$U$16,(-6/(PERALTE!$U$16-PERALTE!$S$16)*(RASANTE!F54-PERALTE!$S$16)-2),IF(RASANTE!F54&lt;=PERALTE!$X$16,-8,IF(RASANTE!F54&lt;=PERALTE!$Z$16,(-6/(PERALTE!$X$16-PERALTE!$Z$16)*(RASANTE!F54-PERALTE!$Z$16)-2),IF(RASANTE!F54&lt;=PERALTE!$AB$16,-2))))),IF(AND(AH!$H$18="Izquierda",RASANTE!F54&lt;=PERALTE!$AB$16),IF(RASANTE!F54&lt;=PERALTE!$Q$16,-2,IF(RASANTE!F54&lt;=PERALTE!$U$16,(10/(PERALTE!$U$16-PERALTE!$Q$16)*(RASANTE!F54-PERALTE!$Q$16)-2),IF(RASANTE!F54&lt;=PERALTE!$X$16,8,IF(RASANTE!F54&lt;=PERALTE!$AB$16,(10/(PERALTE!$X$16-PERALTE!$AB$16)*(RASANTE!F54-PERALTE!$AB$16)-2))))),IF(AND(AH!$H$20="Derecha",RASANTE!F54&lt;=PERALTE!$AB$18),IF(RASANTE!F54&lt;=PERALTE!$S$18,-2,IF(RASANTE!F54&lt;=PERALTE!$U$18,(-6/(PERALTE!$U$18-PERALTE!$S$18)*(RASANTE!F54-PERALTE!$S$18)-2),IF(RASANTE!F54&lt;=PERALTE!$X$18,-8,IF(RASANTE!F54&lt;=PERALTE!$Z$18,(-6/(PERALTE!$X$18-PERALTE!$Z$18)*(RASANTE!F54-PERALTE!$Z$18)-2),IF(RASANTE!F54&lt;=PERALTE!$AB$18,-2))))),IF(AND(AH!$H$20="Izquierda",RASANTE!F54&lt;=PERALTE!$AB$18),IF(RASANTE!F54&lt;=PERALTE!$Q$18,-2,IF(RASANTE!F54&lt;=PERALTE!$U$18,(10/(PERALTE!$U$18-PERALTE!$Q$18)*(RASANTE!F54-PERALTE!$Q$18)-2),IF(RASANTE!F54&lt;=PERALTE!$X$18,8,IF(RASANTE!F54&lt;=PERALTE!$AB$18,(10/(PERALTE!$X$18-PERALTE!$AB$18)*(RASANTE!F54-PERALTE!$AB$18)-2))))),IF(AND(AH!$H$24="Derecha",RASANTE!F54&lt;=PERALTE!$AB$22),IF(RASANTE!F54&lt;=PERALTE!$S$22,-2,IF(RASANTE!F54&lt;=PERALTE!$U$22,(-6/(PERALTE!$U$22-PERALTE!$S$22)*(RASANTE!F54-PERALTE!$S$22)-2),IF(RASANTE!F54&lt;=PERALTE!$X$22,-8,IF(RASANTE!F54&lt;=PERALTE!$Z$22,(-6/(PERALTE!$X$22-PERALTE!$Z$22)*(RASANTE!F54-PERALTE!$Z$22)-2),IF(RASANTE!F54&lt;=PERALTE!$AB$22,-2))))),IF(AND(AH!$H$24="Izquierda",RASANTE!F54&lt;=PERALTE!$AB$22),IF(RASANTE!F54&lt;=PERALTE!$Q$22,-2,IF(RASANTE!F54&lt;=PERALTE!$U$22,(10/(PERALTE!$U$22-PERALTE!$Q$22)*(RASANTE!F54-PERALTE!$Q$22)-2),IF(RASANTE!F54&lt;=PERALTE!$X$22,8,IF(RASANTE!F54&lt;=PERALTE!$AB$22,(10/(PERALTE!$X$22-PERALTE!$AB$22)*(RASANTE!F54-PERALTE!$AB$22)-2))))),IF(AND(AH!#REF!="Derecha",RASANTE!F54&lt;=PERALTE!#REF!),IF(RASANTE!F54&lt;=PERALTE!#REF!,-2,IF(RASANTE!F54&lt;=PERALTE!#REF!,(-6/(PERALTE!#REF!-PERALTE!#REF!)*(RASANTE!F54-PERALTE!#REF!)-2),IF(RASANTE!F54&lt;=PERALTE!#REF!,-8,IF(RASANTE!F54&lt;=PERALTE!#REF!,(-6/(PERALTE!#REF!-PERALTE!#REF!)*(RASANTE!F54-PERALTE!#REF!)-2),IF(RASANTE!F54&lt;=PERALTE!#REF!,-2))))),IF(AND(AH!#REF!="Izquierda",RASANTE!F54&lt;=PERALTE!#REF!),IF(RASANTE!F54&lt;=PERALTE!#REF!,-2,IF(RASANTE!F54&lt;=PERALTE!#REF!,(10/(PERALTE!#REF!-PERALTE!#REF!)*(RASANTE!F54-PERALTE!#REF!)-2),IF(RASANTE!F54&lt;=PERALTE!#REF!,8,IF(RASANTE!F54&lt;=PERALTE!#REF!,(10/(PERALTE!#REF!-PERALTE!#REF!)*(RASANTE!F54-PERALTE!#REF!)-2))))),IF(AND(AH!#REF!="Derecha",RASANTE!F54&lt;=PERALTE!$AB$26),IF(RASANTE!F54&lt;=PERALTE!$S$26,-2,IF(RASANTE!F54&lt;=PERALTE!$U$26,(-6/(PERALTE!$U$26-PERALTE!$S$26)*(RASANTE!F54-PERALTE!$S$26)-2),IF(RASANTE!F54&lt;=PERALTE!$X$26,-8,IF(RASANTE!F54&lt;=PERALTE!$Z$26,(-6/(PERALTE!$X$26-PERALTE!$Z$26)*(RASANTE!F54-PERALTE!$Z$26)-2),IF(RASANTE!F54&lt;=PERALTE!$AB$26,-2))))),IF(AND(AH!#REF!="Izquierda",RASANTE!F54&lt;=PERALTE!$AB$26),IF(RASANTE!F54&lt;=PERALTE!$Q$26,-2,IF(RASANTE!F54&lt;=PERALTE!$U$26,(10/(PERALTE!$U$26-PERALTE!$Q$26)*(RASANTE!F54-PERALTE!$Q$26)-2),IF(RASANTE!F54&lt;=PERALTE!$X$26,8,IF(RASANTE!F54&lt;=PERALTE!$AB$26,(10/(PERALTE!$X$26-PERALTE!$AB$26)*(RASANTE!F54-PERALTE!$AB$26)-2))))),IF(F54&lt;=PERALTE!#REF!,-2,"Abscisa fuera de la vía")))))))))))))))))))))</f>
        <v>-2</v>
      </c>
      <c r="J54" s="28">
        <f t="shared" si="1"/>
        <v>1648.4474000000005</v>
      </c>
      <c r="K54" s="28">
        <f>+IF(AND(AV!$S$6&lt;F182,F182&lt;=AV!$T$6),AV!$P$6*((AV!$S$6-RASANTE!F182)/(AV!$N$6))^2,IF(AND(AV!$T$6&lt;RASANTE!F182,F182&lt;AV!$U$6),AV!$P$6*((AV!$U$6-RASANTE!F182)/(AV!$O$6))^2,IF(AND(AV!$S$8&lt;F182,F182&lt;=AV!$T$8),AV!$P$8*((AV!$S$8-RASANTE!F182)/(AV!$N$8))^2,IF(AND(AV!$T$8&lt;RASANTE!F182,F182&lt;AV!$U$8),AV!$P$8*((AV!$U$8-RASANTE!F182)/(AV!$O$8))^2,IF(AND(AV!$S$10&lt;F182,F182&lt;=AV!$T$10),AV!$P$10*((AV!$S$10-RASANTE!F182)/(AV!$N$10))^2,IF(AND(AV!$T$10&lt;RASANTE!F182,F182&lt;AV!$U$10),AV!$P$10*((AV!$U$10-RASANTE!F182)/(AV!$O$10))^2,IF(AND(AV!$S$12&lt;F182,F182&lt;=AV!$T$12),AV!$P$12*((AV!$S$12-RASANTE!F182)/(AV!$N$12))^2,IF(AND(AV!$T$12&lt;RASANTE!F182,F182&lt;AV!$U$12),AV!$P$12*((AV!$U$12-RASANTE!F182)/(AV!$O$12))^2,IF(AND(AV!$S$14&lt;F182,F182&lt;=AV!$T$14),AV!$P$14*((AV!$S$14-RASANTE!F182)/(AV!$N$14))^2,IF(AND(AV!$T$14&lt;RASANTE!F182,F182&lt;AV!$U$14),AV!$P$14*((AV!$U$14-RASANTE!F182)/(AV!$O$14))^2,IF(AND(AV!$S$16&lt;F182,F182&lt;=AV!$T$16),AV!$P$16*((AV!$S$16-RASANTE!F182)/(AV!$N$16))^2,IF(AND(AV!$T$16&lt;RASANTE!F182,F182&lt;AV!$U$16),AV!$P$16*((AV!$U$16-RASANTE!F182)/(AV!$O$16))^2,IF(AND(AV!$S$18&lt;F182,F182&lt;=AV!$T$18),AV!$P$18*((AV!$S$18-RASANTE!F182)/(AV!$N$18))^2,IF(AND(AV!$T$18&lt;RASANTE!F182,F182&lt;AV!$U$18),AV!$P$18*((AV!$U$18-RASANTE!F182)/(AV!$O$18))^2,IF(AND(AV!$S$20&lt;F182,F182&lt;=AV!$T$20),AV!$P$20*((AV!$S$20-RASANTE!F182)/(AV!$N$20))^2,IF(AND(AV!$T$20&lt;RASANTE!F182,F182&lt;AV!$U$20),AV!$P$20*((AV!$U$20-RASANTE!F182)/(AV!$O$20))^2,IF(AND(AV!$S$22&lt;F182,F182&lt;=AV!$T$22),AV!$P$22*((AV!$S$22-RASANTE!F182)/(AV!$N$22))^2,IF(AND(AV!$T$22&lt;RASANTE!F182,F182&lt;AV!$U$22),AV!$P$22*((AV!$U$22-RASANTE!F182)/(AV!$O$22))^2,IF(AND(AV!$S$24&lt;F182,F182&lt;=AV!$T$24),AV!$P$24*((AV!$S$24-RASANTE!F182)/(AV!$N$24))^2,IF(AND(AV!$T$24&lt;RASANTE!F182,F182&lt;AV!$U$24),AV!$P$24*((AV!$U$24-RASANTE!F182)/(AV!$O$24))^2,0))))))))))))))))))))</f>
        <v>0</v>
      </c>
      <c r="L54" s="28">
        <f>+M54+H54%*PERALTE!$C$32</f>
        <v>1648.3774000000005</v>
      </c>
      <c r="M54" s="28">
        <f t="shared" si="3"/>
        <v>1648.4474000000005</v>
      </c>
      <c r="N54" s="28">
        <f>+M54+I54%*PERALTE!$C$32</f>
        <v>1648.3774000000005</v>
      </c>
      <c r="O54" s="92"/>
      <c r="P54" s="84"/>
      <c r="Q54" s="84"/>
      <c r="R54" s="84"/>
      <c r="S54" s="84"/>
      <c r="T54" s="84"/>
      <c r="U54" s="84"/>
      <c r="V54" s="84"/>
      <c r="W54" s="84"/>
      <c r="X54" s="84"/>
      <c r="Y54" s="84"/>
    </row>
    <row r="55" spans="1:25" ht="15.75" customHeight="1" x14ac:dyDescent="0.2">
      <c r="A55" s="90"/>
      <c r="B55" s="86"/>
      <c r="C55" s="86"/>
      <c r="D55" s="86"/>
      <c r="E55" s="91"/>
      <c r="F55" s="34">
        <v>360</v>
      </c>
      <c r="G55" s="88">
        <f>IF(F55&lt;=AV!$T$6,AV!$C$5,IF(RASANTE!F55&lt;=AV!$T$8,AV!$C$7,IF(RASANTE!F55&lt;=AV!$T$10,AV!$C$9,IF(RASANTE!F55&lt;=AV!$T$12,AV!#REF!,IF(RASANTE!F55&lt;=AV!$T$14,AV!$C$11,IF(RASANTE!F55&lt;=AV!$T$16,AV!$C$13, IF(RASANTE!F55&lt;=AV!$T$18,AV!$C$15,IF(RASANTE!F55&lt;=AV!$T$20,AV!$C$19,IF(RASANTE!F55&lt;=AV!$T$22,AV!$C$21,IF(RASANTE!F55&lt;=AV!$T$24,AV!$C$23,AV!$C$25))))))))))</f>
        <v>-7.774</v>
      </c>
      <c r="H55" s="28">
        <f>+IF(AND(AH!$H$8="Izquierda",RASANTE!F55&lt;=PERALTE!$AB$6),IF(RASANTE!F55&lt;=PERALTE!$S$6,-2,IF(RASANTE!F55&lt;=PERALTE!$U$6,(-6/(PERALTE!$U$6-PERALTE!$S$6)*(RASANTE!F55-PERALTE!$S$6)-2),IF(RASANTE!F55&lt;=PERALTE!$X$6,-8,IF(RASANTE!F55&lt;=PERALTE!$Z$6,(-6/(PERALTE!$X$6-PERALTE!$Z$6)*(RASANTE!F55-PERALTE!$Z$6)-2),IF(RASANTE!F55&lt;=PERALTE!$AB$6,-2))))),IF(AND(AH!$H$8="Derecha",RASANTE!F55&lt;=PERALTE!$AB$6),IF(RASANTE!F55&lt;=PERALTE!$Q$6,-2,IF(RASANTE!F55&lt;=PERALTE!$U$6,(10/(PERALTE!$U$6-PERALTE!$Q$6)*(RASANTE!F55-PERALTE!$Q$6)-2),IF(RASANTE!F55&lt;=PERALTE!$X$6,8,IF(RASANTE!F55&lt;=PERALTE!$AB$6,(10/(PERALTE!$X$6-PERALTE!$AB$6)*(RASANTE!F55-PERALTE!$AB$6)-2))))),IF(AND(AH!$H$10="Izquierda",RASANTE!F55&lt;=PERALTE!$AB$8),IF(RASANTE!F55&lt;=PERALTE!$S$8,-2,IF(RASANTE!F55&lt;=PERALTE!$U$8,(-6/(PERALTE!$U$8-PERALTE!$S$8)*(RASANTE!F55-PERALTE!$S$8)-2),IF(RASANTE!F55&lt;=PERALTE!$X$8,-8,IF(RASANTE!F55&lt;=PERALTE!$Z$8,(-6/(PERALTE!$X$8-PERALTE!$Z$8)*(RASANTE!F55-PERALTE!$Z$8)-2),IF(RASANTE!F55&lt;=PERALTE!$AB$8,-2))))),IF(AND(AH!$H$10="Derecha",RASANTE!F55&lt;=PERALTE!$AB$8),IF(RASANTE!F55&lt;=PERALTE!$Q$8,-2,IF(RASANTE!F55&lt;=PERALTE!$U$8,(10/(PERALTE!$U$8-PERALTE!$Q$8)*(RASANTE!F55-PERALTE!$Q$8)-2),IF(RASANTE!F55&lt;=PERALTE!$X$8,8,IF(RASANTE!F55&lt;=PERALTE!$AB$8,(10/(PERALTE!$X$8-PERALTE!$AB$8)*(RASANTE!F55-PERALTE!$AB$8)-2))))),IF(AND(AH!$H$12="Izquierda",RASANTE!F55&lt;=PERALTE!$AB$10),IF(RASANTE!F55&lt;=PERALTE!$S$10,-2,IF(RASANTE!F55&lt;=PERALTE!$U$10,(-6/(PERALTE!$U$10-PERALTE!$S$10)*(RASANTE!F55-PERALTE!$S$10)-2),IF(RASANTE!F55&lt;=PERALTE!$X$10,-8,IF(RASANTE!F55&lt;=PERALTE!$Z$10,(-6/(PERALTE!$X$10-PERALTE!$Z$10)*(RASANTE!F55-PERALTE!$Z$10)-2),IF(RASANTE!F55&lt;=PERALTE!$AB$10,-2))))),IF(AND(AH!$H$12="Derecha",RASANTE!F55&lt;=PERALTE!$AB$10),IF(RASANTE!F55&lt;=PERALTE!$Q$10,-2,IF(RASANTE!F55&lt;=PERALTE!$U$10,(10/(PERALTE!$U$10-PERALTE!$Q$10)*(RASANTE!F55-PERALTE!$Q$10)-2),IF(RASANTE!F55&lt;=PERALTE!$X$10,8,IF(RASANTE!F55&lt;=PERALTE!$AB$10,(10/(PERALTE!$X$10-PERALTE!$AB$10)*(RASANTE!F55-PERALTE!$AB$10)-2))))),IF(AND(AH!$H$14="Izquierda",RASANTE!F55&lt;=PERALTE!$AB$12),IF(RASANTE!F55&lt;=PERALTE!$S$12,-2,IF(RASANTE!F55&lt;=PERALTE!$U$12,(-6/(PERALTE!$U$12-PERALTE!$S$12)*(RASANTE!F55-PERALTE!$S$12)-2),IF(RASANTE!F55&lt;=PERALTE!$X$12,-8,IF(RASANTE!F55&lt;=PERALTE!$Z$12,(-6/(PERALTE!$X$12-PERALTE!$Z$12)*(RASANTE!F55-PERALTE!$Z$12)-2),IF(RASANTE!F55&lt;=PERALTE!$AB$12,-2))))),IF(AND(AH!$H$14="Derecha",RASANTE!F55&lt;=PERALTE!$AB$12),IF(RASANTE!F55&lt;=PERALTE!$Q$12,-2,IF(RASANTE!F55&lt;=PERALTE!$U$12,(10/(PERALTE!$U$12-PERALTE!$Q$12)*(RASANTE!F55-PERALTE!$Q$12)-2),IF(RASANTE!F55&lt;=PERALTE!$X$12,8,IF(RASANTE!F55&lt;=PERALTE!$AB$12,(10/(PERALTE!$X$12-PERALTE!$AB$12)*(RASANTE!F55-PERALTE!$AB$12)-2))))),IF(AND(AH!$H$16="Izquierda",RASANTE!F55&lt;=PERALTE!$AB$14),IF(RASANTE!F55&lt;=PERALTE!$S$14,-2,IF(RASANTE!F55&lt;=PERALTE!$U$14,(-6/(PERALTE!$U$14-PERALTE!$S$14)*(RASANTE!F55-PERALTE!$S$14)-2),IF(RASANTE!F55&lt;=PERALTE!$X$14,-8,IF(RASANTE!F55&lt;=PERALTE!$Z$14,(-6/(PERALTE!$X$14-PERALTE!$Z$14)*(RASANTE!F55-PERALTE!$Z$14)-2),IF(RASANTE!F55&lt;=PERALTE!$AB$14,-2))))),IF(AND(AH!$H$16="Derecha",RASANTE!F55&lt;=PERALTE!$AB$14),IF(RASANTE!F55&lt;=PERALTE!$Q$14,-2,IF(RASANTE!F55&lt;=PERALTE!$U$14,(10/(PERALTE!$U$14-PERALTE!$Q$14)*(RASANTE!F55-PERALTE!$Q$14)-2),IF(RASANTE!F55&lt;=PERALTE!$X$14,8,IF(RASANTE!F55&lt;=PERALTE!$AB$14,(10/(PERALTE!$X$14-PERALTE!$AB$14)*(RASANTE!F55-PERALTE!$AB$14)-2))))),IF(AND(AH!$H$18="Izquierda",RASANTE!F55&lt;=PERALTE!$AB$16),IF(RASANTE!F55&lt;=PERALTE!$S$16,-2,IF(RASANTE!F55&lt;=PERALTE!$U$16,(-6/(PERALTE!$U$16-PERALTE!$S$16)*(RASANTE!F55-PERALTE!$S$16)-2),IF(RASANTE!F55&lt;=PERALTE!$X$16,-8,IF(RASANTE!F55&lt;=PERALTE!$Z$16,(-6/(PERALTE!$X$16-PERALTE!$Z$16)*(RASANTE!F55-PERALTE!$Z$16)-2),IF(RASANTE!F55&lt;=PERALTE!$AB$16,-2))))),IF(AND(AH!$H$18="Derecha",RASANTE!F55&lt;=PERALTE!$AB$16),IF(RASANTE!F55&lt;=PERALTE!$Q$16,-2,IF(RASANTE!F55&lt;=PERALTE!$U$16,(10/(PERALTE!$U$16-PERALTE!$Q$16)*(RASANTE!F55-PERALTE!$Q$16)-2),IF(RASANTE!F55&lt;=PERALTE!$X$16,8,IF(RASANTE!F55&lt;=PERALTE!$AB$16,(10/(PERALTE!$X$16-PERALTE!$AB$16)*(RASANTE!F55-PERALTE!$AB$16)-2))))),IF(AND(AH!$H$20="Izquierda",RASANTE!F55&lt;=PERALTE!$AB$18),IF(RASANTE!F55&lt;=PERALTE!$S$18,-2,IF(RASANTE!F55&lt;=PERALTE!$U$18,(-6/(PERALTE!$U$18-PERALTE!$S$18)*(RASANTE!F55-PERALTE!$S$18)-2),IF(RASANTE!F55&lt;=PERALTE!$X$18,-8,IF(RASANTE!F55&lt;=PERALTE!$Z$18,(-6/(PERALTE!$X$18-PERALTE!$Z$18)*(RASANTE!F55-PERALTE!$Z$18)-2),IF(RASANTE!F55&lt;=PERALTE!$AB$18,-2))))),IF(AND(AH!$H$20="Derecha",RASANTE!F55&lt;=PERALTE!$AB$18),IF(RASANTE!F55&lt;=PERALTE!$Q$18,-2,IF(RASANTE!F55&lt;=PERALTE!$U$18,(10/(PERALTE!$U$18-PERALTE!$Q$18)*(RASANTE!F55-PERALTE!$Q$18)-2),IF(RASANTE!F55&lt;=PERALTE!$X$18,8,IF(RASANTE!F55&lt;=PERALTE!$AB$18,(10/(PERALTE!$X$18-PERALTE!$AB$18)*(RASANTE!F55-PERALTE!$AB$18)-2))))),IF(AND(AH!$H$24="Izquierda",RASANTE!F55&lt;=PERALTE!$AB$22),IF(RASANTE!F55&lt;=PERALTE!$S$22,-2,IF(RASANTE!F55&lt;=PERALTE!$U$22,(-6/(PERALTE!$U$22-PERALTE!$S$22)*(RASANTE!F55-PERALTE!$S$22)-2),IF(RASANTE!F55&lt;=PERALTE!$X$22,-8,IF(RASANTE!F55&lt;=PERALTE!$Z$22,(-6/(PERALTE!$X$22-PERALTE!$Z$22)*(RASANTE!F55-PERALTE!$Z$22)-2),IF(RASANTE!F55&lt;=PERALTE!$AB$22,-2))))),IF(AND(AH!$H$24="Derecha",RASANTE!F55&lt;=PERALTE!$AB$22),IF(RASANTE!F55&lt;=PERALTE!$Q$22,-2,IF(RASANTE!F55&lt;=PERALTE!$U$22,(10/(PERALTE!$U$22-PERALTE!$Q$22)*(RASANTE!F55-PERALTE!$Q$22)-2),IF(RASANTE!F55&lt;=PERALTE!$X$22,8,IF(RASANTE!F55&lt;=PERALTE!$AB$22,(10/(PERALTE!$X$22-PERALTE!$AB$22)*(RASANTE!F55-PERALTE!$AB$22)-2))))),IF(AND(AH!#REF!="Izquierda",RASANTE!F55&lt;=PERALTE!#REF!),IF(RASANTE!F55&lt;=PERALTE!#REF!,-2,IF(RASANTE!F55&lt;=PERALTE!#REF!,(-6/(PERALTE!#REF!-PERALTE!#REF!)*(RASANTE!F55-PERALTE!#REF!)-2),IF(RASANTE!F55&lt;=PERALTE!#REF!,-8,IF(RASANTE!F55&lt;=PERALTE!#REF!,(-6/(PERALTE!#REF!-PERALTE!#REF!)*(RASANTE!F55-PERALTE!#REF!)-2),IF(RASANTE!F55&lt;=PERALTE!#REF!,-2))))),IF(AND(AH!#REF!="Derecha",RASANTE!F55&lt;=PERALTE!#REF!),IF(RASANTE!F55&lt;=PERALTE!#REF!,-2,IF(RASANTE!F55&lt;=PERALTE!#REF!,(10/(PERALTE!#REF!-PERALTE!#REF!)*(RASANTE!F55-PERALTE!#REF!)-2),IF(RASANTE!F55&lt;=PERALTE!#REF!,8,IF(RASANTE!F55&lt;=PERALTE!#REF!,(10/(PERALTE!#REF!-PERALTE!#REF!)*(RASANTE!F55-PERALTE!#REF!)-2))))),IF(AND(AH!#REF!="Izquierda",RASANTE!F55&lt;=PERALTE!$AB$26),IF(RASANTE!F55&lt;=PERALTE!$S$26,-2,IF(RASANTE!F55&lt;=PERALTE!$U$26,(-6/(PERALTE!$U$26-PERALTE!$S$26)*(RASANTE!F55-PERALTE!$S$26)-2),IF(RASANTE!F55&lt;=PERALTE!$X$26,-8,IF(RASANTE!F55&lt;=PERALTE!$Z$26,(-6/(PERALTE!$X$26-PERALTE!$Z$26)*(RASANTE!F55-PERALTE!$Z$26)-2),IF(RASANTE!F55&lt;=PERALTE!$AB$26,-2))))),IF(AND(AH!#REF!="Derecha",RASANTE!F55&lt;=PERALTE!$AB$26),IF(RASANTE!F55&lt;=PERALTE!$Q$26,-2,IF(RASANTE!F55&lt;=PERALTE!$U$26,(10/(PERALTE!$U$26-PERALTE!$Q$26)*(RASANTE!F55-PERALTE!$Q$26)-2),IF(RASANTE!F55&lt;=PERALTE!$X$26,8,IF(RASANTE!F55&lt;=PERALTE!$AB$26,(10/(PERALTE!$X$26-PERALTE!$AB$26)*(RASANTE!F55-PERALTE!$AB$26)-2))))),IF(F55&lt;=PERALTE!#REF!,-2,"Abscisa fuera de la vía")))))))))))))))))))))</f>
        <v>-2</v>
      </c>
      <c r="I55" s="28">
        <f>+IF(AND(AH!$H$8="Derecha",RASANTE!F55&lt;=PERALTE!$AB$6),IF(RASANTE!F55&lt;=PERALTE!$S$6,-2,IF(RASANTE!F55&lt;=PERALTE!$U$6,(-6/(PERALTE!$U$6-PERALTE!$S$6)*(RASANTE!F55-PERALTE!$S$6)-2),IF(RASANTE!F55&lt;=PERALTE!$X$6,-8,IF(RASANTE!F55&lt;=PERALTE!$Z$6,(-6/(PERALTE!$X$6-PERALTE!$Z$6)*(RASANTE!F55-PERALTE!$Z$6)-2),IF(RASANTE!F55&lt;=PERALTE!$AB$6,-2))))),IF(AND(AH!$H$8="Izquierda",RASANTE!F55&lt;=PERALTE!$AB$6),IF(RASANTE!F55&lt;=PERALTE!$Q$6,-2,IF(RASANTE!F55&lt;=PERALTE!$U$6,(10/(PERALTE!$U$6-PERALTE!$Q$6)*(RASANTE!F55-PERALTE!$Q$6)-2),IF(RASANTE!F55&lt;=PERALTE!$X$6,8,IF(RASANTE!F55&lt;=PERALTE!$AB$6,(10/(PERALTE!$X$6-PERALTE!$AB$6)*(RASANTE!F55-PERALTE!$AB$6)-2))))),IF(AND(AH!$H$10="Derecha",RASANTE!F55&lt;=PERALTE!$AB$8),IF(RASANTE!F55&lt;=PERALTE!$S$8,-2,IF(RASANTE!F55&lt;=PERALTE!$U$8,(-6/(PERALTE!$U$8-PERALTE!$S$8)*(RASANTE!F55-PERALTE!$S$8)-2),IF(RASANTE!F55&lt;=PERALTE!$X$8,-8,IF(RASANTE!F55&lt;=PERALTE!$Z$8,(-6/(PERALTE!$X$8-PERALTE!$Z$8)*(RASANTE!F55-PERALTE!$Z$8)-2),IF(RASANTE!F55&lt;=PERALTE!$AB$8,-2))))),IF(AND(AH!$H$10="Izquierda",RASANTE!F55&lt;=PERALTE!$AB$8),IF(RASANTE!F55&lt;=PERALTE!$Q$8,-2,IF(RASANTE!F55&lt;=PERALTE!$U$8,(10/(PERALTE!$U$8-PERALTE!$Q$8)*(RASANTE!F55-PERALTE!$Q$8)-2),IF(RASANTE!F55&lt;=PERALTE!$X$8,8,IF(RASANTE!F55&lt;=PERALTE!$AB$8,(10/(PERALTE!$X$8-PERALTE!$AB$8)*(RASANTE!F55-PERALTE!$AB$8)-2))))),IF(AND(AH!$H$12="Derecha",RASANTE!F55&lt;=PERALTE!$AB$10),IF(RASANTE!F55&lt;=PERALTE!$S$10,-2,IF(RASANTE!F55&lt;=PERALTE!$U$10,(-6/(PERALTE!$U$10-PERALTE!$S$10)*(RASANTE!F55-PERALTE!$S$10)-2),IF(RASANTE!F55&lt;=PERALTE!$X$10,-8,IF(RASANTE!F55&lt;=PERALTE!$Z$10,(-6/(PERALTE!$X$10-PERALTE!$Z$10)*(RASANTE!F55-PERALTE!$Z$10)-2),IF(RASANTE!F55&lt;=PERALTE!$AB$10,-2))))),IF(AND(AH!$H$12="Izquierda",RASANTE!F55&lt;=PERALTE!$AB$10),IF(RASANTE!F55&lt;=PERALTE!$Q$10,-2,IF(RASANTE!F55&lt;=PERALTE!$U$10,(10/(PERALTE!$U$10-PERALTE!$Q$10)*(RASANTE!F55-PERALTE!$Q$10)-2),IF(RASANTE!F55&lt;=PERALTE!$X$10,8,IF(RASANTE!F55&lt;=PERALTE!$AB$10,(10/(PERALTE!$X$10-PERALTE!$AB$10)*(RASANTE!F55-PERALTE!$AB$10)-2))))),IF(AND(AH!$H$14="Derecha",RASANTE!F55&lt;=PERALTE!$AB$12),IF(RASANTE!F55&lt;=PERALTE!$S$12,-2,IF(RASANTE!F55&lt;=PERALTE!$U$12,(-6/(PERALTE!$U$12-PERALTE!$S$12)*(RASANTE!F55-PERALTE!$S$12)-2),IF(RASANTE!F55&lt;=PERALTE!$X$12,-8,IF(RASANTE!F55&lt;=PERALTE!$Z$12,(-6/(PERALTE!$X$12-PERALTE!$Z$12)*(RASANTE!F55-PERALTE!$Z$12)-2),IF(RASANTE!F55&lt;=PERALTE!$AB$12,-2))))),IF(AND(AH!$H$14="Izquierda",RASANTE!F55&lt;=PERALTE!$AB$12),IF(RASANTE!F55&lt;=PERALTE!$Q$12,-2,IF(RASANTE!F55&lt;=PERALTE!$U$12,(10/(PERALTE!$U$12-PERALTE!$Q$12)*(RASANTE!F55-PERALTE!$Q$12)-2),IF(RASANTE!F55&lt;=PERALTE!$X$12,8,IF(RASANTE!F55&lt;=PERALTE!$AB$12,(10/(PERALTE!$X$12-PERALTE!$AB$12)*(RASANTE!F55-PERALTE!$AB$12)-2))))),IF(AND(AH!$H$16="Derecha",RASANTE!F55&lt;=PERALTE!$AB$14),IF(RASANTE!F55&lt;=PERALTE!$S$14,-2,IF(RASANTE!F55&lt;=PERALTE!$U$14,(-6/(PERALTE!$U$14-PERALTE!$S$14)*(RASANTE!F55-PERALTE!$S$14)-2),IF(RASANTE!F55&lt;=PERALTE!$X$14,-8,IF(RASANTE!F55&lt;=PERALTE!$Z$14,(-6/(PERALTE!$X$14-PERALTE!$Z$14)*(RASANTE!F55-PERALTE!$Z$14)-2),IF(RASANTE!F55&lt;=PERALTE!$AB$14,-2))))),IF(AND(AH!$H$16="Izquierda",RASANTE!F55&lt;=PERALTE!$AB$14),IF(RASANTE!F55&lt;=PERALTE!$Q$14,-2,IF(RASANTE!F55&lt;=PERALTE!$U$14,(10/(PERALTE!$U$14-PERALTE!$Q$14)*(RASANTE!F55-PERALTE!$Q$14)-2),IF(RASANTE!F55&lt;=PERALTE!$X$14,8,IF(RASANTE!F55&lt;=PERALTE!$AB$14,(10/(PERALTE!$X$14-PERALTE!$AB$14)*(RASANTE!F55-PERALTE!$AB$14)-2))))),IF(AND(AH!$H$18="Derecha",RASANTE!F55&lt;=PERALTE!$AB$16),IF(RASANTE!F55&lt;=PERALTE!$S$16,-2,IF(RASANTE!F55&lt;=PERALTE!$U$16,(-6/(PERALTE!$U$16-PERALTE!$S$16)*(RASANTE!F55-PERALTE!$S$16)-2),IF(RASANTE!F55&lt;=PERALTE!$X$16,-8,IF(RASANTE!F55&lt;=PERALTE!$Z$16,(-6/(PERALTE!$X$16-PERALTE!$Z$16)*(RASANTE!F55-PERALTE!$Z$16)-2),IF(RASANTE!F55&lt;=PERALTE!$AB$16,-2))))),IF(AND(AH!$H$18="Izquierda",RASANTE!F55&lt;=PERALTE!$AB$16),IF(RASANTE!F55&lt;=PERALTE!$Q$16,-2,IF(RASANTE!F55&lt;=PERALTE!$U$16,(10/(PERALTE!$U$16-PERALTE!$Q$16)*(RASANTE!F55-PERALTE!$Q$16)-2),IF(RASANTE!F55&lt;=PERALTE!$X$16,8,IF(RASANTE!F55&lt;=PERALTE!$AB$16,(10/(PERALTE!$X$16-PERALTE!$AB$16)*(RASANTE!F55-PERALTE!$AB$16)-2))))),IF(AND(AH!$H$20="Derecha",RASANTE!F55&lt;=PERALTE!$AB$18),IF(RASANTE!F55&lt;=PERALTE!$S$18,-2,IF(RASANTE!F55&lt;=PERALTE!$U$18,(-6/(PERALTE!$U$18-PERALTE!$S$18)*(RASANTE!F55-PERALTE!$S$18)-2),IF(RASANTE!F55&lt;=PERALTE!$X$18,-8,IF(RASANTE!F55&lt;=PERALTE!$Z$18,(-6/(PERALTE!$X$18-PERALTE!$Z$18)*(RASANTE!F55-PERALTE!$Z$18)-2),IF(RASANTE!F55&lt;=PERALTE!$AB$18,-2))))),IF(AND(AH!$H$20="Izquierda",RASANTE!F55&lt;=PERALTE!$AB$18),IF(RASANTE!F55&lt;=PERALTE!$Q$18,-2,IF(RASANTE!F55&lt;=PERALTE!$U$18,(10/(PERALTE!$U$18-PERALTE!$Q$18)*(RASANTE!F55-PERALTE!$Q$18)-2),IF(RASANTE!F55&lt;=PERALTE!$X$18,8,IF(RASANTE!F55&lt;=PERALTE!$AB$18,(10/(PERALTE!$X$18-PERALTE!$AB$18)*(RASANTE!F55-PERALTE!$AB$18)-2))))),IF(AND(AH!$H$24="Derecha",RASANTE!F55&lt;=PERALTE!$AB$22),IF(RASANTE!F55&lt;=PERALTE!$S$22,-2,IF(RASANTE!F55&lt;=PERALTE!$U$22,(-6/(PERALTE!$U$22-PERALTE!$S$22)*(RASANTE!F55-PERALTE!$S$22)-2),IF(RASANTE!F55&lt;=PERALTE!$X$22,-8,IF(RASANTE!F55&lt;=PERALTE!$Z$22,(-6/(PERALTE!$X$22-PERALTE!$Z$22)*(RASANTE!F55-PERALTE!$Z$22)-2),IF(RASANTE!F55&lt;=PERALTE!$AB$22,-2))))),IF(AND(AH!$H$24="Izquierda",RASANTE!F55&lt;=PERALTE!$AB$22),IF(RASANTE!F55&lt;=PERALTE!$Q$22,-2,IF(RASANTE!F55&lt;=PERALTE!$U$22,(10/(PERALTE!$U$22-PERALTE!$Q$22)*(RASANTE!F55-PERALTE!$Q$22)-2),IF(RASANTE!F55&lt;=PERALTE!$X$22,8,IF(RASANTE!F55&lt;=PERALTE!$AB$22,(10/(PERALTE!$X$22-PERALTE!$AB$22)*(RASANTE!F55-PERALTE!$AB$22)-2))))),IF(AND(AH!#REF!="Derecha",RASANTE!F55&lt;=PERALTE!#REF!),IF(RASANTE!F55&lt;=PERALTE!#REF!,-2,IF(RASANTE!F55&lt;=PERALTE!#REF!,(-6/(PERALTE!#REF!-PERALTE!#REF!)*(RASANTE!F55-PERALTE!#REF!)-2),IF(RASANTE!F55&lt;=PERALTE!#REF!,-8,IF(RASANTE!F55&lt;=PERALTE!#REF!,(-6/(PERALTE!#REF!-PERALTE!#REF!)*(RASANTE!F55-PERALTE!#REF!)-2),IF(RASANTE!F55&lt;=PERALTE!#REF!,-2))))),IF(AND(AH!#REF!="Izquierda",RASANTE!F55&lt;=PERALTE!#REF!),IF(RASANTE!F55&lt;=PERALTE!#REF!,-2,IF(RASANTE!F55&lt;=PERALTE!#REF!,(10/(PERALTE!#REF!-PERALTE!#REF!)*(RASANTE!F55-PERALTE!#REF!)-2),IF(RASANTE!F55&lt;=PERALTE!#REF!,8,IF(RASANTE!F55&lt;=PERALTE!#REF!,(10/(PERALTE!#REF!-PERALTE!#REF!)*(RASANTE!F55-PERALTE!#REF!)-2))))),IF(AND(AH!#REF!="Derecha",RASANTE!F55&lt;=PERALTE!$AB$26),IF(RASANTE!F55&lt;=PERALTE!$S$26,-2,IF(RASANTE!F55&lt;=PERALTE!$U$26,(-6/(PERALTE!$U$26-PERALTE!$S$26)*(RASANTE!F55-PERALTE!$S$26)-2),IF(RASANTE!F55&lt;=PERALTE!$X$26,-8,IF(RASANTE!F55&lt;=PERALTE!$Z$26,(-6/(PERALTE!$X$26-PERALTE!$Z$26)*(RASANTE!F55-PERALTE!$Z$26)-2),IF(RASANTE!F55&lt;=PERALTE!$AB$26,-2))))),IF(AND(AH!#REF!="Izquierda",RASANTE!F55&lt;=PERALTE!$AB$26),IF(RASANTE!F55&lt;=PERALTE!$Q$26,-2,IF(RASANTE!F55&lt;=PERALTE!$U$26,(10/(PERALTE!$U$26-PERALTE!$Q$26)*(RASANTE!F55-PERALTE!$Q$26)-2),IF(RASANTE!F55&lt;=PERALTE!$X$26,8,IF(RASANTE!F55&lt;=PERALTE!$AB$26,(10/(PERALTE!$X$26-PERALTE!$AB$26)*(RASANTE!F55-PERALTE!$AB$26)-2))))),IF(F55&lt;=PERALTE!#REF!,-2,"Abscisa fuera de la vía")))))))))))))))))))))</f>
        <v>-2</v>
      </c>
      <c r="J55" s="28">
        <f t="shared" si="1"/>
        <v>1647.6700000000005</v>
      </c>
      <c r="K55" s="28">
        <f>+IF(AND(AV!$S$6&lt;F183,F183&lt;=AV!$T$6),AV!$P$6*((AV!$S$6-RASANTE!F183)/(AV!$N$6))^2,IF(AND(AV!$T$6&lt;RASANTE!F183,F183&lt;AV!$U$6),AV!$P$6*((AV!$U$6-RASANTE!F183)/(AV!$O$6))^2,IF(AND(AV!$S$8&lt;F183,F183&lt;=AV!$T$8),AV!$P$8*((AV!$S$8-RASANTE!F183)/(AV!$N$8))^2,IF(AND(AV!$T$8&lt;RASANTE!F183,F183&lt;AV!$U$8),AV!$P$8*((AV!$U$8-RASANTE!F183)/(AV!$O$8))^2,IF(AND(AV!$S$10&lt;F183,F183&lt;=AV!$T$10),AV!$P$10*((AV!$S$10-RASANTE!F183)/(AV!$N$10))^2,IF(AND(AV!$T$10&lt;RASANTE!F183,F183&lt;AV!$U$10),AV!$P$10*((AV!$U$10-RASANTE!F183)/(AV!$O$10))^2,IF(AND(AV!$S$12&lt;F183,F183&lt;=AV!$T$12),AV!$P$12*((AV!$S$12-RASANTE!F183)/(AV!$N$12))^2,IF(AND(AV!$T$12&lt;RASANTE!F183,F183&lt;AV!$U$12),AV!$P$12*((AV!$U$12-RASANTE!F183)/(AV!$O$12))^2,IF(AND(AV!$S$14&lt;F183,F183&lt;=AV!$T$14),AV!$P$14*((AV!$S$14-RASANTE!F183)/(AV!$N$14))^2,IF(AND(AV!$T$14&lt;RASANTE!F183,F183&lt;AV!$U$14),AV!$P$14*((AV!$U$14-RASANTE!F183)/(AV!$O$14))^2,IF(AND(AV!$S$16&lt;F183,F183&lt;=AV!$T$16),AV!$P$16*((AV!$S$16-RASANTE!F183)/(AV!$N$16))^2,IF(AND(AV!$T$16&lt;RASANTE!F183,F183&lt;AV!$U$16),AV!$P$16*((AV!$U$16-RASANTE!F183)/(AV!$O$16))^2,IF(AND(AV!$S$18&lt;F183,F183&lt;=AV!$T$18),AV!$P$18*((AV!$S$18-RASANTE!F183)/(AV!$N$18))^2,IF(AND(AV!$T$18&lt;RASANTE!F183,F183&lt;AV!$U$18),AV!$P$18*((AV!$U$18-RASANTE!F183)/(AV!$O$18))^2,IF(AND(AV!$S$20&lt;F183,F183&lt;=AV!$T$20),AV!$P$20*((AV!$S$20-RASANTE!F183)/(AV!$N$20))^2,IF(AND(AV!$T$20&lt;RASANTE!F183,F183&lt;AV!$U$20),AV!$P$20*((AV!$U$20-RASANTE!F183)/(AV!$O$20))^2,IF(AND(AV!$S$22&lt;F183,F183&lt;=AV!$T$22),AV!$P$22*((AV!$S$22-RASANTE!F183)/(AV!$N$22))^2,IF(AND(AV!$T$22&lt;RASANTE!F183,F183&lt;AV!$U$22),AV!$P$22*((AV!$U$22-RASANTE!F183)/(AV!$O$22))^2,IF(AND(AV!$S$24&lt;F183,F183&lt;=AV!$T$24),AV!$P$24*((AV!$S$24-RASANTE!F183)/(AV!$N$24))^2,IF(AND(AV!$T$24&lt;RASANTE!F183,F183&lt;AV!$U$24),AV!$P$24*((AV!$U$24-RASANTE!F183)/(AV!$O$24))^2,0))))))))))))))))))))</f>
        <v>0</v>
      </c>
      <c r="L55" s="28">
        <f>+M55+H55%*PERALTE!$C$32</f>
        <v>1647.6000000000006</v>
      </c>
      <c r="M55" s="28">
        <f t="shared" si="3"/>
        <v>1647.6700000000005</v>
      </c>
      <c r="N55" s="28">
        <f>+M55+I55%*PERALTE!$C$32</f>
        <v>1647.6000000000006</v>
      </c>
      <c r="O55" s="92"/>
      <c r="P55" s="84"/>
      <c r="Q55" s="84"/>
      <c r="R55" s="84"/>
      <c r="S55" s="84"/>
      <c r="T55" s="84"/>
      <c r="U55" s="84"/>
      <c r="V55" s="84"/>
      <c r="W55" s="84"/>
      <c r="X55" s="84"/>
      <c r="Y55" s="84"/>
    </row>
    <row r="56" spans="1:25" ht="15.75" customHeight="1" x14ac:dyDescent="0.2">
      <c r="A56" s="90"/>
      <c r="B56" s="86"/>
      <c r="C56" s="86"/>
      <c r="D56" s="86"/>
      <c r="E56" s="91"/>
      <c r="F56" s="34">
        <v>370</v>
      </c>
      <c r="G56" s="88">
        <f>IF(F56&lt;=AV!$T$6,AV!$C$5,IF(RASANTE!F56&lt;=AV!$T$8,AV!$C$7,IF(RASANTE!F56&lt;=AV!$T$10,AV!$C$9,IF(RASANTE!F56&lt;=AV!$T$12,AV!#REF!,IF(RASANTE!F56&lt;=AV!$T$14,AV!$C$11,IF(RASANTE!F56&lt;=AV!$T$16,AV!$C$13, IF(RASANTE!F56&lt;=AV!$T$18,AV!$C$15,IF(RASANTE!F56&lt;=AV!$T$20,AV!$C$19,IF(RASANTE!F56&lt;=AV!$T$22,AV!$C$21,IF(RASANTE!F56&lt;=AV!$T$24,AV!$C$23,AV!$C$25))))))))))</f>
        <v>-7.774</v>
      </c>
      <c r="H56" s="28">
        <f>+IF(AND(AH!$H$8="Izquierda",RASANTE!F56&lt;=PERALTE!$AB$6),IF(RASANTE!F56&lt;=PERALTE!$S$6,-2,IF(RASANTE!F56&lt;=PERALTE!$U$6,(-6/(PERALTE!$U$6-PERALTE!$S$6)*(RASANTE!F56-PERALTE!$S$6)-2),IF(RASANTE!F56&lt;=PERALTE!$X$6,-8,IF(RASANTE!F56&lt;=PERALTE!$Z$6,(-6/(PERALTE!$X$6-PERALTE!$Z$6)*(RASANTE!F56-PERALTE!$Z$6)-2),IF(RASANTE!F56&lt;=PERALTE!$AB$6,-2))))),IF(AND(AH!$H$8="Derecha",RASANTE!F56&lt;=PERALTE!$AB$6),IF(RASANTE!F56&lt;=PERALTE!$Q$6,-2,IF(RASANTE!F56&lt;=PERALTE!$U$6,(10/(PERALTE!$U$6-PERALTE!$Q$6)*(RASANTE!F56-PERALTE!$Q$6)-2),IF(RASANTE!F56&lt;=PERALTE!$X$6,8,IF(RASANTE!F56&lt;=PERALTE!$AB$6,(10/(PERALTE!$X$6-PERALTE!$AB$6)*(RASANTE!F56-PERALTE!$AB$6)-2))))),IF(AND(AH!$H$10="Izquierda",RASANTE!F56&lt;=PERALTE!$AB$8),IF(RASANTE!F56&lt;=PERALTE!$S$8,-2,IF(RASANTE!F56&lt;=PERALTE!$U$8,(-6/(PERALTE!$U$8-PERALTE!$S$8)*(RASANTE!F56-PERALTE!$S$8)-2),IF(RASANTE!F56&lt;=PERALTE!$X$8,-8,IF(RASANTE!F56&lt;=PERALTE!$Z$8,(-6/(PERALTE!$X$8-PERALTE!$Z$8)*(RASANTE!F56-PERALTE!$Z$8)-2),IF(RASANTE!F56&lt;=PERALTE!$AB$8,-2))))),IF(AND(AH!$H$10="Derecha",RASANTE!F56&lt;=PERALTE!$AB$8),IF(RASANTE!F56&lt;=PERALTE!$Q$8,-2,IF(RASANTE!F56&lt;=PERALTE!$U$8,(10/(PERALTE!$U$8-PERALTE!$Q$8)*(RASANTE!F56-PERALTE!$Q$8)-2),IF(RASANTE!F56&lt;=PERALTE!$X$8,8,IF(RASANTE!F56&lt;=PERALTE!$AB$8,(10/(PERALTE!$X$8-PERALTE!$AB$8)*(RASANTE!F56-PERALTE!$AB$8)-2))))),IF(AND(AH!$H$12="Izquierda",RASANTE!F56&lt;=PERALTE!$AB$10),IF(RASANTE!F56&lt;=PERALTE!$S$10,-2,IF(RASANTE!F56&lt;=PERALTE!$U$10,(-6/(PERALTE!$U$10-PERALTE!$S$10)*(RASANTE!F56-PERALTE!$S$10)-2),IF(RASANTE!F56&lt;=PERALTE!$X$10,-8,IF(RASANTE!F56&lt;=PERALTE!$Z$10,(-6/(PERALTE!$X$10-PERALTE!$Z$10)*(RASANTE!F56-PERALTE!$Z$10)-2),IF(RASANTE!F56&lt;=PERALTE!$AB$10,-2))))),IF(AND(AH!$H$12="Derecha",RASANTE!F56&lt;=PERALTE!$AB$10),IF(RASANTE!F56&lt;=PERALTE!$Q$10,-2,IF(RASANTE!F56&lt;=PERALTE!$U$10,(10/(PERALTE!$U$10-PERALTE!$Q$10)*(RASANTE!F56-PERALTE!$Q$10)-2),IF(RASANTE!F56&lt;=PERALTE!$X$10,8,IF(RASANTE!F56&lt;=PERALTE!$AB$10,(10/(PERALTE!$X$10-PERALTE!$AB$10)*(RASANTE!F56-PERALTE!$AB$10)-2))))),IF(AND(AH!$H$14="Izquierda",RASANTE!F56&lt;=PERALTE!$AB$12),IF(RASANTE!F56&lt;=PERALTE!$S$12,-2,IF(RASANTE!F56&lt;=PERALTE!$U$12,(-6/(PERALTE!$U$12-PERALTE!$S$12)*(RASANTE!F56-PERALTE!$S$12)-2),IF(RASANTE!F56&lt;=PERALTE!$X$12,-8,IF(RASANTE!F56&lt;=PERALTE!$Z$12,(-6/(PERALTE!$X$12-PERALTE!$Z$12)*(RASANTE!F56-PERALTE!$Z$12)-2),IF(RASANTE!F56&lt;=PERALTE!$AB$12,-2))))),IF(AND(AH!$H$14="Derecha",RASANTE!F56&lt;=PERALTE!$AB$12),IF(RASANTE!F56&lt;=PERALTE!$Q$12,-2,IF(RASANTE!F56&lt;=PERALTE!$U$12,(10/(PERALTE!$U$12-PERALTE!$Q$12)*(RASANTE!F56-PERALTE!$Q$12)-2),IF(RASANTE!F56&lt;=PERALTE!$X$12,8,IF(RASANTE!F56&lt;=PERALTE!$AB$12,(10/(PERALTE!$X$12-PERALTE!$AB$12)*(RASANTE!F56-PERALTE!$AB$12)-2))))),IF(AND(AH!$H$16="Izquierda",RASANTE!F56&lt;=PERALTE!$AB$14),IF(RASANTE!F56&lt;=PERALTE!$S$14,-2,IF(RASANTE!F56&lt;=PERALTE!$U$14,(-6/(PERALTE!$U$14-PERALTE!$S$14)*(RASANTE!F56-PERALTE!$S$14)-2),IF(RASANTE!F56&lt;=PERALTE!$X$14,-8,IF(RASANTE!F56&lt;=PERALTE!$Z$14,(-6/(PERALTE!$X$14-PERALTE!$Z$14)*(RASANTE!F56-PERALTE!$Z$14)-2),IF(RASANTE!F56&lt;=PERALTE!$AB$14,-2))))),IF(AND(AH!$H$16="Derecha",RASANTE!F56&lt;=PERALTE!$AB$14),IF(RASANTE!F56&lt;=PERALTE!$Q$14,-2,IF(RASANTE!F56&lt;=PERALTE!$U$14,(10/(PERALTE!$U$14-PERALTE!$Q$14)*(RASANTE!F56-PERALTE!$Q$14)-2),IF(RASANTE!F56&lt;=PERALTE!$X$14,8,IF(RASANTE!F56&lt;=PERALTE!$AB$14,(10/(PERALTE!$X$14-PERALTE!$AB$14)*(RASANTE!F56-PERALTE!$AB$14)-2))))),IF(AND(AH!$H$18="Izquierda",RASANTE!F56&lt;=PERALTE!$AB$16),IF(RASANTE!F56&lt;=PERALTE!$S$16,-2,IF(RASANTE!F56&lt;=PERALTE!$U$16,(-6/(PERALTE!$U$16-PERALTE!$S$16)*(RASANTE!F56-PERALTE!$S$16)-2),IF(RASANTE!F56&lt;=PERALTE!$X$16,-8,IF(RASANTE!F56&lt;=PERALTE!$Z$16,(-6/(PERALTE!$X$16-PERALTE!$Z$16)*(RASANTE!F56-PERALTE!$Z$16)-2),IF(RASANTE!F56&lt;=PERALTE!$AB$16,-2))))),IF(AND(AH!$H$18="Derecha",RASANTE!F56&lt;=PERALTE!$AB$16),IF(RASANTE!F56&lt;=PERALTE!$Q$16,-2,IF(RASANTE!F56&lt;=PERALTE!$U$16,(10/(PERALTE!$U$16-PERALTE!$Q$16)*(RASANTE!F56-PERALTE!$Q$16)-2),IF(RASANTE!F56&lt;=PERALTE!$X$16,8,IF(RASANTE!F56&lt;=PERALTE!$AB$16,(10/(PERALTE!$X$16-PERALTE!$AB$16)*(RASANTE!F56-PERALTE!$AB$16)-2))))),IF(AND(AH!$H$20="Izquierda",RASANTE!F56&lt;=PERALTE!$AB$18),IF(RASANTE!F56&lt;=PERALTE!$S$18,-2,IF(RASANTE!F56&lt;=PERALTE!$U$18,(-6/(PERALTE!$U$18-PERALTE!$S$18)*(RASANTE!F56-PERALTE!$S$18)-2),IF(RASANTE!F56&lt;=PERALTE!$X$18,-8,IF(RASANTE!F56&lt;=PERALTE!$Z$18,(-6/(PERALTE!$X$18-PERALTE!$Z$18)*(RASANTE!F56-PERALTE!$Z$18)-2),IF(RASANTE!F56&lt;=PERALTE!$AB$18,-2))))),IF(AND(AH!$H$20="Derecha",RASANTE!F56&lt;=PERALTE!$AB$18),IF(RASANTE!F56&lt;=PERALTE!$Q$18,-2,IF(RASANTE!F56&lt;=PERALTE!$U$18,(10/(PERALTE!$U$18-PERALTE!$Q$18)*(RASANTE!F56-PERALTE!$Q$18)-2),IF(RASANTE!F56&lt;=PERALTE!$X$18,8,IF(RASANTE!F56&lt;=PERALTE!$AB$18,(10/(PERALTE!$X$18-PERALTE!$AB$18)*(RASANTE!F56-PERALTE!$AB$18)-2))))),IF(AND(AH!$H$24="Izquierda",RASANTE!F56&lt;=PERALTE!$AB$22),IF(RASANTE!F56&lt;=PERALTE!$S$22,-2,IF(RASANTE!F56&lt;=PERALTE!$U$22,(-6/(PERALTE!$U$22-PERALTE!$S$22)*(RASANTE!F56-PERALTE!$S$22)-2),IF(RASANTE!F56&lt;=PERALTE!$X$22,-8,IF(RASANTE!F56&lt;=PERALTE!$Z$22,(-6/(PERALTE!$X$22-PERALTE!$Z$22)*(RASANTE!F56-PERALTE!$Z$22)-2),IF(RASANTE!F56&lt;=PERALTE!$AB$22,-2))))),IF(AND(AH!$H$24="Derecha",RASANTE!F56&lt;=PERALTE!$AB$22),IF(RASANTE!F56&lt;=PERALTE!$Q$22,-2,IF(RASANTE!F56&lt;=PERALTE!$U$22,(10/(PERALTE!$U$22-PERALTE!$Q$22)*(RASANTE!F56-PERALTE!$Q$22)-2),IF(RASANTE!F56&lt;=PERALTE!$X$22,8,IF(RASANTE!F56&lt;=PERALTE!$AB$22,(10/(PERALTE!$X$22-PERALTE!$AB$22)*(RASANTE!F56-PERALTE!$AB$22)-2))))),IF(AND(AH!#REF!="Izquierda",RASANTE!F56&lt;=PERALTE!#REF!),IF(RASANTE!F56&lt;=PERALTE!#REF!,-2,IF(RASANTE!F56&lt;=PERALTE!#REF!,(-6/(PERALTE!#REF!-PERALTE!#REF!)*(RASANTE!F56-PERALTE!#REF!)-2),IF(RASANTE!F56&lt;=PERALTE!#REF!,-8,IF(RASANTE!F56&lt;=PERALTE!#REF!,(-6/(PERALTE!#REF!-PERALTE!#REF!)*(RASANTE!F56-PERALTE!#REF!)-2),IF(RASANTE!F56&lt;=PERALTE!#REF!,-2))))),IF(AND(AH!#REF!="Derecha",RASANTE!F56&lt;=PERALTE!#REF!),IF(RASANTE!F56&lt;=PERALTE!#REF!,-2,IF(RASANTE!F56&lt;=PERALTE!#REF!,(10/(PERALTE!#REF!-PERALTE!#REF!)*(RASANTE!F56-PERALTE!#REF!)-2),IF(RASANTE!F56&lt;=PERALTE!#REF!,8,IF(RASANTE!F56&lt;=PERALTE!#REF!,(10/(PERALTE!#REF!-PERALTE!#REF!)*(RASANTE!F56-PERALTE!#REF!)-2))))),IF(AND(AH!#REF!="Izquierda",RASANTE!F56&lt;=PERALTE!$AB$26),IF(RASANTE!F56&lt;=PERALTE!$S$26,-2,IF(RASANTE!F56&lt;=PERALTE!$U$26,(-6/(PERALTE!$U$26-PERALTE!$S$26)*(RASANTE!F56-PERALTE!$S$26)-2),IF(RASANTE!F56&lt;=PERALTE!$X$26,-8,IF(RASANTE!F56&lt;=PERALTE!$Z$26,(-6/(PERALTE!$X$26-PERALTE!$Z$26)*(RASANTE!F56-PERALTE!$Z$26)-2),IF(RASANTE!F56&lt;=PERALTE!$AB$26,-2))))),IF(AND(AH!#REF!="Derecha",RASANTE!F56&lt;=PERALTE!$AB$26),IF(RASANTE!F56&lt;=PERALTE!$Q$26,-2,IF(RASANTE!F56&lt;=PERALTE!$U$26,(10/(PERALTE!$U$26-PERALTE!$Q$26)*(RASANTE!F56-PERALTE!$Q$26)-2),IF(RASANTE!F56&lt;=PERALTE!$X$26,8,IF(RASANTE!F56&lt;=PERALTE!$AB$26,(10/(PERALTE!$X$26-PERALTE!$AB$26)*(RASANTE!F56-PERALTE!$AB$26)-2))))),IF(F56&lt;=PERALTE!#REF!,-2,"Abscisa fuera de la vía")))))))))))))))))))))</f>
        <v>-2</v>
      </c>
      <c r="I56" s="28">
        <f>+IF(AND(AH!$H$8="Derecha",RASANTE!F56&lt;=PERALTE!$AB$6),IF(RASANTE!F56&lt;=PERALTE!$S$6,-2,IF(RASANTE!F56&lt;=PERALTE!$U$6,(-6/(PERALTE!$U$6-PERALTE!$S$6)*(RASANTE!F56-PERALTE!$S$6)-2),IF(RASANTE!F56&lt;=PERALTE!$X$6,-8,IF(RASANTE!F56&lt;=PERALTE!$Z$6,(-6/(PERALTE!$X$6-PERALTE!$Z$6)*(RASANTE!F56-PERALTE!$Z$6)-2),IF(RASANTE!F56&lt;=PERALTE!$AB$6,-2))))),IF(AND(AH!$H$8="Izquierda",RASANTE!F56&lt;=PERALTE!$AB$6),IF(RASANTE!F56&lt;=PERALTE!$Q$6,-2,IF(RASANTE!F56&lt;=PERALTE!$U$6,(10/(PERALTE!$U$6-PERALTE!$Q$6)*(RASANTE!F56-PERALTE!$Q$6)-2),IF(RASANTE!F56&lt;=PERALTE!$X$6,8,IF(RASANTE!F56&lt;=PERALTE!$AB$6,(10/(PERALTE!$X$6-PERALTE!$AB$6)*(RASANTE!F56-PERALTE!$AB$6)-2))))),IF(AND(AH!$H$10="Derecha",RASANTE!F56&lt;=PERALTE!$AB$8),IF(RASANTE!F56&lt;=PERALTE!$S$8,-2,IF(RASANTE!F56&lt;=PERALTE!$U$8,(-6/(PERALTE!$U$8-PERALTE!$S$8)*(RASANTE!F56-PERALTE!$S$8)-2),IF(RASANTE!F56&lt;=PERALTE!$X$8,-8,IF(RASANTE!F56&lt;=PERALTE!$Z$8,(-6/(PERALTE!$X$8-PERALTE!$Z$8)*(RASANTE!F56-PERALTE!$Z$8)-2),IF(RASANTE!F56&lt;=PERALTE!$AB$8,-2))))),IF(AND(AH!$H$10="Izquierda",RASANTE!F56&lt;=PERALTE!$AB$8),IF(RASANTE!F56&lt;=PERALTE!$Q$8,-2,IF(RASANTE!F56&lt;=PERALTE!$U$8,(10/(PERALTE!$U$8-PERALTE!$Q$8)*(RASANTE!F56-PERALTE!$Q$8)-2),IF(RASANTE!F56&lt;=PERALTE!$X$8,8,IF(RASANTE!F56&lt;=PERALTE!$AB$8,(10/(PERALTE!$X$8-PERALTE!$AB$8)*(RASANTE!F56-PERALTE!$AB$8)-2))))),IF(AND(AH!$H$12="Derecha",RASANTE!F56&lt;=PERALTE!$AB$10),IF(RASANTE!F56&lt;=PERALTE!$S$10,-2,IF(RASANTE!F56&lt;=PERALTE!$U$10,(-6/(PERALTE!$U$10-PERALTE!$S$10)*(RASANTE!F56-PERALTE!$S$10)-2),IF(RASANTE!F56&lt;=PERALTE!$X$10,-8,IF(RASANTE!F56&lt;=PERALTE!$Z$10,(-6/(PERALTE!$X$10-PERALTE!$Z$10)*(RASANTE!F56-PERALTE!$Z$10)-2),IF(RASANTE!F56&lt;=PERALTE!$AB$10,-2))))),IF(AND(AH!$H$12="Izquierda",RASANTE!F56&lt;=PERALTE!$AB$10),IF(RASANTE!F56&lt;=PERALTE!$Q$10,-2,IF(RASANTE!F56&lt;=PERALTE!$U$10,(10/(PERALTE!$U$10-PERALTE!$Q$10)*(RASANTE!F56-PERALTE!$Q$10)-2),IF(RASANTE!F56&lt;=PERALTE!$X$10,8,IF(RASANTE!F56&lt;=PERALTE!$AB$10,(10/(PERALTE!$X$10-PERALTE!$AB$10)*(RASANTE!F56-PERALTE!$AB$10)-2))))),IF(AND(AH!$H$14="Derecha",RASANTE!F56&lt;=PERALTE!$AB$12),IF(RASANTE!F56&lt;=PERALTE!$S$12,-2,IF(RASANTE!F56&lt;=PERALTE!$U$12,(-6/(PERALTE!$U$12-PERALTE!$S$12)*(RASANTE!F56-PERALTE!$S$12)-2),IF(RASANTE!F56&lt;=PERALTE!$X$12,-8,IF(RASANTE!F56&lt;=PERALTE!$Z$12,(-6/(PERALTE!$X$12-PERALTE!$Z$12)*(RASANTE!F56-PERALTE!$Z$12)-2),IF(RASANTE!F56&lt;=PERALTE!$AB$12,-2))))),IF(AND(AH!$H$14="Izquierda",RASANTE!F56&lt;=PERALTE!$AB$12),IF(RASANTE!F56&lt;=PERALTE!$Q$12,-2,IF(RASANTE!F56&lt;=PERALTE!$U$12,(10/(PERALTE!$U$12-PERALTE!$Q$12)*(RASANTE!F56-PERALTE!$Q$12)-2),IF(RASANTE!F56&lt;=PERALTE!$X$12,8,IF(RASANTE!F56&lt;=PERALTE!$AB$12,(10/(PERALTE!$X$12-PERALTE!$AB$12)*(RASANTE!F56-PERALTE!$AB$12)-2))))),IF(AND(AH!$H$16="Derecha",RASANTE!F56&lt;=PERALTE!$AB$14),IF(RASANTE!F56&lt;=PERALTE!$S$14,-2,IF(RASANTE!F56&lt;=PERALTE!$U$14,(-6/(PERALTE!$U$14-PERALTE!$S$14)*(RASANTE!F56-PERALTE!$S$14)-2),IF(RASANTE!F56&lt;=PERALTE!$X$14,-8,IF(RASANTE!F56&lt;=PERALTE!$Z$14,(-6/(PERALTE!$X$14-PERALTE!$Z$14)*(RASANTE!F56-PERALTE!$Z$14)-2),IF(RASANTE!F56&lt;=PERALTE!$AB$14,-2))))),IF(AND(AH!$H$16="Izquierda",RASANTE!F56&lt;=PERALTE!$AB$14),IF(RASANTE!F56&lt;=PERALTE!$Q$14,-2,IF(RASANTE!F56&lt;=PERALTE!$U$14,(10/(PERALTE!$U$14-PERALTE!$Q$14)*(RASANTE!F56-PERALTE!$Q$14)-2),IF(RASANTE!F56&lt;=PERALTE!$X$14,8,IF(RASANTE!F56&lt;=PERALTE!$AB$14,(10/(PERALTE!$X$14-PERALTE!$AB$14)*(RASANTE!F56-PERALTE!$AB$14)-2))))),IF(AND(AH!$H$18="Derecha",RASANTE!F56&lt;=PERALTE!$AB$16),IF(RASANTE!F56&lt;=PERALTE!$S$16,-2,IF(RASANTE!F56&lt;=PERALTE!$U$16,(-6/(PERALTE!$U$16-PERALTE!$S$16)*(RASANTE!F56-PERALTE!$S$16)-2),IF(RASANTE!F56&lt;=PERALTE!$X$16,-8,IF(RASANTE!F56&lt;=PERALTE!$Z$16,(-6/(PERALTE!$X$16-PERALTE!$Z$16)*(RASANTE!F56-PERALTE!$Z$16)-2),IF(RASANTE!F56&lt;=PERALTE!$AB$16,-2))))),IF(AND(AH!$H$18="Izquierda",RASANTE!F56&lt;=PERALTE!$AB$16),IF(RASANTE!F56&lt;=PERALTE!$Q$16,-2,IF(RASANTE!F56&lt;=PERALTE!$U$16,(10/(PERALTE!$U$16-PERALTE!$Q$16)*(RASANTE!F56-PERALTE!$Q$16)-2),IF(RASANTE!F56&lt;=PERALTE!$X$16,8,IF(RASANTE!F56&lt;=PERALTE!$AB$16,(10/(PERALTE!$X$16-PERALTE!$AB$16)*(RASANTE!F56-PERALTE!$AB$16)-2))))),IF(AND(AH!$H$20="Derecha",RASANTE!F56&lt;=PERALTE!$AB$18),IF(RASANTE!F56&lt;=PERALTE!$S$18,-2,IF(RASANTE!F56&lt;=PERALTE!$U$18,(-6/(PERALTE!$U$18-PERALTE!$S$18)*(RASANTE!F56-PERALTE!$S$18)-2),IF(RASANTE!F56&lt;=PERALTE!$X$18,-8,IF(RASANTE!F56&lt;=PERALTE!$Z$18,(-6/(PERALTE!$X$18-PERALTE!$Z$18)*(RASANTE!F56-PERALTE!$Z$18)-2),IF(RASANTE!F56&lt;=PERALTE!$AB$18,-2))))),IF(AND(AH!$H$20="Izquierda",RASANTE!F56&lt;=PERALTE!$AB$18),IF(RASANTE!F56&lt;=PERALTE!$Q$18,-2,IF(RASANTE!F56&lt;=PERALTE!$U$18,(10/(PERALTE!$U$18-PERALTE!$Q$18)*(RASANTE!F56-PERALTE!$Q$18)-2),IF(RASANTE!F56&lt;=PERALTE!$X$18,8,IF(RASANTE!F56&lt;=PERALTE!$AB$18,(10/(PERALTE!$X$18-PERALTE!$AB$18)*(RASANTE!F56-PERALTE!$AB$18)-2))))),IF(AND(AH!$H$24="Derecha",RASANTE!F56&lt;=PERALTE!$AB$22),IF(RASANTE!F56&lt;=PERALTE!$S$22,-2,IF(RASANTE!F56&lt;=PERALTE!$U$22,(-6/(PERALTE!$U$22-PERALTE!$S$22)*(RASANTE!F56-PERALTE!$S$22)-2),IF(RASANTE!F56&lt;=PERALTE!$X$22,-8,IF(RASANTE!F56&lt;=PERALTE!$Z$22,(-6/(PERALTE!$X$22-PERALTE!$Z$22)*(RASANTE!F56-PERALTE!$Z$22)-2),IF(RASANTE!F56&lt;=PERALTE!$AB$22,-2))))),IF(AND(AH!$H$24="Izquierda",RASANTE!F56&lt;=PERALTE!$AB$22),IF(RASANTE!F56&lt;=PERALTE!$Q$22,-2,IF(RASANTE!F56&lt;=PERALTE!$U$22,(10/(PERALTE!$U$22-PERALTE!$Q$22)*(RASANTE!F56-PERALTE!$Q$22)-2),IF(RASANTE!F56&lt;=PERALTE!$X$22,8,IF(RASANTE!F56&lt;=PERALTE!$AB$22,(10/(PERALTE!$X$22-PERALTE!$AB$22)*(RASANTE!F56-PERALTE!$AB$22)-2))))),IF(AND(AH!#REF!="Derecha",RASANTE!F56&lt;=PERALTE!#REF!),IF(RASANTE!F56&lt;=PERALTE!#REF!,-2,IF(RASANTE!F56&lt;=PERALTE!#REF!,(-6/(PERALTE!#REF!-PERALTE!#REF!)*(RASANTE!F56-PERALTE!#REF!)-2),IF(RASANTE!F56&lt;=PERALTE!#REF!,-8,IF(RASANTE!F56&lt;=PERALTE!#REF!,(-6/(PERALTE!#REF!-PERALTE!#REF!)*(RASANTE!F56-PERALTE!#REF!)-2),IF(RASANTE!F56&lt;=PERALTE!#REF!,-2))))),IF(AND(AH!#REF!="Izquierda",RASANTE!F56&lt;=PERALTE!#REF!),IF(RASANTE!F56&lt;=PERALTE!#REF!,-2,IF(RASANTE!F56&lt;=PERALTE!#REF!,(10/(PERALTE!#REF!-PERALTE!#REF!)*(RASANTE!F56-PERALTE!#REF!)-2),IF(RASANTE!F56&lt;=PERALTE!#REF!,8,IF(RASANTE!F56&lt;=PERALTE!#REF!,(10/(PERALTE!#REF!-PERALTE!#REF!)*(RASANTE!F56-PERALTE!#REF!)-2))))),IF(AND(AH!#REF!="Derecha",RASANTE!F56&lt;=PERALTE!$AB$26),IF(RASANTE!F56&lt;=PERALTE!$S$26,-2,IF(RASANTE!F56&lt;=PERALTE!$U$26,(-6/(PERALTE!$U$26-PERALTE!$S$26)*(RASANTE!F56-PERALTE!$S$26)-2),IF(RASANTE!F56&lt;=PERALTE!$X$26,-8,IF(RASANTE!F56&lt;=PERALTE!$Z$26,(-6/(PERALTE!$X$26-PERALTE!$Z$26)*(RASANTE!F56-PERALTE!$Z$26)-2),IF(RASANTE!F56&lt;=PERALTE!$AB$26,-2))))),IF(AND(AH!#REF!="Izquierda",RASANTE!F56&lt;=PERALTE!$AB$26),IF(RASANTE!F56&lt;=PERALTE!$Q$26,-2,IF(RASANTE!F56&lt;=PERALTE!$U$26,(10/(PERALTE!$U$26-PERALTE!$Q$26)*(RASANTE!F56-PERALTE!$Q$26)-2),IF(RASANTE!F56&lt;=PERALTE!$X$26,8,IF(RASANTE!F56&lt;=PERALTE!$AB$26,(10/(PERALTE!$X$26-PERALTE!$AB$26)*(RASANTE!F56-PERALTE!$AB$26)-2))))),IF(F56&lt;=PERALTE!#REF!,-2,"Abscisa fuera de la vía")))))))))))))))))))))</f>
        <v>-2</v>
      </c>
      <c r="J56" s="28">
        <f t="shared" si="1"/>
        <v>1646.8926000000006</v>
      </c>
      <c r="K56" s="28">
        <f>+IF(AND(AV!$S$6&lt;F184,F184&lt;=AV!$T$6),AV!$P$6*((AV!$S$6-RASANTE!F184)/(AV!$N$6))^2,IF(AND(AV!$T$6&lt;RASANTE!F184,F184&lt;AV!$U$6),AV!$P$6*((AV!$U$6-RASANTE!F184)/(AV!$O$6))^2,IF(AND(AV!$S$8&lt;F184,F184&lt;=AV!$T$8),AV!$P$8*((AV!$S$8-RASANTE!F184)/(AV!$N$8))^2,IF(AND(AV!$T$8&lt;RASANTE!F184,F184&lt;AV!$U$8),AV!$P$8*((AV!$U$8-RASANTE!F184)/(AV!$O$8))^2,IF(AND(AV!$S$10&lt;F184,F184&lt;=AV!$T$10),AV!$P$10*((AV!$S$10-RASANTE!F184)/(AV!$N$10))^2,IF(AND(AV!$T$10&lt;RASANTE!F184,F184&lt;AV!$U$10),AV!$P$10*((AV!$U$10-RASANTE!F184)/(AV!$O$10))^2,IF(AND(AV!$S$12&lt;F184,F184&lt;=AV!$T$12),AV!$P$12*((AV!$S$12-RASANTE!F184)/(AV!$N$12))^2,IF(AND(AV!$T$12&lt;RASANTE!F184,F184&lt;AV!$U$12),AV!$P$12*((AV!$U$12-RASANTE!F184)/(AV!$O$12))^2,IF(AND(AV!$S$14&lt;F184,F184&lt;=AV!$T$14),AV!$P$14*((AV!$S$14-RASANTE!F184)/(AV!$N$14))^2,IF(AND(AV!$T$14&lt;RASANTE!F184,F184&lt;AV!$U$14),AV!$P$14*((AV!$U$14-RASANTE!F184)/(AV!$O$14))^2,IF(AND(AV!$S$16&lt;F184,F184&lt;=AV!$T$16),AV!$P$16*((AV!$S$16-RASANTE!F184)/(AV!$N$16))^2,IF(AND(AV!$T$16&lt;RASANTE!F184,F184&lt;AV!$U$16),AV!$P$16*((AV!$U$16-RASANTE!F184)/(AV!$O$16))^2,IF(AND(AV!$S$18&lt;F184,F184&lt;=AV!$T$18),AV!$P$18*((AV!$S$18-RASANTE!F184)/(AV!$N$18))^2,IF(AND(AV!$T$18&lt;RASANTE!F184,F184&lt;AV!$U$18),AV!$P$18*((AV!$U$18-RASANTE!F184)/(AV!$O$18))^2,IF(AND(AV!$S$20&lt;F184,F184&lt;=AV!$T$20),AV!$P$20*((AV!$S$20-RASANTE!F184)/(AV!$N$20))^2,IF(AND(AV!$T$20&lt;RASANTE!F184,F184&lt;AV!$U$20),AV!$P$20*((AV!$U$20-RASANTE!F184)/(AV!$O$20))^2,IF(AND(AV!$S$22&lt;F184,F184&lt;=AV!$T$22),AV!$P$22*((AV!$S$22-RASANTE!F184)/(AV!$N$22))^2,IF(AND(AV!$T$22&lt;RASANTE!F184,F184&lt;AV!$U$22),AV!$P$22*((AV!$U$22-RASANTE!F184)/(AV!$O$22))^2,IF(AND(AV!$S$24&lt;F184,F184&lt;=AV!$T$24),AV!$P$24*((AV!$S$24-RASANTE!F184)/(AV!$N$24))^2,IF(AND(AV!$T$24&lt;RASANTE!F184,F184&lt;AV!$U$24),AV!$P$24*((AV!$U$24-RASANTE!F184)/(AV!$O$24))^2,0))))))))))))))))))))</f>
        <v>0</v>
      </c>
      <c r="L56" s="28">
        <f>+M56+H56%*PERALTE!$C$32</f>
        <v>1646.8226000000006</v>
      </c>
      <c r="M56" s="28">
        <f t="shared" si="3"/>
        <v>1646.8926000000006</v>
      </c>
      <c r="N56" s="28">
        <f>+M56+I56%*PERALTE!$C$32</f>
        <v>1646.8226000000006</v>
      </c>
      <c r="O56" s="92"/>
      <c r="P56" s="84"/>
      <c r="Q56" s="84"/>
      <c r="R56" s="84"/>
      <c r="S56" s="84"/>
      <c r="T56" s="84"/>
      <c r="U56" s="84"/>
      <c r="V56" s="84"/>
      <c r="W56" s="84"/>
      <c r="X56" s="84"/>
      <c r="Y56" s="84"/>
    </row>
    <row r="57" spans="1:25" ht="15.75" customHeight="1" x14ac:dyDescent="0.2">
      <c r="A57" s="90" t="s">
        <v>319</v>
      </c>
      <c r="B57" s="86"/>
      <c r="C57" s="86"/>
      <c r="D57" s="86"/>
      <c r="E57" s="91"/>
      <c r="F57" s="34">
        <f>PERALTE!Q8</f>
        <v>370.53678449629444</v>
      </c>
      <c r="G57" s="88">
        <f>IF(F57&lt;=AV!$T$6,AV!$C$5,IF(RASANTE!F57&lt;=AV!$T$8,AV!$C$7,IF(RASANTE!F57&lt;=AV!$T$10,AV!$C$9,IF(RASANTE!F57&lt;=AV!$T$12,AV!#REF!,IF(RASANTE!F57&lt;=AV!$T$14,AV!$C$11,IF(RASANTE!F57&lt;=AV!$T$16,AV!$C$13, IF(RASANTE!F57&lt;=AV!$T$18,AV!$C$15,IF(RASANTE!F57&lt;=AV!$T$20,AV!$C$19,IF(RASANTE!F57&lt;=AV!$T$22,AV!$C$21,IF(RASANTE!F57&lt;=AV!$T$24,AV!$C$23,AV!$C$25))))))))))</f>
        <v>-7.774</v>
      </c>
      <c r="H57" s="28">
        <f>+IF(AND(AH!$H$8="Izquierda",RASANTE!F57&lt;=PERALTE!$AB$6),IF(RASANTE!F57&lt;=PERALTE!$S$6,-2,IF(RASANTE!F57&lt;=PERALTE!$U$6,(-6/(PERALTE!$U$6-PERALTE!$S$6)*(RASANTE!F57-PERALTE!$S$6)-2),IF(RASANTE!F57&lt;=PERALTE!$X$6,-8,IF(RASANTE!F57&lt;=PERALTE!$Z$6,(-6/(PERALTE!$X$6-PERALTE!$Z$6)*(RASANTE!F57-PERALTE!$Z$6)-2),IF(RASANTE!F57&lt;=PERALTE!$AB$6,-2))))),IF(AND(AH!$H$8="Derecha",RASANTE!F57&lt;=PERALTE!$AB$6),IF(RASANTE!F57&lt;=PERALTE!$Q$6,-2,IF(RASANTE!F57&lt;=PERALTE!$U$6,(10/(PERALTE!$U$6-PERALTE!$Q$6)*(RASANTE!F57-PERALTE!$Q$6)-2),IF(RASANTE!F57&lt;=PERALTE!$X$6,8,IF(RASANTE!F57&lt;=PERALTE!$AB$6,(10/(PERALTE!$X$6-PERALTE!$AB$6)*(RASANTE!F57-PERALTE!$AB$6)-2))))),IF(AND(AH!$H$10="Izquierda",RASANTE!F57&lt;=PERALTE!$AB$8),IF(RASANTE!F57&lt;=PERALTE!$S$8,-2,IF(RASANTE!F57&lt;=PERALTE!$U$8,(-6/(PERALTE!$U$8-PERALTE!$S$8)*(RASANTE!F57-PERALTE!$S$8)-2),IF(RASANTE!F57&lt;=PERALTE!$X$8,-8,IF(RASANTE!F57&lt;=PERALTE!$Z$8,(-6/(PERALTE!$X$8-PERALTE!$Z$8)*(RASANTE!F57-PERALTE!$Z$8)-2),IF(RASANTE!F57&lt;=PERALTE!$AB$8,-2))))),IF(AND(AH!$H$10="Derecha",RASANTE!F57&lt;=PERALTE!$AB$8),IF(RASANTE!F57&lt;=PERALTE!$Q$8,-2,IF(RASANTE!F57&lt;=PERALTE!$U$8,(10/(PERALTE!$U$8-PERALTE!$Q$8)*(RASANTE!F57-PERALTE!$Q$8)-2),IF(RASANTE!F57&lt;=PERALTE!$X$8,8,IF(RASANTE!F57&lt;=PERALTE!$AB$8,(10/(PERALTE!$X$8-PERALTE!$AB$8)*(RASANTE!F57-PERALTE!$AB$8)-2))))),IF(AND(AH!$H$12="Izquierda",RASANTE!F57&lt;=PERALTE!$AB$10),IF(RASANTE!F57&lt;=PERALTE!$S$10,-2,IF(RASANTE!F57&lt;=PERALTE!$U$10,(-6/(PERALTE!$U$10-PERALTE!$S$10)*(RASANTE!F57-PERALTE!$S$10)-2),IF(RASANTE!F57&lt;=PERALTE!$X$10,-8,IF(RASANTE!F57&lt;=PERALTE!$Z$10,(-6/(PERALTE!$X$10-PERALTE!$Z$10)*(RASANTE!F57-PERALTE!$Z$10)-2),IF(RASANTE!F57&lt;=PERALTE!$AB$10,-2))))),IF(AND(AH!$H$12="Derecha",RASANTE!F57&lt;=PERALTE!$AB$10),IF(RASANTE!F57&lt;=PERALTE!$Q$10,-2,IF(RASANTE!F57&lt;=PERALTE!$U$10,(10/(PERALTE!$U$10-PERALTE!$Q$10)*(RASANTE!F57-PERALTE!$Q$10)-2),IF(RASANTE!F57&lt;=PERALTE!$X$10,8,IF(RASANTE!F57&lt;=PERALTE!$AB$10,(10/(PERALTE!$X$10-PERALTE!$AB$10)*(RASANTE!F57-PERALTE!$AB$10)-2))))),IF(AND(AH!$H$14="Izquierda",RASANTE!F57&lt;=PERALTE!$AB$12),IF(RASANTE!F57&lt;=PERALTE!$S$12,-2,IF(RASANTE!F57&lt;=PERALTE!$U$12,(-6/(PERALTE!$U$12-PERALTE!$S$12)*(RASANTE!F57-PERALTE!$S$12)-2),IF(RASANTE!F57&lt;=PERALTE!$X$12,-8,IF(RASANTE!F57&lt;=PERALTE!$Z$12,(-6/(PERALTE!$X$12-PERALTE!$Z$12)*(RASANTE!F57-PERALTE!$Z$12)-2),IF(RASANTE!F57&lt;=PERALTE!$AB$12,-2))))),IF(AND(AH!$H$14="Derecha",RASANTE!F57&lt;=PERALTE!$AB$12),IF(RASANTE!F57&lt;=PERALTE!$Q$12,-2,IF(RASANTE!F57&lt;=PERALTE!$U$12,(10/(PERALTE!$U$12-PERALTE!$Q$12)*(RASANTE!F57-PERALTE!$Q$12)-2),IF(RASANTE!F57&lt;=PERALTE!$X$12,8,IF(RASANTE!F57&lt;=PERALTE!$AB$12,(10/(PERALTE!$X$12-PERALTE!$AB$12)*(RASANTE!F57-PERALTE!$AB$12)-2))))),IF(AND(AH!$H$16="Izquierda",RASANTE!F57&lt;=PERALTE!$AB$14),IF(RASANTE!F57&lt;=PERALTE!$S$14,-2,IF(RASANTE!F57&lt;=PERALTE!$U$14,(-6/(PERALTE!$U$14-PERALTE!$S$14)*(RASANTE!F57-PERALTE!$S$14)-2),IF(RASANTE!F57&lt;=PERALTE!$X$14,-8,IF(RASANTE!F57&lt;=PERALTE!$Z$14,(-6/(PERALTE!$X$14-PERALTE!$Z$14)*(RASANTE!F57-PERALTE!$Z$14)-2),IF(RASANTE!F57&lt;=PERALTE!$AB$14,-2))))),IF(AND(AH!$H$16="Derecha",RASANTE!F57&lt;=PERALTE!$AB$14),IF(RASANTE!F57&lt;=PERALTE!$Q$14,-2,IF(RASANTE!F57&lt;=PERALTE!$U$14,(10/(PERALTE!$U$14-PERALTE!$Q$14)*(RASANTE!F57-PERALTE!$Q$14)-2),IF(RASANTE!F57&lt;=PERALTE!$X$14,8,IF(RASANTE!F57&lt;=PERALTE!$AB$14,(10/(PERALTE!$X$14-PERALTE!$AB$14)*(RASANTE!F57-PERALTE!$AB$14)-2))))),IF(AND(AH!$H$18="Izquierda",RASANTE!F57&lt;=PERALTE!$AB$16),IF(RASANTE!F57&lt;=PERALTE!$S$16,-2,IF(RASANTE!F57&lt;=PERALTE!$U$16,(-6/(PERALTE!$U$16-PERALTE!$S$16)*(RASANTE!F57-PERALTE!$S$16)-2),IF(RASANTE!F57&lt;=PERALTE!$X$16,-8,IF(RASANTE!F57&lt;=PERALTE!$Z$16,(-6/(PERALTE!$X$16-PERALTE!$Z$16)*(RASANTE!F57-PERALTE!$Z$16)-2),IF(RASANTE!F57&lt;=PERALTE!$AB$16,-2))))),IF(AND(AH!$H$18="Derecha",RASANTE!F57&lt;=PERALTE!$AB$16),IF(RASANTE!F57&lt;=PERALTE!$Q$16,-2,IF(RASANTE!F57&lt;=PERALTE!$U$16,(10/(PERALTE!$U$16-PERALTE!$Q$16)*(RASANTE!F57-PERALTE!$Q$16)-2),IF(RASANTE!F57&lt;=PERALTE!$X$16,8,IF(RASANTE!F57&lt;=PERALTE!$AB$16,(10/(PERALTE!$X$16-PERALTE!$AB$16)*(RASANTE!F57-PERALTE!$AB$16)-2))))),IF(AND(AH!$H$20="Izquierda",RASANTE!F57&lt;=PERALTE!$AB$18),IF(RASANTE!F57&lt;=PERALTE!$S$18,-2,IF(RASANTE!F57&lt;=PERALTE!$U$18,(-6/(PERALTE!$U$18-PERALTE!$S$18)*(RASANTE!F57-PERALTE!$S$18)-2),IF(RASANTE!F57&lt;=PERALTE!$X$18,-8,IF(RASANTE!F57&lt;=PERALTE!$Z$18,(-6/(PERALTE!$X$18-PERALTE!$Z$18)*(RASANTE!F57-PERALTE!$Z$18)-2),IF(RASANTE!F57&lt;=PERALTE!$AB$18,-2))))),IF(AND(AH!$H$20="Derecha",RASANTE!F57&lt;=PERALTE!$AB$18),IF(RASANTE!F57&lt;=PERALTE!$Q$18,-2,IF(RASANTE!F57&lt;=PERALTE!$U$18,(10/(PERALTE!$U$18-PERALTE!$Q$18)*(RASANTE!F57-PERALTE!$Q$18)-2),IF(RASANTE!F57&lt;=PERALTE!$X$18,8,IF(RASANTE!F57&lt;=PERALTE!$AB$18,(10/(PERALTE!$X$18-PERALTE!$AB$18)*(RASANTE!F57-PERALTE!$AB$18)-2))))),IF(AND(AH!$H$24="Izquierda",RASANTE!F57&lt;=PERALTE!$AB$22),IF(RASANTE!F57&lt;=PERALTE!$S$22,-2,IF(RASANTE!F57&lt;=PERALTE!$U$22,(-6/(PERALTE!$U$22-PERALTE!$S$22)*(RASANTE!F57-PERALTE!$S$22)-2),IF(RASANTE!F57&lt;=PERALTE!$X$22,-8,IF(RASANTE!F57&lt;=PERALTE!$Z$22,(-6/(PERALTE!$X$22-PERALTE!$Z$22)*(RASANTE!F57-PERALTE!$Z$22)-2),IF(RASANTE!F57&lt;=PERALTE!$AB$22,-2))))),IF(AND(AH!$H$24="Derecha",RASANTE!F57&lt;=PERALTE!$AB$22),IF(RASANTE!F57&lt;=PERALTE!$Q$22,-2,IF(RASANTE!F57&lt;=PERALTE!$U$22,(10/(PERALTE!$U$22-PERALTE!$Q$22)*(RASANTE!F57-PERALTE!$Q$22)-2),IF(RASANTE!F57&lt;=PERALTE!$X$22,8,IF(RASANTE!F57&lt;=PERALTE!$AB$22,(10/(PERALTE!$X$22-PERALTE!$AB$22)*(RASANTE!F57-PERALTE!$AB$22)-2))))),IF(AND(AH!#REF!="Izquierda",RASANTE!F57&lt;=PERALTE!#REF!),IF(RASANTE!F57&lt;=PERALTE!#REF!,-2,IF(RASANTE!F57&lt;=PERALTE!#REF!,(-6/(PERALTE!#REF!-PERALTE!#REF!)*(RASANTE!F57-PERALTE!#REF!)-2),IF(RASANTE!F57&lt;=PERALTE!#REF!,-8,IF(RASANTE!F57&lt;=PERALTE!#REF!,(-6/(PERALTE!#REF!-PERALTE!#REF!)*(RASANTE!F57-PERALTE!#REF!)-2),IF(RASANTE!F57&lt;=PERALTE!#REF!,-2))))),IF(AND(AH!#REF!="Derecha",RASANTE!F57&lt;=PERALTE!#REF!),IF(RASANTE!F57&lt;=PERALTE!#REF!,-2,IF(RASANTE!F57&lt;=PERALTE!#REF!,(10/(PERALTE!#REF!-PERALTE!#REF!)*(RASANTE!F57-PERALTE!#REF!)-2),IF(RASANTE!F57&lt;=PERALTE!#REF!,8,IF(RASANTE!F57&lt;=PERALTE!#REF!,(10/(PERALTE!#REF!-PERALTE!#REF!)*(RASANTE!F57-PERALTE!#REF!)-2))))),IF(AND(AH!#REF!="Izquierda",RASANTE!F57&lt;=PERALTE!$AB$26),IF(RASANTE!F57&lt;=PERALTE!$S$26,-2,IF(RASANTE!F57&lt;=PERALTE!$U$26,(-6/(PERALTE!$U$26-PERALTE!$S$26)*(RASANTE!F57-PERALTE!$S$26)-2),IF(RASANTE!F57&lt;=PERALTE!$X$26,-8,IF(RASANTE!F57&lt;=PERALTE!$Z$26,(-6/(PERALTE!$X$26-PERALTE!$Z$26)*(RASANTE!F57-PERALTE!$Z$26)-2),IF(RASANTE!F57&lt;=PERALTE!$AB$26,-2))))),IF(AND(AH!#REF!="Derecha",RASANTE!F57&lt;=PERALTE!$AB$26),IF(RASANTE!F57&lt;=PERALTE!$Q$26,-2,IF(RASANTE!F57&lt;=PERALTE!$U$26,(10/(PERALTE!$U$26-PERALTE!$Q$26)*(RASANTE!F57-PERALTE!$Q$26)-2),IF(RASANTE!F57&lt;=PERALTE!$X$26,8,IF(RASANTE!F57&lt;=PERALTE!$AB$26,(10/(PERALTE!$X$26-PERALTE!$AB$26)*(RASANTE!F57-PERALTE!$AB$26)-2))))),IF(F57&lt;=PERALTE!#REF!,-2,"Abscisa fuera de la vía")))))))))))))))))))))</f>
        <v>-2</v>
      </c>
      <c r="I57" s="28">
        <f>+IF(AND(AH!$H$8="Derecha",RASANTE!F57&lt;=PERALTE!$AB$6),IF(RASANTE!F57&lt;=PERALTE!$S$6,-2,IF(RASANTE!F57&lt;=PERALTE!$U$6,(-6/(PERALTE!$U$6-PERALTE!$S$6)*(RASANTE!F57-PERALTE!$S$6)-2),IF(RASANTE!F57&lt;=PERALTE!$X$6,-8,IF(RASANTE!F57&lt;=PERALTE!$Z$6,(-6/(PERALTE!$X$6-PERALTE!$Z$6)*(RASANTE!F57-PERALTE!$Z$6)-2),IF(RASANTE!F57&lt;=PERALTE!$AB$6,-2))))),IF(AND(AH!$H$8="Izquierda",RASANTE!F57&lt;=PERALTE!$AB$6),IF(RASANTE!F57&lt;=PERALTE!$Q$6,-2,IF(RASANTE!F57&lt;=PERALTE!$U$6,(10/(PERALTE!$U$6-PERALTE!$Q$6)*(RASANTE!F57-PERALTE!$Q$6)-2),IF(RASANTE!F57&lt;=PERALTE!$X$6,8,IF(RASANTE!F57&lt;=PERALTE!$AB$6,(10/(PERALTE!$X$6-PERALTE!$AB$6)*(RASANTE!F57-PERALTE!$AB$6)-2))))),IF(AND(AH!$H$10="Derecha",RASANTE!F57&lt;=PERALTE!$AB$8),IF(RASANTE!F57&lt;=PERALTE!$S$8,-2,IF(RASANTE!F57&lt;=PERALTE!$U$8,(-6/(PERALTE!$U$8-PERALTE!$S$8)*(RASANTE!F57-PERALTE!$S$8)-2),IF(RASANTE!F57&lt;=PERALTE!$X$8,-8,IF(RASANTE!F57&lt;=PERALTE!$Z$8,(-6/(PERALTE!$X$8-PERALTE!$Z$8)*(RASANTE!F57-PERALTE!$Z$8)-2),IF(RASANTE!F57&lt;=PERALTE!$AB$8,-2))))),IF(AND(AH!$H$10="Izquierda",RASANTE!F57&lt;=PERALTE!$AB$8),IF(RASANTE!F57&lt;=PERALTE!$Q$8,-2,IF(RASANTE!F57&lt;=PERALTE!$U$8,(10/(PERALTE!$U$8-PERALTE!$Q$8)*(RASANTE!F57-PERALTE!$Q$8)-2),IF(RASANTE!F57&lt;=PERALTE!$X$8,8,IF(RASANTE!F57&lt;=PERALTE!$AB$8,(10/(PERALTE!$X$8-PERALTE!$AB$8)*(RASANTE!F57-PERALTE!$AB$8)-2))))),IF(AND(AH!$H$12="Derecha",RASANTE!F57&lt;=PERALTE!$AB$10),IF(RASANTE!F57&lt;=PERALTE!$S$10,-2,IF(RASANTE!F57&lt;=PERALTE!$U$10,(-6/(PERALTE!$U$10-PERALTE!$S$10)*(RASANTE!F57-PERALTE!$S$10)-2),IF(RASANTE!F57&lt;=PERALTE!$X$10,-8,IF(RASANTE!F57&lt;=PERALTE!$Z$10,(-6/(PERALTE!$X$10-PERALTE!$Z$10)*(RASANTE!F57-PERALTE!$Z$10)-2),IF(RASANTE!F57&lt;=PERALTE!$AB$10,-2))))),IF(AND(AH!$H$12="Izquierda",RASANTE!F57&lt;=PERALTE!$AB$10),IF(RASANTE!F57&lt;=PERALTE!$Q$10,-2,IF(RASANTE!F57&lt;=PERALTE!$U$10,(10/(PERALTE!$U$10-PERALTE!$Q$10)*(RASANTE!F57-PERALTE!$Q$10)-2),IF(RASANTE!F57&lt;=PERALTE!$X$10,8,IF(RASANTE!F57&lt;=PERALTE!$AB$10,(10/(PERALTE!$X$10-PERALTE!$AB$10)*(RASANTE!F57-PERALTE!$AB$10)-2))))),IF(AND(AH!$H$14="Derecha",RASANTE!F57&lt;=PERALTE!$AB$12),IF(RASANTE!F57&lt;=PERALTE!$S$12,-2,IF(RASANTE!F57&lt;=PERALTE!$U$12,(-6/(PERALTE!$U$12-PERALTE!$S$12)*(RASANTE!F57-PERALTE!$S$12)-2),IF(RASANTE!F57&lt;=PERALTE!$X$12,-8,IF(RASANTE!F57&lt;=PERALTE!$Z$12,(-6/(PERALTE!$X$12-PERALTE!$Z$12)*(RASANTE!F57-PERALTE!$Z$12)-2),IF(RASANTE!F57&lt;=PERALTE!$AB$12,-2))))),IF(AND(AH!$H$14="Izquierda",RASANTE!F57&lt;=PERALTE!$AB$12),IF(RASANTE!F57&lt;=PERALTE!$Q$12,-2,IF(RASANTE!F57&lt;=PERALTE!$U$12,(10/(PERALTE!$U$12-PERALTE!$Q$12)*(RASANTE!F57-PERALTE!$Q$12)-2),IF(RASANTE!F57&lt;=PERALTE!$X$12,8,IF(RASANTE!F57&lt;=PERALTE!$AB$12,(10/(PERALTE!$X$12-PERALTE!$AB$12)*(RASANTE!F57-PERALTE!$AB$12)-2))))),IF(AND(AH!$H$16="Derecha",RASANTE!F57&lt;=PERALTE!$AB$14),IF(RASANTE!F57&lt;=PERALTE!$S$14,-2,IF(RASANTE!F57&lt;=PERALTE!$U$14,(-6/(PERALTE!$U$14-PERALTE!$S$14)*(RASANTE!F57-PERALTE!$S$14)-2),IF(RASANTE!F57&lt;=PERALTE!$X$14,-8,IF(RASANTE!F57&lt;=PERALTE!$Z$14,(-6/(PERALTE!$X$14-PERALTE!$Z$14)*(RASANTE!F57-PERALTE!$Z$14)-2),IF(RASANTE!F57&lt;=PERALTE!$AB$14,-2))))),IF(AND(AH!$H$16="Izquierda",RASANTE!F57&lt;=PERALTE!$AB$14),IF(RASANTE!F57&lt;=PERALTE!$Q$14,-2,IF(RASANTE!F57&lt;=PERALTE!$U$14,(10/(PERALTE!$U$14-PERALTE!$Q$14)*(RASANTE!F57-PERALTE!$Q$14)-2),IF(RASANTE!F57&lt;=PERALTE!$X$14,8,IF(RASANTE!F57&lt;=PERALTE!$AB$14,(10/(PERALTE!$X$14-PERALTE!$AB$14)*(RASANTE!F57-PERALTE!$AB$14)-2))))),IF(AND(AH!$H$18="Derecha",RASANTE!F57&lt;=PERALTE!$AB$16),IF(RASANTE!F57&lt;=PERALTE!$S$16,-2,IF(RASANTE!F57&lt;=PERALTE!$U$16,(-6/(PERALTE!$U$16-PERALTE!$S$16)*(RASANTE!F57-PERALTE!$S$16)-2),IF(RASANTE!F57&lt;=PERALTE!$X$16,-8,IF(RASANTE!F57&lt;=PERALTE!$Z$16,(-6/(PERALTE!$X$16-PERALTE!$Z$16)*(RASANTE!F57-PERALTE!$Z$16)-2),IF(RASANTE!F57&lt;=PERALTE!$AB$16,-2))))),IF(AND(AH!$H$18="Izquierda",RASANTE!F57&lt;=PERALTE!$AB$16),IF(RASANTE!F57&lt;=PERALTE!$Q$16,-2,IF(RASANTE!F57&lt;=PERALTE!$U$16,(10/(PERALTE!$U$16-PERALTE!$Q$16)*(RASANTE!F57-PERALTE!$Q$16)-2),IF(RASANTE!F57&lt;=PERALTE!$X$16,8,IF(RASANTE!F57&lt;=PERALTE!$AB$16,(10/(PERALTE!$X$16-PERALTE!$AB$16)*(RASANTE!F57-PERALTE!$AB$16)-2))))),IF(AND(AH!$H$20="Derecha",RASANTE!F57&lt;=PERALTE!$AB$18),IF(RASANTE!F57&lt;=PERALTE!$S$18,-2,IF(RASANTE!F57&lt;=PERALTE!$U$18,(-6/(PERALTE!$U$18-PERALTE!$S$18)*(RASANTE!F57-PERALTE!$S$18)-2),IF(RASANTE!F57&lt;=PERALTE!$X$18,-8,IF(RASANTE!F57&lt;=PERALTE!$Z$18,(-6/(PERALTE!$X$18-PERALTE!$Z$18)*(RASANTE!F57-PERALTE!$Z$18)-2),IF(RASANTE!F57&lt;=PERALTE!$AB$18,-2))))),IF(AND(AH!$H$20="Izquierda",RASANTE!F57&lt;=PERALTE!$AB$18),IF(RASANTE!F57&lt;=PERALTE!$Q$18,-2,IF(RASANTE!F57&lt;=PERALTE!$U$18,(10/(PERALTE!$U$18-PERALTE!$Q$18)*(RASANTE!F57-PERALTE!$Q$18)-2),IF(RASANTE!F57&lt;=PERALTE!$X$18,8,IF(RASANTE!F57&lt;=PERALTE!$AB$18,(10/(PERALTE!$X$18-PERALTE!$AB$18)*(RASANTE!F57-PERALTE!$AB$18)-2))))),IF(AND(AH!$H$24="Derecha",RASANTE!F57&lt;=PERALTE!$AB$22),IF(RASANTE!F57&lt;=PERALTE!$S$22,-2,IF(RASANTE!F57&lt;=PERALTE!$U$22,(-6/(PERALTE!$U$22-PERALTE!$S$22)*(RASANTE!F57-PERALTE!$S$22)-2),IF(RASANTE!F57&lt;=PERALTE!$X$22,-8,IF(RASANTE!F57&lt;=PERALTE!$Z$22,(-6/(PERALTE!$X$22-PERALTE!$Z$22)*(RASANTE!F57-PERALTE!$Z$22)-2),IF(RASANTE!F57&lt;=PERALTE!$AB$22,-2))))),IF(AND(AH!$H$24="Izquierda",RASANTE!F57&lt;=PERALTE!$AB$22),IF(RASANTE!F57&lt;=PERALTE!$Q$22,-2,IF(RASANTE!F57&lt;=PERALTE!$U$22,(10/(PERALTE!$U$22-PERALTE!$Q$22)*(RASANTE!F57-PERALTE!$Q$22)-2),IF(RASANTE!F57&lt;=PERALTE!$X$22,8,IF(RASANTE!F57&lt;=PERALTE!$AB$22,(10/(PERALTE!$X$22-PERALTE!$AB$22)*(RASANTE!F57-PERALTE!$AB$22)-2))))),IF(AND(AH!#REF!="Derecha",RASANTE!F57&lt;=PERALTE!#REF!),IF(RASANTE!F57&lt;=PERALTE!#REF!,-2,IF(RASANTE!F57&lt;=PERALTE!#REF!,(-6/(PERALTE!#REF!-PERALTE!#REF!)*(RASANTE!F57-PERALTE!#REF!)-2),IF(RASANTE!F57&lt;=PERALTE!#REF!,-8,IF(RASANTE!F57&lt;=PERALTE!#REF!,(-6/(PERALTE!#REF!-PERALTE!#REF!)*(RASANTE!F57-PERALTE!#REF!)-2),IF(RASANTE!F57&lt;=PERALTE!#REF!,-2))))),IF(AND(AH!#REF!="Izquierda",RASANTE!F57&lt;=PERALTE!#REF!),IF(RASANTE!F57&lt;=PERALTE!#REF!,-2,IF(RASANTE!F57&lt;=PERALTE!#REF!,(10/(PERALTE!#REF!-PERALTE!#REF!)*(RASANTE!F57-PERALTE!#REF!)-2),IF(RASANTE!F57&lt;=PERALTE!#REF!,8,IF(RASANTE!F57&lt;=PERALTE!#REF!,(10/(PERALTE!#REF!-PERALTE!#REF!)*(RASANTE!F57-PERALTE!#REF!)-2))))),IF(AND(AH!#REF!="Derecha",RASANTE!F57&lt;=PERALTE!$AB$26),IF(RASANTE!F57&lt;=PERALTE!$S$26,-2,IF(RASANTE!F57&lt;=PERALTE!$U$26,(-6/(PERALTE!$U$26-PERALTE!$S$26)*(RASANTE!F57-PERALTE!$S$26)-2),IF(RASANTE!F57&lt;=PERALTE!$X$26,-8,IF(RASANTE!F57&lt;=PERALTE!$Z$26,(-6/(PERALTE!$X$26-PERALTE!$Z$26)*(RASANTE!F57-PERALTE!$Z$26)-2),IF(RASANTE!F57&lt;=PERALTE!$AB$26,-2))))),IF(AND(AH!#REF!="Izquierda",RASANTE!F57&lt;=PERALTE!$AB$26),IF(RASANTE!F57&lt;=PERALTE!$Q$26,-2,IF(RASANTE!F57&lt;=PERALTE!$U$26,(10/(PERALTE!$U$26-PERALTE!$Q$26)*(RASANTE!F57-PERALTE!$Q$26)-2),IF(RASANTE!F57&lt;=PERALTE!$X$26,8,IF(RASANTE!F57&lt;=PERALTE!$AB$26,(10/(PERALTE!$X$26-PERALTE!$AB$26)*(RASANTE!F57-PERALTE!$AB$26)-2))))),IF(F57&lt;=PERALTE!#REF!,-2,"Abscisa fuera de la vía")))))))))))))))))))))</f>
        <v>-2</v>
      </c>
      <c r="J57" s="28">
        <f t="shared" si="1"/>
        <v>1646.8508703732587</v>
      </c>
      <c r="K57" s="28">
        <f>+IF(AND(AV!$S$6&lt;F185,F185&lt;=AV!$T$6),AV!$P$6*((AV!$S$6-RASANTE!F185)/(AV!$N$6))^2,IF(AND(AV!$T$6&lt;RASANTE!F185,F185&lt;AV!$U$6),AV!$P$6*((AV!$U$6-RASANTE!F185)/(AV!$O$6))^2,IF(AND(AV!$S$8&lt;F185,F185&lt;=AV!$T$8),AV!$P$8*((AV!$S$8-RASANTE!F185)/(AV!$N$8))^2,IF(AND(AV!$T$8&lt;RASANTE!F185,F185&lt;AV!$U$8),AV!$P$8*((AV!$U$8-RASANTE!F185)/(AV!$O$8))^2,IF(AND(AV!$S$10&lt;F185,F185&lt;=AV!$T$10),AV!$P$10*((AV!$S$10-RASANTE!F185)/(AV!$N$10))^2,IF(AND(AV!$T$10&lt;RASANTE!F185,F185&lt;AV!$U$10),AV!$P$10*((AV!$U$10-RASANTE!F185)/(AV!$O$10))^2,IF(AND(AV!$S$12&lt;F185,F185&lt;=AV!$T$12),AV!$P$12*((AV!$S$12-RASANTE!F185)/(AV!$N$12))^2,IF(AND(AV!$T$12&lt;RASANTE!F185,F185&lt;AV!$U$12),AV!$P$12*((AV!$U$12-RASANTE!F185)/(AV!$O$12))^2,IF(AND(AV!$S$14&lt;F185,F185&lt;=AV!$T$14),AV!$P$14*((AV!$S$14-RASANTE!F185)/(AV!$N$14))^2,IF(AND(AV!$T$14&lt;RASANTE!F185,F185&lt;AV!$U$14),AV!$P$14*((AV!$U$14-RASANTE!F185)/(AV!$O$14))^2,IF(AND(AV!$S$16&lt;F185,F185&lt;=AV!$T$16),AV!$P$16*((AV!$S$16-RASANTE!F185)/(AV!$N$16))^2,IF(AND(AV!$T$16&lt;RASANTE!F185,F185&lt;AV!$U$16),AV!$P$16*((AV!$U$16-RASANTE!F185)/(AV!$O$16))^2,IF(AND(AV!$S$18&lt;F185,F185&lt;=AV!$T$18),AV!$P$18*((AV!$S$18-RASANTE!F185)/(AV!$N$18))^2,IF(AND(AV!$T$18&lt;RASANTE!F185,F185&lt;AV!$U$18),AV!$P$18*((AV!$U$18-RASANTE!F185)/(AV!$O$18))^2,IF(AND(AV!$S$20&lt;F185,F185&lt;=AV!$T$20),AV!$P$20*((AV!$S$20-RASANTE!F185)/(AV!$N$20))^2,IF(AND(AV!$T$20&lt;RASANTE!F185,F185&lt;AV!$U$20),AV!$P$20*((AV!$U$20-RASANTE!F185)/(AV!$O$20))^2,IF(AND(AV!$S$22&lt;F185,F185&lt;=AV!$T$22),AV!$P$22*((AV!$S$22-RASANTE!F185)/(AV!$N$22))^2,IF(AND(AV!$T$22&lt;RASANTE!F185,F185&lt;AV!$U$22),AV!$P$22*((AV!$U$22-RASANTE!F185)/(AV!$O$22))^2,IF(AND(AV!$S$24&lt;F185,F185&lt;=AV!$T$24),AV!$P$24*((AV!$S$24-RASANTE!F185)/(AV!$N$24))^2,IF(AND(AV!$T$24&lt;RASANTE!F185,F185&lt;AV!$U$24),AV!$P$24*((AV!$U$24-RASANTE!F185)/(AV!$O$24))^2,0))))))))))))))))))))</f>
        <v>0</v>
      </c>
      <c r="L57" s="28">
        <f>+M57+H57%*PERALTE!$C$32</f>
        <v>1646.7808703732587</v>
      </c>
      <c r="M57" s="28">
        <f t="shared" si="3"/>
        <v>1646.8508703732587</v>
      </c>
      <c r="N57" s="28">
        <f>+M57+I57%*PERALTE!$C$32</f>
        <v>1646.7808703732587</v>
      </c>
      <c r="O57" s="92"/>
      <c r="P57" s="84"/>
      <c r="Q57" s="84"/>
      <c r="R57" s="84"/>
      <c r="S57" s="84"/>
      <c r="T57" s="84"/>
      <c r="U57" s="84"/>
      <c r="V57" s="84"/>
      <c r="W57" s="84"/>
      <c r="X57" s="84"/>
      <c r="Y57" s="84"/>
    </row>
    <row r="58" spans="1:25" ht="15.75" customHeight="1" x14ac:dyDescent="0.2">
      <c r="A58" s="90" t="s">
        <v>320</v>
      </c>
      <c r="B58" s="86"/>
      <c r="C58" s="86"/>
      <c r="D58" s="86"/>
      <c r="E58" s="91"/>
      <c r="F58" s="34">
        <f>PERALTE!R8</f>
        <v>379.62769358720351</v>
      </c>
      <c r="G58" s="88">
        <f>IF(F58&lt;=AV!$T$6,AV!$C$5,IF(RASANTE!F58&lt;=AV!$T$8,AV!$C$7,IF(RASANTE!F58&lt;=AV!$T$10,AV!$C$9,IF(RASANTE!F58&lt;=AV!$T$12,AV!#REF!,IF(RASANTE!F58&lt;=AV!$T$14,AV!$C$11,IF(RASANTE!F58&lt;=AV!$T$16,AV!$C$13, IF(RASANTE!F58&lt;=AV!$T$18,AV!$C$15,IF(RASANTE!F58&lt;=AV!$T$20,AV!$C$19,IF(RASANTE!F58&lt;=AV!$T$22,AV!$C$21,IF(RASANTE!F58&lt;=AV!$T$24,AV!$C$23,AV!$C$25))))))))))</f>
        <v>-7.774</v>
      </c>
      <c r="H58" s="28">
        <f>+IF(AND(AH!$H$8="Izquierda",RASANTE!F58&lt;=PERALTE!$AB$6),IF(RASANTE!F58&lt;=PERALTE!$S$6,-2,IF(RASANTE!F58&lt;=PERALTE!$U$6,(-6/(PERALTE!$U$6-PERALTE!$S$6)*(RASANTE!F58-PERALTE!$S$6)-2),IF(RASANTE!F58&lt;=PERALTE!$X$6,-8,IF(RASANTE!F58&lt;=PERALTE!$Z$6,(-6/(PERALTE!$X$6-PERALTE!$Z$6)*(RASANTE!F58-PERALTE!$Z$6)-2),IF(RASANTE!F58&lt;=PERALTE!$AB$6,-2))))),IF(AND(AH!$H$8="Derecha",RASANTE!F58&lt;=PERALTE!$AB$6),IF(RASANTE!F58&lt;=PERALTE!$Q$6,-2,IF(RASANTE!F58&lt;=PERALTE!$U$6,(10/(PERALTE!$U$6-PERALTE!$Q$6)*(RASANTE!F58-PERALTE!$Q$6)-2),IF(RASANTE!F58&lt;=PERALTE!$X$6,8,IF(RASANTE!F58&lt;=PERALTE!$AB$6,(10/(PERALTE!$X$6-PERALTE!$AB$6)*(RASANTE!F58-PERALTE!$AB$6)-2))))),IF(AND(AH!$H$10="Izquierda",RASANTE!F58&lt;=PERALTE!$AB$8),IF(RASANTE!F58&lt;=PERALTE!$S$8,-2,IF(RASANTE!F58&lt;=PERALTE!$U$8,(-6/(PERALTE!$U$8-PERALTE!$S$8)*(RASANTE!F58-PERALTE!$S$8)-2),IF(RASANTE!F58&lt;=PERALTE!$X$8,-8,IF(RASANTE!F58&lt;=PERALTE!$Z$8,(-6/(PERALTE!$X$8-PERALTE!$Z$8)*(RASANTE!F58-PERALTE!$Z$8)-2),IF(RASANTE!F58&lt;=PERALTE!$AB$8,-2))))),IF(AND(AH!$H$10="Derecha",RASANTE!F58&lt;=PERALTE!$AB$8),IF(RASANTE!F58&lt;=PERALTE!$Q$8,-2,IF(RASANTE!F58&lt;=PERALTE!$U$8,(10/(PERALTE!$U$8-PERALTE!$Q$8)*(RASANTE!F58-PERALTE!$Q$8)-2),IF(RASANTE!F58&lt;=PERALTE!$X$8,8,IF(RASANTE!F58&lt;=PERALTE!$AB$8,(10/(PERALTE!$X$8-PERALTE!$AB$8)*(RASANTE!F58-PERALTE!$AB$8)-2))))),IF(AND(AH!$H$12="Izquierda",RASANTE!F58&lt;=PERALTE!$AB$10),IF(RASANTE!F58&lt;=PERALTE!$S$10,-2,IF(RASANTE!F58&lt;=PERALTE!$U$10,(-6/(PERALTE!$U$10-PERALTE!$S$10)*(RASANTE!F58-PERALTE!$S$10)-2),IF(RASANTE!F58&lt;=PERALTE!$X$10,-8,IF(RASANTE!F58&lt;=PERALTE!$Z$10,(-6/(PERALTE!$X$10-PERALTE!$Z$10)*(RASANTE!F58-PERALTE!$Z$10)-2),IF(RASANTE!F58&lt;=PERALTE!$AB$10,-2))))),IF(AND(AH!$H$12="Derecha",RASANTE!F58&lt;=PERALTE!$AB$10),IF(RASANTE!F58&lt;=PERALTE!$Q$10,-2,IF(RASANTE!F58&lt;=PERALTE!$U$10,(10/(PERALTE!$U$10-PERALTE!$Q$10)*(RASANTE!F58-PERALTE!$Q$10)-2),IF(RASANTE!F58&lt;=PERALTE!$X$10,8,IF(RASANTE!F58&lt;=PERALTE!$AB$10,(10/(PERALTE!$X$10-PERALTE!$AB$10)*(RASANTE!F58-PERALTE!$AB$10)-2))))),IF(AND(AH!$H$14="Izquierda",RASANTE!F58&lt;=PERALTE!$AB$12),IF(RASANTE!F58&lt;=PERALTE!$S$12,-2,IF(RASANTE!F58&lt;=PERALTE!$U$12,(-6/(PERALTE!$U$12-PERALTE!$S$12)*(RASANTE!F58-PERALTE!$S$12)-2),IF(RASANTE!F58&lt;=PERALTE!$X$12,-8,IF(RASANTE!F58&lt;=PERALTE!$Z$12,(-6/(PERALTE!$X$12-PERALTE!$Z$12)*(RASANTE!F58-PERALTE!$Z$12)-2),IF(RASANTE!F58&lt;=PERALTE!$AB$12,-2))))),IF(AND(AH!$H$14="Derecha",RASANTE!F58&lt;=PERALTE!$AB$12),IF(RASANTE!F58&lt;=PERALTE!$Q$12,-2,IF(RASANTE!F58&lt;=PERALTE!$U$12,(10/(PERALTE!$U$12-PERALTE!$Q$12)*(RASANTE!F58-PERALTE!$Q$12)-2),IF(RASANTE!F58&lt;=PERALTE!$X$12,8,IF(RASANTE!F58&lt;=PERALTE!$AB$12,(10/(PERALTE!$X$12-PERALTE!$AB$12)*(RASANTE!F58-PERALTE!$AB$12)-2))))),IF(AND(AH!$H$16="Izquierda",RASANTE!F58&lt;=PERALTE!$AB$14),IF(RASANTE!F58&lt;=PERALTE!$S$14,-2,IF(RASANTE!F58&lt;=PERALTE!$U$14,(-6/(PERALTE!$U$14-PERALTE!$S$14)*(RASANTE!F58-PERALTE!$S$14)-2),IF(RASANTE!F58&lt;=PERALTE!$X$14,-8,IF(RASANTE!F58&lt;=PERALTE!$Z$14,(-6/(PERALTE!$X$14-PERALTE!$Z$14)*(RASANTE!F58-PERALTE!$Z$14)-2),IF(RASANTE!F58&lt;=PERALTE!$AB$14,-2))))),IF(AND(AH!$H$16="Derecha",RASANTE!F58&lt;=PERALTE!$AB$14),IF(RASANTE!F58&lt;=PERALTE!$Q$14,-2,IF(RASANTE!F58&lt;=PERALTE!$U$14,(10/(PERALTE!$U$14-PERALTE!$Q$14)*(RASANTE!F58-PERALTE!$Q$14)-2),IF(RASANTE!F58&lt;=PERALTE!$X$14,8,IF(RASANTE!F58&lt;=PERALTE!$AB$14,(10/(PERALTE!$X$14-PERALTE!$AB$14)*(RASANTE!F58-PERALTE!$AB$14)-2))))),IF(AND(AH!$H$18="Izquierda",RASANTE!F58&lt;=PERALTE!$AB$16),IF(RASANTE!F58&lt;=PERALTE!$S$16,-2,IF(RASANTE!F58&lt;=PERALTE!$U$16,(-6/(PERALTE!$U$16-PERALTE!$S$16)*(RASANTE!F58-PERALTE!$S$16)-2),IF(RASANTE!F58&lt;=PERALTE!$X$16,-8,IF(RASANTE!F58&lt;=PERALTE!$Z$16,(-6/(PERALTE!$X$16-PERALTE!$Z$16)*(RASANTE!F58-PERALTE!$Z$16)-2),IF(RASANTE!F58&lt;=PERALTE!$AB$16,-2))))),IF(AND(AH!$H$18="Derecha",RASANTE!F58&lt;=PERALTE!$AB$16),IF(RASANTE!F58&lt;=PERALTE!$Q$16,-2,IF(RASANTE!F58&lt;=PERALTE!$U$16,(10/(PERALTE!$U$16-PERALTE!$Q$16)*(RASANTE!F58-PERALTE!$Q$16)-2),IF(RASANTE!F58&lt;=PERALTE!$X$16,8,IF(RASANTE!F58&lt;=PERALTE!$AB$16,(10/(PERALTE!$X$16-PERALTE!$AB$16)*(RASANTE!F58-PERALTE!$AB$16)-2))))),IF(AND(AH!$H$20="Izquierda",RASANTE!F58&lt;=PERALTE!$AB$18),IF(RASANTE!F58&lt;=PERALTE!$S$18,-2,IF(RASANTE!F58&lt;=PERALTE!$U$18,(-6/(PERALTE!$U$18-PERALTE!$S$18)*(RASANTE!F58-PERALTE!$S$18)-2),IF(RASANTE!F58&lt;=PERALTE!$X$18,-8,IF(RASANTE!F58&lt;=PERALTE!$Z$18,(-6/(PERALTE!$X$18-PERALTE!$Z$18)*(RASANTE!F58-PERALTE!$Z$18)-2),IF(RASANTE!F58&lt;=PERALTE!$AB$18,-2))))),IF(AND(AH!$H$20="Derecha",RASANTE!F58&lt;=PERALTE!$AB$18),IF(RASANTE!F58&lt;=PERALTE!$Q$18,-2,IF(RASANTE!F58&lt;=PERALTE!$U$18,(10/(PERALTE!$U$18-PERALTE!$Q$18)*(RASANTE!F58-PERALTE!$Q$18)-2),IF(RASANTE!F58&lt;=PERALTE!$X$18,8,IF(RASANTE!F58&lt;=PERALTE!$AB$18,(10/(PERALTE!$X$18-PERALTE!$AB$18)*(RASANTE!F58-PERALTE!$AB$18)-2))))),IF(AND(AH!$H$24="Izquierda",RASANTE!F58&lt;=PERALTE!$AB$22),IF(RASANTE!F58&lt;=PERALTE!$S$22,-2,IF(RASANTE!F58&lt;=PERALTE!$U$22,(-6/(PERALTE!$U$22-PERALTE!$S$22)*(RASANTE!F58-PERALTE!$S$22)-2),IF(RASANTE!F58&lt;=PERALTE!$X$22,-8,IF(RASANTE!F58&lt;=PERALTE!$Z$22,(-6/(PERALTE!$X$22-PERALTE!$Z$22)*(RASANTE!F58-PERALTE!$Z$22)-2),IF(RASANTE!F58&lt;=PERALTE!$AB$22,-2))))),IF(AND(AH!$H$24="Derecha",RASANTE!F58&lt;=PERALTE!$AB$22),IF(RASANTE!F58&lt;=PERALTE!$Q$22,-2,IF(RASANTE!F58&lt;=PERALTE!$U$22,(10/(PERALTE!$U$22-PERALTE!$Q$22)*(RASANTE!F58-PERALTE!$Q$22)-2),IF(RASANTE!F58&lt;=PERALTE!$X$22,8,IF(RASANTE!F58&lt;=PERALTE!$AB$22,(10/(PERALTE!$X$22-PERALTE!$AB$22)*(RASANTE!F58-PERALTE!$AB$22)-2))))),IF(AND(AH!#REF!="Izquierda",RASANTE!F58&lt;=PERALTE!#REF!),IF(RASANTE!F58&lt;=PERALTE!#REF!,-2,IF(RASANTE!F58&lt;=PERALTE!#REF!,(-6/(PERALTE!#REF!-PERALTE!#REF!)*(RASANTE!F58-PERALTE!#REF!)-2),IF(RASANTE!F58&lt;=PERALTE!#REF!,-8,IF(RASANTE!F58&lt;=PERALTE!#REF!,(-6/(PERALTE!#REF!-PERALTE!#REF!)*(RASANTE!F58-PERALTE!#REF!)-2),IF(RASANTE!F58&lt;=PERALTE!#REF!,-2))))),IF(AND(AH!#REF!="Derecha",RASANTE!F58&lt;=PERALTE!#REF!),IF(RASANTE!F58&lt;=PERALTE!#REF!,-2,IF(RASANTE!F58&lt;=PERALTE!#REF!,(10/(PERALTE!#REF!-PERALTE!#REF!)*(RASANTE!F58-PERALTE!#REF!)-2),IF(RASANTE!F58&lt;=PERALTE!#REF!,8,IF(RASANTE!F58&lt;=PERALTE!#REF!,(10/(PERALTE!#REF!-PERALTE!#REF!)*(RASANTE!F58-PERALTE!#REF!)-2))))),IF(AND(AH!#REF!="Izquierda",RASANTE!F58&lt;=PERALTE!$AB$26),IF(RASANTE!F58&lt;=PERALTE!$S$26,-2,IF(RASANTE!F58&lt;=PERALTE!$U$26,(-6/(PERALTE!$U$26-PERALTE!$S$26)*(RASANTE!F58-PERALTE!$S$26)-2),IF(RASANTE!F58&lt;=PERALTE!$X$26,-8,IF(RASANTE!F58&lt;=PERALTE!$Z$26,(-6/(PERALTE!$X$26-PERALTE!$Z$26)*(RASANTE!F58-PERALTE!$Z$26)-2),IF(RASANTE!F58&lt;=PERALTE!$AB$26,-2))))),IF(AND(AH!#REF!="Derecha",RASANTE!F58&lt;=PERALTE!$AB$26),IF(RASANTE!F58&lt;=PERALTE!$Q$26,-2,IF(RASANTE!F58&lt;=PERALTE!$U$26,(10/(PERALTE!$U$26-PERALTE!$Q$26)*(RASANTE!F58-PERALTE!$Q$26)-2),IF(RASANTE!F58&lt;=PERALTE!$X$26,8,IF(RASANTE!F58&lt;=PERALTE!$AB$26,(10/(PERALTE!$X$26-PERALTE!$AB$26)*(RASANTE!F58-PERALTE!$AB$26)-2))))),IF(F58&lt;=PERALTE!#REF!,-2,"Abscisa fuera de la vía")))))))))))))))))))))</f>
        <v>-4.8849813083506888E-15</v>
      </c>
      <c r="I58" s="28">
        <f>+IF(AND(AH!$H$8="Derecha",RASANTE!F58&lt;=PERALTE!$AB$6),IF(RASANTE!F58&lt;=PERALTE!$S$6,-2,IF(RASANTE!F58&lt;=PERALTE!$U$6,(-6/(PERALTE!$U$6-PERALTE!$S$6)*(RASANTE!F58-PERALTE!$S$6)-2),IF(RASANTE!F58&lt;=PERALTE!$X$6,-8,IF(RASANTE!F58&lt;=PERALTE!$Z$6,(-6/(PERALTE!$X$6-PERALTE!$Z$6)*(RASANTE!F58-PERALTE!$Z$6)-2),IF(RASANTE!F58&lt;=PERALTE!$AB$6,-2))))),IF(AND(AH!$H$8="Izquierda",RASANTE!F58&lt;=PERALTE!$AB$6),IF(RASANTE!F58&lt;=PERALTE!$Q$6,-2,IF(RASANTE!F58&lt;=PERALTE!$U$6,(10/(PERALTE!$U$6-PERALTE!$Q$6)*(RASANTE!F58-PERALTE!$Q$6)-2),IF(RASANTE!F58&lt;=PERALTE!$X$6,8,IF(RASANTE!F58&lt;=PERALTE!$AB$6,(10/(PERALTE!$X$6-PERALTE!$AB$6)*(RASANTE!F58-PERALTE!$AB$6)-2))))),IF(AND(AH!$H$10="Derecha",RASANTE!F58&lt;=PERALTE!$AB$8),IF(RASANTE!F58&lt;=PERALTE!$S$8,-2,IF(RASANTE!F58&lt;=PERALTE!$U$8,(-6/(PERALTE!$U$8-PERALTE!$S$8)*(RASANTE!F58-PERALTE!$S$8)-2),IF(RASANTE!F58&lt;=PERALTE!$X$8,-8,IF(RASANTE!F58&lt;=PERALTE!$Z$8,(-6/(PERALTE!$X$8-PERALTE!$Z$8)*(RASANTE!F58-PERALTE!$Z$8)-2),IF(RASANTE!F58&lt;=PERALTE!$AB$8,-2))))),IF(AND(AH!$H$10="Izquierda",RASANTE!F58&lt;=PERALTE!$AB$8),IF(RASANTE!F58&lt;=PERALTE!$Q$8,-2,IF(RASANTE!F58&lt;=PERALTE!$U$8,(10/(PERALTE!$U$8-PERALTE!$Q$8)*(RASANTE!F58-PERALTE!$Q$8)-2),IF(RASANTE!F58&lt;=PERALTE!$X$8,8,IF(RASANTE!F58&lt;=PERALTE!$AB$8,(10/(PERALTE!$X$8-PERALTE!$AB$8)*(RASANTE!F58-PERALTE!$AB$8)-2))))),IF(AND(AH!$H$12="Derecha",RASANTE!F58&lt;=PERALTE!$AB$10),IF(RASANTE!F58&lt;=PERALTE!$S$10,-2,IF(RASANTE!F58&lt;=PERALTE!$U$10,(-6/(PERALTE!$U$10-PERALTE!$S$10)*(RASANTE!F58-PERALTE!$S$10)-2),IF(RASANTE!F58&lt;=PERALTE!$X$10,-8,IF(RASANTE!F58&lt;=PERALTE!$Z$10,(-6/(PERALTE!$X$10-PERALTE!$Z$10)*(RASANTE!F58-PERALTE!$Z$10)-2),IF(RASANTE!F58&lt;=PERALTE!$AB$10,-2))))),IF(AND(AH!$H$12="Izquierda",RASANTE!F58&lt;=PERALTE!$AB$10),IF(RASANTE!F58&lt;=PERALTE!$Q$10,-2,IF(RASANTE!F58&lt;=PERALTE!$U$10,(10/(PERALTE!$U$10-PERALTE!$Q$10)*(RASANTE!F58-PERALTE!$Q$10)-2),IF(RASANTE!F58&lt;=PERALTE!$X$10,8,IF(RASANTE!F58&lt;=PERALTE!$AB$10,(10/(PERALTE!$X$10-PERALTE!$AB$10)*(RASANTE!F58-PERALTE!$AB$10)-2))))),IF(AND(AH!$H$14="Derecha",RASANTE!F58&lt;=PERALTE!$AB$12),IF(RASANTE!F58&lt;=PERALTE!$S$12,-2,IF(RASANTE!F58&lt;=PERALTE!$U$12,(-6/(PERALTE!$U$12-PERALTE!$S$12)*(RASANTE!F58-PERALTE!$S$12)-2),IF(RASANTE!F58&lt;=PERALTE!$X$12,-8,IF(RASANTE!F58&lt;=PERALTE!$Z$12,(-6/(PERALTE!$X$12-PERALTE!$Z$12)*(RASANTE!F58-PERALTE!$Z$12)-2),IF(RASANTE!F58&lt;=PERALTE!$AB$12,-2))))),IF(AND(AH!$H$14="Izquierda",RASANTE!F58&lt;=PERALTE!$AB$12),IF(RASANTE!F58&lt;=PERALTE!$Q$12,-2,IF(RASANTE!F58&lt;=PERALTE!$U$12,(10/(PERALTE!$U$12-PERALTE!$Q$12)*(RASANTE!F58-PERALTE!$Q$12)-2),IF(RASANTE!F58&lt;=PERALTE!$X$12,8,IF(RASANTE!F58&lt;=PERALTE!$AB$12,(10/(PERALTE!$X$12-PERALTE!$AB$12)*(RASANTE!F58-PERALTE!$AB$12)-2))))),IF(AND(AH!$H$16="Derecha",RASANTE!F58&lt;=PERALTE!$AB$14),IF(RASANTE!F58&lt;=PERALTE!$S$14,-2,IF(RASANTE!F58&lt;=PERALTE!$U$14,(-6/(PERALTE!$U$14-PERALTE!$S$14)*(RASANTE!F58-PERALTE!$S$14)-2),IF(RASANTE!F58&lt;=PERALTE!$X$14,-8,IF(RASANTE!F58&lt;=PERALTE!$Z$14,(-6/(PERALTE!$X$14-PERALTE!$Z$14)*(RASANTE!F58-PERALTE!$Z$14)-2),IF(RASANTE!F58&lt;=PERALTE!$AB$14,-2))))),IF(AND(AH!$H$16="Izquierda",RASANTE!F58&lt;=PERALTE!$AB$14),IF(RASANTE!F58&lt;=PERALTE!$Q$14,-2,IF(RASANTE!F58&lt;=PERALTE!$U$14,(10/(PERALTE!$U$14-PERALTE!$Q$14)*(RASANTE!F58-PERALTE!$Q$14)-2),IF(RASANTE!F58&lt;=PERALTE!$X$14,8,IF(RASANTE!F58&lt;=PERALTE!$AB$14,(10/(PERALTE!$X$14-PERALTE!$AB$14)*(RASANTE!F58-PERALTE!$AB$14)-2))))),IF(AND(AH!$H$18="Derecha",RASANTE!F58&lt;=PERALTE!$AB$16),IF(RASANTE!F58&lt;=PERALTE!$S$16,-2,IF(RASANTE!F58&lt;=PERALTE!$U$16,(-6/(PERALTE!$U$16-PERALTE!$S$16)*(RASANTE!F58-PERALTE!$S$16)-2),IF(RASANTE!F58&lt;=PERALTE!$X$16,-8,IF(RASANTE!F58&lt;=PERALTE!$Z$16,(-6/(PERALTE!$X$16-PERALTE!$Z$16)*(RASANTE!F58-PERALTE!$Z$16)-2),IF(RASANTE!F58&lt;=PERALTE!$AB$16,-2))))),IF(AND(AH!$H$18="Izquierda",RASANTE!F58&lt;=PERALTE!$AB$16),IF(RASANTE!F58&lt;=PERALTE!$Q$16,-2,IF(RASANTE!F58&lt;=PERALTE!$U$16,(10/(PERALTE!$U$16-PERALTE!$Q$16)*(RASANTE!F58-PERALTE!$Q$16)-2),IF(RASANTE!F58&lt;=PERALTE!$X$16,8,IF(RASANTE!F58&lt;=PERALTE!$AB$16,(10/(PERALTE!$X$16-PERALTE!$AB$16)*(RASANTE!F58-PERALTE!$AB$16)-2))))),IF(AND(AH!$H$20="Derecha",RASANTE!F58&lt;=PERALTE!$AB$18),IF(RASANTE!F58&lt;=PERALTE!$S$18,-2,IF(RASANTE!F58&lt;=PERALTE!$U$18,(-6/(PERALTE!$U$18-PERALTE!$S$18)*(RASANTE!F58-PERALTE!$S$18)-2),IF(RASANTE!F58&lt;=PERALTE!$X$18,-8,IF(RASANTE!F58&lt;=PERALTE!$Z$18,(-6/(PERALTE!$X$18-PERALTE!$Z$18)*(RASANTE!F58-PERALTE!$Z$18)-2),IF(RASANTE!F58&lt;=PERALTE!$AB$18,-2))))),IF(AND(AH!$H$20="Izquierda",RASANTE!F58&lt;=PERALTE!$AB$18),IF(RASANTE!F58&lt;=PERALTE!$Q$18,-2,IF(RASANTE!F58&lt;=PERALTE!$U$18,(10/(PERALTE!$U$18-PERALTE!$Q$18)*(RASANTE!F58-PERALTE!$Q$18)-2),IF(RASANTE!F58&lt;=PERALTE!$X$18,8,IF(RASANTE!F58&lt;=PERALTE!$AB$18,(10/(PERALTE!$X$18-PERALTE!$AB$18)*(RASANTE!F58-PERALTE!$AB$18)-2))))),IF(AND(AH!$H$24="Derecha",RASANTE!F58&lt;=PERALTE!$AB$22),IF(RASANTE!F58&lt;=PERALTE!$S$22,-2,IF(RASANTE!F58&lt;=PERALTE!$U$22,(-6/(PERALTE!$U$22-PERALTE!$S$22)*(RASANTE!F58-PERALTE!$S$22)-2),IF(RASANTE!F58&lt;=PERALTE!$X$22,-8,IF(RASANTE!F58&lt;=PERALTE!$Z$22,(-6/(PERALTE!$X$22-PERALTE!$Z$22)*(RASANTE!F58-PERALTE!$Z$22)-2),IF(RASANTE!F58&lt;=PERALTE!$AB$22,-2))))),IF(AND(AH!$H$24="Izquierda",RASANTE!F58&lt;=PERALTE!$AB$22),IF(RASANTE!F58&lt;=PERALTE!$Q$22,-2,IF(RASANTE!F58&lt;=PERALTE!$U$22,(10/(PERALTE!$U$22-PERALTE!$Q$22)*(RASANTE!F58-PERALTE!$Q$22)-2),IF(RASANTE!F58&lt;=PERALTE!$X$22,8,IF(RASANTE!F58&lt;=PERALTE!$AB$22,(10/(PERALTE!$X$22-PERALTE!$AB$22)*(RASANTE!F58-PERALTE!$AB$22)-2))))),IF(AND(AH!#REF!="Derecha",RASANTE!F58&lt;=PERALTE!#REF!),IF(RASANTE!F58&lt;=PERALTE!#REF!,-2,IF(RASANTE!F58&lt;=PERALTE!#REF!,(-6/(PERALTE!#REF!-PERALTE!#REF!)*(RASANTE!F58-PERALTE!#REF!)-2),IF(RASANTE!F58&lt;=PERALTE!#REF!,-8,IF(RASANTE!F58&lt;=PERALTE!#REF!,(-6/(PERALTE!#REF!-PERALTE!#REF!)*(RASANTE!F58-PERALTE!#REF!)-2),IF(RASANTE!F58&lt;=PERALTE!#REF!,-2))))),IF(AND(AH!#REF!="Izquierda",RASANTE!F58&lt;=PERALTE!#REF!),IF(RASANTE!F58&lt;=PERALTE!#REF!,-2,IF(RASANTE!F58&lt;=PERALTE!#REF!,(10/(PERALTE!#REF!-PERALTE!#REF!)*(RASANTE!F58-PERALTE!#REF!)-2),IF(RASANTE!F58&lt;=PERALTE!#REF!,8,IF(RASANTE!F58&lt;=PERALTE!#REF!,(10/(PERALTE!#REF!-PERALTE!#REF!)*(RASANTE!F58-PERALTE!#REF!)-2))))),IF(AND(AH!#REF!="Derecha",RASANTE!F58&lt;=PERALTE!$AB$26),IF(RASANTE!F58&lt;=PERALTE!$S$26,-2,IF(RASANTE!F58&lt;=PERALTE!$U$26,(-6/(PERALTE!$U$26-PERALTE!$S$26)*(RASANTE!F58-PERALTE!$S$26)-2),IF(RASANTE!F58&lt;=PERALTE!$X$26,-8,IF(RASANTE!F58&lt;=PERALTE!$Z$26,(-6/(PERALTE!$X$26-PERALTE!$Z$26)*(RASANTE!F58-PERALTE!$Z$26)-2),IF(RASANTE!F58&lt;=PERALTE!$AB$26,-2))))),IF(AND(AH!#REF!="Izquierda",RASANTE!F58&lt;=PERALTE!$AB$26),IF(RASANTE!F58&lt;=PERALTE!$Q$26,-2,IF(RASANTE!F58&lt;=PERALTE!$U$26,(10/(PERALTE!$U$26-PERALTE!$Q$26)*(RASANTE!F58-PERALTE!$Q$26)-2),IF(RASANTE!F58&lt;=PERALTE!$X$26,8,IF(RASANTE!F58&lt;=PERALTE!$AB$26,(10/(PERALTE!$X$26-PERALTE!$AB$26)*(RASANTE!F58-PERALTE!$AB$26)-2))))),IF(F58&lt;=PERALTE!#REF!,-2,"Abscisa fuera de la vía")))))))))))))))))))))</f>
        <v>-2</v>
      </c>
      <c r="J58" s="28">
        <f t="shared" si="1"/>
        <v>1646.1441431005314</v>
      </c>
      <c r="K58" s="28">
        <f>+IF(AND(AV!$S$6&lt;F186,F186&lt;=AV!$T$6),AV!$P$6*((AV!$S$6-RASANTE!F186)/(AV!$N$6))^2,IF(AND(AV!$T$6&lt;RASANTE!F186,F186&lt;AV!$U$6),AV!$P$6*((AV!$U$6-RASANTE!F186)/(AV!$O$6))^2,IF(AND(AV!$S$8&lt;F186,F186&lt;=AV!$T$8),AV!$P$8*((AV!$S$8-RASANTE!F186)/(AV!$N$8))^2,IF(AND(AV!$T$8&lt;RASANTE!F186,F186&lt;AV!$U$8),AV!$P$8*((AV!$U$8-RASANTE!F186)/(AV!$O$8))^2,IF(AND(AV!$S$10&lt;F186,F186&lt;=AV!$T$10),AV!$P$10*((AV!$S$10-RASANTE!F186)/(AV!$N$10))^2,IF(AND(AV!$T$10&lt;RASANTE!F186,F186&lt;AV!$U$10),AV!$P$10*((AV!$U$10-RASANTE!F186)/(AV!$O$10))^2,IF(AND(AV!$S$12&lt;F186,F186&lt;=AV!$T$12),AV!$P$12*((AV!$S$12-RASANTE!F186)/(AV!$N$12))^2,IF(AND(AV!$T$12&lt;RASANTE!F186,F186&lt;AV!$U$12),AV!$P$12*((AV!$U$12-RASANTE!F186)/(AV!$O$12))^2,IF(AND(AV!$S$14&lt;F186,F186&lt;=AV!$T$14),AV!$P$14*((AV!$S$14-RASANTE!F186)/(AV!$N$14))^2,IF(AND(AV!$T$14&lt;RASANTE!F186,F186&lt;AV!$U$14),AV!$P$14*((AV!$U$14-RASANTE!F186)/(AV!$O$14))^2,IF(AND(AV!$S$16&lt;F186,F186&lt;=AV!$T$16),AV!$P$16*((AV!$S$16-RASANTE!F186)/(AV!$N$16))^2,IF(AND(AV!$T$16&lt;RASANTE!F186,F186&lt;AV!$U$16),AV!$P$16*((AV!$U$16-RASANTE!F186)/(AV!$O$16))^2,IF(AND(AV!$S$18&lt;F186,F186&lt;=AV!$T$18),AV!$P$18*((AV!$S$18-RASANTE!F186)/(AV!$N$18))^2,IF(AND(AV!$T$18&lt;RASANTE!F186,F186&lt;AV!$U$18),AV!$P$18*((AV!$U$18-RASANTE!F186)/(AV!$O$18))^2,IF(AND(AV!$S$20&lt;F186,F186&lt;=AV!$T$20),AV!$P$20*((AV!$S$20-RASANTE!F186)/(AV!$N$20))^2,IF(AND(AV!$T$20&lt;RASANTE!F186,F186&lt;AV!$U$20),AV!$P$20*((AV!$U$20-RASANTE!F186)/(AV!$O$20))^2,IF(AND(AV!$S$22&lt;F186,F186&lt;=AV!$T$22),AV!$P$22*((AV!$S$22-RASANTE!F186)/(AV!$N$22))^2,IF(AND(AV!$T$22&lt;RASANTE!F186,F186&lt;AV!$U$22),AV!$P$22*((AV!$U$22-RASANTE!F186)/(AV!$O$22))^2,IF(AND(AV!$S$24&lt;F186,F186&lt;=AV!$T$24),AV!$P$24*((AV!$S$24-RASANTE!F186)/(AV!$N$24))^2,IF(AND(AV!$T$24&lt;RASANTE!F186,F186&lt;AV!$U$24),AV!$P$24*((AV!$U$24-RASANTE!F186)/(AV!$O$24))^2,0))))))))))))))))))))</f>
        <v>0</v>
      </c>
      <c r="L58" s="28">
        <f>+M58+H58%*PERALTE!$C$32</f>
        <v>1646.1441431005314</v>
      </c>
      <c r="M58" s="28">
        <f t="shared" si="3"/>
        <v>1646.1441431005314</v>
      </c>
      <c r="N58" s="28">
        <f>+M58+I58%*PERALTE!$C$32</f>
        <v>1646.0741431005315</v>
      </c>
      <c r="O58" s="92"/>
      <c r="P58" s="84"/>
      <c r="Q58" s="84"/>
      <c r="R58" s="84"/>
      <c r="S58" s="84"/>
      <c r="T58" s="84"/>
      <c r="U58" s="84"/>
      <c r="V58" s="84"/>
      <c r="W58" s="84"/>
      <c r="X58" s="84"/>
      <c r="Y58" s="84"/>
    </row>
    <row r="59" spans="1:25" ht="15.75" customHeight="1" x14ac:dyDescent="0.2">
      <c r="A59" s="90"/>
      <c r="B59" s="86"/>
      <c r="C59" s="86"/>
      <c r="D59" s="86"/>
      <c r="E59" s="91"/>
      <c r="F59" s="34">
        <v>380</v>
      </c>
      <c r="G59" s="88">
        <f>IF(F59&lt;=AV!$T$6,AV!$C$5,IF(RASANTE!F59&lt;=AV!$T$8,AV!$C$7,IF(RASANTE!F59&lt;=AV!$T$10,AV!$C$9,IF(RASANTE!F59&lt;=AV!$T$12,AV!#REF!,IF(RASANTE!F59&lt;=AV!$T$14,AV!$C$11,IF(RASANTE!F59&lt;=AV!$T$16,AV!$C$13, IF(RASANTE!F59&lt;=AV!$T$18,AV!$C$15,IF(RASANTE!F59&lt;=AV!$T$20,AV!$C$19,IF(RASANTE!F59&lt;=AV!$T$22,AV!$C$21,IF(RASANTE!F59&lt;=AV!$T$24,AV!$C$23,AV!$C$25))))))))))</f>
        <v>-7.774</v>
      </c>
      <c r="H59" s="28">
        <f>+IF(AND(AH!$H$8="Izquierda",RASANTE!F59&lt;=PERALTE!$AB$6),IF(RASANTE!F59&lt;=PERALTE!$S$6,-2,IF(RASANTE!F59&lt;=PERALTE!$U$6,(-6/(PERALTE!$U$6-PERALTE!$S$6)*(RASANTE!F59-PERALTE!$S$6)-2),IF(RASANTE!F59&lt;=PERALTE!$X$6,-8,IF(RASANTE!F59&lt;=PERALTE!$Z$6,(-6/(PERALTE!$X$6-PERALTE!$Z$6)*(RASANTE!F59-PERALTE!$Z$6)-2),IF(RASANTE!F59&lt;=PERALTE!$AB$6,-2))))),IF(AND(AH!$H$8="Derecha",RASANTE!F59&lt;=PERALTE!$AB$6),IF(RASANTE!F59&lt;=PERALTE!$Q$6,-2,IF(RASANTE!F59&lt;=PERALTE!$U$6,(10/(PERALTE!$U$6-PERALTE!$Q$6)*(RASANTE!F59-PERALTE!$Q$6)-2),IF(RASANTE!F59&lt;=PERALTE!$X$6,8,IF(RASANTE!F59&lt;=PERALTE!$AB$6,(10/(PERALTE!$X$6-PERALTE!$AB$6)*(RASANTE!F59-PERALTE!$AB$6)-2))))),IF(AND(AH!$H$10="Izquierda",RASANTE!F59&lt;=PERALTE!$AB$8),IF(RASANTE!F59&lt;=PERALTE!$S$8,-2,IF(RASANTE!F59&lt;=PERALTE!$U$8,(-6/(PERALTE!$U$8-PERALTE!$S$8)*(RASANTE!F59-PERALTE!$S$8)-2),IF(RASANTE!F59&lt;=PERALTE!$X$8,-8,IF(RASANTE!F59&lt;=PERALTE!$Z$8,(-6/(PERALTE!$X$8-PERALTE!$Z$8)*(RASANTE!F59-PERALTE!$Z$8)-2),IF(RASANTE!F59&lt;=PERALTE!$AB$8,-2))))),IF(AND(AH!$H$10="Derecha",RASANTE!F59&lt;=PERALTE!$AB$8),IF(RASANTE!F59&lt;=PERALTE!$Q$8,-2,IF(RASANTE!F59&lt;=PERALTE!$U$8,(10/(PERALTE!$U$8-PERALTE!$Q$8)*(RASANTE!F59-PERALTE!$Q$8)-2),IF(RASANTE!F59&lt;=PERALTE!$X$8,8,IF(RASANTE!F59&lt;=PERALTE!$AB$8,(10/(PERALTE!$X$8-PERALTE!$AB$8)*(RASANTE!F59-PERALTE!$AB$8)-2))))),IF(AND(AH!$H$12="Izquierda",RASANTE!F59&lt;=PERALTE!$AB$10),IF(RASANTE!F59&lt;=PERALTE!$S$10,-2,IF(RASANTE!F59&lt;=PERALTE!$U$10,(-6/(PERALTE!$U$10-PERALTE!$S$10)*(RASANTE!F59-PERALTE!$S$10)-2),IF(RASANTE!F59&lt;=PERALTE!$X$10,-8,IF(RASANTE!F59&lt;=PERALTE!$Z$10,(-6/(PERALTE!$X$10-PERALTE!$Z$10)*(RASANTE!F59-PERALTE!$Z$10)-2),IF(RASANTE!F59&lt;=PERALTE!$AB$10,-2))))),IF(AND(AH!$H$12="Derecha",RASANTE!F59&lt;=PERALTE!$AB$10),IF(RASANTE!F59&lt;=PERALTE!$Q$10,-2,IF(RASANTE!F59&lt;=PERALTE!$U$10,(10/(PERALTE!$U$10-PERALTE!$Q$10)*(RASANTE!F59-PERALTE!$Q$10)-2),IF(RASANTE!F59&lt;=PERALTE!$X$10,8,IF(RASANTE!F59&lt;=PERALTE!$AB$10,(10/(PERALTE!$X$10-PERALTE!$AB$10)*(RASANTE!F59-PERALTE!$AB$10)-2))))),IF(AND(AH!$H$14="Izquierda",RASANTE!F59&lt;=PERALTE!$AB$12),IF(RASANTE!F59&lt;=PERALTE!$S$12,-2,IF(RASANTE!F59&lt;=PERALTE!$U$12,(-6/(PERALTE!$U$12-PERALTE!$S$12)*(RASANTE!F59-PERALTE!$S$12)-2),IF(RASANTE!F59&lt;=PERALTE!$X$12,-8,IF(RASANTE!F59&lt;=PERALTE!$Z$12,(-6/(PERALTE!$X$12-PERALTE!$Z$12)*(RASANTE!F59-PERALTE!$Z$12)-2),IF(RASANTE!F59&lt;=PERALTE!$AB$12,-2))))),IF(AND(AH!$H$14="Derecha",RASANTE!F59&lt;=PERALTE!$AB$12),IF(RASANTE!F59&lt;=PERALTE!$Q$12,-2,IF(RASANTE!F59&lt;=PERALTE!$U$12,(10/(PERALTE!$U$12-PERALTE!$Q$12)*(RASANTE!F59-PERALTE!$Q$12)-2),IF(RASANTE!F59&lt;=PERALTE!$X$12,8,IF(RASANTE!F59&lt;=PERALTE!$AB$12,(10/(PERALTE!$X$12-PERALTE!$AB$12)*(RASANTE!F59-PERALTE!$AB$12)-2))))),IF(AND(AH!$H$16="Izquierda",RASANTE!F59&lt;=PERALTE!$AB$14),IF(RASANTE!F59&lt;=PERALTE!$S$14,-2,IF(RASANTE!F59&lt;=PERALTE!$U$14,(-6/(PERALTE!$U$14-PERALTE!$S$14)*(RASANTE!F59-PERALTE!$S$14)-2),IF(RASANTE!F59&lt;=PERALTE!$X$14,-8,IF(RASANTE!F59&lt;=PERALTE!$Z$14,(-6/(PERALTE!$X$14-PERALTE!$Z$14)*(RASANTE!F59-PERALTE!$Z$14)-2),IF(RASANTE!F59&lt;=PERALTE!$AB$14,-2))))),IF(AND(AH!$H$16="Derecha",RASANTE!F59&lt;=PERALTE!$AB$14),IF(RASANTE!F59&lt;=PERALTE!$Q$14,-2,IF(RASANTE!F59&lt;=PERALTE!$U$14,(10/(PERALTE!$U$14-PERALTE!$Q$14)*(RASANTE!F59-PERALTE!$Q$14)-2),IF(RASANTE!F59&lt;=PERALTE!$X$14,8,IF(RASANTE!F59&lt;=PERALTE!$AB$14,(10/(PERALTE!$X$14-PERALTE!$AB$14)*(RASANTE!F59-PERALTE!$AB$14)-2))))),IF(AND(AH!$H$18="Izquierda",RASANTE!F59&lt;=PERALTE!$AB$16),IF(RASANTE!F59&lt;=PERALTE!$S$16,-2,IF(RASANTE!F59&lt;=PERALTE!$U$16,(-6/(PERALTE!$U$16-PERALTE!$S$16)*(RASANTE!F59-PERALTE!$S$16)-2),IF(RASANTE!F59&lt;=PERALTE!$X$16,-8,IF(RASANTE!F59&lt;=PERALTE!$Z$16,(-6/(PERALTE!$X$16-PERALTE!$Z$16)*(RASANTE!F59-PERALTE!$Z$16)-2),IF(RASANTE!F59&lt;=PERALTE!$AB$16,-2))))),IF(AND(AH!$H$18="Derecha",RASANTE!F59&lt;=PERALTE!$AB$16),IF(RASANTE!F59&lt;=PERALTE!$Q$16,-2,IF(RASANTE!F59&lt;=PERALTE!$U$16,(10/(PERALTE!$U$16-PERALTE!$Q$16)*(RASANTE!F59-PERALTE!$Q$16)-2),IF(RASANTE!F59&lt;=PERALTE!$X$16,8,IF(RASANTE!F59&lt;=PERALTE!$AB$16,(10/(PERALTE!$X$16-PERALTE!$AB$16)*(RASANTE!F59-PERALTE!$AB$16)-2))))),IF(AND(AH!$H$20="Izquierda",RASANTE!F59&lt;=PERALTE!$AB$18),IF(RASANTE!F59&lt;=PERALTE!$S$18,-2,IF(RASANTE!F59&lt;=PERALTE!$U$18,(-6/(PERALTE!$U$18-PERALTE!$S$18)*(RASANTE!F59-PERALTE!$S$18)-2),IF(RASANTE!F59&lt;=PERALTE!$X$18,-8,IF(RASANTE!F59&lt;=PERALTE!$Z$18,(-6/(PERALTE!$X$18-PERALTE!$Z$18)*(RASANTE!F59-PERALTE!$Z$18)-2),IF(RASANTE!F59&lt;=PERALTE!$AB$18,-2))))),IF(AND(AH!$H$20="Derecha",RASANTE!F59&lt;=PERALTE!$AB$18),IF(RASANTE!F59&lt;=PERALTE!$Q$18,-2,IF(RASANTE!F59&lt;=PERALTE!$U$18,(10/(PERALTE!$U$18-PERALTE!$Q$18)*(RASANTE!F59-PERALTE!$Q$18)-2),IF(RASANTE!F59&lt;=PERALTE!$X$18,8,IF(RASANTE!F59&lt;=PERALTE!$AB$18,(10/(PERALTE!$X$18-PERALTE!$AB$18)*(RASANTE!F59-PERALTE!$AB$18)-2))))),IF(AND(AH!$H$24="Izquierda",RASANTE!F59&lt;=PERALTE!$AB$22),IF(RASANTE!F59&lt;=PERALTE!$S$22,-2,IF(RASANTE!F59&lt;=PERALTE!$U$22,(-6/(PERALTE!$U$22-PERALTE!$S$22)*(RASANTE!F59-PERALTE!$S$22)-2),IF(RASANTE!F59&lt;=PERALTE!$X$22,-8,IF(RASANTE!F59&lt;=PERALTE!$Z$22,(-6/(PERALTE!$X$22-PERALTE!$Z$22)*(RASANTE!F59-PERALTE!$Z$22)-2),IF(RASANTE!F59&lt;=PERALTE!$AB$22,-2))))),IF(AND(AH!$H$24="Derecha",RASANTE!F59&lt;=PERALTE!$AB$22),IF(RASANTE!F59&lt;=PERALTE!$Q$22,-2,IF(RASANTE!F59&lt;=PERALTE!$U$22,(10/(PERALTE!$U$22-PERALTE!$Q$22)*(RASANTE!F59-PERALTE!$Q$22)-2),IF(RASANTE!F59&lt;=PERALTE!$X$22,8,IF(RASANTE!F59&lt;=PERALTE!$AB$22,(10/(PERALTE!$X$22-PERALTE!$AB$22)*(RASANTE!F59-PERALTE!$AB$22)-2))))),IF(AND(AH!#REF!="Izquierda",RASANTE!F59&lt;=PERALTE!#REF!),IF(RASANTE!F59&lt;=PERALTE!#REF!,-2,IF(RASANTE!F59&lt;=PERALTE!#REF!,(-6/(PERALTE!#REF!-PERALTE!#REF!)*(RASANTE!F59-PERALTE!#REF!)-2),IF(RASANTE!F59&lt;=PERALTE!#REF!,-8,IF(RASANTE!F59&lt;=PERALTE!#REF!,(-6/(PERALTE!#REF!-PERALTE!#REF!)*(RASANTE!F59-PERALTE!#REF!)-2),IF(RASANTE!F59&lt;=PERALTE!#REF!,-2))))),IF(AND(AH!#REF!="Derecha",RASANTE!F59&lt;=PERALTE!#REF!),IF(RASANTE!F59&lt;=PERALTE!#REF!,-2,IF(RASANTE!F59&lt;=PERALTE!#REF!,(10/(PERALTE!#REF!-PERALTE!#REF!)*(RASANTE!F59-PERALTE!#REF!)-2),IF(RASANTE!F59&lt;=PERALTE!#REF!,8,IF(RASANTE!F59&lt;=PERALTE!#REF!,(10/(PERALTE!#REF!-PERALTE!#REF!)*(RASANTE!F59-PERALTE!#REF!)-2))))),IF(AND(AH!#REF!="Izquierda",RASANTE!F59&lt;=PERALTE!$AB$26),IF(RASANTE!F59&lt;=PERALTE!$S$26,-2,IF(RASANTE!F59&lt;=PERALTE!$U$26,(-6/(PERALTE!$U$26-PERALTE!$S$26)*(RASANTE!F59-PERALTE!$S$26)-2),IF(RASANTE!F59&lt;=PERALTE!$X$26,-8,IF(RASANTE!F59&lt;=PERALTE!$Z$26,(-6/(PERALTE!$X$26-PERALTE!$Z$26)*(RASANTE!F59-PERALTE!$Z$26)-2),IF(RASANTE!F59&lt;=PERALTE!$AB$26,-2))))),IF(AND(AH!#REF!="Derecha",RASANTE!F59&lt;=PERALTE!$AB$26),IF(RASANTE!F59&lt;=PERALTE!$Q$26,-2,IF(RASANTE!F59&lt;=PERALTE!$U$26,(10/(PERALTE!$U$26-PERALTE!$Q$26)*(RASANTE!F59-PERALTE!$Q$26)-2),IF(RASANTE!F59&lt;=PERALTE!$X$26,8,IF(RASANTE!F59&lt;=PERALTE!$AB$26,(10/(PERALTE!$X$26-PERALTE!$AB$26)*(RASANTE!F59-PERALTE!$AB$26)-2))))),IF(F59&lt;=PERALTE!#REF!,-2,"Abscisa fuera de la vía")))))))))))))))))))))</f>
        <v>8.1907410815222903E-2</v>
      </c>
      <c r="I59" s="28">
        <f>+IF(AND(AH!$H$8="Derecha",RASANTE!F59&lt;=PERALTE!$AB$6),IF(RASANTE!F59&lt;=PERALTE!$S$6,-2,IF(RASANTE!F59&lt;=PERALTE!$U$6,(-6/(PERALTE!$U$6-PERALTE!$S$6)*(RASANTE!F59-PERALTE!$S$6)-2),IF(RASANTE!F59&lt;=PERALTE!$X$6,-8,IF(RASANTE!F59&lt;=PERALTE!$Z$6,(-6/(PERALTE!$X$6-PERALTE!$Z$6)*(RASANTE!F59-PERALTE!$Z$6)-2),IF(RASANTE!F59&lt;=PERALTE!$AB$6,-2))))),IF(AND(AH!$H$8="Izquierda",RASANTE!F59&lt;=PERALTE!$AB$6),IF(RASANTE!F59&lt;=PERALTE!$Q$6,-2,IF(RASANTE!F59&lt;=PERALTE!$U$6,(10/(PERALTE!$U$6-PERALTE!$Q$6)*(RASANTE!F59-PERALTE!$Q$6)-2),IF(RASANTE!F59&lt;=PERALTE!$X$6,8,IF(RASANTE!F59&lt;=PERALTE!$AB$6,(10/(PERALTE!$X$6-PERALTE!$AB$6)*(RASANTE!F59-PERALTE!$AB$6)-2))))),IF(AND(AH!$H$10="Derecha",RASANTE!F59&lt;=PERALTE!$AB$8),IF(RASANTE!F59&lt;=PERALTE!$S$8,-2,IF(RASANTE!F59&lt;=PERALTE!$U$8,(-6/(PERALTE!$U$8-PERALTE!$S$8)*(RASANTE!F59-PERALTE!$S$8)-2),IF(RASANTE!F59&lt;=PERALTE!$X$8,-8,IF(RASANTE!F59&lt;=PERALTE!$Z$8,(-6/(PERALTE!$X$8-PERALTE!$Z$8)*(RASANTE!F59-PERALTE!$Z$8)-2),IF(RASANTE!F59&lt;=PERALTE!$AB$8,-2))))),IF(AND(AH!$H$10="Izquierda",RASANTE!F59&lt;=PERALTE!$AB$8),IF(RASANTE!F59&lt;=PERALTE!$Q$8,-2,IF(RASANTE!F59&lt;=PERALTE!$U$8,(10/(PERALTE!$U$8-PERALTE!$Q$8)*(RASANTE!F59-PERALTE!$Q$8)-2),IF(RASANTE!F59&lt;=PERALTE!$X$8,8,IF(RASANTE!F59&lt;=PERALTE!$AB$8,(10/(PERALTE!$X$8-PERALTE!$AB$8)*(RASANTE!F59-PERALTE!$AB$8)-2))))),IF(AND(AH!$H$12="Derecha",RASANTE!F59&lt;=PERALTE!$AB$10),IF(RASANTE!F59&lt;=PERALTE!$S$10,-2,IF(RASANTE!F59&lt;=PERALTE!$U$10,(-6/(PERALTE!$U$10-PERALTE!$S$10)*(RASANTE!F59-PERALTE!$S$10)-2),IF(RASANTE!F59&lt;=PERALTE!$X$10,-8,IF(RASANTE!F59&lt;=PERALTE!$Z$10,(-6/(PERALTE!$X$10-PERALTE!$Z$10)*(RASANTE!F59-PERALTE!$Z$10)-2),IF(RASANTE!F59&lt;=PERALTE!$AB$10,-2))))),IF(AND(AH!$H$12="Izquierda",RASANTE!F59&lt;=PERALTE!$AB$10),IF(RASANTE!F59&lt;=PERALTE!$Q$10,-2,IF(RASANTE!F59&lt;=PERALTE!$U$10,(10/(PERALTE!$U$10-PERALTE!$Q$10)*(RASANTE!F59-PERALTE!$Q$10)-2),IF(RASANTE!F59&lt;=PERALTE!$X$10,8,IF(RASANTE!F59&lt;=PERALTE!$AB$10,(10/(PERALTE!$X$10-PERALTE!$AB$10)*(RASANTE!F59-PERALTE!$AB$10)-2))))),IF(AND(AH!$H$14="Derecha",RASANTE!F59&lt;=PERALTE!$AB$12),IF(RASANTE!F59&lt;=PERALTE!$S$12,-2,IF(RASANTE!F59&lt;=PERALTE!$U$12,(-6/(PERALTE!$U$12-PERALTE!$S$12)*(RASANTE!F59-PERALTE!$S$12)-2),IF(RASANTE!F59&lt;=PERALTE!$X$12,-8,IF(RASANTE!F59&lt;=PERALTE!$Z$12,(-6/(PERALTE!$X$12-PERALTE!$Z$12)*(RASANTE!F59-PERALTE!$Z$12)-2),IF(RASANTE!F59&lt;=PERALTE!$AB$12,-2))))),IF(AND(AH!$H$14="Izquierda",RASANTE!F59&lt;=PERALTE!$AB$12),IF(RASANTE!F59&lt;=PERALTE!$Q$12,-2,IF(RASANTE!F59&lt;=PERALTE!$U$12,(10/(PERALTE!$U$12-PERALTE!$Q$12)*(RASANTE!F59-PERALTE!$Q$12)-2),IF(RASANTE!F59&lt;=PERALTE!$X$12,8,IF(RASANTE!F59&lt;=PERALTE!$AB$12,(10/(PERALTE!$X$12-PERALTE!$AB$12)*(RASANTE!F59-PERALTE!$AB$12)-2))))),IF(AND(AH!$H$16="Derecha",RASANTE!F59&lt;=PERALTE!$AB$14),IF(RASANTE!F59&lt;=PERALTE!$S$14,-2,IF(RASANTE!F59&lt;=PERALTE!$U$14,(-6/(PERALTE!$U$14-PERALTE!$S$14)*(RASANTE!F59-PERALTE!$S$14)-2),IF(RASANTE!F59&lt;=PERALTE!$X$14,-8,IF(RASANTE!F59&lt;=PERALTE!$Z$14,(-6/(PERALTE!$X$14-PERALTE!$Z$14)*(RASANTE!F59-PERALTE!$Z$14)-2),IF(RASANTE!F59&lt;=PERALTE!$AB$14,-2))))),IF(AND(AH!$H$16="Izquierda",RASANTE!F59&lt;=PERALTE!$AB$14),IF(RASANTE!F59&lt;=PERALTE!$Q$14,-2,IF(RASANTE!F59&lt;=PERALTE!$U$14,(10/(PERALTE!$U$14-PERALTE!$Q$14)*(RASANTE!F59-PERALTE!$Q$14)-2),IF(RASANTE!F59&lt;=PERALTE!$X$14,8,IF(RASANTE!F59&lt;=PERALTE!$AB$14,(10/(PERALTE!$X$14-PERALTE!$AB$14)*(RASANTE!F59-PERALTE!$AB$14)-2))))),IF(AND(AH!$H$18="Derecha",RASANTE!F59&lt;=PERALTE!$AB$16),IF(RASANTE!F59&lt;=PERALTE!$S$16,-2,IF(RASANTE!F59&lt;=PERALTE!$U$16,(-6/(PERALTE!$U$16-PERALTE!$S$16)*(RASANTE!F59-PERALTE!$S$16)-2),IF(RASANTE!F59&lt;=PERALTE!$X$16,-8,IF(RASANTE!F59&lt;=PERALTE!$Z$16,(-6/(PERALTE!$X$16-PERALTE!$Z$16)*(RASANTE!F59-PERALTE!$Z$16)-2),IF(RASANTE!F59&lt;=PERALTE!$AB$16,-2))))),IF(AND(AH!$H$18="Izquierda",RASANTE!F59&lt;=PERALTE!$AB$16),IF(RASANTE!F59&lt;=PERALTE!$Q$16,-2,IF(RASANTE!F59&lt;=PERALTE!$U$16,(10/(PERALTE!$U$16-PERALTE!$Q$16)*(RASANTE!F59-PERALTE!$Q$16)-2),IF(RASANTE!F59&lt;=PERALTE!$X$16,8,IF(RASANTE!F59&lt;=PERALTE!$AB$16,(10/(PERALTE!$X$16-PERALTE!$AB$16)*(RASANTE!F59-PERALTE!$AB$16)-2))))),IF(AND(AH!$H$20="Derecha",RASANTE!F59&lt;=PERALTE!$AB$18),IF(RASANTE!F59&lt;=PERALTE!$S$18,-2,IF(RASANTE!F59&lt;=PERALTE!$U$18,(-6/(PERALTE!$U$18-PERALTE!$S$18)*(RASANTE!F59-PERALTE!$S$18)-2),IF(RASANTE!F59&lt;=PERALTE!$X$18,-8,IF(RASANTE!F59&lt;=PERALTE!$Z$18,(-6/(PERALTE!$X$18-PERALTE!$Z$18)*(RASANTE!F59-PERALTE!$Z$18)-2),IF(RASANTE!F59&lt;=PERALTE!$AB$18,-2))))),IF(AND(AH!$H$20="Izquierda",RASANTE!F59&lt;=PERALTE!$AB$18),IF(RASANTE!F59&lt;=PERALTE!$Q$18,-2,IF(RASANTE!F59&lt;=PERALTE!$U$18,(10/(PERALTE!$U$18-PERALTE!$Q$18)*(RASANTE!F59-PERALTE!$Q$18)-2),IF(RASANTE!F59&lt;=PERALTE!$X$18,8,IF(RASANTE!F59&lt;=PERALTE!$AB$18,(10/(PERALTE!$X$18-PERALTE!$AB$18)*(RASANTE!F59-PERALTE!$AB$18)-2))))),IF(AND(AH!$H$24="Derecha",RASANTE!F59&lt;=PERALTE!$AB$22),IF(RASANTE!F59&lt;=PERALTE!$S$22,-2,IF(RASANTE!F59&lt;=PERALTE!$U$22,(-6/(PERALTE!$U$22-PERALTE!$S$22)*(RASANTE!F59-PERALTE!$S$22)-2),IF(RASANTE!F59&lt;=PERALTE!$X$22,-8,IF(RASANTE!F59&lt;=PERALTE!$Z$22,(-6/(PERALTE!$X$22-PERALTE!$Z$22)*(RASANTE!F59-PERALTE!$Z$22)-2),IF(RASANTE!F59&lt;=PERALTE!$AB$22,-2))))),IF(AND(AH!$H$24="Izquierda",RASANTE!F59&lt;=PERALTE!$AB$22),IF(RASANTE!F59&lt;=PERALTE!$Q$22,-2,IF(RASANTE!F59&lt;=PERALTE!$U$22,(10/(PERALTE!$U$22-PERALTE!$Q$22)*(RASANTE!F59-PERALTE!$Q$22)-2),IF(RASANTE!F59&lt;=PERALTE!$X$22,8,IF(RASANTE!F59&lt;=PERALTE!$AB$22,(10/(PERALTE!$X$22-PERALTE!$AB$22)*(RASANTE!F59-PERALTE!$AB$22)-2))))),IF(AND(AH!#REF!="Derecha",RASANTE!F59&lt;=PERALTE!#REF!),IF(RASANTE!F59&lt;=PERALTE!#REF!,-2,IF(RASANTE!F59&lt;=PERALTE!#REF!,(-6/(PERALTE!#REF!-PERALTE!#REF!)*(RASANTE!F59-PERALTE!#REF!)-2),IF(RASANTE!F59&lt;=PERALTE!#REF!,-8,IF(RASANTE!F59&lt;=PERALTE!#REF!,(-6/(PERALTE!#REF!-PERALTE!#REF!)*(RASANTE!F59-PERALTE!#REF!)-2),IF(RASANTE!F59&lt;=PERALTE!#REF!,-2))))),IF(AND(AH!#REF!="Izquierda",RASANTE!F59&lt;=PERALTE!#REF!),IF(RASANTE!F59&lt;=PERALTE!#REF!,-2,IF(RASANTE!F59&lt;=PERALTE!#REF!,(10/(PERALTE!#REF!-PERALTE!#REF!)*(RASANTE!F59-PERALTE!#REF!)-2),IF(RASANTE!F59&lt;=PERALTE!#REF!,8,IF(RASANTE!F59&lt;=PERALTE!#REF!,(10/(PERALTE!#REF!-PERALTE!#REF!)*(RASANTE!F59-PERALTE!#REF!)-2))))),IF(AND(AH!#REF!="Derecha",RASANTE!F59&lt;=PERALTE!$AB$26),IF(RASANTE!F59&lt;=PERALTE!$S$26,-2,IF(RASANTE!F59&lt;=PERALTE!$U$26,(-6/(PERALTE!$U$26-PERALTE!$S$26)*(RASANTE!F59-PERALTE!$S$26)-2),IF(RASANTE!F59&lt;=PERALTE!$X$26,-8,IF(RASANTE!F59&lt;=PERALTE!$Z$26,(-6/(PERALTE!$X$26-PERALTE!$Z$26)*(RASANTE!F59-PERALTE!$Z$26)-2),IF(RASANTE!F59&lt;=PERALTE!$AB$26,-2))))),IF(AND(AH!#REF!="Izquierda",RASANTE!F59&lt;=PERALTE!$AB$26),IF(RASANTE!F59&lt;=PERALTE!$Q$26,-2,IF(RASANTE!F59&lt;=PERALTE!$U$26,(10/(PERALTE!$U$26-PERALTE!$Q$26)*(RASANTE!F59-PERALTE!$Q$26)-2),IF(RASANTE!F59&lt;=PERALTE!$X$26,8,IF(RASANTE!F59&lt;=PERALTE!$AB$26,(10/(PERALTE!$X$26-PERALTE!$AB$26)*(RASANTE!F59-PERALTE!$AB$26)-2))))),IF(F59&lt;=PERALTE!#REF!,-2,"Abscisa fuera de la vía")))))))))))))))))))))</f>
        <v>-2</v>
      </c>
      <c r="J59" s="28">
        <f t="shared" si="1"/>
        <v>1646.1152000000006</v>
      </c>
      <c r="K59" s="28">
        <f>+IF(AND(AV!$S$6&lt;F187,F187&lt;=AV!$T$6),AV!$P$6*((AV!$S$6-RASANTE!F187)/(AV!$N$6))^2,IF(AND(AV!$T$6&lt;RASANTE!F187,F187&lt;AV!$U$6),AV!$P$6*((AV!$U$6-RASANTE!F187)/(AV!$O$6))^2,IF(AND(AV!$S$8&lt;F187,F187&lt;=AV!$T$8),AV!$P$8*((AV!$S$8-RASANTE!F187)/(AV!$N$8))^2,IF(AND(AV!$T$8&lt;RASANTE!F187,F187&lt;AV!$U$8),AV!$P$8*((AV!$U$8-RASANTE!F187)/(AV!$O$8))^2,IF(AND(AV!$S$10&lt;F187,F187&lt;=AV!$T$10),AV!$P$10*((AV!$S$10-RASANTE!F187)/(AV!$N$10))^2,IF(AND(AV!$T$10&lt;RASANTE!F187,F187&lt;AV!$U$10),AV!$P$10*((AV!$U$10-RASANTE!F187)/(AV!$O$10))^2,IF(AND(AV!$S$12&lt;F187,F187&lt;=AV!$T$12),AV!$P$12*((AV!$S$12-RASANTE!F187)/(AV!$N$12))^2,IF(AND(AV!$T$12&lt;RASANTE!F187,F187&lt;AV!$U$12),AV!$P$12*((AV!$U$12-RASANTE!F187)/(AV!$O$12))^2,IF(AND(AV!$S$14&lt;F187,F187&lt;=AV!$T$14),AV!$P$14*((AV!$S$14-RASANTE!F187)/(AV!$N$14))^2,IF(AND(AV!$T$14&lt;RASANTE!F187,F187&lt;AV!$U$14),AV!$P$14*((AV!$U$14-RASANTE!F187)/(AV!$O$14))^2,IF(AND(AV!$S$16&lt;F187,F187&lt;=AV!$T$16),AV!$P$16*((AV!$S$16-RASANTE!F187)/(AV!$N$16))^2,IF(AND(AV!$T$16&lt;RASANTE!F187,F187&lt;AV!$U$16),AV!$P$16*((AV!$U$16-RASANTE!F187)/(AV!$O$16))^2,IF(AND(AV!$S$18&lt;F187,F187&lt;=AV!$T$18),AV!$P$18*((AV!$S$18-RASANTE!F187)/(AV!$N$18))^2,IF(AND(AV!$T$18&lt;RASANTE!F187,F187&lt;AV!$U$18),AV!$P$18*((AV!$U$18-RASANTE!F187)/(AV!$O$18))^2,IF(AND(AV!$S$20&lt;F187,F187&lt;=AV!$T$20),AV!$P$20*((AV!$S$20-RASANTE!F187)/(AV!$N$20))^2,IF(AND(AV!$T$20&lt;RASANTE!F187,F187&lt;AV!$U$20),AV!$P$20*((AV!$U$20-RASANTE!F187)/(AV!$O$20))^2,IF(AND(AV!$S$22&lt;F187,F187&lt;=AV!$T$22),AV!$P$22*((AV!$S$22-RASANTE!F187)/(AV!$N$22))^2,IF(AND(AV!$T$22&lt;RASANTE!F187,F187&lt;AV!$U$22),AV!$P$22*((AV!$U$22-RASANTE!F187)/(AV!$O$22))^2,IF(AND(AV!$S$24&lt;F187,F187&lt;=AV!$T$24),AV!$P$24*((AV!$S$24-RASANTE!F187)/(AV!$N$24))^2,IF(AND(AV!$T$24&lt;RASANTE!F187,F187&lt;AV!$U$24),AV!$P$24*((AV!$U$24-RASANTE!F187)/(AV!$O$24))^2,0))))))))))))))))))))</f>
        <v>0</v>
      </c>
      <c r="L59" s="28">
        <f>+M59+H59%*PERALTE!$C$32</f>
        <v>1646.1180667593792</v>
      </c>
      <c r="M59" s="28">
        <f t="shared" si="3"/>
        <v>1646.1152000000006</v>
      </c>
      <c r="N59" s="28">
        <f>+M59+I59%*PERALTE!$C$32</f>
        <v>1646.0452000000007</v>
      </c>
      <c r="O59" s="92"/>
      <c r="P59" s="84"/>
      <c r="Q59" s="84"/>
      <c r="R59" s="84"/>
      <c r="S59" s="84"/>
      <c r="T59" s="84"/>
      <c r="U59" s="84"/>
      <c r="V59" s="84"/>
      <c r="W59" s="84"/>
      <c r="X59" s="84"/>
      <c r="Y59" s="84"/>
    </row>
    <row r="60" spans="1:25" ht="15.75" customHeight="1" x14ac:dyDescent="0.2">
      <c r="A60" s="90" t="s">
        <v>321</v>
      </c>
      <c r="B60" s="86"/>
      <c r="C60" s="86"/>
      <c r="D60" s="86"/>
      <c r="E60" s="91"/>
      <c r="F60" s="34">
        <f>PERALTE!S8</f>
        <v>388.71860267811257</v>
      </c>
      <c r="G60" s="88">
        <f>IF(F60&lt;=AV!$T$6,AV!$C$5,IF(RASANTE!F60&lt;=AV!$T$8,AV!$C$7,IF(RASANTE!F60&lt;=AV!$T$10,AV!$C$9,IF(RASANTE!F60&lt;=AV!$T$12,AV!#REF!,IF(RASANTE!F60&lt;=AV!$T$14,AV!$C$11,IF(RASANTE!F60&lt;=AV!$T$16,AV!$C$13, IF(RASANTE!F60&lt;=AV!$T$18,AV!$C$15,IF(RASANTE!F60&lt;=AV!$T$20,AV!$C$19,IF(RASANTE!F60&lt;=AV!$T$22,AV!$C$21,IF(RASANTE!F60&lt;=AV!$T$24,AV!$C$23,AV!$C$25))))))))))</f>
        <v>-7.774</v>
      </c>
      <c r="H60" s="28">
        <f>+IF(AND(AH!$H$8="Izquierda",RASANTE!F60&lt;=PERALTE!$AB$6),IF(RASANTE!F60&lt;=PERALTE!$S$6,-2,IF(RASANTE!F60&lt;=PERALTE!$U$6,(-6/(PERALTE!$U$6-PERALTE!$S$6)*(RASANTE!F60-PERALTE!$S$6)-2),IF(RASANTE!F60&lt;=PERALTE!$X$6,-8,IF(RASANTE!F60&lt;=PERALTE!$Z$6,(-6/(PERALTE!$X$6-PERALTE!$Z$6)*(RASANTE!F60-PERALTE!$Z$6)-2),IF(RASANTE!F60&lt;=PERALTE!$AB$6,-2))))),IF(AND(AH!$H$8="Derecha",RASANTE!F60&lt;=PERALTE!$AB$6),IF(RASANTE!F60&lt;=PERALTE!$Q$6,-2,IF(RASANTE!F60&lt;=PERALTE!$U$6,(10/(PERALTE!$U$6-PERALTE!$Q$6)*(RASANTE!F60-PERALTE!$Q$6)-2),IF(RASANTE!F60&lt;=PERALTE!$X$6,8,IF(RASANTE!F60&lt;=PERALTE!$AB$6,(10/(PERALTE!$X$6-PERALTE!$AB$6)*(RASANTE!F60-PERALTE!$AB$6)-2))))),IF(AND(AH!$H$10="Izquierda",RASANTE!F60&lt;=PERALTE!$AB$8),IF(RASANTE!F60&lt;=PERALTE!$S$8,-2,IF(RASANTE!F60&lt;=PERALTE!$U$8,(-6/(PERALTE!$U$8-PERALTE!$S$8)*(RASANTE!F60-PERALTE!$S$8)-2),IF(RASANTE!F60&lt;=PERALTE!$X$8,-8,IF(RASANTE!F60&lt;=PERALTE!$Z$8,(-6/(PERALTE!$X$8-PERALTE!$Z$8)*(RASANTE!F60-PERALTE!$Z$8)-2),IF(RASANTE!F60&lt;=PERALTE!$AB$8,-2))))),IF(AND(AH!$H$10="Derecha",RASANTE!F60&lt;=PERALTE!$AB$8),IF(RASANTE!F60&lt;=PERALTE!$Q$8,-2,IF(RASANTE!F60&lt;=PERALTE!$U$8,(10/(PERALTE!$U$8-PERALTE!$Q$8)*(RASANTE!F60-PERALTE!$Q$8)-2),IF(RASANTE!F60&lt;=PERALTE!$X$8,8,IF(RASANTE!F60&lt;=PERALTE!$AB$8,(10/(PERALTE!$X$8-PERALTE!$AB$8)*(RASANTE!F60-PERALTE!$AB$8)-2))))),IF(AND(AH!$H$12="Izquierda",RASANTE!F60&lt;=PERALTE!$AB$10),IF(RASANTE!F60&lt;=PERALTE!$S$10,-2,IF(RASANTE!F60&lt;=PERALTE!$U$10,(-6/(PERALTE!$U$10-PERALTE!$S$10)*(RASANTE!F60-PERALTE!$S$10)-2),IF(RASANTE!F60&lt;=PERALTE!$X$10,-8,IF(RASANTE!F60&lt;=PERALTE!$Z$10,(-6/(PERALTE!$X$10-PERALTE!$Z$10)*(RASANTE!F60-PERALTE!$Z$10)-2),IF(RASANTE!F60&lt;=PERALTE!$AB$10,-2))))),IF(AND(AH!$H$12="Derecha",RASANTE!F60&lt;=PERALTE!$AB$10),IF(RASANTE!F60&lt;=PERALTE!$Q$10,-2,IF(RASANTE!F60&lt;=PERALTE!$U$10,(10/(PERALTE!$U$10-PERALTE!$Q$10)*(RASANTE!F60-PERALTE!$Q$10)-2),IF(RASANTE!F60&lt;=PERALTE!$X$10,8,IF(RASANTE!F60&lt;=PERALTE!$AB$10,(10/(PERALTE!$X$10-PERALTE!$AB$10)*(RASANTE!F60-PERALTE!$AB$10)-2))))),IF(AND(AH!$H$14="Izquierda",RASANTE!F60&lt;=PERALTE!$AB$12),IF(RASANTE!F60&lt;=PERALTE!$S$12,-2,IF(RASANTE!F60&lt;=PERALTE!$U$12,(-6/(PERALTE!$U$12-PERALTE!$S$12)*(RASANTE!F60-PERALTE!$S$12)-2),IF(RASANTE!F60&lt;=PERALTE!$X$12,-8,IF(RASANTE!F60&lt;=PERALTE!$Z$12,(-6/(PERALTE!$X$12-PERALTE!$Z$12)*(RASANTE!F60-PERALTE!$Z$12)-2),IF(RASANTE!F60&lt;=PERALTE!$AB$12,-2))))),IF(AND(AH!$H$14="Derecha",RASANTE!F60&lt;=PERALTE!$AB$12),IF(RASANTE!F60&lt;=PERALTE!$Q$12,-2,IF(RASANTE!F60&lt;=PERALTE!$U$12,(10/(PERALTE!$U$12-PERALTE!$Q$12)*(RASANTE!F60-PERALTE!$Q$12)-2),IF(RASANTE!F60&lt;=PERALTE!$X$12,8,IF(RASANTE!F60&lt;=PERALTE!$AB$12,(10/(PERALTE!$X$12-PERALTE!$AB$12)*(RASANTE!F60-PERALTE!$AB$12)-2))))),IF(AND(AH!$H$16="Izquierda",RASANTE!F60&lt;=PERALTE!$AB$14),IF(RASANTE!F60&lt;=PERALTE!$S$14,-2,IF(RASANTE!F60&lt;=PERALTE!$U$14,(-6/(PERALTE!$U$14-PERALTE!$S$14)*(RASANTE!F60-PERALTE!$S$14)-2),IF(RASANTE!F60&lt;=PERALTE!$X$14,-8,IF(RASANTE!F60&lt;=PERALTE!$Z$14,(-6/(PERALTE!$X$14-PERALTE!$Z$14)*(RASANTE!F60-PERALTE!$Z$14)-2),IF(RASANTE!F60&lt;=PERALTE!$AB$14,-2))))),IF(AND(AH!$H$16="Derecha",RASANTE!F60&lt;=PERALTE!$AB$14),IF(RASANTE!F60&lt;=PERALTE!$Q$14,-2,IF(RASANTE!F60&lt;=PERALTE!$U$14,(10/(PERALTE!$U$14-PERALTE!$Q$14)*(RASANTE!F60-PERALTE!$Q$14)-2),IF(RASANTE!F60&lt;=PERALTE!$X$14,8,IF(RASANTE!F60&lt;=PERALTE!$AB$14,(10/(PERALTE!$X$14-PERALTE!$AB$14)*(RASANTE!F60-PERALTE!$AB$14)-2))))),IF(AND(AH!$H$18="Izquierda",RASANTE!F60&lt;=PERALTE!$AB$16),IF(RASANTE!F60&lt;=PERALTE!$S$16,-2,IF(RASANTE!F60&lt;=PERALTE!$U$16,(-6/(PERALTE!$U$16-PERALTE!$S$16)*(RASANTE!F60-PERALTE!$S$16)-2),IF(RASANTE!F60&lt;=PERALTE!$X$16,-8,IF(RASANTE!F60&lt;=PERALTE!$Z$16,(-6/(PERALTE!$X$16-PERALTE!$Z$16)*(RASANTE!F60-PERALTE!$Z$16)-2),IF(RASANTE!F60&lt;=PERALTE!$AB$16,-2))))),IF(AND(AH!$H$18="Derecha",RASANTE!F60&lt;=PERALTE!$AB$16),IF(RASANTE!F60&lt;=PERALTE!$Q$16,-2,IF(RASANTE!F60&lt;=PERALTE!$U$16,(10/(PERALTE!$U$16-PERALTE!$Q$16)*(RASANTE!F60-PERALTE!$Q$16)-2),IF(RASANTE!F60&lt;=PERALTE!$X$16,8,IF(RASANTE!F60&lt;=PERALTE!$AB$16,(10/(PERALTE!$X$16-PERALTE!$AB$16)*(RASANTE!F60-PERALTE!$AB$16)-2))))),IF(AND(AH!$H$20="Izquierda",RASANTE!F60&lt;=PERALTE!$AB$18),IF(RASANTE!F60&lt;=PERALTE!$S$18,-2,IF(RASANTE!F60&lt;=PERALTE!$U$18,(-6/(PERALTE!$U$18-PERALTE!$S$18)*(RASANTE!F60-PERALTE!$S$18)-2),IF(RASANTE!F60&lt;=PERALTE!$X$18,-8,IF(RASANTE!F60&lt;=PERALTE!$Z$18,(-6/(PERALTE!$X$18-PERALTE!$Z$18)*(RASANTE!F60-PERALTE!$Z$18)-2),IF(RASANTE!F60&lt;=PERALTE!$AB$18,-2))))),IF(AND(AH!$H$20="Derecha",RASANTE!F60&lt;=PERALTE!$AB$18),IF(RASANTE!F60&lt;=PERALTE!$Q$18,-2,IF(RASANTE!F60&lt;=PERALTE!$U$18,(10/(PERALTE!$U$18-PERALTE!$Q$18)*(RASANTE!F60-PERALTE!$Q$18)-2),IF(RASANTE!F60&lt;=PERALTE!$X$18,8,IF(RASANTE!F60&lt;=PERALTE!$AB$18,(10/(PERALTE!$X$18-PERALTE!$AB$18)*(RASANTE!F60-PERALTE!$AB$18)-2))))),IF(AND(AH!$H$24="Izquierda",RASANTE!F60&lt;=PERALTE!$AB$22),IF(RASANTE!F60&lt;=PERALTE!$S$22,-2,IF(RASANTE!F60&lt;=PERALTE!$U$22,(-6/(PERALTE!$U$22-PERALTE!$S$22)*(RASANTE!F60-PERALTE!$S$22)-2),IF(RASANTE!F60&lt;=PERALTE!$X$22,-8,IF(RASANTE!F60&lt;=PERALTE!$Z$22,(-6/(PERALTE!$X$22-PERALTE!$Z$22)*(RASANTE!F60-PERALTE!$Z$22)-2),IF(RASANTE!F60&lt;=PERALTE!$AB$22,-2))))),IF(AND(AH!$H$24="Derecha",RASANTE!F60&lt;=PERALTE!$AB$22),IF(RASANTE!F60&lt;=PERALTE!$Q$22,-2,IF(RASANTE!F60&lt;=PERALTE!$U$22,(10/(PERALTE!$U$22-PERALTE!$Q$22)*(RASANTE!F60-PERALTE!$Q$22)-2),IF(RASANTE!F60&lt;=PERALTE!$X$22,8,IF(RASANTE!F60&lt;=PERALTE!$AB$22,(10/(PERALTE!$X$22-PERALTE!$AB$22)*(RASANTE!F60-PERALTE!$AB$22)-2))))),IF(AND(AH!#REF!="Izquierda",RASANTE!F60&lt;=PERALTE!#REF!),IF(RASANTE!F60&lt;=PERALTE!#REF!,-2,IF(RASANTE!F60&lt;=PERALTE!#REF!,(-6/(PERALTE!#REF!-PERALTE!#REF!)*(RASANTE!F60-PERALTE!#REF!)-2),IF(RASANTE!F60&lt;=PERALTE!#REF!,-8,IF(RASANTE!F60&lt;=PERALTE!#REF!,(-6/(PERALTE!#REF!-PERALTE!#REF!)*(RASANTE!F60-PERALTE!#REF!)-2),IF(RASANTE!F60&lt;=PERALTE!#REF!,-2))))),IF(AND(AH!#REF!="Derecha",RASANTE!F60&lt;=PERALTE!#REF!),IF(RASANTE!F60&lt;=PERALTE!#REF!,-2,IF(RASANTE!F60&lt;=PERALTE!#REF!,(10/(PERALTE!#REF!-PERALTE!#REF!)*(RASANTE!F60-PERALTE!#REF!)-2),IF(RASANTE!F60&lt;=PERALTE!#REF!,8,IF(RASANTE!F60&lt;=PERALTE!#REF!,(10/(PERALTE!#REF!-PERALTE!#REF!)*(RASANTE!F60-PERALTE!#REF!)-2))))),IF(AND(AH!#REF!="Izquierda",RASANTE!F60&lt;=PERALTE!$AB$26),IF(RASANTE!F60&lt;=PERALTE!$S$26,-2,IF(RASANTE!F60&lt;=PERALTE!$U$26,(-6/(PERALTE!$U$26-PERALTE!$S$26)*(RASANTE!F60-PERALTE!$S$26)-2),IF(RASANTE!F60&lt;=PERALTE!$X$26,-8,IF(RASANTE!F60&lt;=PERALTE!$Z$26,(-6/(PERALTE!$X$26-PERALTE!$Z$26)*(RASANTE!F60-PERALTE!$Z$26)-2),IF(RASANTE!F60&lt;=PERALTE!$AB$26,-2))))),IF(AND(AH!#REF!="Derecha",RASANTE!F60&lt;=PERALTE!$AB$26),IF(RASANTE!F60&lt;=PERALTE!$Q$26,-2,IF(RASANTE!F60&lt;=PERALTE!$U$26,(10/(PERALTE!$U$26-PERALTE!$Q$26)*(RASANTE!F60-PERALTE!$Q$26)-2),IF(RASANTE!F60&lt;=PERALTE!$X$26,8,IF(RASANTE!F60&lt;=PERALTE!$AB$26,(10/(PERALTE!$X$26-PERALTE!$AB$26)*(RASANTE!F60-PERALTE!$AB$26)-2))))),IF(F60&lt;=PERALTE!#REF!,-2,"Abscisa fuera de la vía")))))))))))))))))))))</f>
        <v>1.9999999999999902</v>
      </c>
      <c r="I60" s="28">
        <f>+IF(AND(AH!$H$8="Derecha",RASANTE!F60&lt;=PERALTE!$AB$6),IF(RASANTE!F60&lt;=PERALTE!$S$6,-2,IF(RASANTE!F60&lt;=PERALTE!$U$6,(-6/(PERALTE!$U$6-PERALTE!$S$6)*(RASANTE!F60-PERALTE!$S$6)-2),IF(RASANTE!F60&lt;=PERALTE!$X$6,-8,IF(RASANTE!F60&lt;=PERALTE!$Z$6,(-6/(PERALTE!$X$6-PERALTE!$Z$6)*(RASANTE!F60-PERALTE!$Z$6)-2),IF(RASANTE!F60&lt;=PERALTE!$AB$6,-2))))),IF(AND(AH!$H$8="Izquierda",RASANTE!F60&lt;=PERALTE!$AB$6),IF(RASANTE!F60&lt;=PERALTE!$Q$6,-2,IF(RASANTE!F60&lt;=PERALTE!$U$6,(10/(PERALTE!$U$6-PERALTE!$Q$6)*(RASANTE!F60-PERALTE!$Q$6)-2),IF(RASANTE!F60&lt;=PERALTE!$X$6,8,IF(RASANTE!F60&lt;=PERALTE!$AB$6,(10/(PERALTE!$X$6-PERALTE!$AB$6)*(RASANTE!F60-PERALTE!$AB$6)-2))))),IF(AND(AH!$H$10="Derecha",RASANTE!F60&lt;=PERALTE!$AB$8),IF(RASANTE!F60&lt;=PERALTE!$S$8,-2,IF(RASANTE!F60&lt;=PERALTE!$U$8,(-6/(PERALTE!$U$8-PERALTE!$S$8)*(RASANTE!F60-PERALTE!$S$8)-2),IF(RASANTE!F60&lt;=PERALTE!$X$8,-8,IF(RASANTE!F60&lt;=PERALTE!$Z$8,(-6/(PERALTE!$X$8-PERALTE!$Z$8)*(RASANTE!F60-PERALTE!$Z$8)-2),IF(RASANTE!F60&lt;=PERALTE!$AB$8,-2))))),IF(AND(AH!$H$10="Izquierda",RASANTE!F60&lt;=PERALTE!$AB$8),IF(RASANTE!F60&lt;=PERALTE!$Q$8,-2,IF(RASANTE!F60&lt;=PERALTE!$U$8,(10/(PERALTE!$U$8-PERALTE!$Q$8)*(RASANTE!F60-PERALTE!$Q$8)-2),IF(RASANTE!F60&lt;=PERALTE!$X$8,8,IF(RASANTE!F60&lt;=PERALTE!$AB$8,(10/(PERALTE!$X$8-PERALTE!$AB$8)*(RASANTE!F60-PERALTE!$AB$8)-2))))),IF(AND(AH!$H$12="Derecha",RASANTE!F60&lt;=PERALTE!$AB$10),IF(RASANTE!F60&lt;=PERALTE!$S$10,-2,IF(RASANTE!F60&lt;=PERALTE!$U$10,(-6/(PERALTE!$U$10-PERALTE!$S$10)*(RASANTE!F60-PERALTE!$S$10)-2),IF(RASANTE!F60&lt;=PERALTE!$X$10,-8,IF(RASANTE!F60&lt;=PERALTE!$Z$10,(-6/(PERALTE!$X$10-PERALTE!$Z$10)*(RASANTE!F60-PERALTE!$Z$10)-2),IF(RASANTE!F60&lt;=PERALTE!$AB$10,-2))))),IF(AND(AH!$H$12="Izquierda",RASANTE!F60&lt;=PERALTE!$AB$10),IF(RASANTE!F60&lt;=PERALTE!$Q$10,-2,IF(RASANTE!F60&lt;=PERALTE!$U$10,(10/(PERALTE!$U$10-PERALTE!$Q$10)*(RASANTE!F60-PERALTE!$Q$10)-2),IF(RASANTE!F60&lt;=PERALTE!$X$10,8,IF(RASANTE!F60&lt;=PERALTE!$AB$10,(10/(PERALTE!$X$10-PERALTE!$AB$10)*(RASANTE!F60-PERALTE!$AB$10)-2))))),IF(AND(AH!$H$14="Derecha",RASANTE!F60&lt;=PERALTE!$AB$12),IF(RASANTE!F60&lt;=PERALTE!$S$12,-2,IF(RASANTE!F60&lt;=PERALTE!$U$12,(-6/(PERALTE!$U$12-PERALTE!$S$12)*(RASANTE!F60-PERALTE!$S$12)-2),IF(RASANTE!F60&lt;=PERALTE!$X$12,-8,IF(RASANTE!F60&lt;=PERALTE!$Z$12,(-6/(PERALTE!$X$12-PERALTE!$Z$12)*(RASANTE!F60-PERALTE!$Z$12)-2),IF(RASANTE!F60&lt;=PERALTE!$AB$12,-2))))),IF(AND(AH!$H$14="Izquierda",RASANTE!F60&lt;=PERALTE!$AB$12),IF(RASANTE!F60&lt;=PERALTE!$Q$12,-2,IF(RASANTE!F60&lt;=PERALTE!$U$12,(10/(PERALTE!$U$12-PERALTE!$Q$12)*(RASANTE!F60-PERALTE!$Q$12)-2),IF(RASANTE!F60&lt;=PERALTE!$X$12,8,IF(RASANTE!F60&lt;=PERALTE!$AB$12,(10/(PERALTE!$X$12-PERALTE!$AB$12)*(RASANTE!F60-PERALTE!$AB$12)-2))))),IF(AND(AH!$H$16="Derecha",RASANTE!F60&lt;=PERALTE!$AB$14),IF(RASANTE!F60&lt;=PERALTE!$S$14,-2,IF(RASANTE!F60&lt;=PERALTE!$U$14,(-6/(PERALTE!$U$14-PERALTE!$S$14)*(RASANTE!F60-PERALTE!$S$14)-2),IF(RASANTE!F60&lt;=PERALTE!$X$14,-8,IF(RASANTE!F60&lt;=PERALTE!$Z$14,(-6/(PERALTE!$X$14-PERALTE!$Z$14)*(RASANTE!F60-PERALTE!$Z$14)-2),IF(RASANTE!F60&lt;=PERALTE!$AB$14,-2))))),IF(AND(AH!$H$16="Izquierda",RASANTE!F60&lt;=PERALTE!$AB$14),IF(RASANTE!F60&lt;=PERALTE!$Q$14,-2,IF(RASANTE!F60&lt;=PERALTE!$U$14,(10/(PERALTE!$U$14-PERALTE!$Q$14)*(RASANTE!F60-PERALTE!$Q$14)-2),IF(RASANTE!F60&lt;=PERALTE!$X$14,8,IF(RASANTE!F60&lt;=PERALTE!$AB$14,(10/(PERALTE!$X$14-PERALTE!$AB$14)*(RASANTE!F60-PERALTE!$AB$14)-2))))),IF(AND(AH!$H$18="Derecha",RASANTE!F60&lt;=PERALTE!$AB$16),IF(RASANTE!F60&lt;=PERALTE!$S$16,-2,IF(RASANTE!F60&lt;=PERALTE!$U$16,(-6/(PERALTE!$U$16-PERALTE!$S$16)*(RASANTE!F60-PERALTE!$S$16)-2),IF(RASANTE!F60&lt;=PERALTE!$X$16,-8,IF(RASANTE!F60&lt;=PERALTE!$Z$16,(-6/(PERALTE!$X$16-PERALTE!$Z$16)*(RASANTE!F60-PERALTE!$Z$16)-2),IF(RASANTE!F60&lt;=PERALTE!$AB$16,-2))))),IF(AND(AH!$H$18="Izquierda",RASANTE!F60&lt;=PERALTE!$AB$16),IF(RASANTE!F60&lt;=PERALTE!$Q$16,-2,IF(RASANTE!F60&lt;=PERALTE!$U$16,(10/(PERALTE!$U$16-PERALTE!$Q$16)*(RASANTE!F60-PERALTE!$Q$16)-2),IF(RASANTE!F60&lt;=PERALTE!$X$16,8,IF(RASANTE!F60&lt;=PERALTE!$AB$16,(10/(PERALTE!$X$16-PERALTE!$AB$16)*(RASANTE!F60-PERALTE!$AB$16)-2))))),IF(AND(AH!$H$20="Derecha",RASANTE!F60&lt;=PERALTE!$AB$18),IF(RASANTE!F60&lt;=PERALTE!$S$18,-2,IF(RASANTE!F60&lt;=PERALTE!$U$18,(-6/(PERALTE!$U$18-PERALTE!$S$18)*(RASANTE!F60-PERALTE!$S$18)-2),IF(RASANTE!F60&lt;=PERALTE!$X$18,-8,IF(RASANTE!F60&lt;=PERALTE!$Z$18,(-6/(PERALTE!$X$18-PERALTE!$Z$18)*(RASANTE!F60-PERALTE!$Z$18)-2),IF(RASANTE!F60&lt;=PERALTE!$AB$18,-2))))),IF(AND(AH!$H$20="Izquierda",RASANTE!F60&lt;=PERALTE!$AB$18),IF(RASANTE!F60&lt;=PERALTE!$Q$18,-2,IF(RASANTE!F60&lt;=PERALTE!$U$18,(10/(PERALTE!$U$18-PERALTE!$Q$18)*(RASANTE!F60-PERALTE!$Q$18)-2),IF(RASANTE!F60&lt;=PERALTE!$X$18,8,IF(RASANTE!F60&lt;=PERALTE!$AB$18,(10/(PERALTE!$X$18-PERALTE!$AB$18)*(RASANTE!F60-PERALTE!$AB$18)-2))))),IF(AND(AH!$H$24="Derecha",RASANTE!F60&lt;=PERALTE!$AB$22),IF(RASANTE!F60&lt;=PERALTE!$S$22,-2,IF(RASANTE!F60&lt;=PERALTE!$U$22,(-6/(PERALTE!$U$22-PERALTE!$S$22)*(RASANTE!F60-PERALTE!$S$22)-2),IF(RASANTE!F60&lt;=PERALTE!$X$22,-8,IF(RASANTE!F60&lt;=PERALTE!$Z$22,(-6/(PERALTE!$X$22-PERALTE!$Z$22)*(RASANTE!F60-PERALTE!$Z$22)-2),IF(RASANTE!F60&lt;=PERALTE!$AB$22,-2))))),IF(AND(AH!$H$24="Izquierda",RASANTE!F60&lt;=PERALTE!$AB$22),IF(RASANTE!F60&lt;=PERALTE!$Q$22,-2,IF(RASANTE!F60&lt;=PERALTE!$U$22,(10/(PERALTE!$U$22-PERALTE!$Q$22)*(RASANTE!F60-PERALTE!$Q$22)-2),IF(RASANTE!F60&lt;=PERALTE!$X$22,8,IF(RASANTE!F60&lt;=PERALTE!$AB$22,(10/(PERALTE!$X$22-PERALTE!$AB$22)*(RASANTE!F60-PERALTE!$AB$22)-2))))),IF(AND(AH!#REF!="Derecha",RASANTE!F60&lt;=PERALTE!#REF!),IF(RASANTE!F60&lt;=PERALTE!#REF!,-2,IF(RASANTE!F60&lt;=PERALTE!#REF!,(-6/(PERALTE!#REF!-PERALTE!#REF!)*(RASANTE!F60-PERALTE!#REF!)-2),IF(RASANTE!F60&lt;=PERALTE!#REF!,-8,IF(RASANTE!F60&lt;=PERALTE!#REF!,(-6/(PERALTE!#REF!-PERALTE!#REF!)*(RASANTE!F60-PERALTE!#REF!)-2),IF(RASANTE!F60&lt;=PERALTE!#REF!,-2))))),IF(AND(AH!#REF!="Izquierda",RASANTE!F60&lt;=PERALTE!#REF!),IF(RASANTE!F60&lt;=PERALTE!#REF!,-2,IF(RASANTE!F60&lt;=PERALTE!#REF!,(10/(PERALTE!#REF!-PERALTE!#REF!)*(RASANTE!F60-PERALTE!#REF!)-2),IF(RASANTE!F60&lt;=PERALTE!#REF!,8,IF(RASANTE!F60&lt;=PERALTE!#REF!,(10/(PERALTE!#REF!-PERALTE!#REF!)*(RASANTE!F60-PERALTE!#REF!)-2))))),IF(AND(AH!#REF!="Derecha",RASANTE!F60&lt;=PERALTE!$AB$26),IF(RASANTE!F60&lt;=PERALTE!$S$26,-2,IF(RASANTE!F60&lt;=PERALTE!$U$26,(-6/(PERALTE!$U$26-PERALTE!$S$26)*(RASANTE!F60-PERALTE!$S$26)-2),IF(RASANTE!F60&lt;=PERALTE!$X$26,-8,IF(RASANTE!F60&lt;=PERALTE!$Z$26,(-6/(PERALTE!$X$26-PERALTE!$Z$26)*(RASANTE!F60-PERALTE!$Z$26)-2),IF(RASANTE!F60&lt;=PERALTE!$AB$26,-2))))),IF(AND(AH!#REF!="Izquierda",RASANTE!F60&lt;=PERALTE!$AB$26),IF(RASANTE!F60&lt;=PERALTE!$Q$26,-2,IF(RASANTE!F60&lt;=PERALTE!$U$26,(10/(PERALTE!$U$26-PERALTE!$Q$26)*(RASANTE!F60-PERALTE!$Q$26)-2),IF(RASANTE!F60&lt;=PERALTE!$X$26,8,IF(RASANTE!F60&lt;=PERALTE!$AB$26,(10/(PERALTE!$X$26-PERALTE!$AB$26)*(RASANTE!F60-PERALTE!$AB$26)-2))))),IF(F60&lt;=PERALTE!#REF!,-2,"Abscisa fuera de la vía")))))))))))))))))))))</f>
        <v>-2</v>
      </c>
      <c r="J60" s="28">
        <f t="shared" si="1"/>
        <v>1645.4374158278042</v>
      </c>
      <c r="K60" s="28">
        <f>+IF(AND(AV!$S$6&lt;F188,F188&lt;=AV!$T$6),AV!$P$6*((AV!$S$6-RASANTE!F188)/(AV!$N$6))^2,IF(AND(AV!$T$6&lt;RASANTE!F188,F188&lt;AV!$U$6),AV!$P$6*((AV!$U$6-RASANTE!F188)/(AV!$O$6))^2,IF(AND(AV!$S$8&lt;F188,F188&lt;=AV!$T$8),AV!$P$8*((AV!$S$8-RASANTE!F188)/(AV!$N$8))^2,IF(AND(AV!$T$8&lt;RASANTE!F188,F188&lt;AV!$U$8),AV!$P$8*((AV!$U$8-RASANTE!F188)/(AV!$O$8))^2,IF(AND(AV!$S$10&lt;F188,F188&lt;=AV!$T$10),AV!$P$10*((AV!$S$10-RASANTE!F188)/(AV!$N$10))^2,IF(AND(AV!$T$10&lt;RASANTE!F188,F188&lt;AV!$U$10),AV!$P$10*((AV!$U$10-RASANTE!F188)/(AV!$O$10))^2,IF(AND(AV!$S$12&lt;F188,F188&lt;=AV!$T$12),AV!$P$12*((AV!$S$12-RASANTE!F188)/(AV!$N$12))^2,IF(AND(AV!$T$12&lt;RASANTE!F188,F188&lt;AV!$U$12),AV!$P$12*((AV!$U$12-RASANTE!F188)/(AV!$O$12))^2,IF(AND(AV!$S$14&lt;F188,F188&lt;=AV!$T$14),AV!$P$14*((AV!$S$14-RASANTE!F188)/(AV!$N$14))^2,IF(AND(AV!$T$14&lt;RASANTE!F188,F188&lt;AV!$U$14),AV!$P$14*((AV!$U$14-RASANTE!F188)/(AV!$O$14))^2,IF(AND(AV!$S$16&lt;F188,F188&lt;=AV!$T$16),AV!$P$16*((AV!$S$16-RASANTE!F188)/(AV!$N$16))^2,IF(AND(AV!$T$16&lt;RASANTE!F188,F188&lt;AV!$U$16),AV!$P$16*((AV!$U$16-RASANTE!F188)/(AV!$O$16))^2,IF(AND(AV!$S$18&lt;F188,F188&lt;=AV!$T$18),AV!$P$18*((AV!$S$18-RASANTE!F188)/(AV!$N$18))^2,IF(AND(AV!$T$18&lt;RASANTE!F188,F188&lt;AV!$U$18),AV!$P$18*((AV!$U$18-RASANTE!F188)/(AV!$O$18))^2,IF(AND(AV!$S$20&lt;F188,F188&lt;=AV!$T$20),AV!$P$20*((AV!$S$20-RASANTE!F188)/(AV!$N$20))^2,IF(AND(AV!$T$20&lt;RASANTE!F188,F188&lt;AV!$U$20),AV!$P$20*((AV!$U$20-RASANTE!F188)/(AV!$O$20))^2,IF(AND(AV!$S$22&lt;F188,F188&lt;=AV!$T$22),AV!$P$22*((AV!$S$22-RASANTE!F188)/(AV!$N$22))^2,IF(AND(AV!$T$22&lt;RASANTE!F188,F188&lt;AV!$U$22),AV!$P$22*((AV!$U$22-RASANTE!F188)/(AV!$O$22))^2,IF(AND(AV!$S$24&lt;F188,F188&lt;=AV!$T$24),AV!$P$24*((AV!$S$24-RASANTE!F188)/(AV!$N$24))^2,IF(AND(AV!$T$24&lt;RASANTE!F188,F188&lt;AV!$U$24),AV!$P$24*((AV!$U$24-RASANTE!F188)/(AV!$O$24))^2,0))))))))))))))))))))</f>
        <v>0</v>
      </c>
      <c r="L60" s="28">
        <f>+M60+H60%*PERALTE!$C$32</f>
        <v>1645.5074158278042</v>
      </c>
      <c r="M60" s="28">
        <f t="shared" si="3"/>
        <v>1645.4374158278042</v>
      </c>
      <c r="N60" s="28">
        <f>+M60+I60%*PERALTE!$C$32</f>
        <v>1645.3674158278043</v>
      </c>
      <c r="O60" s="92"/>
      <c r="P60" s="84"/>
      <c r="Q60" s="84"/>
      <c r="R60" s="84"/>
      <c r="S60" s="84"/>
      <c r="T60" s="84"/>
      <c r="U60" s="84"/>
      <c r="V60" s="84"/>
      <c r="W60" s="84"/>
      <c r="X60" s="84"/>
      <c r="Y60" s="84"/>
    </row>
    <row r="61" spans="1:25" ht="15.75" customHeight="1" x14ac:dyDescent="0.2">
      <c r="A61" s="90"/>
      <c r="B61" s="86"/>
      <c r="C61" s="86"/>
      <c r="D61" s="86"/>
      <c r="E61" s="91"/>
      <c r="F61" s="34">
        <v>390</v>
      </c>
      <c r="G61" s="88">
        <f>IF(F61&lt;=AV!$T$6,AV!$C$5,IF(RASANTE!F61&lt;=AV!$T$8,AV!$C$7,IF(RASANTE!F61&lt;=AV!$T$10,AV!$C$9,IF(RASANTE!F61&lt;=AV!$T$12,AV!#REF!,IF(RASANTE!F61&lt;=AV!$T$14,AV!$C$11,IF(RASANTE!F61&lt;=AV!$T$16,AV!$C$13, IF(RASANTE!F61&lt;=AV!$T$18,AV!$C$15,IF(RASANTE!F61&lt;=AV!$T$20,AV!$C$19,IF(RASANTE!F61&lt;=AV!$T$22,AV!$C$21,IF(RASANTE!F61&lt;=AV!$T$24,AV!$C$23,AV!$C$25))))))))))</f>
        <v>-7.774</v>
      </c>
      <c r="H61" s="28">
        <f>+IF(AND(AH!$H$8="Izquierda",RASANTE!F61&lt;=PERALTE!$AB$6),IF(RASANTE!F61&lt;=PERALTE!$S$6,-2,IF(RASANTE!F61&lt;=PERALTE!$U$6,(-6/(PERALTE!$U$6-PERALTE!$S$6)*(RASANTE!F61-PERALTE!$S$6)-2),IF(RASANTE!F61&lt;=PERALTE!$X$6,-8,IF(RASANTE!F61&lt;=PERALTE!$Z$6,(-6/(PERALTE!$X$6-PERALTE!$Z$6)*(RASANTE!F61-PERALTE!$Z$6)-2),IF(RASANTE!F61&lt;=PERALTE!$AB$6,-2))))),IF(AND(AH!$H$8="Derecha",RASANTE!F61&lt;=PERALTE!$AB$6),IF(RASANTE!F61&lt;=PERALTE!$Q$6,-2,IF(RASANTE!F61&lt;=PERALTE!$U$6,(10/(PERALTE!$U$6-PERALTE!$Q$6)*(RASANTE!F61-PERALTE!$Q$6)-2),IF(RASANTE!F61&lt;=PERALTE!$X$6,8,IF(RASANTE!F61&lt;=PERALTE!$AB$6,(10/(PERALTE!$X$6-PERALTE!$AB$6)*(RASANTE!F61-PERALTE!$AB$6)-2))))),IF(AND(AH!$H$10="Izquierda",RASANTE!F61&lt;=PERALTE!$AB$8),IF(RASANTE!F61&lt;=PERALTE!$S$8,-2,IF(RASANTE!F61&lt;=PERALTE!$U$8,(-6/(PERALTE!$U$8-PERALTE!$S$8)*(RASANTE!F61-PERALTE!$S$8)-2),IF(RASANTE!F61&lt;=PERALTE!$X$8,-8,IF(RASANTE!F61&lt;=PERALTE!$Z$8,(-6/(PERALTE!$X$8-PERALTE!$Z$8)*(RASANTE!F61-PERALTE!$Z$8)-2),IF(RASANTE!F61&lt;=PERALTE!$AB$8,-2))))),IF(AND(AH!$H$10="Derecha",RASANTE!F61&lt;=PERALTE!$AB$8),IF(RASANTE!F61&lt;=PERALTE!$Q$8,-2,IF(RASANTE!F61&lt;=PERALTE!$U$8,(10/(PERALTE!$U$8-PERALTE!$Q$8)*(RASANTE!F61-PERALTE!$Q$8)-2),IF(RASANTE!F61&lt;=PERALTE!$X$8,8,IF(RASANTE!F61&lt;=PERALTE!$AB$8,(10/(PERALTE!$X$8-PERALTE!$AB$8)*(RASANTE!F61-PERALTE!$AB$8)-2))))),IF(AND(AH!$H$12="Izquierda",RASANTE!F61&lt;=PERALTE!$AB$10),IF(RASANTE!F61&lt;=PERALTE!$S$10,-2,IF(RASANTE!F61&lt;=PERALTE!$U$10,(-6/(PERALTE!$U$10-PERALTE!$S$10)*(RASANTE!F61-PERALTE!$S$10)-2),IF(RASANTE!F61&lt;=PERALTE!$X$10,-8,IF(RASANTE!F61&lt;=PERALTE!$Z$10,(-6/(PERALTE!$X$10-PERALTE!$Z$10)*(RASANTE!F61-PERALTE!$Z$10)-2),IF(RASANTE!F61&lt;=PERALTE!$AB$10,-2))))),IF(AND(AH!$H$12="Derecha",RASANTE!F61&lt;=PERALTE!$AB$10),IF(RASANTE!F61&lt;=PERALTE!$Q$10,-2,IF(RASANTE!F61&lt;=PERALTE!$U$10,(10/(PERALTE!$U$10-PERALTE!$Q$10)*(RASANTE!F61-PERALTE!$Q$10)-2),IF(RASANTE!F61&lt;=PERALTE!$X$10,8,IF(RASANTE!F61&lt;=PERALTE!$AB$10,(10/(PERALTE!$X$10-PERALTE!$AB$10)*(RASANTE!F61-PERALTE!$AB$10)-2))))),IF(AND(AH!$H$14="Izquierda",RASANTE!F61&lt;=PERALTE!$AB$12),IF(RASANTE!F61&lt;=PERALTE!$S$12,-2,IF(RASANTE!F61&lt;=PERALTE!$U$12,(-6/(PERALTE!$U$12-PERALTE!$S$12)*(RASANTE!F61-PERALTE!$S$12)-2),IF(RASANTE!F61&lt;=PERALTE!$X$12,-8,IF(RASANTE!F61&lt;=PERALTE!$Z$12,(-6/(PERALTE!$X$12-PERALTE!$Z$12)*(RASANTE!F61-PERALTE!$Z$12)-2),IF(RASANTE!F61&lt;=PERALTE!$AB$12,-2))))),IF(AND(AH!$H$14="Derecha",RASANTE!F61&lt;=PERALTE!$AB$12),IF(RASANTE!F61&lt;=PERALTE!$Q$12,-2,IF(RASANTE!F61&lt;=PERALTE!$U$12,(10/(PERALTE!$U$12-PERALTE!$Q$12)*(RASANTE!F61-PERALTE!$Q$12)-2),IF(RASANTE!F61&lt;=PERALTE!$X$12,8,IF(RASANTE!F61&lt;=PERALTE!$AB$12,(10/(PERALTE!$X$12-PERALTE!$AB$12)*(RASANTE!F61-PERALTE!$AB$12)-2))))),IF(AND(AH!$H$16="Izquierda",RASANTE!F61&lt;=PERALTE!$AB$14),IF(RASANTE!F61&lt;=PERALTE!$S$14,-2,IF(RASANTE!F61&lt;=PERALTE!$U$14,(-6/(PERALTE!$U$14-PERALTE!$S$14)*(RASANTE!F61-PERALTE!$S$14)-2),IF(RASANTE!F61&lt;=PERALTE!$X$14,-8,IF(RASANTE!F61&lt;=PERALTE!$Z$14,(-6/(PERALTE!$X$14-PERALTE!$Z$14)*(RASANTE!F61-PERALTE!$Z$14)-2),IF(RASANTE!F61&lt;=PERALTE!$AB$14,-2))))),IF(AND(AH!$H$16="Derecha",RASANTE!F61&lt;=PERALTE!$AB$14),IF(RASANTE!F61&lt;=PERALTE!$Q$14,-2,IF(RASANTE!F61&lt;=PERALTE!$U$14,(10/(PERALTE!$U$14-PERALTE!$Q$14)*(RASANTE!F61-PERALTE!$Q$14)-2),IF(RASANTE!F61&lt;=PERALTE!$X$14,8,IF(RASANTE!F61&lt;=PERALTE!$AB$14,(10/(PERALTE!$X$14-PERALTE!$AB$14)*(RASANTE!F61-PERALTE!$AB$14)-2))))),IF(AND(AH!$H$18="Izquierda",RASANTE!F61&lt;=PERALTE!$AB$16),IF(RASANTE!F61&lt;=PERALTE!$S$16,-2,IF(RASANTE!F61&lt;=PERALTE!$U$16,(-6/(PERALTE!$U$16-PERALTE!$S$16)*(RASANTE!F61-PERALTE!$S$16)-2),IF(RASANTE!F61&lt;=PERALTE!$X$16,-8,IF(RASANTE!F61&lt;=PERALTE!$Z$16,(-6/(PERALTE!$X$16-PERALTE!$Z$16)*(RASANTE!F61-PERALTE!$Z$16)-2),IF(RASANTE!F61&lt;=PERALTE!$AB$16,-2))))),IF(AND(AH!$H$18="Derecha",RASANTE!F61&lt;=PERALTE!$AB$16),IF(RASANTE!F61&lt;=PERALTE!$Q$16,-2,IF(RASANTE!F61&lt;=PERALTE!$U$16,(10/(PERALTE!$U$16-PERALTE!$Q$16)*(RASANTE!F61-PERALTE!$Q$16)-2),IF(RASANTE!F61&lt;=PERALTE!$X$16,8,IF(RASANTE!F61&lt;=PERALTE!$AB$16,(10/(PERALTE!$X$16-PERALTE!$AB$16)*(RASANTE!F61-PERALTE!$AB$16)-2))))),IF(AND(AH!$H$20="Izquierda",RASANTE!F61&lt;=PERALTE!$AB$18),IF(RASANTE!F61&lt;=PERALTE!$S$18,-2,IF(RASANTE!F61&lt;=PERALTE!$U$18,(-6/(PERALTE!$U$18-PERALTE!$S$18)*(RASANTE!F61-PERALTE!$S$18)-2),IF(RASANTE!F61&lt;=PERALTE!$X$18,-8,IF(RASANTE!F61&lt;=PERALTE!$Z$18,(-6/(PERALTE!$X$18-PERALTE!$Z$18)*(RASANTE!F61-PERALTE!$Z$18)-2),IF(RASANTE!F61&lt;=PERALTE!$AB$18,-2))))),IF(AND(AH!$H$20="Derecha",RASANTE!F61&lt;=PERALTE!$AB$18),IF(RASANTE!F61&lt;=PERALTE!$Q$18,-2,IF(RASANTE!F61&lt;=PERALTE!$U$18,(10/(PERALTE!$U$18-PERALTE!$Q$18)*(RASANTE!F61-PERALTE!$Q$18)-2),IF(RASANTE!F61&lt;=PERALTE!$X$18,8,IF(RASANTE!F61&lt;=PERALTE!$AB$18,(10/(PERALTE!$X$18-PERALTE!$AB$18)*(RASANTE!F61-PERALTE!$AB$18)-2))))),IF(AND(AH!$H$24="Izquierda",RASANTE!F61&lt;=PERALTE!$AB$22),IF(RASANTE!F61&lt;=PERALTE!$S$22,-2,IF(RASANTE!F61&lt;=PERALTE!$U$22,(-6/(PERALTE!$U$22-PERALTE!$S$22)*(RASANTE!F61-PERALTE!$S$22)-2),IF(RASANTE!F61&lt;=PERALTE!$X$22,-8,IF(RASANTE!F61&lt;=PERALTE!$Z$22,(-6/(PERALTE!$X$22-PERALTE!$Z$22)*(RASANTE!F61-PERALTE!$Z$22)-2),IF(RASANTE!F61&lt;=PERALTE!$AB$22,-2))))),IF(AND(AH!$H$24="Derecha",RASANTE!F61&lt;=PERALTE!$AB$22),IF(RASANTE!F61&lt;=PERALTE!$Q$22,-2,IF(RASANTE!F61&lt;=PERALTE!$U$22,(10/(PERALTE!$U$22-PERALTE!$Q$22)*(RASANTE!F61-PERALTE!$Q$22)-2),IF(RASANTE!F61&lt;=PERALTE!$X$22,8,IF(RASANTE!F61&lt;=PERALTE!$AB$22,(10/(PERALTE!$X$22-PERALTE!$AB$22)*(RASANTE!F61-PERALTE!$AB$22)-2))))),IF(AND(AH!#REF!="Izquierda",RASANTE!F61&lt;=PERALTE!#REF!),IF(RASANTE!F61&lt;=PERALTE!#REF!,-2,IF(RASANTE!F61&lt;=PERALTE!#REF!,(-6/(PERALTE!#REF!-PERALTE!#REF!)*(RASANTE!F61-PERALTE!#REF!)-2),IF(RASANTE!F61&lt;=PERALTE!#REF!,-8,IF(RASANTE!F61&lt;=PERALTE!#REF!,(-6/(PERALTE!#REF!-PERALTE!#REF!)*(RASANTE!F61-PERALTE!#REF!)-2),IF(RASANTE!F61&lt;=PERALTE!#REF!,-2))))),IF(AND(AH!#REF!="Derecha",RASANTE!F61&lt;=PERALTE!#REF!),IF(RASANTE!F61&lt;=PERALTE!#REF!,-2,IF(RASANTE!F61&lt;=PERALTE!#REF!,(10/(PERALTE!#REF!-PERALTE!#REF!)*(RASANTE!F61-PERALTE!#REF!)-2),IF(RASANTE!F61&lt;=PERALTE!#REF!,8,IF(RASANTE!F61&lt;=PERALTE!#REF!,(10/(PERALTE!#REF!-PERALTE!#REF!)*(RASANTE!F61-PERALTE!#REF!)-2))))),IF(AND(AH!#REF!="Izquierda",RASANTE!F61&lt;=PERALTE!$AB$26),IF(RASANTE!F61&lt;=PERALTE!$S$26,-2,IF(RASANTE!F61&lt;=PERALTE!$U$26,(-6/(PERALTE!$U$26-PERALTE!$S$26)*(RASANTE!F61-PERALTE!$S$26)-2),IF(RASANTE!F61&lt;=PERALTE!$X$26,-8,IF(RASANTE!F61&lt;=PERALTE!$Z$26,(-6/(PERALTE!$X$26-PERALTE!$Z$26)*(RASANTE!F61-PERALTE!$Z$26)-2),IF(RASANTE!F61&lt;=PERALTE!$AB$26,-2))))),IF(AND(AH!#REF!="Derecha",RASANTE!F61&lt;=PERALTE!$AB$26),IF(RASANTE!F61&lt;=PERALTE!$Q$26,-2,IF(RASANTE!F61&lt;=PERALTE!$U$26,(10/(PERALTE!$U$26-PERALTE!$Q$26)*(RASANTE!F61-PERALTE!$Q$26)-2),IF(RASANTE!F61&lt;=PERALTE!$X$26,8,IF(RASANTE!F61&lt;=PERALTE!$AB$26,(10/(PERALTE!$X$26-PERALTE!$AB$26)*(RASANTE!F61-PERALTE!$AB$26)-2))))),IF(F61&lt;=PERALTE!#REF!,-2,"Abscisa fuera de la vía")))))))))))))))))))))</f>
        <v>2.281907410815224</v>
      </c>
      <c r="I61" s="28">
        <f>+IF(AND(AH!$H$8="Derecha",RASANTE!F61&lt;=PERALTE!$AB$6),IF(RASANTE!F61&lt;=PERALTE!$S$6,-2,IF(RASANTE!F61&lt;=PERALTE!$U$6,(-6/(PERALTE!$U$6-PERALTE!$S$6)*(RASANTE!F61-PERALTE!$S$6)-2),IF(RASANTE!F61&lt;=PERALTE!$X$6,-8,IF(RASANTE!F61&lt;=PERALTE!$Z$6,(-6/(PERALTE!$X$6-PERALTE!$Z$6)*(RASANTE!F61-PERALTE!$Z$6)-2),IF(RASANTE!F61&lt;=PERALTE!$AB$6,-2))))),IF(AND(AH!$H$8="Izquierda",RASANTE!F61&lt;=PERALTE!$AB$6),IF(RASANTE!F61&lt;=PERALTE!$Q$6,-2,IF(RASANTE!F61&lt;=PERALTE!$U$6,(10/(PERALTE!$U$6-PERALTE!$Q$6)*(RASANTE!F61-PERALTE!$Q$6)-2),IF(RASANTE!F61&lt;=PERALTE!$X$6,8,IF(RASANTE!F61&lt;=PERALTE!$AB$6,(10/(PERALTE!$X$6-PERALTE!$AB$6)*(RASANTE!F61-PERALTE!$AB$6)-2))))),IF(AND(AH!$H$10="Derecha",RASANTE!F61&lt;=PERALTE!$AB$8),IF(RASANTE!F61&lt;=PERALTE!$S$8,-2,IF(RASANTE!F61&lt;=PERALTE!$U$8,(-6/(PERALTE!$U$8-PERALTE!$S$8)*(RASANTE!F61-PERALTE!$S$8)-2),IF(RASANTE!F61&lt;=PERALTE!$X$8,-8,IF(RASANTE!F61&lt;=PERALTE!$Z$8,(-6/(PERALTE!$X$8-PERALTE!$Z$8)*(RASANTE!F61-PERALTE!$Z$8)-2),IF(RASANTE!F61&lt;=PERALTE!$AB$8,-2))))),IF(AND(AH!$H$10="Izquierda",RASANTE!F61&lt;=PERALTE!$AB$8),IF(RASANTE!F61&lt;=PERALTE!$Q$8,-2,IF(RASANTE!F61&lt;=PERALTE!$U$8,(10/(PERALTE!$U$8-PERALTE!$Q$8)*(RASANTE!F61-PERALTE!$Q$8)-2),IF(RASANTE!F61&lt;=PERALTE!$X$8,8,IF(RASANTE!F61&lt;=PERALTE!$AB$8,(10/(PERALTE!$X$8-PERALTE!$AB$8)*(RASANTE!F61-PERALTE!$AB$8)-2))))),IF(AND(AH!$H$12="Derecha",RASANTE!F61&lt;=PERALTE!$AB$10),IF(RASANTE!F61&lt;=PERALTE!$S$10,-2,IF(RASANTE!F61&lt;=PERALTE!$U$10,(-6/(PERALTE!$U$10-PERALTE!$S$10)*(RASANTE!F61-PERALTE!$S$10)-2),IF(RASANTE!F61&lt;=PERALTE!$X$10,-8,IF(RASANTE!F61&lt;=PERALTE!$Z$10,(-6/(PERALTE!$X$10-PERALTE!$Z$10)*(RASANTE!F61-PERALTE!$Z$10)-2),IF(RASANTE!F61&lt;=PERALTE!$AB$10,-2))))),IF(AND(AH!$H$12="Izquierda",RASANTE!F61&lt;=PERALTE!$AB$10),IF(RASANTE!F61&lt;=PERALTE!$Q$10,-2,IF(RASANTE!F61&lt;=PERALTE!$U$10,(10/(PERALTE!$U$10-PERALTE!$Q$10)*(RASANTE!F61-PERALTE!$Q$10)-2),IF(RASANTE!F61&lt;=PERALTE!$X$10,8,IF(RASANTE!F61&lt;=PERALTE!$AB$10,(10/(PERALTE!$X$10-PERALTE!$AB$10)*(RASANTE!F61-PERALTE!$AB$10)-2))))),IF(AND(AH!$H$14="Derecha",RASANTE!F61&lt;=PERALTE!$AB$12),IF(RASANTE!F61&lt;=PERALTE!$S$12,-2,IF(RASANTE!F61&lt;=PERALTE!$U$12,(-6/(PERALTE!$U$12-PERALTE!$S$12)*(RASANTE!F61-PERALTE!$S$12)-2),IF(RASANTE!F61&lt;=PERALTE!$X$12,-8,IF(RASANTE!F61&lt;=PERALTE!$Z$12,(-6/(PERALTE!$X$12-PERALTE!$Z$12)*(RASANTE!F61-PERALTE!$Z$12)-2),IF(RASANTE!F61&lt;=PERALTE!$AB$12,-2))))),IF(AND(AH!$H$14="Izquierda",RASANTE!F61&lt;=PERALTE!$AB$12),IF(RASANTE!F61&lt;=PERALTE!$Q$12,-2,IF(RASANTE!F61&lt;=PERALTE!$U$12,(10/(PERALTE!$U$12-PERALTE!$Q$12)*(RASANTE!F61-PERALTE!$Q$12)-2),IF(RASANTE!F61&lt;=PERALTE!$X$12,8,IF(RASANTE!F61&lt;=PERALTE!$AB$12,(10/(PERALTE!$X$12-PERALTE!$AB$12)*(RASANTE!F61-PERALTE!$AB$12)-2))))),IF(AND(AH!$H$16="Derecha",RASANTE!F61&lt;=PERALTE!$AB$14),IF(RASANTE!F61&lt;=PERALTE!$S$14,-2,IF(RASANTE!F61&lt;=PERALTE!$U$14,(-6/(PERALTE!$U$14-PERALTE!$S$14)*(RASANTE!F61-PERALTE!$S$14)-2),IF(RASANTE!F61&lt;=PERALTE!$X$14,-8,IF(RASANTE!F61&lt;=PERALTE!$Z$14,(-6/(PERALTE!$X$14-PERALTE!$Z$14)*(RASANTE!F61-PERALTE!$Z$14)-2),IF(RASANTE!F61&lt;=PERALTE!$AB$14,-2))))),IF(AND(AH!$H$16="Izquierda",RASANTE!F61&lt;=PERALTE!$AB$14),IF(RASANTE!F61&lt;=PERALTE!$Q$14,-2,IF(RASANTE!F61&lt;=PERALTE!$U$14,(10/(PERALTE!$U$14-PERALTE!$Q$14)*(RASANTE!F61-PERALTE!$Q$14)-2),IF(RASANTE!F61&lt;=PERALTE!$X$14,8,IF(RASANTE!F61&lt;=PERALTE!$AB$14,(10/(PERALTE!$X$14-PERALTE!$AB$14)*(RASANTE!F61-PERALTE!$AB$14)-2))))),IF(AND(AH!$H$18="Derecha",RASANTE!F61&lt;=PERALTE!$AB$16),IF(RASANTE!F61&lt;=PERALTE!$S$16,-2,IF(RASANTE!F61&lt;=PERALTE!$U$16,(-6/(PERALTE!$U$16-PERALTE!$S$16)*(RASANTE!F61-PERALTE!$S$16)-2),IF(RASANTE!F61&lt;=PERALTE!$X$16,-8,IF(RASANTE!F61&lt;=PERALTE!$Z$16,(-6/(PERALTE!$X$16-PERALTE!$Z$16)*(RASANTE!F61-PERALTE!$Z$16)-2),IF(RASANTE!F61&lt;=PERALTE!$AB$16,-2))))),IF(AND(AH!$H$18="Izquierda",RASANTE!F61&lt;=PERALTE!$AB$16),IF(RASANTE!F61&lt;=PERALTE!$Q$16,-2,IF(RASANTE!F61&lt;=PERALTE!$U$16,(10/(PERALTE!$U$16-PERALTE!$Q$16)*(RASANTE!F61-PERALTE!$Q$16)-2),IF(RASANTE!F61&lt;=PERALTE!$X$16,8,IF(RASANTE!F61&lt;=PERALTE!$AB$16,(10/(PERALTE!$X$16-PERALTE!$AB$16)*(RASANTE!F61-PERALTE!$AB$16)-2))))),IF(AND(AH!$H$20="Derecha",RASANTE!F61&lt;=PERALTE!$AB$18),IF(RASANTE!F61&lt;=PERALTE!$S$18,-2,IF(RASANTE!F61&lt;=PERALTE!$U$18,(-6/(PERALTE!$U$18-PERALTE!$S$18)*(RASANTE!F61-PERALTE!$S$18)-2),IF(RASANTE!F61&lt;=PERALTE!$X$18,-8,IF(RASANTE!F61&lt;=PERALTE!$Z$18,(-6/(PERALTE!$X$18-PERALTE!$Z$18)*(RASANTE!F61-PERALTE!$Z$18)-2),IF(RASANTE!F61&lt;=PERALTE!$AB$18,-2))))),IF(AND(AH!$H$20="Izquierda",RASANTE!F61&lt;=PERALTE!$AB$18),IF(RASANTE!F61&lt;=PERALTE!$Q$18,-2,IF(RASANTE!F61&lt;=PERALTE!$U$18,(10/(PERALTE!$U$18-PERALTE!$Q$18)*(RASANTE!F61-PERALTE!$Q$18)-2),IF(RASANTE!F61&lt;=PERALTE!$X$18,8,IF(RASANTE!F61&lt;=PERALTE!$AB$18,(10/(PERALTE!$X$18-PERALTE!$AB$18)*(RASANTE!F61-PERALTE!$AB$18)-2))))),IF(AND(AH!$H$24="Derecha",RASANTE!F61&lt;=PERALTE!$AB$22),IF(RASANTE!F61&lt;=PERALTE!$S$22,-2,IF(RASANTE!F61&lt;=PERALTE!$U$22,(-6/(PERALTE!$U$22-PERALTE!$S$22)*(RASANTE!F61-PERALTE!$S$22)-2),IF(RASANTE!F61&lt;=PERALTE!$X$22,-8,IF(RASANTE!F61&lt;=PERALTE!$Z$22,(-6/(PERALTE!$X$22-PERALTE!$Z$22)*(RASANTE!F61-PERALTE!$Z$22)-2),IF(RASANTE!F61&lt;=PERALTE!$AB$22,-2))))),IF(AND(AH!$H$24="Izquierda",RASANTE!F61&lt;=PERALTE!$AB$22),IF(RASANTE!F61&lt;=PERALTE!$Q$22,-2,IF(RASANTE!F61&lt;=PERALTE!$U$22,(10/(PERALTE!$U$22-PERALTE!$Q$22)*(RASANTE!F61-PERALTE!$Q$22)-2),IF(RASANTE!F61&lt;=PERALTE!$X$22,8,IF(RASANTE!F61&lt;=PERALTE!$AB$22,(10/(PERALTE!$X$22-PERALTE!$AB$22)*(RASANTE!F61-PERALTE!$AB$22)-2))))),IF(AND(AH!#REF!="Derecha",RASANTE!F61&lt;=PERALTE!#REF!),IF(RASANTE!F61&lt;=PERALTE!#REF!,-2,IF(RASANTE!F61&lt;=PERALTE!#REF!,(-6/(PERALTE!#REF!-PERALTE!#REF!)*(RASANTE!F61-PERALTE!#REF!)-2),IF(RASANTE!F61&lt;=PERALTE!#REF!,-8,IF(RASANTE!F61&lt;=PERALTE!#REF!,(-6/(PERALTE!#REF!-PERALTE!#REF!)*(RASANTE!F61-PERALTE!#REF!)-2),IF(RASANTE!F61&lt;=PERALTE!#REF!,-2))))),IF(AND(AH!#REF!="Izquierda",RASANTE!F61&lt;=PERALTE!#REF!),IF(RASANTE!F61&lt;=PERALTE!#REF!,-2,IF(RASANTE!F61&lt;=PERALTE!#REF!,(10/(PERALTE!#REF!-PERALTE!#REF!)*(RASANTE!F61-PERALTE!#REF!)-2),IF(RASANTE!F61&lt;=PERALTE!#REF!,8,IF(RASANTE!F61&lt;=PERALTE!#REF!,(10/(PERALTE!#REF!-PERALTE!#REF!)*(RASANTE!F61-PERALTE!#REF!)-2))))),IF(AND(AH!#REF!="Derecha",RASANTE!F61&lt;=PERALTE!$AB$26),IF(RASANTE!F61&lt;=PERALTE!$S$26,-2,IF(RASANTE!F61&lt;=PERALTE!$U$26,(-6/(PERALTE!$U$26-PERALTE!$S$26)*(RASANTE!F61-PERALTE!$S$26)-2),IF(RASANTE!F61&lt;=PERALTE!$X$26,-8,IF(RASANTE!F61&lt;=PERALTE!$Z$26,(-6/(PERALTE!$X$26-PERALTE!$Z$26)*(RASANTE!F61-PERALTE!$Z$26)-2),IF(RASANTE!F61&lt;=PERALTE!$AB$26,-2))))),IF(AND(AH!#REF!="Izquierda",RASANTE!F61&lt;=PERALTE!$AB$26),IF(RASANTE!F61&lt;=PERALTE!$Q$26,-2,IF(RASANTE!F61&lt;=PERALTE!$U$26,(10/(PERALTE!$U$26-PERALTE!$Q$26)*(RASANTE!F61-PERALTE!$Q$26)-2),IF(RASANTE!F61&lt;=PERALTE!$X$26,8,IF(RASANTE!F61&lt;=PERALTE!$AB$26,(10/(PERALTE!$X$26-PERALTE!$AB$26)*(RASANTE!F61-PERALTE!$AB$26)-2))))),IF(F61&lt;=PERALTE!#REF!,-2,"Abscisa fuera de la vía")))))))))))))))))))))</f>
        <v>-2.2819074108152333</v>
      </c>
      <c r="J61" s="28">
        <f t="shared" si="1"/>
        <v>1645.3378000000007</v>
      </c>
      <c r="K61" s="28">
        <f>+IF(AND(AV!$S$6&lt;F189,F189&lt;=AV!$T$6),AV!$P$6*((AV!$S$6-RASANTE!F189)/(AV!$N$6))^2,IF(AND(AV!$T$6&lt;RASANTE!F189,F189&lt;AV!$U$6),AV!$P$6*((AV!$U$6-RASANTE!F189)/(AV!$O$6))^2,IF(AND(AV!$S$8&lt;F189,F189&lt;=AV!$T$8),AV!$P$8*((AV!$S$8-RASANTE!F189)/(AV!$N$8))^2,IF(AND(AV!$T$8&lt;RASANTE!F189,F189&lt;AV!$U$8),AV!$P$8*((AV!$U$8-RASANTE!F189)/(AV!$O$8))^2,IF(AND(AV!$S$10&lt;F189,F189&lt;=AV!$T$10),AV!$P$10*((AV!$S$10-RASANTE!F189)/(AV!$N$10))^2,IF(AND(AV!$T$10&lt;RASANTE!F189,F189&lt;AV!$U$10),AV!$P$10*((AV!$U$10-RASANTE!F189)/(AV!$O$10))^2,IF(AND(AV!$S$12&lt;F189,F189&lt;=AV!$T$12),AV!$P$12*((AV!$S$12-RASANTE!F189)/(AV!$N$12))^2,IF(AND(AV!$T$12&lt;RASANTE!F189,F189&lt;AV!$U$12),AV!$P$12*((AV!$U$12-RASANTE!F189)/(AV!$O$12))^2,IF(AND(AV!$S$14&lt;F189,F189&lt;=AV!$T$14),AV!$P$14*((AV!$S$14-RASANTE!F189)/(AV!$N$14))^2,IF(AND(AV!$T$14&lt;RASANTE!F189,F189&lt;AV!$U$14),AV!$P$14*((AV!$U$14-RASANTE!F189)/(AV!$O$14))^2,IF(AND(AV!$S$16&lt;F189,F189&lt;=AV!$T$16),AV!$P$16*((AV!$S$16-RASANTE!F189)/(AV!$N$16))^2,IF(AND(AV!$T$16&lt;RASANTE!F189,F189&lt;AV!$U$16),AV!$P$16*((AV!$U$16-RASANTE!F189)/(AV!$O$16))^2,IF(AND(AV!$S$18&lt;F189,F189&lt;=AV!$T$18),AV!$P$18*((AV!$S$18-RASANTE!F189)/(AV!$N$18))^2,IF(AND(AV!$T$18&lt;RASANTE!F189,F189&lt;AV!$U$18),AV!$P$18*((AV!$U$18-RASANTE!F189)/(AV!$O$18))^2,IF(AND(AV!$S$20&lt;F189,F189&lt;=AV!$T$20),AV!$P$20*((AV!$S$20-RASANTE!F189)/(AV!$N$20))^2,IF(AND(AV!$T$20&lt;RASANTE!F189,F189&lt;AV!$U$20),AV!$P$20*((AV!$U$20-RASANTE!F189)/(AV!$O$20))^2,IF(AND(AV!$S$22&lt;F189,F189&lt;=AV!$T$22),AV!$P$22*((AV!$S$22-RASANTE!F189)/(AV!$N$22))^2,IF(AND(AV!$T$22&lt;RASANTE!F189,F189&lt;AV!$U$22),AV!$P$22*((AV!$U$22-RASANTE!F189)/(AV!$O$22))^2,IF(AND(AV!$S$24&lt;F189,F189&lt;=AV!$T$24),AV!$P$24*((AV!$S$24-RASANTE!F189)/(AV!$N$24))^2,IF(AND(AV!$T$24&lt;RASANTE!F189,F189&lt;AV!$U$24),AV!$P$24*((AV!$U$24-RASANTE!F189)/(AV!$O$24))^2,0))))))))))))))))))))</f>
        <v>0</v>
      </c>
      <c r="L61" s="28">
        <f>+M61+H61%*PERALTE!$C$32</f>
        <v>1645.4176667593792</v>
      </c>
      <c r="M61" s="28">
        <f t="shared" si="3"/>
        <v>1645.3378000000007</v>
      </c>
      <c r="N61" s="28">
        <f>+M61+I61%*PERALTE!$C$32</f>
        <v>1645.2579332406222</v>
      </c>
      <c r="O61" s="92"/>
      <c r="P61" s="84"/>
      <c r="Q61" s="84"/>
      <c r="R61" s="84"/>
      <c r="S61" s="84"/>
      <c r="T61" s="84"/>
      <c r="U61" s="84"/>
      <c r="V61" s="84"/>
      <c r="W61" s="84"/>
      <c r="X61" s="84"/>
      <c r="Y61" s="84"/>
    </row>
    <row r="62" spans="1:25" ht="15.75" customHeight="1" x14ac:dyDescent="0.2">
      <c r="A62" s="90" t="s">
        <v>322</v>
      </c>
      <c r="E62" s="91"/>
      <c r="F62" s="34">
        <f>PERALTE!T8</f>
        <v>397.8095117690217</v>
      </c>
      <c r="G62" s="88">
        <f>IF(F62&lt;=AV!$T$6,AV!$C$5,IF(RASANTE!F62&lt;=AV!$T$8,AV!$C$7,IF(RASANTE!F62&lt;=AV!$T$10,AV!$C$9,IF(RASANTE!F62&lt;=AV!$T$12,AV!#REF!,IF(RASANTE!F62&lt;=AV!$T$14,AV!$C$11,IF(RASANTE!F62&lt;=AV!$T$16,AV!$C$13, IF(RASANTE!F62&lt;=AV!$T$18,AV!$C$15,IF(RASANTE!F62&lt;=AV!$T$20,AV!$C$19,IF(RASANTE!F62&lt;=AV!$T$22,AV!$C$21,IF(RASANTE!F62&lt;=AV!$T$24,AV!$C$23,AV!$C$25))))))))))</f>
        <v>-7.774</v>
      </c>
      <c r="H62" s="28">
        <f>+IF(AND(AH!$H$8="Izquierda",RASANTE!F62&lt;=PERALTE!$AB$6),IF(RASANTE!F62&lt;=PERALTE!$S$6,-2,IF(RASANTE!F62&lt;=PERALTE!$U$6,(-6/(PERALTE!$U$6-PERALTE!$S$6)*(RASANTE!F62-PERALTE!$S$6)-2),IF(RASANTE!F62&lt;=PERALTE!$X$6,-8,IF(RASANTE!F62&lt;=PERALTE!$Z$6,(-6/(PERALTE!$X$6-PERALTE!$Z$6)*(RASANTE!F62-PERALTE!$Z$6)-2),IF(RASANTE!F62&lt;=PERALTE!$AB$6,-2))))),IF(AND(AH!$H$8="Derecha",RASANTE!F62&lt;=PERALTE!$AB$6),IF(RASANTE!F62&lt;=PERALTE!$Q$6,-2,IF(RASANTE!F62&lt;=PERALTE!$U$6,(10/(PERALTE!$U$6-PERALTE!$Q$6)*(RASANTE!F62-PERALTE!$Q$6)-2),IF(RASANTE!F62&lt;=PERALTE!$X$6,8,IF(RASANTE!F62&lt;=PERALTE!$AB$6,(10/(PERALTE!$X$6-PERALTE!$AB$6)*(RASANTE!F62-PERALTE!$AB$6)-2))))),IF(AND(AH!$H$10="Izquierda",RASANTE!F62&lt;=PERALTE!$AB$8),IF(RASANTE!F62&lt;=PERALTE!$S$8,-2,IF(RASANTE!F62&lt;=PERALTE!$U$8,(-6/(PERALTE!$U$8-PERALTE!$S$8)*(RASANTE!F62-PERALTE!$S$8)-2),IF(RASANTE!F62&lt;=PERALTE!$X$8,-8,IF(RASANTE!F62&lt;=PERALTE!$Z$8,(-6/(PERALTE!$X$8-PERALTE!$Z$8)*(RASANTE!F62-PERALTE!$Z$8)-2),IF(RASANTE!F62&lt;=PERALTE!$AB$8,-2))))),IF(AND(AH!$H$10="Derecha",RASANTE!F62&lt;=PERALTE!$AB$8),IF(RASANTE!F62&lt;=PERALTE!$Q$8,-2,IF(RASANTE!F62&lt;=PERALTE!$U$8,(10/(PERALTE!$U$8-PERALTE!$Q$8)*(RASANTE!F62-PERALTE!$Q$8)-2),IF(RASANTE!F62&lt;=PERALTE!$X$8,8,IF(RASANTE!F62&lt;=PERALTE!$AB$8,(10/(PERALTE!$X$8-PERALTE!$AB$8)*(RASANTE!F62-PERALTE!$AB$8)-2))))),IF(AND(AH!$H$12="Izquierda",RASANTE!F62&lt;=PERALTE!$AB$10),IF(RASANTE!F62&lt;=PERALTE!$S$10,-2,IF(RASANTE!F62&lt;=PERALTE!$U$10,(-6/(PERALTE!$U$10-PERALTE!$S$10)*(RASANTE!F62-PERALTE!$S$10)-2),IF(RASANTE!F62&lt;=PERALTE!$X$10,-8,IF(RASANTE!F62&lt;=PERALTE!$Z$10,(-6/(PERALTE!$X$10-PERALTE!$Z$10)*(RASANTE!F62-PERALTE!$Z$10)-2),IF(RASANTE!F62&lt;=PERALTE!$AB$10,-2))))),IF(AND(AH!$H$12="Derecha",RASANTE!F62&lt;=PERALTE!$AB$10),IF(RASANTE!F62&lt;=PERALTE!$Q$10,-2,IF(RASANTE!F62&lt;=PERALTE!$U$10,(10/(PERALTE!$U$10-PERALTE!$Q$10)*(RASANTE!F62-PERALTE!$Q$10)-2),IF(RASANTE!F62&lt;=PERALTE!$X$10,8,IF(RASANTE!F62&lt;=PERALTE!$AB$10,(10/(PERALTE!$X$10-PERALTE!$AB$10)*(RASANTE!F62-PERALTE!$AB$10)-2))))),IF(AND(AH!$H$14="Izquierda",RASANTE!F62&lt;=PERALTE!$AB$12),IF(RASANTE!F62&lt;=PERALTE!$S$12,-2,IF(RASANTE!F62&lt;=PERALTE!$U$12,(-6/(PERALTE!$U$12-PERALTE!$S$12)*(RASANTE!F62-PERALTE!$S$12)-2),IF(RASANTE!F62&lt;=PERALTE!$X$12,-8,IF(RASANTE!F62&lt;=PERALTE!$Z$12,(-6/(PERALTE!$X$12-PERALTE!$Z$12)*(RASANTE!F62-PERALTE!$Z$12)-2),IF(RASANTE!F62&lt;=PERALTE!$AB$12,-2))))),IF(AND(AH!$H$14="Derecha",RASANTE!F62&lt;=PERALTE!$AB$12),IF(RASANTE!F62&lt;=PERALTE!$Q$12,-2,IF(RASANTE!F62&lt;=PERALTE!$U$12,(10/(PERALTE!$U$12-PERALTE!$Q$12)*(RASANTE!F62-PERALTE!$Q$12)-2),IF(RASANTE!F62&lt;=PERALTE!$X$12,8,IF(RASANTE!F62&lt;=PERALTE!$AB$12,(10/(PERALTE!$X$12-PERALTE!$AB$12)*(RASANTE!F62-PERALTE!$AB$12)-2))))),IF(AND(AH!$H$16="Izquierda",RASANTE!F62&lt;=PERALTE!$AB$14),IF(RASANTE!F62&lt;=PERALTE!$S$14,-2,IF(RASANTE!F62&lt;=PERALTE!$U$14,(-6/(PERALTE!$U$14-PERALTE!$S$14)*(RASANTE!F62-PERALTE!$S$14)-2),IF(RASANTE!F62&lt;=PERALTE!$X$14,-8,IF(RASANTE!F62&lt;=PERALTE!$Z$14,(-6/(PERALTE!$X$14-PERALTE!$Z$14)*(RASANTE!F62-PERALTE!$Z$14)-2),IF(RASANTE!F62&lt;=PERALTE!$AB$14,-2))))),IF(AND(AH!$H$16="Derecha",RASANTE!F62&lt;=PERALTE!$AB$14),IF(RASANTE!F62&lt;=PERALTE!$Q$14,-2,IF(RASANTE!F62&lt;=PERALTE!$U$14,(10/(PERALTE!$U$14-PERALTE!$Q$14)*(RASANTE!F62-PERALTE!$Q$14)-2),IF(RASANTE!F62&lt;=PERALTE!$X$14,8,IF(RASANTE!F62&lt;=PERALTE!$AB$14,(10/(PERALTE!$X$14-PERALTE!$AB$14)*(RASANTE!F62-PERALTE!$AB$14)-2))))),IF(AND(AH!$H$18="Izquierda",RASANTE!F62&lt;=PERALTE!$AB$16),IF(RASANTE!F62&lt;=PERALTE!$S$16,-2,IF(RASANTE!F62&lt;=PERALTE!$U$16,(-6/(PERALTE!$U$16-PERALTE!$S$16)*(RASANTE!F62-PERALTE!$S$16)-2),IF(RASANTE!F62&lt;=PERALTE!$X$16,-8,IF(RASANTE!F62&lt;=PERALTE!$Z$16,(-6/(PERALTE!$X$16-PERALTE!$Z$16)*(RASANTE!F62-PERALTE!$Z$16)-2),IF(RASANTE!F62&lt;=PERALTE!$AB$16,-2))))),IF(AND(AH!$H$18="Derecha",RASANTE!F62&lt;=PERALTE!$AB$16),IF(RASANTE!F62&lt;=PERALTE!$Q$16,-2,IF(RASANTE!F62&lt;=PERALTE!$U$16,(10/(PERALTE!$U$16-PERALTE!$Q$16)*(RASANTE!F62-PERALTE!$Q$16)-2),IF(RASANTE!F62&lt;=PERALTE!$X$16,8,IF(RASANTE!F62&lt;=PERALTE!$AB$16,(10/(PERALTE!$X$16-PERALTE!$AB$16)*(RASANTE!F62-PERALTE!$AB$16)-2))))),IF(AND(AH!$H$20="Izquierda",RASANTE!F62&lt;=PERALTE!$AB$18),IF(RASANTE!F62&lt;=PERALTE!$S$18,-2,IF(RASANTE!F62&lt;=PERALTE!$U$18,(-6/(PERALTE!$U$18-PERALTE!$S$18)*(RASANTE!F62-PERALTE!$S$18)-2),IF(RASANTE!F62&lt;=PERALTE!$X$18,-8,IF(RASANTE!F62&lt;=PERALTE!$Z$18,(-6/(PERALTE!$X$18-PERALTE!$Z$18)*(RASANTE!F62-PERALTE!$Z$18)-2),IF(RASANTE!F62&lt;=PERALTE!$AB$18,-2))))),IF(AND(AH!$H$20="Derecha",RASANTE!F62&lt;=PERALTE!$AB$18),IF(RASANTE!F62&lt;=PERALTE!$Q$18,-2,IF(RASANTE!F62&lt;=PERALTE!$U$18,(10/(PERALTE!$U$18-PERALTE!$Q$18)*(RASANTE!F62-PERALTE!$Q$18)-2),IF(RASANTE!F62&lt;=PERALTE!$X$18,8,IF(RASANTE!F62&lt;=PERALTE!$AB$18,(10/(PERALTE!$X$18-PERALTE!$AB$18)*(RASANTE!F62-PERALTE!$AB$18)-2))))),IF(AND(AH!$H$24="Izquierda",RASANTE!F62&lt;=PERALTE!$AB$22),IF(RASANTE!F62&lt;=PERALTE!$S$22,-2,IF(RASANTE!F62&lt;=PERALTE!$U$22,(-6/(PERALTE!$U$22-PERALTE!$S$22)*(RASANTE!F62-PERALTE!$S$22)-2),IF(RASANTE!F62&lt;=PERALTE!$X$22,-8,IF(RASANTE!F62&lt;=PERALTE!$Z$22,(-6/(PERALTE!$X$22-PERALTE!$Z$22)*(RASANTE!F62-PERALTE!$Z$22)-2),IF(RASANTE!F62&lt;=PERALTE!$AB$22,-2))))),IF(AND(AH!$H$24="Derecha",RASANTE!F62&lt;=PERALTE!$AB$22),IF(RASANTE!F62&lt;=PERALTE!$Q$22,-2,IF(RASANTE!F62&lt;=PERALTE!$U$22,(10/(PERALTE!$U$22-PERALTE!$Q$22)*(RASANTE!F62-PERALTE!$Q$22)-2),IF(RASANTE!F62&lt;=PERALTE!$X$22,8,IF(RASANTE!F62&lt;=PERALTE!$AB$22,(10/(PERALTE!$X$22-PERALTE!$AB$22)*(RASANTE!F62-PERALTE!$AB$22)-2))))),IF(AND(AH!#REF!="Izquierda",RASANTE!F62&lt;=PERALTE!#REF!),IF(RASANTE!F62&lt;=PERALTE!#REF!,-2,IF(RASANTE!F62&lt;=PERALTE!#REF!,(-6/(PERALTE!#REF!-PERALTE!#REF!)*(RASANTE!F62-PERALTE!#REF!)-2),IF(RASANTE!F62&lt;=PERALTE!#REF!,-8,IF(RASANTE!F62&lt;=PERALTE!#REF!,(-6/(PERALTE!#REF!-PERALTE!#REF!)*(RASANTE!F62-PERALTE!#REF!)-2),IF(RASANTE!F62&lt;=PERALTE!#REF!,-2))))),IF(AND(AH!#REF!="Derecha",RASANTE!F62&lt;=PERALTE!#REF!),IF(RASANTE!F62&lt;=PERALTE!#REF!,-2,IF(RASANTE!F62&lt;=PERALTE!#REF!,(10/(PERALTE!#REF!-PERALTE!#REF!)*(RASANTE!F62-PERALTE!#REF!)-2),IF(RASANTE!F62&lt;=PERALTE!#REF!,8,IF(RASANTE!F62&lt;=PERALTE!#REF!,(10/(PERALTE!#REF!-PERALTE!#REF!)*(RASANTE!F62-PERALTE!#REF!)-2))))),IF(AND(AH!#REF!="Izquierda",RASANTE!F62&lt;=PERALTE!$AB$26),IF(RASANTE!F62&lt;=PERALTE!$S$26,-2,IF(RASANTE!F62&lt;=PERALTE!$U$26,(-6/(PERALTE!$U$26-PERALTE!$S$26)*(RASANTE!F62-PERALTE!$S$26)-2),IF(RASANTE!F62&lt;=PERALTE!$X$26,-8,IF(RASANTE!F62&lt;=PERALTE!$Z$26,(-6/(PERALTE!$X$26-PERALTE!$Z$26)*(RASANTE!F62-PERALTE!$Z$26)-2),IF(RASANTE!F62&lt;=PERALTE!$AB$26,-2))))),IF(AND(AH!#REF!="Derecha",RASANTE!F62&lt;=PERALTE!$AB$26),IF(RASANTE!F62&lt;=PERALTE!$Q$26,-2,IF(RASANTE!F62&lt;=PERALTE!$U$26,(10/(PERALTE!$U$26-PERALTE!$Q$26)*(RASANTE!F62-PERALTE!$Q$26)-2),IF(RASANTE!F62&lt;=PERALTE!$X$26,8,IF(RASANTE!F62&lt;=PERALTE!$AB$26,(10/(PERALTE!$X$26-PERALTE!$AB$26)*(RASANTE!F62-PERALTE!$AB$26)-2))))),IF(F62&lt;=PERALTE!#REF!,-2,"Abscisa fuera de la vía")))))))))))))))))))))</f>
        <v>3.9999999999999973</v>
      </c>
      <c r="I62" s="28">
        <f>+IF(AND(AH!$H$8="Derecha",RASANTE!F62&lt;=PERALTE!$AB$6),IF(RASANTE!F62&lt;=PERALTE!$S$6,-2,IF(RASANTE!F62&lt;=PERALTE!$U$6,(-6/(PERALTE!$U$6-PERALTE!$S$6)*(RASANTE!F62-PERALTE!$S$6)-2),IF(RASANTE!F62&lt;=PERALTE!$X$6,-8,IF(RASANTE!F62&lt;=PERALTE!$Z$6,(-6/(PERALTE!$X$6-PERALTE!$Z$6)*(RASANTE!F62-PERALTE!$Z$6)-2),IF(RASANTE!F62&lt;=PERALTE!$AB$6,-2))))),IF(AND(AH!$H$8="Izquierda",RASANTE!F62&lt;=PERALTE!$AB$6),IF(RASANTE!F62&lt;=PERALTE!$Q$6,-2,IF(RASANTE!F62&lt;=PERALTE!$U$6,(10/(PERALTE!$U$6-PERALTE!$Q$6)*(RASANTE!F62-PERALTE!$Q$6)-2),IF(RASANTE!F62&lt;=PERALTE!$X$6,8,IF(RASANTE!F62&lt;=PERALTE!$AB$6,(10/(PERALTE!$X$6-PERALTE!$AB$6)*(RASANTE!F62-PERALTE!$AB$6)-2))))),IF(AND(AH!$H$10="Derecha",RASANTE!F62&lt;=PERALTE!$AB$8),IF(RASANTE!F62&lt;=PERALTE!$S$8,-2,IF(RASANTE!F62&lt;=PERALTE!$U$8,(-6/(PERALTE!$U$8-PERALTE!$S$8)*(RASANTE!F62-PERALTE!$S$8)-2),IF(RASANTE!F62&lt;=PERALTE!$X$8,-8,IF(RASANTE!F62&lt;=PERALTE!$Z$8,(-6/(PERALTE!$X$8-PERALTE!$Z$8)*(RASANTE!F62-PERALTE!$Z$8)-2),IF(RASANTE!F62&lt;=PERALTE!$AB$8,-2))))),IF(AND(AH!$H$10="Izquierda",RASANTE!F62&lt;=PERALTE!$AB$8),IF(RASANTE!F62&lt;=PERALTE!$Q$8,-2,IF(RASANTE!F62&lt;=PERALTE!$U$8,(10/(PERALTE!$U$8-PERALTE!$Q$8)*(RASANTE!F62-PERALTE!$Q$8)-2),IF(RASANTE!F62&lt;=PERALTE!$X$8,8,IF(RASANTE!F62&lt;=PERALTE!$AB$8,(10/(PERALTE!$X$8-PERALTE!$AB$8)*(RASANTE!F62-PERALTE!$AB$8)-2))))),IF(AND(AH!$H$12="Derecha",RASANTE!F62&lt;=PERALTE!$AB$10),IF(RASANTE!F62&lt;=PERALTE!$S$10,-2,IF(RASANTE!F62&lt;=PERALTE!$U$10,(-6/(PERALTE!$U$10-PERALTE!$S$10)*(RASANTE!F62-PERALTE!$S$10)-2),IF(RASANTE!F62&lt;=PERALTE!$X$10,-8,IF(RASANTE!F62&lt;=PERALTE!$Z$10,(-6/(PERALTE!$X$10-PERALTE!$Z$10)*(RASANTE!F62-PERALTE!$Z$10)-2),IF(RASANTE!F62&lt;=PERALTE!$AB$10,-2))))),IF(AND(AH!$H$12="Izquierda",RASANTE!F62&lt;=PERALTE!$AB$10),IF(RASANTE!F62&lt;=PERALTE!$Q$10,-2,IF(RASANTE!F62&lt;=PERALTE!$U$10,(10/(PERALTE!$U$10-PERALTE!$Q$10)*(RASANTE!F62-PERALTE!$Q$10)-2),IF(RASANTE!F62&lt;=PERALTE!$X$10,8,IF(RASANTE!F62&lt;=PERALTE!$AB$10,(10/(PERALTE!$X$10-PERALTE!$AB$10)*(RASANTE!F62-PERALTE!$AB$10)-2))))),IF(AND(AH!$H$14="Derecha",RASANTE!F62&lt;=PERALTE!$AB$12),IF(RASANTE!F62&lt;=PERALTE!$S$12,-2,IF(RASANTE!F62&lt;=PERALTE!$U$12,(-6/(PERALTE!$U$12-PERALTE!$S$12)*(RASANTE!F62-PERALTE!$S$12)-2),IF(RASANTE!F62&lt;=PERALTE!$X$12,-8,IF(RASANTE!F62&lt;=PERALTE!$Z$12,(-6/(PERALTE!$X$12-PERALTE!$Z$12)*(RASANTE!F62-PERALTE!$Z$12)-2),IF(RASANTE!F62&lt;=PERALTE!$AB$12,-2))))),IF(AND(AH!$H$14="Izquierda",RASANTE!F62&lt;=PERALTE!$AB$12),IF(RASANTE!F62&lt;=PERALTE!$Q$12,-2,IF(RASANTE!F62&lt;=PERALTE!$U$12,(10/(PERALTE!$U$12-PERALTE!$Q$12)*(RASANTE!F62-PERALTE!$Q$12)-2),IF(RASANTE!F62&lt;=PERALTE!$X$12,8,IF(RASANTE!F62&lt;=PERALTE!$AB$12,(10/(PERALTE!$X$12-PERALTE!$AB$12)*(RASANTE!F62-PERALTE!$AB$12)-2))))),IF(AND(AH!$H$16="Derecha",RASANTE!F62&lt;=PERALTE!$AB$14),IF(RASANTE!F62&lt;=PERALTE!$S$14,-2,IF(RASANTE!F62&lt;=PERALTE!$U$14,(-6/(PERALTE!$U$14-PERALTE!$S$14)*(RASANTE!F62-PERALTE!$S$14)-2),IF(RASANTE!F62&lt;=PERALTE!$X$14,-8,IF(RASANTE!F62&lt;=PERALTE!$Z$14,(-6/(PERALTE!$X$14-PERALTE!$Z$14)*(RASANTE!F62-PERALTE!$Z$14)-2),IF(RASANTE!F62&lt;=PERALTE!$AB$14,-2))))),IF(AND(AH!$H$16="Izquierda",RASANTE!F62&lt;=PERALTE!$AB$14),IF(RASANTE!F62&lt;=PERALTE!$Q$14,-2,IF(RASANTE!F62&lt;=PERALTE!$U$14,(10/(PERALTE!$U$14-PERALTE!$Q$14)*(RASANTE!F62-PERALTE!$Q$14)-2),IF(RASANTE!F62&lt;=PERALTE!$X$14,8,IF(RASANTE!F62&lt;=PERALTE!$AB$14,(10/(PERALTE!$X$14-PERALTE!$AB$14)*(RASANTE!F62-PERALTE!$AB$14)-2))))),IF(AND(AH!$H$18="Derecha",RASANTE!F62&lt;=PERALTE!$AB$16),IF(RASANTE!F62&lt;=PERALTE!$S$16,-2,IF(RASANTE!F62&lt;=PERALTE!$U$16,(-6/(PERALTE!$U$16-PERALTE!$S$16)*(RASANTE!F62-PERALTE!$S$16)-2),IF(RASANTE!F62&lt;=PERALTE!$X$16,-8,IF(RASANTE!F62&lt;=PERALTE!$Z$16,(-6/(PERALTE!$X$16-PERALTE!$Z$16)*(RASANTE!F62-PERALTE!$Z$16)-2),IF(RASANTE!F62&lt;=PERALTE!$AB$16,-2))))),IF(AND(AH!$H$18="Izquierda",RASANTE!F62&lt;=PERALTE!$AB$16),IF(RASANTE!F62&lt;=PERALTE!$Q$16,-2,IF(RASANTE!F62&lt;=PERALTE!$U$16,(10/(PERALTE!$U$16-PERALTE!$Q$16)*(RASANTE!F62-PERALTE!$Q$16)-2),IF(RASANTE!F62&lt;=PERALTE!$X$16,8,IF(RASANTE!F62&lt;=PERALTE!$AB$16,(10/(PERALTE!$X$16-PERALTE!$AB$16)*(RASANTE!F62-PERALTE!$AB$16)-2))))),IF(AND(AH!$H$20="Derecha",RASANTE!F62&lt;=PERALTE!$AB$18),IF(RASANTE!F62&lt;=PERALTE!$S$18,-2,IF(RASANTE!F62&lt;=PERALTE!$U$18,(-6/(PERALTE!$U$18-PERALTE!$S$18)*(RASANTE!F62-PERALTE!$S$18)-2),IF(RASANTE!F62&lt;=PERALTE!$X$18,-8,IF(RASANTE!F62&lt;=PERALTE!$Z$18,(-6/(PERALTE!$X$18-PERALTE!$Z$18)*(RASANTE!F62-PERALTE!$Z$18)-2),IF(RASANTE!F62&lt;=PERALTE!$AB$18,-2))))),IF(AND(AH!$H$20="Izquierda",RASANTE!F62&lt;=PERALTE!$AB$18),IF(RASANTE!F62&lt;=PERALTE!$Q$18,-2,IF(RASANTE!F62&lt;=PERALTE!$U$18,(10/(PERALTE!$U$18-PERALTE!$Q$18)*(RASANTE!F62-PERALTE!$Q$18)-2),IF(RASANTE!F62&lt;=PERALTE!$X$18,8,IF(RASANTE!F62&lt;=PERALTE!$AB$18,(10/(PERALTE!$X$18-PERALTE!$AB$18)*(RASANTE!F62-PERALTE!$AB$18)-2))))),IF(AND(AH!$H$24="Derecha",RASANTE!F62&lt;=PERALTE!$AB$22),IF(RASANTE!F62&lt;=PERALTE!$S$22,-2,IF(RASANTE!F62&lt;=PERALTE!$U$22,(-6/(PERALTE!$U$22-PERALTE!$S$22)*(RASANTE!F62-PERALTE!$S$22)-2),IF(RASANTE!F62&lt;=PERALTE!$X$22,-8,IF(RASANTE!F62&lt;=PERALTE!$Z$22,(-6/(PERALTE!$X$22-PERALTE!$Z$22)*(RASANTE!F62-PERALTE!$Z$22)-2),IF(RASANTE!F62&lt;=PERALTE!$AB$22,-2))))),IF(AND(AH!$H$24="Izquierda",RASANTE!F62&lt;=PERALTE!$AB$22),IF(RASANTE!F62&lt;=PERALTE!$Q$22,-2,IF(RASANTE!F62&lt;=PERALTE!$U$22,(10/(PERALTE!$U$22-PERALTE!$Q$22)*(RASANTE!F62-PERALTE!$Q$22)-2),IF(RASANTE!F62&lt;=PERALTE!$X$22,8,IF(RASANTE!F62&lt;=PERALTE!$AB$22,(10/(PERALTE!$X$22-PERALTE!$AB$22)*(RASANTE!F62-PERALTE!$AB$22)-2))))),IF(AND(AH!#REF!="Derecha",RASANTE!F62&lt;=PERALTE!#REF!),IF(RASANTE!F62&lt;=PERALTE!#REF!,-2,IF(RASANTE!F62&lt;=PERALTE!#REF!,(-6/(PERALTE!#REF!-PERALTE!#REF!)*(RASANTE!F62-PERALTE!#REF!)-2),IF(RASANTE!F62&lt;=PERALTE!#REF!,-8,IF(RASANTE!F62&lt;=PERALTE!#REF!,(-6/(PERALTE!#REF!-PERALTE!#REF!)*(RASANTE!F62-PERALTE!#REF!)-2),IF(RASANTE!F62&lt;=PERALTE!#REF!,-2))))),IF(AND(AH!#REF!="Izquierda",RASANTE!F62&lt;=PERALTE!#REF!),IF(RASANTE!F62&lt;=PERALTE!#REF!,-2,IF(RASANTE!F62&lt;=PERALTE!#REF!,(10/(PERALTE!#REF!-PERALTE!#REF!)*(RASANTE!F62-PERALTE!#REF!)-2),IF(RASANTE!F62&lt;=PERALTE!#REF!,8,IF(RASANTE!F62&lt;=PERALTE!#REF!,(10/(PERALTE!#REF!-PERALTE!#REF!)*(RASANTE!F62-PERALTE!#REF!)-2))))),IF(AND(AH!#REF!="Derecha",RASANTE!F62&lt;=PERALTE!$AB$26),IF(RASANTE!F62&lt;=PERALTE!$S$26,-2,IF(RASANTE!F62&lt;=PERALTE!$U$26,(-6/(PERALTE!$U$26-PERALTE!$S$26)*(RASANTE!F62-PERALTE!$S$26)-2),IF(RASANTE!F62&lt;=PERALTE!$X$26,-8,IF(RASANTE!F62&lt;=PERALTE!$Z$26,(-6/(PERALTE!$X$26-PERALTE!$Z$26)*(RASANTE!F62-PERALTE!$Z$26)-2),IF(RASANTE!F62&lt;=PERALTE!$AB$26,-2))))),IF(AND(AH!#REF!="Izquierda",RASANTE!F62&lt;=PERALTE!$AB$26),IF(RASANTE!F62&lt;=PERALTE!$Q$26,-2,IF(RASANTE!F62&lt;=PERALTE!$U$26,(10/(PERALTE!$U$26-PERALTE!$Q$26)*(RASANTE!F62-PERALTE!$Q$26)-2),IF(RASANTE!F62&lt;=PERALTE!$X$26,8,IF(RASANTE!F62&lt;=PERALTE!$AB$26,(10/(PERALTE!$X$26-PERALTE!$AB$26)*(RASANTE!F62-PERALTE!$AB$26)-2))))),IF(F62&lt;=PERALTE!#REF!,-2,"Abscisa fuera de la vía")))))))))))))))))))))</f>
        <v>-4.0000000000000036</v>
      </c>
      <c r="J62" s="28">
        <f t="shared" si="1"/>
        <v>1644.730688555077</v>
      </c>
      <c r="K62" s="28">
        <f>+IF(AND(AV!$S$6&lt;F190,F190&lt;=AV!$T$6),AV!$P$6*((AV!$S$6-RASANTE!F190)/(AV!$N$6))^2,IF(AND(AV!$T$6&lt;RASANTE!F190,F190&lt;AV!$U$6),AV!$P$6*((AV!$U$6-RASANTE!F190)/(AV!$O$6))^2,IF(AND(AV!$S$8&lt;F190,F190&lt;=AV!$T$8),AV!$P$8*((AV!$S$8-RASANTE!F190)/(AV!$N$8))^2,IF(AND(AV!$T$8&lt;RASANTE!F190,F190&lt;AV!$U$8),AV!$P$8*((AV!$U$8-RASANTE!F190)/(AV!$O$8))^2,IF(AND(AV!$S$10&lt;F190,F190&lt;=AV!$T$10),AV!$P$10*((AV!$S$10-RASANTE!F190)/(AV!$N$10))^2,IF(AND(AV!$T$10&lt;RASANTE!F190,F190&lt;AV!$U$10),AV!$P$10*((AV!$U$10-RASANTE!F190)/(AV!$O$10))^2,IF(AND(AV!$S$12&lt;F190,F190&lt;=AV!$T$12),AV!$P$12*((AV!$S$12-RASANTE!F190)/(AV!$N$12))^2,IF(AND(AV!$T$12&lt;RASANTE!F190,F190&lt;AV!$U$12),AV!$P$12*((AV!$U$12-RASANTE!F190)/(AV!$O$12))^2,IF(AND(AV!$S$14&lt;F190,F190&lt;=AV!$T$14),AV!$P$14*((AV!$S$14-RASANTE!F190)/(AV!$N$14))^2,IF(AND(AV!$T$14&lt;RASANTE!F190,F190&lt;AV!$U$14),AV!$P$14*((AV!$U$14-RASANTE!F190)/(AV!$O$14))^2,IF(AND(AV!$S$16&lt;F190,F190&lt;=AV!$T$16),AV!$P$16*((AV!$S$16-RASANTE!F190)/(AV!$N$16))^2,IF(AND(AV!$T$16&lt;RASANTE!F190,F190&lt;AV!$U$16),AV!$P$16*((AV!$U$16-RASANTE!F190)/(AV!$O$16))^2,IF(AND(AV!$S$18&lt;F190,F190&lt;=AV!$T$18),AV!$P$18*((AV!$S$18-RASANTE!F190)/(AV!$N$18))^2,IF(AND(AV!$T$18&lt;RASANTE!F190,F190&lt;AV!$U$18),AV!$P$18*((AV!$U$18-RASANTE!F190)/(AV!$O$18))^2,IF(AND(AV!$S$20&lt;F190,F190&lt;=AV!$T$20),AV!$P$20*((AV!$S$20-RASANTE!F190)/(AV!$N$20))^2,IF(AND(AV!$T$20&lt;RASANTE!F190,F190&lt;AV!$U$20),AV!$P$20*((AV!$U$20-RASANTE!F190)/(AV!$O$20))^2,IF(AND(AV!$S$22&lt;F190,F190&lt;=AV!$T$22),AV!$P$22*((AV!$S$22-RASANTE!F190)/(AV!$N$22))^2,IF(AND(AV!$T$22&lt;RASANTE!F190,F190&lt;AV!$U$22),AV!$P$22*((AV!$U$22-RASANTE!F190)/(AV!$O$22))^2,IF(AND(AV!$S$24&lt;F190,F190&lt;=AV!$T$24),AV!$P$24*((AV!$S$24-RASANTE!F190)/(AV!$N$24))^2,IF(AND(AV!$T$24&lt;RASANTE!F190,F190&lt;AV!$U$24),AV!$P$24*((AV!$U$24-RASANTE!F190)/(AV!$O$24))^2,0))))))))))))))))))))</f>
        <v>0</v>
      </c>
      <c r="L62" s="28">
        <f>+M62+H62%*PERALTE!$C$32</f>
        <v>1644.8706885550771</v>
      </c>
      <c r="M62" s="28">
        <f t="shared" si="3"/>
        <v>1644.730688555077</v>
      </c>
      <c r="N62" s="28">
        <f>+M62+I62%*PERALTE!$C$32</f>
        <v>1644.5906885550769</v>
      </c>
      <c r="O62" s="92"/>
      <c r="P62" s="84"/>
      <c r="Q62" s="84"/>
      <c r="R62" s="84"/>
      <c r="S62" s="84"/>
      <c r="T62" s="84"/>
      <c r="U62" s="84"/>
      <c r="V62" s="84"/>
      <c r="W62" s="84"/>
      <c r="X62" s="84"/>
      <c r="Y62" s="84"/>
    </row>
    <row r="63" spans="1:25" ht="15.75" customHeight="1" x14ac:dyDescent="0.2">
      <c r="A63" s="90"/>
      <c r="E63" s="91"/>
      <c r="F63" s="34">
        <v>400</v>
      </c>
      <c r="G63" s="88">
        <f>IF(F63&lt;=AV!$T$6,AV!$C$5,IF(RASANTE!F63&lt;=AV!$T$8,AV!$C$7,IF(RASANTE!F63&lt;=AV!$T$10,AV!$C$9,IF(RASANTE!F63&lt;=AV!$T$12,AV!#REF!,IF(RASANTE!F63&lt;=AV!$T$14,AV!$C$11,IF(RASANTE!F63&lt;=AV!$T$16,AV!$C$13, IF(RASANTE!F63&lt;=AV!$T$18,AV!$C$15,IF(RASANTE!F63&lt;=AV!$T$20,AV!$C$19,IF(RASANTE!F63&lt;=AV!$T$22,AV!$C$21,IF(RASANTE!F63&lt;=AV!$T$24,AV!$C$23,AV!$C$25))))))))))</f>
        <v>-7.774</v>
      </c>
      <c r="H63" s="28">
        <f>+IF(AND(AH!$H$8="Izquierda",RASANTE!F63&lt;=PERALTE!$AB$6),IF(RASANTE!F63&lt;=PERALTE!$S$6,-2,IF(RASANTE!F63&lt;=PERALTE!$U$6,(-6/(PERALTE!$U$6-PERALTE!$S$6)*(RASANTE!F63-PERALTE!$S$6)-2),IF(RASANTE!F63&lt;=PERALTE!$X$6,-8,IF(RASANTE!F63&lt;=PERALTE!$Z$6,(-6/(PERALTE!$X$6-PERALTE!$Z$6)*(RASANTE!F63-PERALTE!$Z$6)-2),IF(RASANTE!F63&lt;=PERALTE!$AB$6,-2))))),IF(AND(AH!$H$8="Derecha",RASANTE!F63&lt;=PERALTE!$AB$6),IF(RASANTE!F63&lt;=PERALTE!$Q$6,-2,IF(RASANTE!F63&lt;=PERALTE!$U$6,(10/(PERALTE!$U$6-PERALTE!$Q$6)*(RASANTE!F63-PERALTE!$Q$6)-2),IF(RASANTE!F63&lt;=PERALTE!$X$6,8,IF(RASANTE!F63&lt;=PERALTE!$AB$6,(10/(PERALTE!$X$6-PERALTE!$AB$6)*(RASANTE!F63-PERALTE!$AB$6)-2))))),IF(AND(AH!$H$10="Izquierda",RASANTE!F63&lt;=PERALTE!$AB$8),IF(RASANTE!F63&lt;=PERALTE!$S$8,-2,IF(RASANTE!F63&lt;=PERALTE!$U$8,(-6/(PERALTE!$U$8-PERALTE!$S$8)*(RASANTE!F63-PERALTE!$S$8)-2),IF(RASANTE!F63&lt;=PERALTE!$X$8,-8,IF(RASANTE!F63&lt;=PERALTE!$Z$8,(-6/(PERALTE!$X$8-PERALTE!$Z$8)*(RASANTE!F63-PERALTE!$Z$8)-2),IF(RASANTE!F63&lt;=PERALTE!$AB$8,-2))))),IF(AND(AH!$H$10="Derecha",RASANTE!F63&lt;=PERALTE!$AB$8),IF(RASANTE!F63&lt;=PERALTE!$Q$8,-2,IF(RASANTE!F63&lt;=PERALTE!$U$8,(10/(PERALTE!$U$8-PERALTE!$Q$8)*(RASANTE!F63-PERALTE!$Q$8)-2),IF(RASANTE!F63&lt;=PERALTE!$X$8,8,IF(RASANTE!F63&lt;=PERALTE!$AB$8,(10/(PERALTE!$X$8-PERALTE!$AB$8)*(RASANTE!F63-PERALTE!$AB$8)-2))))),IF(AND(AH!$H$12="Izquierda",RASANTE!F63&lt;=PERALTE!$AB$10),IF(RASANTE!F63&lt;=PERALTE!$S$10,-2,IF(RASANTE!F63&lt;=PERALTE!$U$10,(-6/(PERALTE!$U$10-PERALTE!$S$10)*(RASANTE!F63-PERALTE!$S$10)-2),IF(RASANTE!F63&lt;=PERALTE!$X$10,-8,IF(RASANTE!F63&lt;=PERALTE!$Z$10,(-6/(PERALTE!$X$10-PERALTE!$Z$10)*(RASANTE!F63-PERALTE!$Z$10)-2),IF(RASANTE!F63&lt;=PERALTE!$AB$10,-2))))),IF(AND(AH!$H$12="Derecha",RASANTE!F63&lt;=PERALTE!$AB$10),IF(RASANTE!F63&lt;=PERALTE!$Q$10,-2,IF(RASANTE!F63&lt;=PERALTE!$U$10,(10/(PERALTE!$U$10-PERALTE!$Q$10)*(RASANTE!F63-PERALTE!$Q$10)-2),IF(RASANTE!F63&lt;=PERALTE!$X$10,8,IF(RASANTE!F63&lt;=PERALTE!$AB$10,(10/(PERALTE!$X$10-PERALTE!$AB$10)*(RASANTE!F63-PERALTE!$AB$10)-2))))),IF(AND(AH!$H$14="Izquierda",RASANTE!F63&lt;=PERALTE!$AB$12),IF(RASANTE!F63&lt;=PERALTE!$S$12,-2,IF(RASANTE!F63&lt;=PERALTE!$U$12,(-6/(PERALTE!$U$12-PERALTE!$S$12)*(RASANTE!F63-PERALTE!$S$12)-2),IF(RASANTE!F63&lt;=PERALTE!$X$12,-8,IF(RASANTE!F63&lt;=PERALTE!$Z$12,(-6/(PERALTE!$X$12-PERALTE!$Z$12)*(RASANTE!F63-PERALTE!$Z$12)-2),IF(RASANTE!F63&lt;=PERALTE!$AB$12,-2))))),IF(AND(AH!$H$14="Derecha",RASANTE!F63&lt;=PERALTE!$AB$12),IF(RASANTE!F63&lt;=PERALTE!$Q$12,-2,IF(RASANTE!F63&lt;=PERALTE!$U$12,(10/(PERALTE!$U$12-PERALTE!$Q$12)*(RASANTE!F63-PERALTE!$Q$12)-2),IF(RASANTE!F63&lt;=PERALTE!$X$12,8,IF(RASANTE!F63&lt;=PERALTE!$AB$12,(10/(PERALTE!$X$12-PERALTE!$AB$12)*(RASANTE!F63-PERALTE!$AB$12)-2))))),IF(AND(AH!$H$16="Izquierda",RASANTE!F63&lt;=PERALTE!$AB$14),IF(RASANTE!F63&lt;=PERALTE!$S$14,-2,IF(RASANTE!F63&lt;=PERALTE!$U$14,(-6/(PERALTE!$U$14-PERALTE!$S$14)*(RASANTE!F63-PERALTE!$S$14)-2),IF(RASANTE!F63&lt;=PERALTE!$X$14,-8,IF(RASANTE!F63&lt;=PERALTE!$Z$14,(-6/(PERALTE!$X$14-PERALTE!$Z$14)*(RASANTE!F63-PERALTE!$Z$14)-2),IF(RASANTE!F63&lt;=PERALTE!$AB$14,-2))))),IF(AND(AH!$H$16="Derecha",RASANTE!F63&lt;=PERALTE!$AB$14),IF(RASANTE!F63&lt;=PERALTE!$Q$14,-2,IF(RASANTE!F63&lt;=PERALTE!$U$14,(10/(PERALTE!$U$14-PERALTE!$Q$14)*(RASANTE!F63-PERALTE!$Q$14)-2),IF(RASANTE!F63&lt;=PERALTE!$X$14,8,IF(RASANTE!F63&lt;=PERALTE!$AB$14,(10/(PERALTE!$X$14-PERALTE!$AB$14)*(RASANTE!F63-PERALTE!$AB$14)-2))))),IF(AND(AH!$H$18="Izquierda",RASANTE!F63&lt;=PERALTE!$AB$16),IF(RASANTE!F63&lt;=PERALTE!$S$16,-2,IF(RASANTE!F63&lt;=PERALTE!$U$16,(-6/(PERALTE!$U$16-PERALTE!$S$16)*(RASANTE!F63-PERALTE!$S$16)-2),IF(RASANTE!F63&lt;=PERALTE!$X$16,-8,IF(RASANTE!F63&lt;=PERALTE!$Z$16,(-6/(PERALTE!$X$16-PERALTE!$Z$16)*(RASANTE!F63-PERALTE!$Z$16)-2),IF(RASANTE!F63&lt;=PERALTE!$AB$16,-2))))),IF(AND(AH!$H$18="Derecha",RASANTE!F63&lt;=PERALTE!$AB$16),IF(RASANTE!F63&lt;=PERALTE!$Q$16,-2,IF(RASANTE!F63&lt;=PERALTE!$U$16,(10/(PERALTE!$U$16-PERALTE!$Q$16)*(RASANTE!F63-PERALTE!$Q$16)-2),IF(RASANTE!F63&lt;=PERALTE!$X$16,8,IF(RASANTE!F63&lt;=PERALTE!$AB$16,(10/(PERALTE!$X$16-PERALTE!$AB$16)*(RASANTE!F63-PERALTE!$AB$16)-2))))),IF(AND(AH!$H$20="Izquierda",RASANTE!F63&lt;=PERALTE!$AB$18),IF(RASANTE!F63&lt;=PERALTE!$S$18,-2,IF(RASANTE!F63&lt;=PERALTE!$U$18,(-6/(PERALTE!$U$18-PERALTE!$S$18)*(RASANTE!F63-PERALTE!$S$18)-2),IF(RASANTE!F63&lt;=PERALTE!$X$18,-8,IF(RASANTE!F63&lt;=PERALTE!$Z$18,(-6/(PERALTE!$X$18-PERALTE!$Z$18)*(RASANTE!F63-PERALTE!$Z$18)-2),IF(RASANTE!F63&lt;=PERALTE!$AB$18,-2))))),IF(AND(AH!$H$20="Derecha",RASANTE!F63&lt;=PERALTE!$AB$18),IF(RASANTE!F63&lt;=PERALTE!$Q$18,-2,IF(RASANTE!F63&lt;=PERALTE!$U$18,(10/(PERALTE!$U$18-PERALTE!$Q$18)*(RASANTE!F63-PERALTE!$Q$18)-2),IF(RASANTE!F63&lt;=PERALTE!$X$18,8,IF(RASANTE!F63&lt;=PERALTE!$AB$18,(10/(PERALTE!$X$18-PERALTE!$AB$18)*(RASANTE!F63-PERALTE!$AB$18)-2))))),IF(AND(AH!$H$24="Izquierda",RASANTE!F63&lt;=PERALTE!$AB$22),IF(RASANTE!F63&lt;=PERALTE!$S$22,-2,IF(RASANTE!F63&lt;=PERALTE!$U$22,(-6/(PERALTE!$U$22-PERALTE!$S$22)*(RASANTE!F63-PERALTE!$S$22)-2),IF(RASANTE!F63&lt;=PERALTE!$X$22,-8,IF(RASANTE!F63&lt;=PERALTE!$Z$22,(-6/(PERALTE!$X$22-PERALTE!$Z$22)*(RASANTE!F63-PERALTE!$Z$22)-2),IF(RASANTE!F63&lt;=PERALTE!$AB$22,-2))))),IF(AND(AH!$H$24="Derecha",RASANTE!F63&lt;=PERALTE!$AB$22),IF(RASANTE!F63&lt;=PERALTE!$Q$22,-2,IF(RASANTE!F63&lt;=PERALTE!$U$22,(10/(PERALTE!$U$22-PERALTE!$Q$22)*(RASANTE!F63-PERALTE!$Q$22)-2),IF(RASANTE!F63&lt;=PERALTE!$X$22,8,IF(RASANTE!F63&lt;=PERALTE!$AB$22,(10/(PERALTE!$X$22-PERALTE!$AB$22)*(RASANTE!F63-PERALTE!$AB$22)-2))))),IF(AND(AH!#REF!="Izquierda",RASANTE!F63&lt;=PERALTE!#REF!),IF(RASANTE!F63&lt;=PERALTE!#REF!,-2,IF(RASANTE!F63&lt;=PERALTE!#REF!,(-6/(PERALTE!#REF!-PERALTE!#REF!)*(RASANTE!F63-PERALTE!#REF!)-2),IF(RASANTE!F63&lt;=PERALTE!#REF!,-8,IF(RASANTE!F63&lt;=PERALTE!#REF!,(-6/(PERALTE!#REF!-PERALTE!#REF!)*(RASANTE!F63-PERALTE!#REF!)-2),IF(RASANTE!F63&lt;=PERALTE!#REF!,-2))))),IF(AND(AH!#REF!="Derecha",RASANTE!F63&lt;=PERALTE!#REF!),IF(RASANTE!F63&lt;=PERALTE!#REF!,-2,IF(RASANTE!F63&lt;=PERALTE!#REF!,(10/(PERALTE!#REF!-PERALTE!#REF!)*(RASANTE!F63-PERALTE!#REF!)-2),IF(RASANTE!F63&lt;=PERALTE!#REF!,8,IF(RASANTE!F63&lt;=PERALTE!#REF!,(10/(PERALTE!#REF!-PERALTE!#REF!)*(RASANTE!F63-PERALTE!#REF!)-2))))),IF(AND(AH!#REF!="Izquierda",RASANTE!F63&lt;=PERALTE!$AB$26),IF(RASANTE!F63&lt;=PERALTE!$S$26,-2,IF(RASANTE!F63&lt;=PERALTE!$U$26,(-6/(PERALTE!$U$26-PERALTE!$S$26)*(RASANTE!F63-PERALTE!$S$26)-2),IF(RASANTE!F63&lt;=PERALTE!$X$26,-8,IF(RASANTE!F63&lt;=PERALTE!$Z$26,(-6/(PERALTE!$X$26-PERALTE!$Z$26)*(RASANTE!F63-PERALTE!$Z$26)-2),IF(RASANTE!F63&lt;=PERALTE!$AB$26,-2))))),IF(AND(AH!#REF!="Derecha",RASANTE!F63&lt;=PERALTE!$AB$26),IF(RASANTE!F63&lt;=PERALTE!$Q$26,-2,IF(RASANTE!F63&lt;=PERALTE!$U$26,(10/(PERALTE!$U$26-PERALTE!$Q$26)*(RASANTE!F63-PERALTE!$Q$26)-2),IF(RASANTE!F63&lt;=PERALTE!$X$26,8,IF(RASANTE!F63&lt;=PERALTE!$AB$26,(10/(PERALTE!$X$26-PERALTE!$AB$26)*(RASANTE!F63-PERALTE!$AB$26)-2))))),IF(F63&lt;=PERALTE!#REF!,-2,"Abscisa fuera de la vía")))))))))))))))))))))</f>
        <v>4.481907410815225</v>
      </c>
      <c r="I63" s="28">
        <f>+IF(AND(AH!$H$8="Derecha",RASANTE!F63&lt;=PERALTE!$AB$6),IF(RASANTE!F63&lt;=PERALTE!$S$6,-2,IF(RASANTE!F63&lt;=PERALTE!$U$6,(-6/(PERALTE!$U$6-PERALTE!$S$6)*(RASANTE!F63-PERALTE!$S$6)-2),IF(RASANTE!F63&lt;=PERALTE!$X$6,-8,IF(RASANTE!F63&lt;=PERALTE!$Z$6,(-6/(PERALTE!$X$6-PERALTE!$Z$6)*(RASANTE!F63-PERALTE!$Z$6)-2),IF(RASANTE!F63&lt;=PERALTE!$AB$6,-2))))),IF(AND(AH!$H$8="Izquierda",RASANTE!F63&lt;=PERALTE!$AB$6),IF(RASANTE!F63&lt;=PERALTE!$Q$6,-2,IF(RASANTE!F63&lt;=PERALTE!$U$6,(10/(PERALTE!$U$6-PERALTE!$Q$6)*(RASANTE!F63-PERALTE!$Q$6)-2),IF(RASANTE!F63&lt;=PERALTE!$X$6,8,IF(RASANTE!F63&lt;=PERALTE!$AB$6,(10/(PERALTE!$X$6-PERALTE!$AB$6)*(RASANTE!F63-PERALTE!$AB$6)-2))))),IF(AND(AH!$H$10="Derecha",RASANTE!F63&lt;=PERALTE!$AB$8),IF(RASANTE!F63&lt;=PERALTE!$S$8,-2,IF(RASANTE!F63&lt;=PERALTE!$U$8,(-6/(PERALTE!$U$8-PERALTE!$S$8)*(RASANTE!F63-PERALTE!$S$8)-2),IF(RASANTE!F63&lt;=PERALTE!$X$8,-8,IF(RASANTE!F63&lt;=PERALTE!$Z$8,(-6/(PERALTE!$X$8-PERALTE!$Z$8)*(RASANTE!F63-PERALTE!$Z$8)-2),IF(RASANTE!F63&lt;=PERALTE!$AB$8,-2))))),IF(AND(AH!$H$10="Izquierda",RASANTE!F63&lt;=PERALTE!$AB$8),IF(RASANTE!F63&lt;=PERALTE!$Q$8,-2,IF(RASANTE!F63&lt;=PERALTE!$U$8,(10/(PERALTE!$U$8-PERALTE!$Q$8)*(RASANTE!F63-PERALTE!$Q$8)-2),IF(RASANTE!F63&lt;=PERALTE!$X$8,8,IF(RASANTE!F63&lt;=PERALTE!$AB$8,(10/(PERALTE!$X$8-PERALTE!$AB$8)*(RASANTE!F63-PERALTE!$AB$8)-2))))),IF(AND(AH!$H$12="Derecha",RASANTE!F63&lt;=PERALTE!$AB$10),IF(RASANTE!F63&lt;=PERALTE!$S$10,-2,IF(RASANTE!F63&lt;=PERALTE!$U$10,(-6/(PERALTE!$U$10-PERALTE!$S$10)*(RASANTE!F63-PERALTE!$S$10)-2),IF(RASANTE!F63&lt;=PERALTE!$X$10,-8,IF(RASANTE!F63&lt;=PERALTE!$Z$10,(-6/(PERALTE!$X$10-PERALTE!$Z$10)*(RASANTE!F63-PERALTE!$Z$10)-2),IF(RASANTE!F63&lt;=PERALTE!$AB$10,-2))))),IF(AND(AH!$H$12="Izquierda",RASANTE!F63&lt;=PERALTE!$AB$10),IF(RASANTE!F63&lt;=PERALTE!$Q$10,-2,IF(RASANTE!F63&lt;=PERALTE!$U$10,(10/(PERALTE!$U$10-PERALTE!$Q$10)*(RASANTE!F63-PERALTE!$Q$10)-2),IF(RASANTE!F63&lt;=PERALTE!$X$10,8,IF(RASANTE!F63&lt;=PERALTE!$AB$10,(10/(PERALTE!$X$10-PERALTE!$AB$10)*(RASANTE!F63-PERALTE!$AB$10)-2))))),IF(AND(AH!$H$14="Derecha",RASANTE!F63&lt;=PERALTE!$AB$12),IF(RASANTE!F63&lt;=PERALTE!$S$12,-2,IF(RASANTE!F63&lt;=PERALTE!$U$12,(-6/(PERALTE!$U$12-PERALTE!$S$12)*(RASANTE!F63-PERALTE!$S$12)-2),IF(RASANTE!F63&lt;=PERALTE!$X$12,-8,IF(RASANTE!F63&lt;=PERALTE!$Z$12,(-6/(PERALTE!$X$12-PERALTE!$Z$12)*(RASANTE!F63-PERALTE!$Z$12)-2),IF(RASANTE!F63&lt;=PERALTE!$AB$12,-2))))),IF(AND(AH!$H$14="Izquierda",RASANTE!F63&lt;=PERALTE!$AB$12),IF(RASANTE!F63&lt;=PERALTE!$Q$12,-2,IF(RASANTE!F63&lt;=PERALTE!$U$12,(10/(PERALTE!$U$12-PERALTE!$Q$12)*(RASANTE!F63-PERALTE!$Q$12)-2),IF(RASANTE!F63&lt;=PERALTE!$X$12,8,IF(RASANTE!F63&lt;=PERALTE!$AB$12,(10/(PERALTE!$X$12-PERALTE!$AB$12)*(RASANTE!F63-PERALTE!$AB$12)-2))))),IF(AND(AH!$H$16="Derecha",RASANTE!F63&lt;=PERALTE!$AB$14),IF(RASANTE!F63&lt;=PERALTE!$S$14,-2,IF(RASANTE!F63&lt;=PERALTE!$U$14,(-6/(PERALTE!$U$14-PERALTE!$S$14)*(RASANTE!F63-PERALTE!$S$14)-2),IF(RASANTE!F63&lt;=PERALTE!$X$14,-8,IF(RASANTE!F63&lt;=PERALTE!$Z$14,(-6/(PERALTE!$X$14-PERALTE!$Z$14)*(RASANTE!F63-PERALTE!$Z$14)-2),IF(RASANTE!F63&lt;=PERALTE!$AB$14,-2))))),IF(AND(AH!$H$16="Izquierda",RASANTE!F63&lt;=PERALTE!$AB$14),IF(RASANTE!F63&lt;=PERALTE!$Q$14,-2,IF(RASANTE!F63&lt;=PERALTE!$U$14,(10/(PERALTE!$U$14-PERALTE!$Q$14)*(RASANTE!F63-PERALTE!$Q$14)-2),IF(RASANTE!F63&lt;=PERALTE!$X$14,8,IF(RASANTE!F63&lt;=PERALTE!$AB$14,(10/(PERALTE!$X$14-PERALTE!$AB$14)*(RASANTE!F63-PERALTE!$AB$14)-2))))),IF(AND(AH!$H$18="Derecha",RASANTE!F63&lt;=PERALTE!$AB$16),IF(RASANTE!F63&lt;=PERALTE!$S$16,-2,IF(RASANTE!F63&lt;=PERALTE!$U$16,(-6/(PERALTE!$U$16-PERALTE!$S$16)*(RASANTE!F63-PERALTE!$S$16)-2),IF(RASANTE!F63&lt;=PERALTE!$X$16,-8,IF(RASANTE!F63&lt;=PERALTE!$Z$16,(-6/(PERALTE!$X$16-PERALTE!$Z$16)*(RASANTE!F63-PERALTE!$Z$16)-2),IF(RASANTE!F63&lt;=PERALTE!$AB$16,-2))))),IF(AND(AH!$H$18="Izquierda",RASANTE!F63&lt;=PERALTE!$AB$16),IF(RASANTE!F63&lt;=PERALTE!$Q$16,-2,IF(RASANTE!F63&lt;=PERALTE!$U$16,(10/(PERALTE!$U$16-PERALTE!$Q$16)*(RASANTE!F63-PERALTE!$Q$16)-2),IF(RASANTE!F63&lt;=PERALTE!$X$16,8,IF(RASANTE!F63&lt;=PERALTE!$AB$16,(10/(PERALTE!$X$16-PERALTE!$AB$16)*(RASANTE!F63-PERALTE!$AB$16)-2))))),IF(AND(AH!$H$20="Derecha",RASANTE!F63&lt;=PERALTE!$AB$18),IF(RASANTE!F63&lt;=PERALTE!$S$18,-2,IF(RASANTE!F63&lt;=PERALTE!$U$18,(-6/(PERALTE!$U$18-PERALTE!$S$18)*(RASANTE!F63-PERALTE!$S$18)-2),IF(RASANTE!F63&lt;=PERALTE!$X$18,-8,IF(RASANTE!F63&lt;=PERALTE!$Z$18,(-6/(PERALTE!$X$18-PERALTE!$Z$18)*(RASANTE!F63-PERALTE!$Z$18)-2),IF(RASANTE!F63&lt;=PERALTE!$AB$18,-2))))),IF(AND(AH!$H$20="Izquierda",RASANTE!F63&lt;=PERALTE!$AB$18),IF(RASANTE!F63&lt;=PERALTE!$Q$18,-2,IF(RASANTE!F63&lt;=PERALTE!$U$18,(10/(PERALTE!$U$18-PERALTE!$Q$18)*(RASANTE!F63-PERALTE!$Q$18)-2),IF(RASANTE!F63&lt;=PERALTE!$X$18,8,IF(RASANTE!F63&lt;=PERALTE!$AB$18,(10/(PERALTE!$X$18-PERALTE!$AB$18)*(RASANTE!F63-PERALTE!$AB$18)-2))))),IF(AND(AH!$H$24="Derecha",RASANTE!F63&lt;=PERALTE!$AB$22),IF(RASANTE!F63&lt;=PERALTE!$S$22,-2,IF(RASANTE!F63&lt;=PERALTE!$U$22,(-6/(PERALTE!$U$22-PERALTE!$S$22)*(RASANTE!F63-PERALTE!$S$22)-2),IF(RASANTE!F63&lt;=PERALTE!$X$22,-8,IF(RASANTE!F63&lt;=PERALTE!$Z$22,(-6/(PERALTE!$X$22-PERALTE!$Z$22)*(RASANTE!F63-PERALTE!$Z$22)-2),IF(RASANTE!F63&lt;=PERALTE!$AB$22,-2))))),IF(AND(AH!$H$24="Izquierda",RASANTE!F63&lt;=PERALTE!$AB$22),IF(RASANTE!F63&lt;=PERALTE!$Q$22,-2,IF(RASANTE!F63&lt;=PERALTE!$U$22,(10/(PERALTE!$U$22-PERALTE!$Q$22)*(RASANTE!F63-PERALTE!$Q$22)-2),IF(RASANTE!F63&lt;=PERALTE!$X$22,8,IF(RASANTE!F63&lt;=PERALTE!$AB$22,(10/(PERALTE!$X$22-PERALTE!$AB$22)*(RASANTE!F63-PERALTE!$AB$22)-2))))),IF(AND(AH!#REF!="Derecha",RASANTE!F63&lt;=PERALTE!#REF!),IF(RASANTE!F63&lt;=PERALTE!#REF!,-2,IF(RASANTE!F63&lt;=PERALTE!#REF!,(-6/(PERALTE!#REF!-PERALTE!#REF!)*(RASANTE!F63-PERALTE!#REF!)-2),IF(RASANTE!F63&lt;=PERALTE!#REF!,-8,IF(RASANTE!F63&lt;=PERALTE!#REF!,(-6/(PERALTE!#REF!-PERALTE!#REF!)*(RASANTE!F63-PERALTE!#REF!)-2),IF(RASANTE!F63&lt;=PERALTE!#REF!,-2))))),IF(AND(AH!#REF!="Izquierda",RASANTE!F63&lt;=PERALTE!#REF!),IF(RASANTE!F63&lt;=PERALTE!#REF!,-2,IF(RASANTE!F63&lt;=PERALTE!#REF!,(10/(PERALTE!#REF!-PERALTE!#REF!)*(RASANTE!F63-PERALTE!#REF!)-2),IF(RASANTE!F63&lt;=PERALTE!#REF!,8,IF(RASANTE!F63&lt;=PERALTE!#REF!,(10/(PERALTE!#REF!-PERALTE!#REF!)*(RASANTE!F63-PERALTE!#REF!)-2))))),IF(AND(AH!#REF!="Derecha",RASANTE!F63&lt;=PERALTE!$AB$26),IF(RASANTE!F63&lt;=PERALTE!$S$26,-2,IF(RASANTE!F63&lt;=PERALTE!$U$26,(-6/(PERALTE!$U$26-PERALTE!$S$26)*(RASANTE!F63-PERALTE!$S$26)-2),IF(RASANTE!F63&lt;=PERALTE!$X$26,-8,IF(RASANTE!F63&lt;=PERALTE!$Z$26,(-6/(PERALTE!$X$26-PERALTE!$Z$26)*(RASANTE!F63-PERALTE!$Z$26)-2),IF(RASANTE!F63&lt;=PERALTE!$AB$26,-2))))),IF(AND(AH!#REF!="Izquierda",RASANTE!F63&lt;=PERALTE!$AB$26),IF(RASANTE!F63&lt;=PERALTE!$Q$26,-2,IF(RASANTE!F63&lt;=PERALTE!$U$26,(10/(PERALTE!$U$26-PERALTE!$Q$26)*(RASANTE!F63-PERALTE!$Q$26)-2),IF(RASANTE!F63&lt;=PERALTE!$X$26,8,IF(RASANTE!F63&lt;=PERALTE!$AB$26,(10/(PERALTE!$X$26-PERALTE!$AB$26)*(RASANTE!F63-PERALTE!$AB$26)-2))))),IF(F63&lt;=PERALTE!#REF!,-2,"Abscisa fuera de la vía")))))))))))))))))))))</f>
        <v>-4.4819074108152304</v>
      </c>
      <c r="J63" s="28">
        <f t="shared" si="1"/>
        <v>1644.5604000000008</v>
      </c>
      <c r="K63" s="28">
        <f>+IF(AND(AV!$S$6&lt;F191,F191&lt;=AV!$T$6),AV!$P$6*((AV!$S$6-RASANTE!F191)/(AV!$N$6))^2,IF(AND(AV!$T$6&lt;RASANTE!F191,F191&lt;AV!$U$6),AV!$P$6*((AV!$U$6-RASANTE!F191)/(AV!$O$6))^2,IF(AND(AV!$S$8&lt;F191,F191&lt;=AV!$T$8),AV!$P$8*((AV!$S$8-RASANTE!F191)/(AV!$N$8))^2,IF(AND(AV!$T$8&lt;RASANTE!F191,F191&lt;AV!$U$8),AV!$P$8*((AV!$U$8-RASANTE!F191)/(AV!$O$8))^2,IF(AND(AV!$S$10&lt;F191,F191&lt;=AV!$T$10),AV!$P$10*((AV!$S$10-RASANTE!F191)/(AV!$N$10))^2,IF(AND(AV!$T$10&lt;RASANTE!F191,F191&lt;AV!$U$10),AV!$P$10*((AV!$U$10-RASANTE!F191)/(AV!$O$10))^2,IF(AND(AV!$S$12&lt;F191,F191&lt;=AV!$T$12),AV!$P$12*((AV!$S$12-RASANTE!F191)/(AV!$N$12))^2,IF(AND(AV!$T$12&lt;RASANTE!F191,F191&lt;AV!$U$12),AV!$P$12*((AV!$U$12-RASANTE!F191)/(AV!$O$12))^2,IF(AND(AV!$S$14&lt;F191,F191&lt;=AV!$T$14),AV!$P$14*((AV!$S$14-RASANTE!F191)/(AV!$N$14))^2,IF(AND(AV!$T$14&lt;RASANTE!F191,F191&lt;AV!$U$14),AV!$P$14*((AV!$U$14-RASANTE!F191)/(AV!$O$14))^2,IF(AND(AV!$S$16&lt;F191,F191&lt;=AV!$T$16),AV!$P$16*((AV!$S$16-RASANTE!F191)/(AV!$N$16))^2,IF(AND(AV!$T$16&lt;RASANTE!F191,F191&lt;AV!$U$16),AV!$P$16*((AV!$U$16-RASANTE!F191)/(AV!$O$16))^2,IF(AND(AV!$S$18&lt;F191,F191&lt;=AV!$T$18),AV!$P$18*((AV!$S$18-RASANTE!F191)/(AV!$N$18))^2,IF(AND(AV!$T$18&lt;RASANTE!F191,F191&lt;AV!$U$18),AV!$P$18*((AV!$U$18-RASANTE!F191)/(AV!$O$18))^2,IF(AND(AV!$S$20&lt;F191,F191&lt;=AV!$T$20),AV!$P$20*((AV!$S$20-RASANTE!F191)/(AV!$N$20))^2,IF(AND(AV!$T$20&lt;RASANTE!F191,F191&lt;AV!$U$20),AV!$P$20*((AV!$U$20-RASANTE!F191)/(AV!$O$20))^2,IF(AND(AV!$S$22&lt;F191,F191&lt;=AV!$T$22),AV!$P$22*((AV!$S$22-RASANTE!F191)/(AV!$N$22))^2,IF(AND(AV!$T$22&lt;RASANTE!F191,F191&lt;AV!$U$22),AV!$P$22*((AV!$U$22-RASANTE!F191)/(AV!$O$22))^2,IF(AND(AV!$S$24&lt;F191,F191&lt;=AV!$T$24),AV!$P$24*((AV!$S$24-RASANTE!F191)/(AV!$N$24))^2,IF(AND(AV!$T$24&lt;RASANTE!F191,F191&lt;AV!$U$24),AV!$P$24*((AV!$U$24-RASANTE!F191)/(AV!$O$24))^2,0))))))))))))))))))))</f>
        <v>0</v>
      </c>
      <c r="L63" s="28">
        <f>+M63+H63%*PERALTE!$C$32</f>
        <v>1644.7172667593793</v>
      </c>
      <c r="M63" s="28">
        <f t="shared" si="3"/>
        <v>1644.5604000000008</v>
      </c>
      <c r="N63" s="28">
        <f>+M63+I63%*PERALTE!$C$32</f>
        <v>1644.4035332406222</v>
      </c>
      <c r="O63" s="92"/>
      <c r="P63" s="84"/>
      <c r="Q63" s="84"/>
      <c r="R63" s="84"/>
      <c r="S63" s="84"/>
      <c r="T63" s="84"/>
      <c r="U63" s="84"/>
      <c r="V63" s="84"/>
      <c r="W63" s="84"/>
      <c r="X63" s="84"/>
      <c r="Y63" s="84"/>
    </row>
    <row r="64" spans="1:25" ht="15.75" customHeight="1" x14ac:dyDescent="0.2">
      <c r="A64" s="139" t="s">
        <v>198</v>
      </c>
      <c r="B64" s="140">
        <f>AH!L10</f>
        <v>3.7977023790438835</v>
      </c>
      <c r="C64" s="141">
        <f>AH!U10</f>
        <v>83.516168780885153</v>
      </c>
      <c r="D64" s="142">
        <f>PERALTE!C34</f>
        <v>8</v>
      </c>
      <c r="E64" s="91"/>
      <c r="F64" s="34">
        <f>PERALTE!V8</f>
        <v>406.99511782962787</v>
      </c>
      <c r="G64" s="88">
        <f>IF(F64&lt;=AV!$T$6,AV!$C$5,IF(RASANTE!F64&lt;=AV!$T$8,AV!$C$7,IF(RASANTE!F64&lt;=AV!$T$10,AV!$C$9,IF(RASANTE!F64&lt;=AV!$T$12,AV!#REF!,IF(RASANTE!F64&lt;=AV!$T$14,AV!$C$11,IF(RASANTE!F64&lt;=AV!$T$16,AV!$C$13, IF(RASANTE!F64&lt;=AV!$T$18,AV!$C$15,IF(RASANTE!F64&lt;=AV!$T$20,AV!$C$19,IF(RASANTE!F64&lt;=AV!$T$22,AV!$C$21,IF(RASANTE!F64&lt;=AV!$T$24,AV!$C$23,AV!$C$25))))))))))</f>
        <v>-7.774</v>
      </c>
      <c r="H64" s="28">
        <f>+IF(AND(AH!$H$8="Izquierda",RASANTE!F64&lt;=PERALTE!$AB$6),IF(RASANTE!F64&lt;=PERALTE!$S$6,-2,IF(RASANTE!F64&lt;=PERALTE!$U$6,(-6/(PERALTE!$U$6-PERALTE!$S$6)*(RASANTE!F64-PERALTE!$S$6)-2),IF(RASANTE!F64&lt;=PERALTE!$X$6,-8,IF(RASANTE!F64&lt;=PERALTE!$Z$6,(-6/(PERALTE!$X$6-PERALTE!$Z$6)*(RASANTE!F64-PERALTE!$Z$6)-2),IF(RASANTE!F64&lt;=PERALTE!$AB$6,-2))))),IF(AND(AH!$H$8="Derecha",RASANTE!F64&lt;=PERALTE!$AB$6),IF(RASANTE!F64&lt;=PERALTE!$Q$6,-2,IF(RASANTE!F64&lt;=PERALTE!$U$6,(10/(PERALTE!$U$6-PERALTE!$Q$6)*(RASANTE!F64-PERALTE!$Q$6)-2),IF(RASANTE!F64&lt;=PERALTE!$X$6,8,IF(RASANTE!F64&lt;=PERALTE!$AB$6,(10/(PERALTE!$X$6-PERALTE!$AB$6)*(RASANTE!F64-PERALTE!$AB$6)-2))))),IF(AND(AH!$H$10="Izquierda",RASANTE!F64&lt;=PERALTE!$AB$8),IF(RASANTE!F64&lt;=PERALTE!$S$8,-2,IF(RASANTE!F64&lt;=PERALTE!$U$8,(-6/(PERALTE!$U$8-PERALTE!$S$8)*(RASANTE!F64-PERALTE!$S$8)-2),IF(RASANTE!F64&lt;=PERALTE!$X$8,-8,IF(RASANTE!F64&lt;=PERALTE!$Z$8,(-6/(PERALTE!$X$8-PERALTE!$Z$8)*(RASANTE!F64-PERALTE!$Z$8)-2),IF(RASANTE!F64&lt;=PERALTE!$AB$8,-2))))),IF(AND(AH!$H$10="Derecha",RASANTE!F64&lt;=PERALTE!$AB$8),IF(RASANTE!F64&lt;=PERALTE!$Q$8,-2,IF(RASANTE!F64&lt;=PERALTE!$U$8,(10/(PERALTE!$U$8-PERALTE!$Q$8)*(RASANTE!F64-PERALTE!$Q$8)-2),IF(RASANTE!F64&lt;=PERALTE!$X$8,8,IF(RASANTE!F64&lt;=PERALTE!$AB$8,(10/(PERALTE!$X$8-PERALTE!$AB$8)*(RASANTE!F64-PERALTE!$AB$8)-2))))),IF(AND(AH!$H$12="Izquierda",RASANTE!F64&lt;=PERALTE!$AB$10),IF(RASANTE!F64&lt;=PERALTE!$S$10,-2,IF(RASANTE!F64&lt;=PERALTE!$U$10,(-6/(PERALTE!$U$10-PERALTE!$S$10)*(RASANTE!F64-PERALTE!$S$10)-2),IF(RASANTE!F64&lt;=PERALTE!$X$10,-8,IF(RASANTE!F64&lt;=PERALTE!$Z$10,(-6/(PERALTE!$X$10-PERALTE!$Z$10)*(RASANTE!F64-PERALTE!$Z$10)-2),IF(RASANTE!F64&lt;=PERALTE!$AB$10,-2))))),IF(AND(AH!$H$12="Derecha",RASANTE!F64&lt;=PERALTE!$AB$10),IF(RASANTE!F64&lt;=PERALTE!$Q$10,-2,IF(RASANTE!F64&lt;=PERALTE!$U$10,(10/(PERALTE!$U$10-PERALTE!$Q$10)*(RASANTE!F64-PERALTE!$Q$10)-2),IF(RASANTE!F64&lt;=PERALTE!$X$10,8,IF(RASANTE!F64&lt;=PERALTE!$AB$10,(10/(PERALTE!$X$10-PERALTE!$AB$10)*(RASANTE!F64-PERALTE!$AB$10)-2))))),IF(AND(AH!$H$14="Izquierda",RASANTE!F64&lt;=PERALTE!$AB$12),IF(RASANTE!F64&lt;=PERALTE!$S$12,-2,IF(RASANTE!F64&lt;=PERALTE!$U$12,(-6/(PERALTE!$U$12-PERALTE!$S$12)*(RASANTE!F64-PERALTE!$S$12)-2),IF(RASANTE!F64&lt;=PERALTE!$X$12,-8,IF(RASANTE!F64&lt;=PERALTE!$Z$12,(-6/(PERALTE!$X$12-PERALTE!$Z$12)*(RASANTE!F64-PERALTE!$Z$12)-2),IF(RASANTE!F64&lt;=PERALTE!$AB$12,-2))))),IF(AND(AH!$H$14="Derecha",RASANTE!F64&lt;=PERALTE!$AB$12),IF(RASANTE!F64&lt;=PERALTE!$Q$12,-2,IF(RASANTE!F64&lt;=PERALTE!$U$12,(10/(PERALTE!$U$12-PERALTE!$Q$12)*(RASANTE!F64-PERALTE!$Q$12)-2),IF(RASANTE!F64&lt;=PERALTE!$X$12,8,IF(RASANTE!F64&lt;=PERALTE!$AB$12,(10/(PERALTE!$X$12-PERALTE!$AB$12)*(RASANTE!F64-PERALTE!$AB$12)-2))))),IF(AND(AH!$H$16="Izquierda",RASANTE!F64&lt;=PERALTE!$AB$14),IF(RASANTE!F64&lt;=PERALTE!$S$14,-2,IF(RASANTE!F64&lt;=PERALTE!$U$14,(-6/(PERALTE!$U$14-PERALTE!$S$14)*(RASANTE!F64-PERALTE!$S$14)-2),IF(RASANTE!F64&lt;=PERALTE!$X$14,-8,IF(RASANTE!F64&lt;=PERALTE!$Z$14,(-6/(PERALTE!$X$14-PERALTE!$Z$14)*(RASANTE!F64-PERALTE!$Z$14)-2),IF(RASANTE!F64&lt;=PERALTE!$AB$14,-2))))),IF(AND(AH!$H$16="Derecha",RASANTE!F64&lt;=PERALTE!$AB$14),IF(RASANTE!F64&lt;=PERALTE!$Q$14,-2,IF(RASANTE!F64&lt;=PERALTE!$U$14,(10/(PERALTE!$U$14-PERALTE!$Q$14)*(RASANTE!F64-PERALTE!$Q$14)-2),IF(RASANTE!F64&lt;=PERALTE!$X$14,8,IF(RASANTE!F64&lt;=PERALTE!$AB$14,(10/(PERALTE!$X$14-PERALTE!$AB$14)*(RASANTE!F64-PERALTE!$AB$14)-2))))),IF(AND(AH!$H$18="Izquierda",RASANTE!F64&lt;=PERALTE!$AB$16),IF(RASANTE!F64&lt;=PERALTE!$S$16,-2,IF(RASANTE!F64&lt;=PERALTE!$U$16,(-6/(PERALTE!$U$16-PERALTE!$S$16)*(RASANTE!F64-PERALTE!$S$16)-2),IF(RASANTE!F64&lt;=PERALTE!$X$16,-8,IF(RASANTE!F64&lt;=PERALTE!$Z$16,(-6/(PERALTE!$X$16-PERALTE!$Z$16)*(RASANTE!F64-PERALTE!$Z$16)-2),IF(RASANTE!F64&lt;=PERALTE!$AB$16,-2))))),IF(AND(AH!$H$18="Derecha",RASANTE!F64&lt;=PERALTE!$AB$16),IF(RASANTE!F64&lt;=PERALTE!$Q$16,-2,IF(RASANTE!F64&lt;=PERALTE!$U$16,(10/(PERALTE!$U$16-PERALTE!$Q$16)*(RASANTE!F64-PERALTE!$Q$16)-2),IF(RASANTE!F64&lt;=PERALTE!$X$16,8,IF(RASANTE!F64&lt;=PERALTE!$AB$16,(10/(PERALTE!$X$16-PERALTE!$AB$16)*(RASANTE!F64-PERALTE!$AB$16)-2))))),IF(AND(AH!$H$20="Izquierda",RASANTE!F64&lt;=PERALTE!$AB$18),IF(RASANTE!F64&lt;=PERALTE!$S$18,-2,IF(RASANTE!F64&lt;=PERALTE!$U$18,(-6/(PERALTE!$U$18-PERALTE!$S$18)*(RASANTE!F64-PERALTE!$S$18)-2),IF(RASANTE!F64&lt;=PERALTE!$X$18,-8,IF(RASANTE!F64&lt;=PERALTE!$Z$18,(-6/(PERALTE!$X$18-PERALTE!$Z$18)*(RASANTE!F64-PERALTE!$Z$18)-2),IF(RASANTE!F64&lt;=PERALTE!$AB$18,-2))))),IF(AND(AH!$H$20="Derecha",RASANTE!F64&lt;=PERALTE!$AB$18),IF(RASANTE!F64&lt;=PERALTE!$Q$18,-2,IF(RASANTE!F64&lt;=PERALTE!$U$18,(10/(PERALTE!$U$18-PERALTE!$Q$18)*(RASANTE!F64-PERALTE!$Q$18)-2),IF(RASANTE!F64&lt;=PERALTE!$X$18,8,IF(RASANTE!F64&lt;=PERALTE!$AB$18,(10/(PERALTE!$X$18-PERALTE!$AB$18)*(RASANTE!F64-PERALTE!$AB$18)-2))))),IF(AND(AH!$H$24="Izquierda",RASANTE!F64&lt;=PERALTE!$AB$22),IF(RASANTE!F64&lt;=PERALTE!$S$22,-2,IF(RASANTE!F64&lt;=PERALTE!$U$22,(-6/(PERALTE!$U$22-PERALTE!$S$22)*(RASANTE!F64-PERALTE!$S$22)-2),IF(RASANTE!F64&lt;=PERALTE!$X$22,-8,IF(RASANTE!F64&lt;=PERALTE!$Z$22,(-6/(PERALTE!$X$22-PERALTE!$Z$22)*(RASANTE!F64-PERALTE!$Z$22)-2),IF(RASANTE!F64&lt;=PERALTE!$AB$22,-2))))),IF(AND(AH!$H$24="Derecha",RASANTE!F64&lt;=PERALTE!$AB$22),IF(RASANTE!F64&lt;=PERALTE!$Q$22,-2,IF(RASANTE!F64&lt;=PERALTE!$U$22,(10/(PERALTE!$U$22-PERALTE!$Q$22)*(RASANTE!F64-PERALTE!$Q$22)-2),IF(RASANTE!F64&lt;=PERALTE!$X$22,8,IF(RASANTE!F64&lt;=PERALTE!$AB$22,(10/(PERALTE!$X$22-PERALTE!$AB$22)*(RASANTE!F64-PERALTE!$AB$22)-2))))),IF(AND(AH!#REF!="Izquierda",RASANTE!F64&lt;=PERALTE!#REF!),IF(RASANTE!F64&lt;=PERALTE!#REF!,-2,IF(RASANTE!F64&lt;=PERALTE!#REF!,(-6/(PERALTE!#REF!-PERALTE!#REF!)*(RASANTE!F64-PERALTE!#REF!)-2),IF(RASANTE!F64&lt;=PERALTE!#REF!,-8,IF(RASANTE!F64&lt;=PERALTE!#REF!,(-6/(PERALTE!#REF!-PERALTE!#REF!)*(RASANTE!F64-PERALTE!#REF!)-2),IF(RASANTE!F64&lt;=PERALTE!#REF!,-2))))),IF(AND(AH!#REF!="Derecha",RASANTE!F64&lt;=PERALTE!#REF!),IF(RASANTE!F64&lt;=PERALTE!#REF!,-2,IF(RASANTE!F64&lt;=PERALTE!#REF!,(10/(PERALTE!#REF!-PERALTE!#REF!)*(RASANTE!F64-PERALTE!#REF!)-2),IF(RASANTE!F64&lt;=PERALTE!#REF!,8,IF(RASANTE!F64&lt;=PERALTE!#REF!,(10/(PERALTE!#REF!-PERALTE!#REF!)*(RASANTE!F64-PERALTE!#REF!)-2))))),IF(AND(AH!#REF!="Izquierda",RASANTE!F64&lt;=PERALTE!$AB$26),IF(RASANTE!F64&lt;=PERALTE!$S$26,-2,IF(RASANTE!F64&lt;=PERALTE!$U$26,(-6/(PERALTE!$U$26-PERALTE!$S$26)*(RASANTE!F64-PERALTE!$S$26)-2),IF(RASANTE!F64&lt;=PERALTE!$X$26,-8,IF(RASANTE!F64&lt;=PERALTE!$Z$26,(-6/(PERALTE!$X$26-PERALTE!$Z$26)*(RASANTE!F64-PERALTE!$Z$26)-2),IF(RASANTE!F64&lt;=PERALTE!$AB$26,-2))))),IF(AND(AH!#REF!="Derecha",RASANTE!F64&lt;=PERALTE!$AB$26),IF(RASANTE!F64&lt;=PERALTE!$Q$26,-2,IF(RASANTE!F64&lt;=PERALTE!$U$26,(10/(PERALTE!$U$26-PERALTE!$Q$26)*(RASANTE!F64-PERALTE!$Q$26)-2),IF(RASANTE!F64&lt;=PERALTE!$X$26,8,IF(RASANTE!F64&lt;=PERALTE!$AB$26,(10/(PERALTE!$X$26-PERALTE!$AB$26)*(RASANTE!F64-PERALTE!$AB$26)-2))))),IF(F64&lt;=PERALTE!#REF!,-2,"Abscisa fuera de la vía")))))))))))))))))))))</f>
        <v>6.020833333333357</v>
      </c>
      <c r="I64" s="28">
        <f>+IF(AND(AH!$H$8="Derecha",RASANTE!F64&lt;=PERALTE!$AB$6),IF(RASANTE!F64&lt;=PERALTE!$S$6,-2,IF(RASANTE!F64&lt;=PERALTE!$U$6,(-6/(PERALTE!$U$6-PERALTE!$S$6)*(RASANTE!F64-PERALTE!$S$6)-2),IF(RASANTE!F64&lt;=PERALTE!$X$6,-8,IF(RASANTE!F64&lt;=PERALTE!$Z$6,(-6/(PERALTE!$X$6-PERALTE!$Z$6)*(RASANTE!F64-PERALTE!$Z$6)-2),IF(RASANTE!F64&lt;=PERALTE!$AB$6,-2))))),IF(AND(AH!$H$8="Izquierda",RASANTE!F64&lt;=PERALTE!$AB$6),IF(RASANTE!F64&lt;=PERALTE!$Q$6,-2,IF(RASANTE!F64&lt;=PERALTE!$U$6,(10/(PERALTE!$U$6-PERALTE!$Q$6)*(RASANTE!F64-PERALTE!$Q$6)-2),IF(RASANTE!F64&lt;=PERALTE!$X$6,8,IF(RASANTE!F64&lt;=PERALTE!$AB$6,(10/(PERALTE!$X$6-PERALTE!$AB$6)*(RASANTE!F64-PERALTE!$AB$6)-2))))),IF(AND(AH!$H$10="Derecha",RASANTE!F64&lt;=PERALTE!$AB$8),IF(RASANTE!F64&lt;=PERALTE!$S$8,-2,IF(RASANTE!F64&lt;=PERALTE!$U$8,(-6/(PERALTE!$U$8-PERALTE!$S$8)*(RASANTE!F64-PERALTE!$S$8)-2),IF(RASANTE!F64&lt;=PERALTE!$X$8,-8,IF(RASANTE!F64&lt;=PERALTE!$Z$8,(-6/(PERALTE!$X$8-PERALTE!$Z$8)*(RASANTE!F64-PERALTE!$Z$8)-2),IF(RASANTE!F64&lt;=PERALTE!$AB$8,-2))))),IF(AND(AH!$H$10="Izquierda",RASANTE!F64&lt;=PERALTE!$AB$8),IF(RASANTE!F64&lt;=PERALTE!$Q$8,-2,IF(RASANTE!F64&lt;=PERALTE!$U$8,(10/(PERALTE!$U$8-PERALTE!$Q$8)*(RASANTE!F64-PERALTE!$Q$8)-2),IF(RASANTE!F64&lt;=PERALTE!$X$8,8,IF(RASANTE!F64&lt;=PERALTE!$AB$8,(10/(PERALTE!$X$8-PERALTE!$AB$8)*(RASANTE!F64-PERALTE!$AB$8)-2))))),IF(AND(AH!$H$12="Derecha",RASANTE!F64&lt;=PERALTE!$AB$10),IF(RASANTE!F64&lt;=PERALTE!$S$10,-2,IF(RASANTE!F64&lt;=PERALTE!$U$10,(-6/(PERALTE!$U$10-PERALTE!$S$10)*(RASANTE!F64-PERALTE!$S$10)-2),IF(RASANTE!F64&lt;=PERALTE!$X$10,-8,IF(RASANTE!F64&lt;=PERALTE!$Z$10,(-6/(PERALTE!$X$10-PERALTE!$Z$10)*(RASANTE!F64-PERALTE!$Z$10)-2),IF(RASANTE!F64&lt;=PERALTE!$AB$10,-2))))),IF(AND(AH!$H$12="Izquierda",RASANTE!F64&lt;=PERALTE!$AB$10),IF(RASANTE!F64&lt;=PERALTE!$Q$10,-2,IF(RASANTE!F64&lt;=PERALTE!$U$10,(10/(PERALTE!$U$10-PERALTE!$Q$10)*(RASANTE!F64-PERALTE!$Q$10)-2),IF(RASANTE!F64&lt;=PERALTE!$X$10,8,IF(RASANTE!F64&lt;=PERALTE!$AB$10,(10/(PERALTE!$X$10-PERALTE!$AB$10)*(RASANTE!F64-PERALTE!$AB$10)-2))))),IF(AND(AH!$H$14="Derecha",RASANTE!F64&lt;=PERALTE!$AB$12),IF(RASANTE!F64&lt;=PERALTE!$S$12,-2,IF(RASANTE!F64&lt;=PERALTE!$U$12,(-6/(PERALTE!$U$12-PERALTE!$S$12)*(RASANTE!F64-PERALTE!$S$12)-2),IF(RASANTE!F64&lt;=PERALTE!$X$12,-8,IF(RASANTE!F64&lt;=PERALTE!$Z$12,(-6/(PERALTE!$X$12-PERALTE!$Z$12)*(RASANTE!F64-PERALTE!$Z$12)-2),IF(RASANTE!F64&lt;=PERALTE!$AB$12,-2))))),IF(AND(AH!$H$14="Izquierda",RASANTE!F64&lt;=PERALTE!$AB$12),IF(RASANTE!F64&lt;=PERALTE!$Q$12,-2,IF(RASANTE!F64&lt;=PERALTE!$U$12,(10/(PERALTE!$U$12-PERALTE!$Q$12)*(RASANTE!F64-PERALTE!$Q$12)-2),IF(RASANTE!F64&lt;=PERALTE!$X$12,8,IF(RASANTE!F64&lt;=PERALTE!$AB$12,(10/(PERALTE!$X$12-PERALTE!$AB$12)*(RASANTE!F64-PERALTE!$AB$12)-2))))),IF(AND(AH!$H$16="Derecha",RASANTE!F64&lt;=PERALTE!$AB$14),IF(RASANTE!F64&lt;=PERALTE!$S$14,-2,IF(RASANTE!F64&lt;=PERALTE!$U$14,(-6/(PERALTE!$U$14-PERALTE!$S$14)*(RASANTE!F64-PERALTE!$S$14)-2),IF(RASANTE!F64&lt;=PERALTE!$X$14,-8,IF(RASANTE!F64&lt;=PERALTE!$Z$14,(-6/(PERALTE!$X$14-PERALTE!$Z$14)*(RASANTE!F64-PERALTE!$Z$14)-2),IF(RASANTE!F64&lt;=PERALTE!$AB$14,-2))))),IF(AND(AH!$H$16="Izquierda",RASANTE!F64&lt;=PERALTE!$AB$14),IF(RASANTE!F64&lt;=PERALTE!$Q$14,-2,IF(RASANTE!F64&lt;=PERALTE!$U$14,(10/(PERALTE!$U$14-PERALTE!$Q$14)*(RASANTE!F64-PERALTE!$Q$14)-2),IF(RASANTE!F64&lt;=PERALTE!$X$14,8,IF(RASANTE!F64&lt;=PERALTE!$AB$14,(10/(PERALTE!$X$14-PERALTE!$AB$14)*(RASANTE!F64-PERALTE!$AB$14)-2))))),IF(AND(AH!$H$18="Derecha",RASANTE!F64&lt;=PERALTE!$AB$16),IF(RASANTE!F64&lt;=PERALTE!$S$16,-2,IF(RASANTE!F64&lt;=PERALTE!$U$16,(-6/(PERALTE!$U$16-PERALTE!$S$16)*(RASANTE!F64-PERALTE!$S$16)-2),IF(RASANTE!F64&lt;=PERALTE!$X$16,-8,IF(RASANTE!F64&lt;=PERALTE!$Z$16,(-6/(PERALTE!$X$16-PERALTE!$Z$16)*(RASANTE!F64-PERALTE!$Z$16)-2),IF(RASANTE!F64&lt;=PERALTE!$AB$16,-2))))),IF(AND(AH!$H$18="Izquierda",RASANTE!F64&lt;=PERALTE!$AB$16),IF(RASANTE!F64&lt;=PERALTE!$Q$16,-2,IF(RASANTE!F64&lt;=PERALTE!$U$16,(10/(PERALTE!$U$16-PERALTE!$Q$16)*(RASANTE!F64-PERALTE!$Q$16)-2),IF(RASANTE!F64&lt;=PERALTE!$X$16,8,IF(RASANTE!F64&lt;=PERALTE!$AB$16,(10/(PERALTE!$X$16-PERALTE!$AB$16)*(RASANTE!F64-PERALTE!$AB$16)-2))))),IF(AND(AH!$H$20="Derecha",RASANTE!F64&lt;=PERALTE!$AB$18),IF(RASANTE!F64&lt;=PERALTE!$S$18,-2,IF(RASANTE!F64&lt;=PERALTE!$U$18,(-6/(PERALTE!$U$18-PERALTE!$S$18)*(RASANTE!F64-PERALTE!$S$18)-2),IF(RASANTE!F64&lt;=PERALTE!$X$18,-8,IF(RASANTE!F64&lt;=PERALTE!$Z$18,(-6/(PERALTE!$X$18-PERALTE!$Z$18)*(RASANTE!F64-PERALTE!$Z$18)-2),IF(RASANTE!F64&lt;=PERALTE!$AB$18,-2))))),IF(AND(AH!$H$20="Izquierda",RASANTE!F64&lt;=PERALTE!$AB$18),IF(RASANTE!F64&lt;=PERALTE!$Q$18,-2,IF(RASANTE!F64&lt;=PERALTE!$U$18,(10/(PERALTE!$U$18-PERALTE!$Q$18)*(RASANTE!F64-PERALTE!$Q$18)-2),IF(RASANTE!F64&lt;=PERALTE!$X$18,8,IF(RASANTE!F64&lt;=PERALTE!$AB$18,(10/(PERALTE!$X$18-PERALTE!$AB$18)*(RASANTE!F64-PERALTE!$AB$18)-2))))),IF(AND(AH!$H$24="Derecha",RASANTE!F64&lt;=PERALTE!$AB$22),IF(RASANTE!F64&lt;=PERALTE!$S$22,-2,IF(RASANTE!F64&lt;=PERALTE!$U$22,(-6/(PERALTE!$U$22-PERALTE!$S$22)*(RASANTE!F64-PERALTE!$S$22)-2),IF(RASANTE!F64&lt;=PERALTE!$X$22,-8,IF(RASANTE!F64&lt;=PERALTE!$Z$22,(-6/(PERALTE!$X$22-PERALTE!$Z$22)*(RASANTE!F64-PERALTE!$Z$22)-2),IF(RASANTE!F64&lt;=PERALTE!$AB$22,-2))))),IF(AND(AH!$H$24="Izquierda",RASANTE!F64&lt;=PERALTE!$AB$22),IF(RASANTE!F64&lt;=PERALTE!$Q$22,-2,IF(RASANTE!F64&lt;=PERALTE!$U$22,(10/(PERALTE!$U$22-PERALTE!$Q$22)*(RASANTE!F64-PERALTE!$Q$22)-2),IF(RASANTE!F64&lt;=PERALTE!$X$22,8,IF(RASANTE!F64&lt;=PERALTE!$AB$22,(10/(PERALTE!$X$22-PERALTE!$AB$22)*(RASANTE!F64-PERALTE!$AB$22)-2))))),IF(AND(AH!#REF!="Derecha",RASANTE!F64&lt;=PERALTE!#REF!),IF(RASANTE!F64&lt;=PERALTE!#REF!,-2,IF(RASANTE!F64&lt;=PERALTE!#REF!,(-6/(PERALTE!#REF!-PERALTE!#REF!)*(RASANTE!F64-PERALTE!#REF!)-2),IF(RASANTE!F64&lt;=PERALTE!#REF!,-8,IF(RASANTE!F64&lt;=PERALTE!#REF!,(-6/(PERALTE!#REF!-PERALTE!#REF!)*(RASANTE!F64-PERALTE!#REF!)-2),IF(RASANTE!F64&lt;=PERALTE!#REF!,-2))))),IF(AND(AH!#REF!="Izquierda",RASANTE!F64&lt;=PERALTE!#REF!),IF(RASANTE!F64&lt;=PERALTE!#REF!,-2,IF(RASANTE!F64&lt;=PERALTE!#REF!,(10/(PERALTE!#REF!-PERALTE!#REF!)*(RASANTE!F64-PERALTE!#REF!)-2),IF(RASANTE!F64&lt;=PERALTE!#REF!,8,IF(RASANTE!F64&lt;=PERALTE!#REF!,(10/(PERALTE!#REF!-PERALTE!#REF!)*(RASANTE!F64-PERALTE!#REF!)-2))))),IF(AND(AH!#REF!="Derecha",RASANTE!F64&lt;=PERALTE!$AB$26),IF(RASANTE!F64&lt;=PERALTE!$S$26,-2,IF(RASANTE!F64&lt;=PERALTE!$U$26,(-6/(PERALTE!$U$26-PERALTE!$S$26)*(RASANTE!F64-PERALTE!$S$26)-2),IF(RASANTE!F64&lt;=PERALTE!$X$26,-8,IF(RASANTE!F64&lt;=PERALTE!$Z$26,(-6/(PERALTE!$X$26-PERALTE!$Z$26)*(RASANTE!F64-PERALTE!$Z$26)-2),IF(RASANTE!F64&lt;=PERALTE!$AB$26,-2))))),IF(AND(AH!#REF!="Izquierda",RASANTE!F64&lt;=PERALTE!$AB$26),IF(RASANTE!F64&lt;=PERALTE!$Q$26,-2,IF(RASANTE!F64&lt;=PERALTE!$U$26,(10/(PERALTE!$U$26-PERALTE!$Q$26)*(RASANTE!F64-PERALTE!$Q$26)-2),IF(RASANTE!F64&lt;=PERALTE!$X$26,8,IF(RASANTE!F64&lt;=PERALTE!$AB$26,(10/(PERALTE!$X$26-PERALTE!$AB$26)*(RASANTE!F64-PERALTE!$AB$26)-2))))),IF(F64&lt;=PERALTE!#REF!,-2,"Abscisa fuera de la vía")))))))))))))))))))))</f>
        <v>-6.0208333333333597</v>
      </c>
      <c r="J64" s="28">
        <f t="shared" si="1"/>
        <v>1644.0165995399254</v>
      </c>
      <c r="K64" s="28">
        <f>+IF(AND(AV!$S$6&lt;F192,F192&lt;=AV!$T$6),AV!$P$6*((AV!$S$6-RASANTE!F192)/(AV!$N$6))^2,IF(AND(AV!$T$6&lt;RASANTE!F192,F192&lt;AV!$U$6),AV!$P$6*((AV!$U$6-RASANTE!F192)/(AV!$O$6))^2,IF(AND(AV!$S$8&lt;F192,F192&lt;=AV!$T$8),AV!$P$8*((AV!$S$8-RASANTE!F192)/(AV!$N$8))^2,IF(AND(AV!$T$8&lt;RASANTE!F192,F192&lt;AV!$U$8),AV!$P$8*((AV!$U$8-RASANTE!F192)/(AV!$O$8))^2,IF(AND(AV!$S$10&lt;F192,F192&lt;=AV!$T$10),AV!$P$10*((AV!$S$10-RASANTE!F192)/(AV!$N$10))^2,IF(AND(AV!$T$10&lt;RASANTE!F192,F192&lt;AV!$U$10),AV!$P$10*((AV!$U$10-RASANTE!F192)/(AV!$O$10))^2,IF(AND(AV!$S$12&lt;F192,F192&lt;=AV!$T$12),AV!$P$12*((AV!$S$12-RASANTE!F192)/(AV!$N$12))^2,IF(AND(AV!$T$12&lt;RASANTE!F192,F192&lt;AV!$U$12),AV!$P$12*((AV!$U$12-RASANTE!F192)/(AV!$O$12))^2,IF(AND(AV!$S$14&lt;F192,F192&lt;=AV!$T$14),AV!$P$14*((AV!$S$14-RASANTE!F192)/(AV!$N$14))^2,IF(AND(AV!$T$14&lt;RASANTE!F192,F192&lt;AV!$U$14),AV!$P$14*((AV!$U$14-RASANTE!F192)/(AV!$O$14))^2,IF(AND(AV!$S$16&lt;F192,F192&lt;=AV!$T$16),AV!$P$16*((AV!$S$16-RASANTE!F192)/(AV!$N$16))^2,IF(AND(AV!$T$16&lt;RASANTE!F192,F192&lt;AV!$U$16),AV!$P$16*((AV!$U$16-RASANTE!F192)/(AV!$O$16))^2,IF(AND(AV!$S$18&lt;F192,F192&lt;=AV!$T$18),AV!$P$18*((AV!$S$18-RASANTE!F192)/(AV!$N$18))^2,IF(AND(AV!$T$18&lt;RASANTE!F192,F192&lt;AV!$U$18),AV!$P$18*((AV!$U$18-RASANTE!F192)/(AV!$O$18))^2,IF(AND(AV!$S$20&lt;F192,F192&lt;=AV!$T$20),AV!$P$20*((AV!$S$20-RASANTE!F192)/(AV!$N$20))^2,IF(AND(AV!$T$20&lt;RASANTE!F192,F192&lt;AV!$U$20),AV!$P$20*((AV!$U$20-RASANTE!F192)/(AV!$O$20))^2,IF(AND(AV!$S$22&lt;F192,F192&lt;=AV!$T$22),AV!$P$22*((AV!$S$22-RASANTE!F192)/(AV!$N$22))^2,IF(AND(AV!$T$22&lt;RASANTE!F192,F192&lt;AV!$U$22),AV!$P$22*((AV!$U$22-RASANTE!F192)/(AV!$O$22))^2,IF(AND(AV!$S$24&lt;F192,F192&lt;=AV!$T$24),AV!$P$24*((AV!$S$24-RASANTE!F192)/(AV!$N$24))^2,IF(AND(AV!$T$24&lt;RASANTE!F192,F192&lt;AV!$U$24),AV!$P$24*((AV!$U$24-RASANTE!F192)/(AV!$O$24))^2,0))))))))))))))))))))</f>
        <v>0</v>
      </c>
      <c r="L64" s="28">
        <f>+M64+H64%*PERALTE!$C$32</f>
        <v>1644.2273287065921</v>
      </c>
      <c r="M64" s="28">
        <f t="shared" si="3"/>
        <v>1644.0165995399254</v>
      </c>
      <c r="N64" s="28">
        <f>+M64+I64%*PERALTE!$C$32</f>
        <v>1643.8058703732588</v>
      </c>
      <c r="O64" s="92"/>
      <c r="P64" s="84"/>
      <c r="Q64" s="84"/>
      <c r="R64" s="84"/>
      <c r="S64" s="84"/>
      <c r="T64" s="84"/>
      <c r="U64" s="84"/>
      <c r="V64" s="84"/>
      <c r="W64" s="84"/>
      <c r="X64" s="84"/>
      <c r="Y64" s="84"/>
    </row>
    <row r="65" spans="1:25" ht="15.75" customHeight="1" x14ac:dyDescent="0.2">
      <c r="A65" s="90"/>
      <c r="B65" s="143">
        <f>AH!R10</f>
        <v>0.14583333333333334</v>
      </c>
      <c r="C65" s="144">
        <f>AH!V10</f>
        <v>130.206938710076</v>
      </c>
      <c r="D65" s="145">
        <f>PERALTE!N8</f>
        <v>36.36363636363636</v>
      </c>
      <c r="F65" s="34">
        <v>410</v>
      </c>
      <c r="G65" s="88">
        <f>IF(F65&lt;=AV!$T$6,AV!$C$5,IF(RASANTE!F65&lt;=AV!$T$8,AV!$C$7,IF(RASANTE!F65&lt;=AV!$T$10,AV!$C$9,IF(RASANTE!F65&lt;=AV!$T$12,AV!#REF!,IF(RASANTE!F65&lt;=AV!$T$14,AV!$C$11,IF(RASANTE!F65&lt;=AV!$T$16,AV!$C$13, IF(RASANTE!F65&lt;=AV!$T$18,AV!$C$15,IF(RASANTE!F65&lt;=AV!$T$20,AV!$C$19,IF(RASANTE!F65&lt;=AV!$T$22,AV!$C$21,IF(RASANTE!F65&lt;=AV!$T$24,AV!$C$23,AV!$C$25))))))))))</f>
        <v>-7.774</v>
      </c>
      <c r="H65" s="28">
        <f>+IF(AND(AH!$H$8="Izquierda",RASANTE!F65&lt;=PERALTE!$AB$6),IF(RASANTE!F65&lt;=PERALTE!$S$6,-2,IF(RASANTE!F65&lt;=PERALTE!$U$6,(-6/(PERALTE!$U$6-PERALTE!$S$6)*(RASANTE!F65-PERALTE!$S$6)-2),IF(RASANTE!F65&lt;=PERALTE!$X$6,-8,IF(RASANTE!F65&lt;=PERALTE!$Z$6,(-6/(PERALTE!$X$6-PERALTE!$Z$6)*(RASANTE!F65-PERALTE!$Z$6)-2),IF(RASANTE!F65&lt;=PERALTE!$AB$6,-2))))),IF(AND(AH!$H$8="Derecha",RASANTE!F65&lt;=PERALTE!$AB$6),IF(RASANTE!F65&lt;=PERALTE!$Q$6,-2,IF(RASANTE!F65&lt;=PERALTE!$U$6,(10/(PERALTE!$U$6-PERALTE!$Q$6)*(RASANTE!F65-PERALTE!$Q$6)-2),IF(RASANTE!F65&lt;=PERALTE!$X$6,8,IF(RASANTE!F65&lt;=PERALTE!$AB$6,(10/(PERALTE!$X$6-PERALTE!$AB$6)*(RASANTE!F65-PERALTE!$AB$6)-2))))),IF(AND(AH!$H$10="Izquierda",RASANTE!F65&lt;=PERALTE!$AB$8),IF(RASANTE!F65&lt;=PERALTE!$S$8,-2,IF(RASANTE!F65&lt;=PERALTE!$U$8,(-6/(PERALTE!$U$8-PERALTE!$S$8)*(RASANTE!F65-PERALTE!$S$8)-2),IF(RASANTE!F65&lt;=PERALTE!$X$8,-8,IF(RASANTE!F65&lt;=PERALTE!$Z$8,(-6/(PERALTE!$X$8-PERALTE!$Z$8)*(RASANTE!F65-PERALTE!$Z$8)-2),IF(RASANTE!F65&lt;=PERALTE!$AB$8,-2))))),IF(AND(AH!$H$10="Derecha",RASANTE!F65&lt;=PERALTE!$AB$8),IF(RASANTE!F65&lt;=PERALTE!$Q$8,-2,IF(RASANTE!F65&lt;=PERALTE!$U$8,(10/(PERALTE!$U$8-PERALTE!$Q$8)*(RASANTE!F65-PERALTE!$Q$8)-2),IF(RASANTE!F65&lt;=PERALTE!$X$8,8,IF(RASANTE!F65&lt;=PERALTE!$AB$8,(10/(PERALTE!$X$8-PERALTE!$AB$8)*(RASANTE!F65-PERALTE!$AB$8)-2))))),IF(AND(AH!$H$12="Izquierda",RASANTE!F65&lt;=PERALTE!$AB$10),IF(RASANTE!F65&lt;=PERALTE!$S$10,-2,IF(RASANTE!F65&lt;=PERALTE!$U$10,(-6/(PERALTE!$U$10-PERALTE!$S$10)*(RASANTE!F65-PERALTE!$S$10)-2),IF(RASANTE!F65&lt;=PERALTE!$X$10,-8,IF(RASANTE!F65&lt;=PERALTE!$Z$10,(-6/(PERALTE!$X$10-PERALTE!$Z$10)*(RASANTE!F65-PERALTE!$Z$10)-2),IF(RASANTE!F65&lt;=PERALTE!$AB$10,-2))))),IF(AND(AH!$H$12="Derecha",RASANTE!F65&lt;=PERALTE!$AB$10),IF(RASANTE!F65&lt;=PERALTE!$Q$10,-2,IF(RASANTE!F65&lt;=PERALTE!$U$10,(10/(PERALTE!$U$10-PERALTE!$Q$10)*(RASANTE!F65-PERALTE!$Q$10)-2),IF(RASANTE!F65&lt;=PERALTE!$X$10,8,IF(RASANTE!F65&lt;=PERALTE!$AB$10,(10/(PERALTE!$X$10-PERALTE!$AB$10)*(RASANTE!F65-PERALTE!$AB$10)-2))))),IF(AND(AH!$H$14="Izquierda",RASANTE!F65&lt;=PERALTE!$AB$12),IF(RASANTE!F65&lt;=PERALTE!$S$12,-2,IF(RASANTE!F65&lt;=PERALTE!$U$12,(-6/(PERALTE!$U$12-PERALTE!$S$12)*(RASANTE!F65-PERALTE!$S$12)-2),IF(RASANTE!F65&lt;=PERALTE!$X$12,-8,IF(RASANTE!F65&lt;=PERALTE!$Z$12,(-6/(PERALTE!$X$12-PERALTE!$Z$12)*(RASANTE!F65-PERALTE!$Z$12)-2),IF(RASANTE!F65&lt;=PERALTE!$AB$12,-2))))),IF(AND(AH!$H$14="Derecha",RASANTE!F65&lt;=PERALTE!$AB$12),IF(RASANTE!F65&lt;=PERALTE!$Q$12,-2,IF(RASANTE!F65&lt;=PERALTE!$U$12,(10/(PERALTE!$U$12-PERALTE!$Q$12)*(RASANTE!F65-PERALTE!$Q$12)-2),IF(RASANTE!F65&lt;=PERALTE!$X$12,8,IF(RASANTE!F65&lt;=PERALTE!$AB$12,(10/(PERALTE!$X$12-PERALTE!$AB$12)*(RASANTE!F65-PERALTE!$AB$12)-2))))),IF(AND(AH!$H$16="Izquierda",RASANTE!F65&lt;=PERALTE!$AB$14),IF(RASANTE!F65&lt;=PERALTE!$S$14,-2,IF(RASANTE!F65&lt;=PERALTE!$U$14,(-6/(PERALTE!$U$14-PERALTE!$S$14)*(RASANTE!F65-PERALTE!$S$14)-2),IF(RASANTE!F65&lt;=PERALTE!$X$14,-8,IF(RASANTE!F65&lt;=PERALTE!$Z$14,(-6/(PERALTE!$X$14-PERALTE!$Z$14)*(RASANTE!F65-PERALTE!$Z$14)-2),IF(RASANTE!F65&lt;=PERALTE!$AB$14,-2))))),IF(AND(AH!$H$16="Derecha",RASANTE!F65&lt;=PERALTE!$AB$14),IF(RASANTE!F65&lt;=PERALTE!$Q$14,-2,IF(RASANTE!F65&lt;=PERALTE!$U$14,(10/(PERALTE!$U$14-PERALTE!$Q$14)*(RASANTE!F65-PERALTE!$Q$14)-2),IF(RASANTE!F65&lt;=PERALTE!$X$14,8,IF(RASANTE!F65&lt;=PERALTE!$AB$14,(10/(PERALTE!$X$14-PERALTE!$AB$14)*(RASANTE!F65-PERALTE!$AB$14)-2))))),IF(AND(AH!$H$18="Izquierda",RASANTE!F65&lt;=PERALTE!$AB$16),IF(RASANTE!F65&lt;=PERALTE!$S$16,-2,IF(RASANTE!F65&lt;=PERALTE!$U$16,(-6/(PERALTE!$U$16-PERALTE!$S$16)*(RASANTE!F65-PERALTE!$S$16)-2),IF(RASANTE!F65&lt;=PERALTE!$X$16,-8,IF(RASANTE!F65&lt;=PERALTE!$Z$16,(-6/(PERALTE!$X$16-PERALTE!$Z$16)*(RASANTE!F65-PERALTE!$Z$16)-2),IF(RASANTE!F65&lt;=PERALTE!$AB$16,-2))))),IF(AND(AH!$H$18="Derecha",RASANTE!F65&lt;=PERALTE!$AB$16),IF(RASANTE!F65&lt;=PERALTE!$Q$16,-2,IF(RASANTE!F65&lt;=PERALTE!$U$16,(10/(PERALTE!$U$16-PERALTE!$Q$16)*(RASANTE!F65-PERALTE!$Q$16)-2),IF(RASANTE!F65&lt;=PERALTE!$X$16,8,IF(RASANTE!F65&lt;=PERALTE!$AB$16,(10/(PERALTE!$X$16-PERALTE!$AB$16)*(RASANTE!F65-PERALTE!$AB$16)-2))))),IF(AND(AH!$H$20="Izquierda",RASANTE!F65&lt;=PERALTE!$AB$18),IF(RASANTE!F65&lt;=PERALTE!$S$18,-2,IF(RASANTE!F65&lt;=PERALTE!$U$18,(-6/(PERALTE!$U$18-PERALTE!$S$18)*(RASANTE!F65-PERALTE!$S$18)-2),IF(RASANTE!F65&lt;=PERALTE!$X$18,-8,IF(RASANTE!F65&lt;=PERALTE!$Z$18,(-6/(PERALTE!$X$18-PERALTE!$Z$18)*(RASANTE!F65-PERALTE!$Z$18)-2),IF(RASANTE!F65&lt;=PERALTE!$AB$18,-2))))),IF(AND(AH!$H$20="Derecha",RASANTE!F65&lt;=PERALTE!$AB$18),IF(RASANTE!F65&lt;=PERALTE!$Q$18,-2,IF(RASANTE!F65&lt;=PERALTE!$U$18,(10/(PERALTE!$U$18-PERALTE!$Q$18)*(RASANTE!F65-PERALTE!$Q$18)-2),IF(RASANTE!F65&lt;=PERALTE!$X$18,8,IF(RASANTE!F65&lt;=PERALTE!$AB$18,(10/(PERALTE!$X$18-PERALTE!$AB$18)*(RASANTE!F65-PERALTE!$AB$18)-2))))),IF(AND(AH!$H$24="Izquierda",RASANTE!F65&lt;=PERALTE!$AB$22),IF(RASANTE!F65&lt;=PERALTE!$S$22,-2,IF(RASANTE!F65&lt;=PERALTE!$U$22,(-6/(PERALTE!$U$22-PERALTE!$S$22)*(RASANTE!F65-PERALTE!$S$22)-2),IF(RASANTE!F65&lt;=PERALTE!$X$22,-8,IF(RASANTE!F65&lt;=PERALTE!$Z$22,(-6/(PERALTE!$X$22-PERALTE!$Z$22)*(RASANTE!F65-PERALTE!$Z$22)-2),IF(RASANTE!F65&lt;=PERALTE!$AB$22,-2))))),IF(AND(AH!$H$24="Derecha",RASANTE!F65&lt;=PERALTE!$AB$22),IF(RASANTE!F65&lt;=PERALTE!$Q$22,-2,IF(RASANTE!F65&lt;=PERALTE!$U$22,(10/(PERALTE!$U$22-PERALTE!$Q$22)*(RASANTE!F65-PERALTE!$Q$22)-2),IF(RASANTE!F65&lt;=PERALTE!$X$22,8,IF(RASANTE!F65&lt;=PERALTE!$AB$22,(10/(PERALTE!$X$22-PERALTE!$AB$22)*(RASANTE!F65-PERALTE!$AB$22)-2))))),IF(AND(AH!#REF!="Izquierda",RASANTE!F65&lt;=PERALTE!#REF!),IF(RASANTE!F65&lt;=PERALTE!#REF!,-2,IF(RASANTE!F65&lt;=PERALTE!#REF!,(-6/(PERALTE!#REF!-PERALTE!#REF!)*(RASANTE!F65-PERALTE!#REF!)-2),IF(RASANTE!F65&lt;=PERALTE!#REF!,-8,IF(RASANTE!F65&lt;=PERALTE!#REF!,(-6/(PERALTE!#REF!-PERALTE!#REF!)*(RASANTE!F65-PERALTE!#REF!)-2),IF(RASANTE!F65&lt;=PERALTE!#REF!,-2))))),IF(AND(AH!#REF!="Derecha",RASANTE!F65&lt;=PERALTE!#REF!),IF(RASANTE!F65&lt;=PERALTE!#REF!,-2,IF(RASANTE!F65&lt;=PERALTE!#REF!,(10/(PERALTE!#REF!-PERALTE!#REF!)*(RASANTE!F65-PERALTE!#REF!)-2),IF(RASANTE!F65&lt;=PERALTE!#REF!,8,IF(RASANTE!F65&lt;=PERALTE!#REF!,(10/(PERALTE!#REF!-PERALTE!#REF!)*(RASANTE!F65-PERALTE!#REF!)-2))))),IF(AND(AH!#REF!="Izquierda",RASANTE!F65&lt;=PERALTE!$AB$26),IF(RASANTE!F65&lt;=PERALTE!$S$26,-2,IF(RASANTE!F65&lt;=PERALTE!$U$26,(-6/(PERALTE!$U$26-PERALTE!$S$26)*(RASANTE!F65-PERALTE!$S$26)-2),IF(RASANTE!F65&lt;=PERALTE!$X$26,-8,IF(RASANTE!F65&lt;=PERALTE!$Z$26,(-6/(PERALTE!$X$26-PERALTE!$Z$26)*(RASANTE!F65-PERALTE!$Z$26)-2),IF(RASANTE!F65&lt;=PERALTE!$AB$26,-2))))),IF(AND(AH!#REF!="Derecha",RASANTE!F65&lt;=PERALTE!$AB$26),IF(RASANTE!F65&lt;=PERALTE!$Q$26,-2,IF(RASANTE!F65&lt;=PERALTE!$U$26,(10/(PERALTE!$U$26-PERALTE!$Q$26)*(RASANTE!F65-PERALTE!$Q$26)-2),IF(RASANTE!F65&lt;=PERALTE!$X$26,8,IF(RASANTE!F65&lt;=PERALTE!$AB$26,(10/(PERALTE!$X$26-PERALTE!$AB$26)*(RASANTE!F65-PERALTE!$AB$26)-2))))),IF(F65&lt;=PERALTE!#REF!,-2,"Abscisa fuera de la vía")))))))))))))))))))))</f>
        <v>6.6819074108152261</v>
      </c>
      <c r="I65" s="28">
        <f>+IF(AND(AH!$H$8="Derecha",RASANTE!F65&lt;=PERALTE!$AB$6),IF(RASANTE!F65&lt;=PERALTE!$S$6,-2,IF(RASANTE!F65&lt;=PERALTE!$U$6,(-6/(PERALTE!$U$6-PERALTE!$S$6)*(RASANTE!F65-PERALTE!$S$6)-2),IF(RASANTE!F65&lt;=PERALTE!$X$6,-8,IF(RASANTE!F65&lt;=PERALTE!$Z$6,(-6/(PERALTE!$X$6-PERALTE!$Z$6)*(RASANTE!F65-PERALTE!$Z$6)-2),IF(RASANTE!F65&lt;=PERALTE!$AB$6,-2))))),IF(AND(AH!$H$8="Izquierda",RASANTE!F65&lt;=PERALTE!$AB$6),IF(RASANTE!F65&lt;=PERALTE!$Q$6,-2,IF(RASANTE!F65&lt;=PERALTE!$U$6,(10/(PERALTE!$U$6-PERALTE!$Q$6)*(RASANTE!F65-PERALTE!$Q$6)-2),IF(RASANTE!F65&lt;=PERALTE!$X$6,8,IF(RASANTE!F65&lt;=PERALTE!$AB$6,(10/(PERALTE!$X$6-PERALTE!$AB$6)*(RASANTE!F65-PERALTE!$AB$6)-2))))),IF(AND(AH!$H$10="Derecha",RASANTE!F65&lt;=PERALTE!$AB$8),IF(RASANTE!F65&lt;=PERALTE!$S$8,-2,IF(RASANTE!F65&lt;=PERALTE!$U$8,(-6/(PERALTE!$U$8-PERALTE!$S$8)*(RASANTE!F65-PERALTE!$S$8)-2),IF(RASANTE!F65&lt;=PERALTE!$X$8,-8,IF(RASANTE!F65&lt;=PERALTE!$Z$8,(-6/(PERALTE!$X$8-PERALTE!$Z$8)*(RASANTE!F65-PERALTE!$Z$8)-2),IF(RASANTE!F65&lt;=PERALTE!$AB$8,-2))))),IF(AND(AH!$H$10="Izquierda",RASANTE!F65&lt;=PERALTE!$AB$8),IF(RASANTE!F65&lt;=PERALTE!$Q$8,-2,IF(RASANTE!F65&lt;=PERALTE!$U$8,(10/(PERALTE!$U$8-PERALTE!$Q$8)*(RASANTE!F65-PERALTE!$Q$8)-2),IF(RASANTE!F65&lt;=PERALTE!$X$8,8,IF(RASANTE!F65&lt;=PERALTE!$AB$8,(10/(PERALTE!$X$8-PERALTE!$AB$8)*(RASANTE!F65-PERALTE!$AB$8)-2))))),IF(AND(AH!$H$12="Derecha",RASANTE!F65&lt;=PERALTE!$AB$10),IF(RASANTE!F65&lt;=PERALTE!$S$10,-2,IF(RASANTE!F65&lt;=PERALTE!$U$10,(-6/(PERALTE!$U$10-PERALTE!$S$10)*(RASANTE!F65-PERALTE!$S$10)-2),IF(RASANTE!F65&lt;=PERALTE!$X$10,-8,IF(RASANTE!F65&lt;=PERALTE!$Z$10,(-6/(PERALTE!$X$10-PERALTE!$Z$10)*(RASANTE!F65-PERALTE!$Z$10)-2),IF(RASANTE!F65&lt;=PERALTE!$AB$10,-2))))),IF(AND(AH!$H$12="Izquierda",RASANTE!F65&lt;=PERALTE!$AB$10),IF(RASANTE!F65&lt;=PERALTE!$Q$10,-2,IF(RASANTE!F65&lt;=PERALTE!$U$10,(10/(PERALTE!$U$10-PERALTE!$Q$10)*(RASANTE!F65-PERALTE!$Q$10)-2),IF(RASANTE!F65&lt;=PERALTE!$X$10,8,IF(RASANTE!F65&lt;=PERALTE!$AB$10,(10/(PERALTE!$X$10-PERALTE!$AB$10)*(RASANTE!F65-PERALTE!$AB$10)-2))))),IF(AND(AH!$H$14="Derecha",RASANTE!F65&lt;=PERALTE!$AB$12),IF(RASANTE!F65&lt;=PERALTE!$S$12,-2,IF(RASANTE!F65&lt;=PERALTE!$U$12,(-6/(PERALTE!$U$12-PERALTE!$S$12)*(RASANTE!F65-PERALTE!$S$12)-2),IF(RASANTE!F65&lt;=PERALTE!$X$12,-8,IF(RASANTE!F65&lt;=PERALTE!$Z$12,(-6/(PERALTE!$X$12-PERALTE!$Z$12)*(RASANTE!F65-PERALTE!$Z$12)-2),IF(RASANTE!F65&lt;=PERALTE!$AB$12,-2))))),IF(AND(AH!$H$14="Izquierda",RASANTE!F65&lt;=PERALTE!$AB$12),IF(RASANTE!F65&lt;=PERALTE!$Q$12,-2,IF(RASANTE!F65&lt;=PERALTE!$U$12,(10/(PERALTE!$U$12-PERALTE!$Q$12)*(RASANTE!F65-PERALTE!$Q$12)-2),IF(RASANTE!F65&lt;=PERALTE!$X$12,8,IF(RASANTE!F65&lt;=PERALTE!$AB$12,(10/(PERALTE!$X$12-PERALTE!$AB$12)*(RASANTE!F65-PERALTE!$AB$12)-2))))),IF(AND(AH!$H$16="Derecha",RASANTE!F65&lt;=PERALTE!$AB$14),IF(RASANTE!F65&lt;=PERALTE!$S$14,-2,IF(RASANTE!F65&lt;=PERALTE!$U$14,(-6/(PERALTE!$U$14-PERALTE!$S$14)*(RASANTE!F65-PERALTE!$S$14)-2),IF(RASANTE!F65&lt;=PERALTE!$X$14,-8,IF(RASANTE!F65&lt;=PERALTE!$Z$14,(-6/(PERALTE!$X$14-PERALTE!$Z$14)*(RASANTE!F65-PERALTE!$Z$14)-2),IF(RASANTE!F65&lt;=PERALTE!$AB$14,-2))))),IF(AND(AH!$H$16="Izquierda",RASANTE!F65&lt;=PERALTE!$AB$14),IF(RASANTE!F65&lt;=PERALTE!$Q$14,-2,IF(RASANTE!F65&lt;=PERALTE!$U$14,(10/(PERALTE!$U$14-PERALTE!$Q$14)*(RASANTE!F65-PERALTE!$Q$14)-2),IF(RASANTE!F65&lt;=PERALTE!$X$14,8,IF(RASANTE!F65&lt;=PERALTE!$AB$14,(10/(PERALTE!$X$14-PERALTE!$AB$14)*(RASANTE!F65-PERALTE!$AB$14)-2))))),IF(AND(AH!$H$18="Derecha",RASANTE!F65&lt;=PERALTE!$AB$16),IF(RASANTE!F65&lt;=PERALTE!$S$16,-2,IF(RASANTE!F65&lt;=PERALTE!$U$16,(-6/(PERALTE!$U$16-PERALTE!$S$16)*(RASANTE!F65-PERALTE!$S$16)-2),IF(RASANTE!F65&lt;=PERALTE!$X$16,-8,IF(RASANTE!F65&lt;=PERALTE!$Z$16,(-6/(PERALTE!$X$16-PERALTE!$Z$16)*(RASANTE!F65-PERALTE!$Z$16)-2),IF(RASANTE!F65&lt;=PERALTE!$AB$16,-2))))),IF(AND(AH!$H$18="Izquierda",RASANTE!F65&lt;=PERALTE!$AB$16),IF(RASANTE!F65&lt;=PERALTE!$Q$16,-2,IF(RASANTE!F65&lt;=PERALTE!$U$16,(10/(PERALTE!$U$16-PERALTE!$Q$16)*(RASANTE!F65-PERALTE!$Q$16)-2),IF(RASANTE!F65&lt;=PERALTE!$X$16,8,IF(RASANTE!F65&lt;=PERALTE!$AB$16,(10/(PERALTE!$X$16-PERALTE!$AB$16)*(RASANTE!F65-PERALTE!$AB$16)-2))))),IF(AND(AH!$H$20="Derecha",RASANTE!F65&lt;=PERALTE!$AB$18),IF(RASANTE!F65&lt;=PERALTE!$S$18,-2,IF(RASANTE!F65&lt;=PERALTE!$U$18,(-6/(PERALTE!$U$18-PERALTE!$S$18)*(RASANTE!F65-PERALTE!$S$18)-2),IF(RASANTE!F65&lt;=PERALTE!$X$18,-8,IF(RASANTE!F65&lt;=PERALTE!$Z$18,(-6/(PERALTE!$X$18-PERALTE!$Z$18)*(RASANTE!F65-PERALTE!$Z$18)-2),IF(RASANTE!F65&lt;=PERALTE!$AB$18,-2))))),IF(AND(AH!$H$20="Izquierda",RASANTE!F65&lt;=PERALTE!$AB$18),IF(RASANTE!F65&lt;=PERALTE!$Q$18,-2,IF(RASANTE!F65&lt;=PERALTE!$U$18,(10/(PERALTE!$U$18-PERALTE!$Q$18)*(RASANTE!F65-PERALTE!$Q$18)-2),IF(RASANTE!F65&lt;=PERALTE!$X$18,8,IF(RASANTE!F65&lt;=PERALTE!$AB$18,(10/(PERALTE!$X$18-PERALTE!$AB$18)*(RASANTE!F65-PERALTE!$AB$18)-2))))),IF(AND(AH!$H$24="Derecha",RASANTE!F65&lt;=PERALTE!$AB$22),IF(RASANTE!F65&lt;=PERALTE!$S$22,-2,IF(RASANTE!F65&lt;=PERALTE!$U$22,(-6/(PERALTE!$U$22-PERALTE!$S$22)*(RASANTE!F65-PERALTE!$S$22)-2),IF(RASANTE!F65&lt;=PERALTE!$X$22,-8,IF(RASANTE!F65&lt;=PERALTE!$Z$22,(-6/(PERALTE!$X$22-PERALTE!$Z$22)*(RASANTE!F65-PERALTE!$Z$22)-2),IF(RASANTE!F65&lt;=PERALTE!$AB$22,-2))))),IF(AND(AH!$H$24="Izquierda",RASANTE!F65&lt;=PERALTE!$AB$22),IF(RASANTE!F65&lt;=PERALTE!$Q$22,-2,IF(RASANTE!F65&lt;=PERALTE!$U$22,(10/(PERALTE!$U$22-PERALTE!$Q$22)*(RASANTE!F65-PERALTE!$Q$22)-2),IF(RASANTE!F65&lt;=PERALTE!$X$22,8,IF(RASANTE!F65&lt;=PERALTE!$AB$22,(10/(PERALTE!$X$22-PERALTE!$AB$22)*(RASANTE!F65-PERALTE!$AB$22)-2))))),IF(AND(AH!#REF!="Derecha",RASANTE!F65&lt;=PERALTE!#REF!),IF(RASANTE!F65&lt;=PERALTE!#REF!,-2,IF(RASANTE!F65&lt;=PERALTE!#REF!,(-6/(PERALTE!#REF!-PERALTE!#REF!)*(RASANTE!F65-PERALTE!#REF!)-2),IF(RASANTE!F65&lt;=PERALTE!#REF!,-8,IF(RASANTE!F65&lt;=PERALTE!#REF!,(-6/(PERALTE!#REF!-PERALTE!#REF!)*(RASANTE!F65-PERALTE!#REF!)-2),IF(RASANTE!F65&lt;=PERALTE!#REF!,-2))))),IF(AND(AH!#REF!="Izquierda",RASANTE!F65&lt;=PERALTE!#REF!),IF(RASANTE!F65&lt;=PERALTE!#REF!,-2,IF(RASANTE!F65&lt;=PERALTE!#REF!,(10/(PERALTE!#REF!-PERALTE!#REF!)*(RASANTE!F65-PERALTE!#REF!)-2),IF(RASANTE!F65&lt;=PERALTE!#REF!,8,IF(RASANTE!F65&lt;=PERALTE!#REF!,(10/(PERALTE!#REF!-PERALTE!#REF!)*(RASANTE!F65-PERALTE!#REF!)-2))))),IF(AND(AH!#REF!="Derecha",RASANTE!F65&lt;=PERALTE!$AB$26),IF(RASANTE!F65&lt;=PERALTE!$S$26,-2,IF(RASANTE!F65&lt;=PERALTE!$U$26,(-6/(PERALTE!$U$26-PERALTE!$S$26)*(RASANTE!F65-PERALTE!$S$26)-2),IF(RASANTE!F65&lt;=PERALTE!$X$26,-8,IF(RASANTE!F65&lt;=PERALTE!$Z$26,(-6/(PERALTE!$X$26-PERALTE!$Z$26)*(RASANTE!F65-PERALTE!$Z$26)-2),IF(RASANTE!F65&lt;=PERALTE!$AB$26,-2))))),IF(AND(AH!#REF!="Izquierda",RASANTE!F65&lt;=PERALTE!$AB$26),IF(RASANTE!F65&lt;=PERALTE!$Q$26,-2,IF(RASANTE!F65&lt;=PERALTE!$U$26,(10/(PERALTE!$U$26-PERALTE!$Q$26)*(RASANTE!F65-PERALTE!$Q$26)-2),IF(RASANTE!F65&lt;=PERALTE!$X$26,8,IF(RASANTE!F65&lt;=PERALTE!$AB$26,(10/(PERALTE!$X$26-PERALTE!$AB$26)*(RASANTE!F65-PERALTE!$AB$26)-2))))),IF(F65&lt;=PERALTE!#REF!,-2,"Abscisa fuera de la vía")))))))))))))))))))))</f>
        <v>-6.681907410815227</v>
      </c>
      <c r="J65" s="28">
        <f t="shared" si="1"/>
        <v>1643.7830000000008</v>
      </c>
      <c r="K65" s="28">
        <f>+IF(AND(AV!$S$6&lt;F193,F193&lt;=AV!$T$6),AV!$P$6*((AV!$S$6-RASANTE!F193)/(AV!$N$6))^2,IF(AND(AV!$T$6&lt;RASANTE!F193,F193&lt;AV!$U$6),AV!$P$6*((AV!$U$6-RASANTE!F193)/(AV!$O$6))^2,IF(AND(AV!$S$8&lt;F193,F193&lt;=AV!$T$8),AV!$P$8*((AV!$S$8-RASANTE!F193)/(AV!$N$8))^2,IF(AND(AV!$T$8&lt;RASANTE!F193,F193&lt;AV!$U$8),AV!$P$8*((AV!$U$8-RASANTE!F193)/(AV!$O$8))^2,IF(AND(AV!$S$10&lt;F193,F193&lt;=AV!$T$10),AV!$P$10*((AV!$S$10-RASANTE!F193)/(AV!$N$10))^2,IF(AND(AV!$T$10&lt;RASANTE!F193,F193&lt;AV!$U$10),AV!$P$10*((AV!$U$10-RASANTE!F193)/(AV!$O$10))^2,IF(AND(AV!$S$12&lt;F193,F193&lt;=AV!$T$12),AV!$P$12*((AV!$S$12-RASANTE!F193)/(AV!$N$12))^2,IF(AND(AV!$T$12&lt;RASANTE!F193,F193&lt;AV!$U$12),AV!$P$12*((AV!$U$12-RASANTE!F193)/(AV!$O$12))^2,IF(AND(AV!$S$14&lt;F193,F193&lt;=AV!$T$14),AV!$P$14*((AV!$S$14-RASANTE!F193)/(AV!$N$14))^2,IF(AND(AV!$T$14&lt;RASANTE!F193,F193&lt;AV!$U$14),AV!$P$14*((AV!$U$14-RASANTE!F193)/(AV!$O$14))^2,IF(AND(AV!$S$16&lt;F193,F193&lt;=AV!$T$16),AV!$P$16*((AV!$S$16-RASANTE!F193)/(AV!$N$16))^2,IF(AND(AV!$T$16&lt;RASANTE!F193,F193&lt;AV!$U$16),AV!$P$16*((AV!$U$16-RASANTE!F193)/(AV!$O$16))^2,IF(AND(AV!$S$18&lt;F193,F193&lt;=AV!$T$18),AV!$P$18*((AV!$S$18-RASANTE!F193)/(AV!$N$18))^2,IF(AND(AV!$T$18&lt;RASANTE!F193,F193&lt;AV!$U$18),AV!$P$18*((AV!$U$18-RASANTE!F193)/(AV!$O$18))^2,IF(AND(AV!$S$20&lt;F193,F193&lt;=AV!$T$20),AV!$P$20*((AV!$S$20-RASANTE!F193)/(AV!$N$20))^2,IF(AND(AV!$T$20&lt;RASANTE!F193,F193&lt;AV!$U$20),AV!$P$20*((AV!$U$20-RASANTE!F193)/(AV!$O$20))^2,IF(AND(AV!$S$22&lt;F193,F193&lt;=AV!$T$22),AV!$P$22*((AV!$S$22-RASANTE!F193)/(AV!$N$22))^2,IF(AND(AV!$T$22&lt;RASANTE!F193,F193&lt;AV!$U$22),AV!$P$22*((AV!$U$22-RASANTE!F193)/(AV!$O$22))^2,IF(AND(AV!$S$24&lt;F193,F193&lt;=AV!$T$24),AV!$P$24*((AV!$S$24-RASANTE!F193)/(AV!$N$24))^2,IF(AND(AV!$T$24&lt;RASANTE!F193,F193&lt;AV!$U$24),AV!$P$24*((AV!$U$24-RASANTE!F193)/(AV!$O$24))^2,0))))))))))))))))))))</f>
        <v>0</v>
      </c>
      <c r="L65" s="28">
        <f>+M65+H65%*PERALTE!$C$32</f>
        <v>1644.0168667593794</v>
      </c>
      <c r="M65" s="28">
        <f t="shared" si="3"/>
        <v>1643.7830000000008</v>
      </c>
      <c r="N65" s="28">
        <f>+M65+I65%*PERALTE!$C$32</f>
        <v>1643.5491332406223</v>
      </c>
      <c r="O65" s="92"/>
      <c r="P65" s="84"/>
      <c r="Q65" s="84"/>
      <c r="R65" s="84"/>
      <c r="S65" s="84"/>
      <c r="T65" s="84"/>
      <c r="U65" s="84"/>
      <c r="V65" s="84"/>
      <c r="W65" s="84"/>
      <c r="X65" s="84"/>
      <c r="Y65" s="84"/>
    </row>
    <row r="66" spans="1:25" ht="15.75" customHeight="1" x14ac:dyDescent="0.2">
      <c r="A66" s="90" t="s">
        <v>323</v>
      </c>
      <c r="B66" s="146">
        <f>AH!S10</f>
        <v>81.863841334485116</v>
      </c>
      <c r="C66" s="147">
        <f>AH!F2</f>
        <v>5</v>
      </c>
      <c r="D66" s="148" t="str">
        <f>AH!H10</f>
        <v>Derecha</v>
      </c>
      <c r="E66" s="91"/>
      <c r="F66" s="34">
        <f>PERALTE!U8</f>
        <v>415.99132995083988</v>
      </c>
      <c r="G66" s="88">
        <f>IF(F66&lt;=AV!$T$6,AV!$C$5,IF(RASANTE!F66&lt;=AV!$T$8,AV!$C$7,IF(RASANTE!F66&lt;=AV!$T$10,AV!$C$9,IF(RASANTE!F66&lt;=AV!$T$12,AV!#REF!,IF(RASANTE!F66&lt;=AV!$T$14,AV!$C$11,IF(RASANTE!F66&lt;=AV!$T$16,AV!$C$13, IF(RASANTE!F66&lt;=AV!$T$18,AV!$C$15,IF(RASANTE!F66&lt;=AV!$T$20,AV!$C$19,IF(RASANTE!F66&lt;=AV!$T$22,AV!$C$21,IF(RASANTE!F66&lt;=AV!$T$24,AV!$C$23,AV!$C$25))))))))))</f>
        <v>-7.774</v>
      </c>
      <c r="H66" s="28">
        <f>+IF(AND(AH!$H$8="Izquierda",RASANTE!F66&lt;=PERALTE!$AB$6),IF(RASANTE!F66&lt;=PERALTE!$S$6,-2,IF(RASANTE!F66&lt;=PERALTE!$U$6,(-6/(PERALTE!$U$6-PERALTE!$S$6)*(RASANTE!F66-PERALTE!$S$6)-2),IF(RASANTE!F66&lt;=PERALTE!$X$6,-8,IF(RASANTE!F66&lt;=PERALTE!$Z$6,(-6/(PERALTE!$X$6-PERALTE!$Z$6)*(RASANTE!F66-PERALTE!$Z$6)-2),IF(RASANTE!F66&lt;=PERALTE!$AB$6,-2))))),IF(AND(AH!$H$8="Derecha",RASANTE!F66&lt;=PERALTE!$AB$6),IF(RASANTE!F66&lt;=PERALTE!$Q$6,-2,IF(RASANTE!F66&lt;=PERALTE!$U$6,(10/(PERALTE!$U$6-PERALTE!$Q$6)*(RASANTE!F66-PERALTE!$Q$6)-2),IF(RASANTE!F66&lt;=PERALTE!$X$6,8,IF(RASANTE!F66&lt;=PERALTE!$AB$6,(10/(PERALTE!$X$6-PERALTE!$AB$6)*(RASANTE!F66-PERALTE!$AB$6)-2))))),IF(AND(AH!$H$10="Izquierda",RASANTE!F66&lt;=PERALTE!$AB$8),IF(RASANTE!F66&lt;=PERALTE!$S$8,-2,IF(RASANTE!F66&lt;=PERALTE!$U$8,(-6/(PERALTE!$U$8-PERALTE!$S$8)*(RASANTE!F66-PERALTE!$S$8)-2),IF(RASANTE!F66&lt;=PERALTE!$X$8,-8,IF(RASANTE!F66&lt;=PERALTE!$Z$8,(-6/(PERALTE!$X$8-PERALTE!$Z$8)*(RASANTE!F66-PERALTE!$Z$8)-2),IF(RASANTE!F66&lt;=PERALTE!$AB$8,-2))))),IF(AND(AH!$H$10="Derecha",RASANTE!F66&lt;=PERALTE!$AB$8),IF(RASANTE!F66&lt;=PERALTE!$Q$8,-2,IF(RASANTE!F66&lt;=PERALTE!$U$8,(10/(PERALTE!$U$8-PERALTE!$Q$8)*(RASANTE!F66-PERALTE!$Q$8)-2),IF(RASANTE!F66&lt;=PERALTE!$X$8,8,IF(RASANTE!F66&lt;=PERALTE!$AB$8,(10/(PERALTE!$X$8-PERALTE!$AB$8)*(RASANTE!F66-PERALTE!$AB$8)-2))))),IF(AND(AH!$H$12="Izquierda",RASANTE!F66&lt;=PERALTE!$AB$10),IF(RASANTE!F66&lt;=PERALTE!$S$10,-2,IF(RASANTE!F66&lt;=PERALTE!$U$10,(-6/(PERALTE!$U$10-PERALTE!$S$10)*(RASANTE!F66-PERALTE!$S$10)-2),IF(RASANTE!F66&lt;=PERALTE!$X$10,-8,IF(RASANTE!F66&lt;=PERALTE!$Z$10,(-6/(PERALTE!$X$10-PERALTE!$Z$10)*(RASANTE!F66-PERALTE!$Z$10)-2),IF(RASANTE!F66&lt;=PERALTE!$AB$10,-2))))),IF(AND(AH!$H$12="Derecha",RASANTE!F66&lt;=PERALTE!$AB$10),IF(RASANTE!F66&lt;=PERALTE!$Q$10,-2,IF(RASANTE!F66&lt;=PERALTE!$U$10,(10/(PERALTE!$U$10-PERALTE!$Q$10)*(RASANTE!F66-PERALTE!$Q$10)-2),IF(RASANTE!F66&lt;=PERALTE!$X$10,8,IF(RASANTE!F66&lt;=PERALTE!$AB$10,(10/(PERALTE!$X$10-PERALTE!$AB$10)*(RASANTE!F66-PERALTE!$AB$10)-2))))),IF(AND(AH!$H$14="Izquierda",RASANTE!F66&lt;=PERALTE!$AB$12),IF(RASANTE!F66&lt;=PERALTE!$S$12,-2,IF(RASANTE!F66&lt;=PERALTE!$U$12,(-6/(PERALTE!$U$12-PERALTE!$S$12)*(RASANTE!F66-PERALTE!$S$12)-2),IF(RASANTE!F66&lt;=PERALTE!$X$12,-8,IF(RASANTE!F66&lt;=PERALTE!$Z$12,(-6/(PERALTE!$X$12-PERALTE!$Z$12)*(RASANTE!F66-PERALTE!$Z$12)-2),IF(RASANTE!F66&lt;=PERALTE!$AB$12,-2))))),IF(AND(AH!$H$14="Derecha",RASANTE!F66&lt;=PERALTE!$AB$12),IF(RASANTE!F66&lt;=PERALTE!$Q$12,-2,IF(RASANTE!F66&lt;=PERALTE!$U$12,(10/(PERALTE!$U$12-PERALTE!$Q$12)*(RASANTE!F66-PERALTE!$Q$12)-2),IF(RASANTE!F66&lt;=PERALTE!$X$12,8,IF(RASANTE!F66&lt;=PERALTE!$AB$12,(10/(PERALTE!$X$12-PERALTE!$AB$12)*(RASANTE!F66-PERALTE!$AB$12)-2))))),IF(AND(AH!$H$16="Izquierda",RASANTE!F66&lt;=PERALTE!$AB$14),IF(RASANTE!F66&lt;=PERALTE!$S$14,-2,IF(RASANTE!F66&lt;=PERALTE!$U$14,(-6/(PERALTE!$U$14-PERALTE!$S$14)*(RASANTE!F66-PERALTE!$S$14)-2),IF(RASANTE!F66&lt;=PERALTE!$X$14,-8,IF(RASANTE!F66&lt;=PERALTE!$Z$14,(-6/(PERALTE!$X$14-PERALTE!$Z$14)*(RASANTE!F66-PERALTE!$Z$14)-2),IF(RASANTE!F66&lt;=PERALTE!$AB$14,-2))))),IF(AND(AH!$H$16="Derecha",RASANTE!F66&lt;=PERALTE!$AB$14),IF(RASANTE!F66&lt;=PERALTE!$Q$14,-2,IF(RASANTE!F66&lt;=PERALTE!$U$14,(10/(PERALTE!$U$14-PERALTE!$Q$14)*(RASANTE!F66-PERALTE!$Q$14)-2),IF(RASANTE!F66&lt;=PERALTE!$X$14,8,IF(RASANTE!F66&lt;=PERALTE!$AB$14,(10/(PERALTE!$X$14-PERALTE!$AB$14)*(RASANTE!F66-PERALTE!$AB$14)-2))))),IF(AND(AH!$H$18="Izquierda",RASANTE!F66&lt;=PERALTE!$AB$16),IF(RASANTE!F66&lt;=PERALTE!$S$16,-2,IF(RASANTE!F66&lt;=PERALTE!$U$16,(-6/(PERALTE!$U$16-PERALTE!$S$16)*(RASANTE!F66-PERALTE!$S$16)-2),IF(RASANTE!F66&lt;=PERALTE!$X$16,-8,IF(RASANTE!F66&lt;=PERALTE!$Z$16,(-6/(PERALTE!$X$16-PERALTE!$Z$16)*(RASANTE!F66-PERALTE!$Z$16)-2),IF(RASANTE!F66&lt;=PERALTE!$AB$16,-2))))),IF(AND(AH!$H$18="Derecha",RASANTE!F66&lt;=PERALTE!$AB$16),IF(RASANTE!F66&lt;=PERALTE!$Q$16,-2,IF(RASANTE!F66&lt;=PERALTE!$U$16,(10/(PERALTE!$U$16-PERALTE!$Q$16)*(RASANTE!F66-PERALTE!$Q$16)-2),IF(RASANTE!F66&lt;=PERALTE!$X$16,8,IF(RASANTE!F66&lt;=PERALTE!$AB$16,(10/(PERALTE!$X$16-PERALTE!$AB$16)*(RASANTE!F66-PERALTE!$AB$16)-2))))),IF(AND(AH!$H$20="Izquierda",RASANTE!F66&lt;=PERALTE!$AB$18),IF(RASANTE!F66&lt;=PERALTE!$S$18,-2,IF(RASANTE!F66&lt;=PERALTE!$U$18,(-6/(PERALTE!$U$18-PERALTE!$S$18)*(RASANTE!F66-PERALTE!$S$18)-2),IF(RASANTE!F66&lt;=PERALTE!$X$18,-8,IF(RASANTE!F66&lt;=PERALTE!$Z$18,(-6/(PERALTE!$X$18-PERALTE!$Z$18)*(RASANTE!F66-PERALTE!$Z$18)-2),IF(RASANTE!F66&lt;=PERALTE!$AB$18,-2))))),IF(AND(AH!$H$20="Derecha",RASANTE!F66&lt;=PERALTE!$AB$18),IF(RASANTE!F66&lt;=PERALTE!$Q$18,-2,IF(RASANTE!F66&lt;=PERALTE!$U$18,(10/(PERALTE!$U$18-PERALTE!$Q$18)*(RASANTE!F66-PERALTE!$Q$18)-2),IF(RASANTE!F66&lt;=PERALTE!$X$18,8,IF(RASANTE!F66&lt;=PERALTE!$AB$18,(10/(PERALTE!$X$18-PERALTE!$AB$18)*(RASANTE!F66-PERALTE!$AB$18)-2))))),IF(AND(AH!$H$24="Izquierda",RASANTE!F66&lt;=PERALTE!$AB$22),IF(RASANTE!F66&lt;=PERALTE!$S$22,-2,IF(RASANTE!F66&lt;=PERALTE!$U$22,(-6/(PERALTE!$U$22-PERALTE!$S$22)*(RASANTE!F66-PERALTE!$S$22)-2),IF(RASANTE!F66&lt;=PERALTE!$X$22,-8,IF(RASANTE!F66&lt;=PERALTE!$Z$22,(-6/(PERALTE!$X$22-PERALTE!$Z$22)*(RASANTE!F66-PERALTE!$Z$22)-2),IF(RASANTE!F66&lt;=PERALTE!$AB$22,-2))))),IF(AND(AH!$H$24="Derecha",RASANTE!F66&lt;=PERALTE!$AB$22),IF(RASANTE!F66&lt;=PERALTE!$Q$22,-2,IF(RASANTE!F66&lt;=PERALTE!$U$22,(10/(PERALTE!$U$22-PERALTE!$Q$22)*(RASANTE!F66-PERALTE!$Q$22)-2),IF(RASANTE!F66&lt;=PERALTE!$X$22,8,IF(RASANTE!F66&lt;=PERALTE!$AB$22,(10/(PERALTE!$X$22-PERALTE!$AB$22)*(RASANTE!F66-PERALTE!$AB$22)-2))))),IF(AND(AH!#REF!="Izquierda",RASANTE!F66&lt;=PERALTE!#REF!),IF(RASANTE!F66&lt;=PERALTE!#REF!,-2,IF(RASANTE!F66&lt;=PERALTE!#REF!,(-6/(PERALTE!#REF!-PERALTE!#REF!)*(RASANTE!F66-PERALTE!#REF!)-2),IF(RASANTE!F66&lt;=PERALTE!#REF!,-8,IF(RASANTE!F66&lt;=PERALTE!#REF!,(-6/(PERALTE!#REF!-PERALTE!#REF!)*(RASANTE!F66-PERALTE!#REF!)-2),IF(RASANTE!F66&lt;=PERALTE!#REF!,-2))))),IF(AND(AH!#REF!="Derecha",RASANTE!F66&lt;=PERALTE!#REF!),IF(RASANTE!F66&lt;=PERALTE!#REF!,-2,IF(RASANTE!F66&lt;=PERALTE!#REF!,(10/(PERALTE!#REF!-PERALTE!#REF!)*(RASANTE!F66-PERALTE!#REF!)-2),IF(RASANTE!F66&lt;=PERALTE!#REF!,8,IF(RASANTE!F66&lt;=PERALTE!#REF!,(10/(PERALTE!#REF!-PERALTE!#REF!)*(RASANTE!F66-PERALTE!#REF!)-2))))),IF(AND(AH!#REF!="Izquierda",RASANTE!F66&lt;=PERALTE!$AB$26),IF(RASANTE!F66&lt;=PERALTE!$S$26,-2,IF(RASANTE!F66&lt;=PERALTE!$U$26,(-6/(PERALTE!$U$26-PERALTE!$S$26)*(RASANTE!F66-PERALTE!$S$26)-2),IF(RASANTE!F66&lt;=PERALTE!$X$26,-8,IF(RASANTE!F66&lt;=PERALTE!$Z$26,(-6/(PERALTE!$X$26-PERALTE!$Z$26)*(RASANTE!F66-PERALTE!$Z$26)-2),IF(RASANTE!F66&lt;=PERALTE!$AB$26,-2))))),IF(AND(AH!#REF!="Derecha",RASANTE!F66&lt;=PERALTE!$AB$26),IF(RASANTE!F66&lt;=PERALTE!$Q$26,-2,IF(RASANTE!F66&lt;=PERALTE!$U$26,(10/(PERALTE!$U$26-PERALTE!$Q$26)*(RASANTE!F66-PERALTE!$Q$26)-2),IF(RASANTE!F66&lt;=PERALTE!$X$26,8,IF(RASANTE!F66&lt;=PERALTE!$AB$26,(10/(PERALTE!$X$26-PERALTE!$AB$26)*(RASANTE!F66-PERALTE!$AB$26)-2))))),IF(F66&lt;=PERALTE!#REF!,-2,"Abscisa fuera de la vía")))))))))))))))))))))</f>
        <v>8</v>
      </c>
      <c r="I66" s="28">
        <f>+IF(AND(AH!$H$8="Derecha",RASANTE!F66&lt;=PERALTE!$AB$6),IF(RASANTE!F66&lt;=PERALTE!$S$6,-2,IF(RASANTE!F66&lt;=PERALTE!$U$6,(-6/(PERALTE!$U$6-PERALTE!$S$6)*(RASANTE!F66-PERALTE!$S$6)-2),IF(RASANTE!F66&lt;=PERALTE!$X$6,-8,IF(RASANTE!F66&lt;=PERALTE!$Z$6,(-6/(PERALTE!$X$6-PERALTE!$Z$6)*(RASANTE!F66-PERALTE!$Z$6)-2),IF(RASANTE!F66&lt;=PERALTE!$AB$6,-2))))),IF(AND(AH!$H$8="Izquierda",RASANTE!F66&lt;=PERALTE!$AB$6),IF(RASANTE!F66&lt;=PERALTE!$Q$6,-2,IF(RASANTE!F66&lt;=PERALTE!$U$6,(10/(PERALTE!$U$6-PERALTE!$Q$6)*(RASANTE!F66-PERALTE!$Q$6)-2),IF(RASANTE!F66&lt;=PERALTE!$X$6,8,IF(RASANTE!F66&lt;=PERALTE!$AB$6,(10/(PERALTE!$X$6-PERALTE!$AB$6)*(RASANTE!F66-PERALTE!$AB$6)-2))))),IF(AND(AH!$H$10="Derecha",RASANTE!F66&lt;=PERALTE!$AB$8),IF(RASANTE!F66&lt;=PERALTE!$S$8,-2,IF(RASANTE!F66&lt;=PERALTE!$U$8,(-6/(PERALTE!$U$8-PERALTE!$S$8)*(RASANTE!F66-PERALTE!$S$8)-2),IF(RASANTE!F66&lt;=PERALTE!$X$8,-8,IF(RASANTE!F66&lt;=PERALTE!$Z$8,(-6/(PERALTE!$X$8-PERALTE!$Z$8)*(RASANTE!F66-PERALTE!$Z$8)-2),IF(RASANTE!F66&lt;=PERALTE!$AB$8,-2))))),IF(AND(AH!$H$10="Izquierda",RASANTE!F66&lt;=PERALTE!$AB$8),IF(RASANTE!F66&lt;=PERALTE!$Q$8,-2,IF(RASANTE!F66&lt;=PERALTE!$U$8,(10/(PERALTE!$U$8-PERALTE!$Q$8)*(RASANTE!F66-PERALTE!$Q$8)-2),IF(RASANTE!F66&lt;=PERALTE!$X$8,8,IF(RASANTE!F66&lt;=PERALTE!$AB$8,(10/(PERALTE!$X$8-PERALTE!$AB$8)*(RASANTE!F66-PERALTE!$AB$8)-2))))),IF(AND(AH!$H$12="Derecha",RASANTE!F66&lt;=PERALTE!$AB$10),IF(RASANTE!F66&lt;=PERALTE!$S$10,-2,IF(RASANTE!F66&lt;=PERALTE!$U$10,(-6/(PERALTE!$U$10-PERALTE!$S$10)*(RASANTE!F66-PERALTE!$S$10)-2),IF(RASANTE!F66&lt;=PERALTE!$X$10,-8,IF(RASANTE!F66&lt;=PERALTE!$Z$10,(-6/(PERALTE!$X$10-PERALTE!$Z$10)*(RASANTE!F66-PERALTE!$Z$10)-2),IF(RASANTE!F66&lt;=PERALTE!$AB$10,-2))))),IF(AND(AH!$H$12="Izquierda",RASANTE!F66&lt;=PERALTE!$AB$10),IF(RASANTE!F66&lt;=PERALTE!$Q$10,-2,IF(RASANTE!F66&lt;=PERALTE!$U$10,(10/(PERALTE!$U$10-PERALTE!$Q$10)*(RASANTE!F66-PERALTE!$Q$10)-2),IF(RASANTE!F66&lt;=PERALTE!$X$10,8,IF(RASANTE!F66&lt;=PERALTE!$AB$10,(10/(PERALTE!$X$10-PERALTE!$AB$10)*(RASANTE!F66-PERALTE!$AB$10)-2))))),IF(AND(AH!$H$14="Derecha",RASANTE!F66&lt;=PERALTE!$AB$12),IF(RASANTE!F66&lt;=PERALTE!$S$12,-2,IF(RASANTE!F66&lt;=PERALTE!$U$12,(-6/(PERALTE!$U$12-PERALTE!$S$12)*(RASANTE!F66-PERALTE!$S$12)-2),IF(RASANTE!F66&lt;=PERALTE!$X$12,-8,IF(RASANTE!F66&lt;=PERALTE!$Z$12,(-6/(PERALTE!$X$12-PERALTE!$Z$12)*(RASANTE!F66-PERALTE!$Z$12)-2),IF(RASANTE!F66&lt;=PERALTE!$AB$12,-2))))),IF(AND(AH!$H$14="Izquierda",RASANTE!F66&lt;=PERALTE!$AB$12),IF(RASANTE!F66&lt;=PERALTE!$Q$12,-2,IF(RASANTE!F66&lt;=PERALTE!$U$12,(10/(PERALTE!$U$12-PERALTE!$Q$12)*(RASANTE!F66-PERALTE!$Q$12)-2),IF(RASANTE!F66&lt;=PERALTE!$X$12,8,IF(RASANTE!F66&lt;=PERALTE!$AB$12,(10/(PERALTE!$X$12-PERALTE!$AB$12)*(RASANTE!F66-PERALTE!$AB$12)-2))))),IF(AND(AH!$H$16="Derecha",RASANTE!F66&lt;=PERALTE!$AB$14),IF(RASANTE!F66&lt;=PERALTE!$S$14,-2,IF(RASANTE!F66&lt;=PERALTE!$U$14,(-6/(PERALTE!$U$14-PERALTE!$S$14)*(RASANTE!F66-PERALTE!$S$14)-2),IF(RASANTE!F66&lt;=PERALTE!$X$14,-8,IF(RASANTE!F66&lt;=PERALTE!$Z$14,(-6/(PERALTE!$X$14-PERALTE!$Z$14)*(RASANTE!F66-PERALTE!$Z$14)-2),IF(RASANTE!F66&lt;=PERALTE!$AB$14,-2))))),IF(AND(AH!$H$16="Izquierda",RASANTE!F66&lt;=PERALTE!$AB$14),IF(RASANTE!F66&lt;=PERALTE!$Q$14,-2,IF(RASANTE!F66&lt;=PERALTE!$U$14,(10/(PERALTE!$U$14-PERALTE!$Q$14)*(RASANTE!F66-PERALTE!$Q$14)-2),IF(RASANTE!F66&lt;=PERALTE!$X$14,8,IF(RASANTE!F66&lt;=PERALTE!$AB$14,(10/(PERALTE!$X$14-PERALTE!$AB$14)*(RASANTE!F66-PERALTE!$AB$14)-2))))),IF(AND(AH!$H$18="Derecha",RASANTE!F66&lt;=PERALTE!$AB$16),IF(RASANTE!F66&lt;=PERALTE!$S$16,-2,IF(RASANTE!F66&lt;=PERALTE!$U$16,(-6/(PERALTE!$U$16-PERALTE!$S$16)*(RASANTE!F66-PERALTE!$S$16)-2),IF(RASANTE!F66&lt;=PERALTE!$X$16,-8,IF(RASANTE!F66&lt;=PERALTE!$Z$16,(-6/(PERALTE!$X$16-PERALTE!$Z$16)*(RASANTE!F66-PERALTE!$Z$16)-2),IF(RASANTE!F66&lt;=PERALTE!$AB$16,-2))))),IF(AND(AH!$H$18="Izquierda",RASANTE!F66&lt;=PERALTE!$AB$16),IF(RASANTE!F66&lt;=PERALTE!$Q$16,-2,IF(RASANTE!F66&lt;=PERALTE!$U$16,(10/(PERALTE!$U$16-PERALTE!$Q$16)*(RASANTE!F66-PERALTE!$Q$16)-2),IF(RASANTE!F66&lt;=PERALTE!$X$16,8,IF(RASANTE!F66&lt;=PERALTE!$AB$16,(10/(PERALTE!$X$16-PERALTE!$AB$16)*(RASANTE!F66-PERALTE!$AB$16)-2))))),IF(AND(AH!$H$20="Derecha",RASANTE!F66&lt;=PERALTE!$AB$18),IF(RASANTE!F66&lt;=PERALTE!$S$18,-2,IF(RASANTE!F66&lt;=PERALTE!$U$18,(-6/(PERALTE!$U$18-PERALTE!$S$18)*(RASANTE!F66-PERALTE!$S$18)-2),IF(RASANTE!F66&lt;=PERALTE!$X$18,-8,IF(RASANTE!F66&lt;=PERALTE!$Z$18,(-6/(PERALTE!$X$18-PERALTE!$Z$18)*(RASANTE!F66-PERALTE!$Z$18)-2),IF(RASANTE!F66&lt;=PERALTE!$AB$18,-2))))),IF(AND(AH!$H$20="Izquierda",RASANTE!F66&lt;=PERALTE!$AB$18),IF(RASANTE!F66&lt;=PERALTE!$Q$18,-2,IF(RASANTE!F66&lt;=PERALTE!$U$18,(10/(PERALTE!$U$18-PERALTE!$Q$18)*(RASANTE!F66-PERALTE!$Q$18)-2),IF(RASANTE!F66&lt;=PERALTE!$X$18,8,IF(RASANTE!F66&lt;=PERALTE!$AB$18,(10/(PERALTE!$X$18-PERALTE!$AB$18)*(RASANTE!F66-PERALTE!$AB$18)-2))))),IF(AND(AH!$H$24="Derecha",RASANTE!F66&lt;=PERALTE!$AB$22),IF(RASANTE!F66&lt;=PERALTE!$S$22,-2,IF(RASANTE!F66&lt;=PERALTE!$U$22,(-6/(PERALTE!$U$22-PERALTE!$S$22)*(RASANTE!F66-PERALTE!$S$22)-2),IF(RASANTE!F66&lt;=PERALTE!$X$22,-8,IF(RASANTE!F66&lt;=PERALTE!$Z$22,(-6/(PERALTE!$X$22-PERALTE!$Z$22)*(RASANTE!F66-PERALTE!$Z$22)-2),IF(RASANTE!F66&lt;=PERALTE!$AB$22,-2))))),IF(AND(AH!$H$24="Izquierda",RASANTE!F66&lt;=PERALTE!$AB$22),IF(RASANTE!F66&lt;=PERALTE!$Q$22,-2,IF(RASANTE!F66&lt;=PERALTE!$U$22,(10/(PERALTE!$U$22-PERALTE!$Q$22)*(RASANTE!F66-PERALTE!$Q$22)-2),IF(RASANTE!F66&lt;=PERALTE!$X$22,8,IF(RASANTE!F66&lt;=PERALTE!$AB$22,(10/(PERALTE!$X$22-PERALTE!$AB$22)*(RASANTE!F66-PERALTE!$AB$22)-2))))),IF(AND(AH!#REF!="Derecha",RASANTE!F66&lt;=PERALTE!#REF!),IF(RASANTE!F66&lt;=PERALTE!#REF!,-2,IF(RASANTE!F66&lt;=PERALTE!#REF!,(-6/(PERALTE!#REF!-PERALTE!#REF!)*(RASANTE!F66-PERALTE!#REF!)-2),IF(RASANTE!F66&lt;=PERALTE!#REF!,-8,IF(RASANTE!F66&lt;=PERALTE!#REF!,(-6/(PERALTE!#REF!-PERALTE!#REF!)*(RASANTE!F66-PERALTE!#REF!)-2),IF(RASANTE!F66&lt;=PERALTE!#REF!,-2))))),IF(AND(AH!#REF!="Izquierda",RASANTE!F66&lt;=PERALTE!#REF!),IF(RASANTE!F66&lt;=PERALTE!#REF!,-2,IF(RASANTE!F66&lt;=PERALTE!#REF!,(10/(PERALTE!#REF!-PERALTE!#REF!)*(RASANTE!F66-PERALTE!#REF!)-2),IF(RASANTE!F66&lt;=PERALTE!#REF!,8,IF(RASANTE!F66&lt;=PERALTE!#REF!,(10/(PERALTE!#REF!-PERALTE!#REF!)*(RASANTE!F66-PERALTE!#REF!)-2))))),IF(AND(AH!#REF!="Derecha",RASANTE!F66&lt;=PERALTE!$AB$26),IF(RASANTE!F66&lt;=PERALTE!$S$26,-2,IF(RASANTE!F66&lt;=PERALTE!$U$26,(-6/(PERALTE!$U$26-PERALTE!$S$26)*(RASANTE!F66-PERALTE!$S$26)-2),IF(RASANTE!F66&lt;=PERALTE!$X$26,-8,IF(RASANTE!F66&lt;=PERALTE!$Z$26,(-6/(PERALTE!$X$26-PERALTE!$Z$26)*(RASANTE!F66-PERALTE!$Z$26)-2),IF(RASANTE!F66&lt;=PERALTE!$AB$26,-2))))),IF(AND(AH!#REF!="Izquierda",RASANTE!F66&lt;=PERALTE!$AB$26),IF(RASANTE!F66&lt;=PERALTE!$Q$26,-2,IF(RASANTE!F66&lt;=PERALTE!$U$26,(10/(PERALTE!$U$26-PERALTE!$Q$26)*(RASANTE!F66-PERALTE!$Q$26)-2),IF(RASANTE!F66&lt;=PERALTE!$X$26,8,IF(RASANTE!F66&lt;=PERALTE!$AB$26,(10/(PERALTE!$X$26-PERALTE!$AB$26)*(RASANTE!F66-PERALTE!$AB$26)-2))))),IF(F66&lt;=PERALTE!#REF!,-2,"Abscisa fuera de la vía")))))))))))))))))))))</f>
        <v>-8</v>
      </c>
      <c r="J66" s="28">
        <f t="shared" si="1"/>
        <v>1643.3172340096226</v>
      </c>
      <c r="K66" s="28">
        <f>+IF(AND(AV!$S$6&lt;F194,F194&lt;=AV!$T$6),AV!$P$6*((AV!$S$6-RASANTE!F194)/(AV!$N$6))^2,IF(AND(AV!$T$6&lt;RASANTE!F194,F194&lt;AV!$U$6),AV!$P$6*((AV!$U$6-RASANTE!F194)/(AV!$O$6))^2,IF(AND(AV!$S$8&lt;F194,F194&lt;=AV!$T$8),AV!$P$8*((AV!$S$8-RASANTE!F194)/(AV!$N$8))^2,IF(AND(AV!$T$8&lt;RASANTE!F194,F194&lt;AV!$U$8),AV!$P$8*((AV!$U$8-RASANTE!F194)/(AV!$O$8))^2,IF(AND(AV!$S$10&lt;F194,F194&lt;=AV!$T$10),AV!$P$10*((AV!$S$10-RASANTE!F194)/(AV!$N$10))^2,IF(AND(AV!$T$10&lt;RASANTE!F194,F194&lt;AV!$U$10),AV!$P$10*((AV!$U$10-RASANTE!F194)/(AV!$O$10))^2,IF(AND(AV!$S$12&lt;F194,F194&lt;=AV!$T$12),AV!$P$12*((AV!$S$12-RASANTE!F194)/(AV!$N$12))^2,IF(AND(AV!$T$12&lt;RASANTE!F194,F194&lt;AV!$U$12),AV!$P$12*((AV!$U$12-RASANTE!F194)/(AV!$O$12))^2,IF(AND(AV!$S$14&lt;F194,F194&lt;=AV!$T$14),AV!$P$14*((AV!$S$14-RASANTE!F194)/(AV!$N$14))^2,IF(AND(AV!$T$14&lt;RASANTE!F194,F194&lt;AV!$U$14),AV!$P$14*((AV!$U$14-RASANTE!F194)/(AV!$O$14))^2,IF(AND(AV!$S$16&lt;F194,F194&lt;=AV!$T$16),AV!$P$16*((AV!$S$16-RASANTE!F194)/(AV!$N$16))^2,IF(AND(AV!$T$16&lt;RASANTE!F194,F194&lt;AV!$U$16),AV!$P$16*((AV!$U$16-RASANTE!F194)/(AV!$O$16))^2,IF(AND(AV!$S$18&lt;F194,F194&lt;=AV!$T$18),AV!$P$18*((AV!$S$18-RASANTE!F194)/(AV!$N$18))^2,IF(AND(AV!$T$18&lt;RASANTE!F194,F194&lt;AV!$U$18),AV!$P$18*((AV!$U$18-RASANTE!F194)/(AV!$O$18))^2,IF(AND(AV!$S$20&lt;F194,F194&lt;=AV!$T$20),AV!$P$20*((AV!$S$20-RASANTE!F194)/(AV!$N$20))^2,IF(AND(AV!$T$20&lt;RASANTE!F194,F194&lt;AV!$U$20),AV!$P$20*((AV!$U$20-RASANTE!F194)/(AV!$O$20))^2,IF(AND(AV!$S$22&lt;F194,F194&lt;=AV!$T$22),AV!$P$22*((AV!$S$22-RASANTE!F194)/(AV!$N$22))^2,IF(AND(AV!$T$22&lt;RASANTE!F194,F194&lt;AV!$U$22),AV!$P$22*((AV!$U$22-RASANTE!F194)/(AV!$O$22))^2,IF(AND(AV!$S$24&lt;F194,F194&lt;=AV!$T$24),AV!$P$24*((AV!$S$24-RASANTE!F194)/(AV!$N$24))^2,IF(AND(AV!$T$24&lt;RASANTE!F194,F194&lt;AV!$U$24),AV!$P$24*((AV!$U$24-RASANTE!F194)/(AV!$O$24))^2,0))))))))))))))))))))</f>
        <v>0</v>
      </c>
      <c r="L66" s="28">
        <f>+M66+H66%*PERALTE!$C$32</f>
        <v>1643.5972340096225</v>
      </c>
      <c r="M66" s="28">
        <f t="shared" si="3"/>
        <v>1643.3172340096226</v>
      </c>
      <c r="N66" s="28">
        <f>+M66+I66%*PERALTE!$C$32</f>
        <v>1643.0372340096226</v>
      </c>
      <c r="O66" s="92"/>
      <c r="P66" s="84"/>
      <c r="Q66" s="84"/>
      <c r="R66" s="84"/>
      <c r="S66" s="84"/>
      <c r="T66" s="84"/>
      <c r="U66" s="84"/>
      <c r="V66" s="84"/>
      <c r="W66" s="84"/>
      <c r="X66" s="84"/>
      <c r="Y66" s="84"/>
    </row>
    <row r="67" spans="1:25" ht="15.75" customHeight="1" x14ac:dyDescent="0.2">
      <c r="A67" s="90"/>
      <c r="B67" s="86"/>
      <c r="C67" s="86"/>
      <c r="D67" s="86"/>
      <c r="F67" s="34">
        <v>420</v>
      </c>
      <c r="G67" s="88">
        <f>IF(F67&lt;=AV!$T$6,AV!$C$5,IF(RASANTE!F67&lt;=AV!$T$8,AV!$C$7,IF(RASANTE!F67&lt;=AV!$T$10,AV!$C$9,IF(RASANTE!F67&lt;=AV!$T$12,AV!#REF!,IF(RASANTE!F67&lt;=AV!$T$14,AV!$C$11,IF(RASANTE!F67&lt;=AV!$T$16,AV!$C$13, IF(RASANTE!F67&lt;=AV!$T$18,AV!$C$15,IF(RASANTE!F67&lt;=AV!$T$20,AV!$C$19,IF(RASANTE!F67&lt;=AV!$T$22,AV!$C$21,IF(RASANTE!F67&lt;=AV!$T$24,AV!$C$23,AV!$C$25))))))))))</f>
        <v>-7.774</v>
      </c>
      <c r="H67" s="28">
        <f>+IF(AND(AH!$H$8="Izquierda",RASANTE!F67&lt;=PERALTE!$AB$6),IF(RASANTE!F67&lt;=PERALTE!$S$6,-2,IF(RASANTE!F67&lt;=PERALTE!$U$6,(-6/(PERALTE!$U$6-PERALTE!$S$6)*(RASANTE!F67-PERALTE!$S$6)-2),IF(RASANTE!F67&lt;=PERALTE!$X$6,-8,IF(RASANTE!F67&lt;=PERALTE!$Z$6,(-6/(PERALTE!$X$6-PERALTE!$Z$6)*(RASANTE!F67-PERALTE!$Z$6)-2),IF(RASANTE!F67&lt;=PERALTE!$AB$6,-2))))),IF(AND(AH!$H$8="Derecha",RASANTE!F67&lt;=PERALTE!$AB$6),IF(RASANTE!F67&lt;=PERALTE!$Q$6,-2,IF(RASANTE!F67&lt;=PERALTE!$U$6,(10/(PERALTE!$U$6-PERALTE!$Q$6)*(RASANTE!F67-PERALTE!$Q$6)-2),IF(RASANTE!F67&lt;=PERALTE!$X$6,8,IF(RASANTE!F67&lt;=PERALTE!$AB$6,(10/(PERALTE!$X$6-PERALTE!$AB$6)*(RASANTE!F67-PERALTE!$AB$6)-2))))),IF(AND(AH!$H$10="Izquierda",RASANTE!F67&lt;=PERALTE!$AB$8),IF(RASANTE!F67&lt;=PERALTE!$S$8,-2,IF(RASANTE!F67&lt;=PERALTE!$U$8,(-6/(PERALTE!$U$8-PERALTE!$S$8)*(RASANTE!F67-PERALTE!$S$8)-2),IF(RASANTE!F67&lt;=PERALTE!$X$8,-8,IF(RASANTE!F67&lt;=PERALTE!$Z$8,(-6/(PERALTE!$X$8-PERALTE!$Z$8)*(RASANTE!F67-PERALTE!$Z$8)-2),IF(RASANTE!F67&lt;=PERALTE!$AB$8,-2))))),IF(AND(AH!$H$10="Derecha",RASANTE!F67&lt;=PERALTE!$AB$8),IF(RASANTE!F67&lt;=PERALTE!$Q$8,-2,IF(RASANTE!F67&lt;=PERALTE!$U$8,(10/(PERALTE!$U$8-PERALTE!$Q$8)*(RASANTE!F67-PERALTE!$Q$8)-2),IF(RASANTE!F67&lt;=PERALTE!$X$8,8,IF(RASANTE!F67&lt;=PERALTE!$AB$8,(10/(PERALTE!$X$8-PERALTE!$AB$8)*(RASANTE!F67-PERALTE!$AB$8)-2))))),IF(AND(AH!$H$12="Izquierda",RASANTE!F67&lt;=PERALTE!$AB$10),IF(RASANTE!F67&lt;=PERALTE!$S$10,-2,IF(RASANTE!F67&lt;=PERALTE!$U$10,(-6/(PERALTE!$U$10-PERALTE!$S$10)*(RASANTE!F67-PERALTE!$S$10)-2),IF(RASANTE!F67&lt;=PERALTE!$X$10,-8,IF(RASANTE!F67&lt;=PERALTE!$Z$10,(-6/(PERALTE!$X$10-PERALTE!$Z$10)*(RASANTE!F67-PERALTE!$Z$10)-2),IF(RASANTE!F67&lt;=PERALTE!$AB$10,-2))))),IF(AND(AH!$H$12="Derecha",RASANTE!F67&lt;=PERALTE!$AB$10),IF(RASANTE!F67&lt;=PERALTE!$Q$10,-2,IF(RASANTE!F67&lt;=PERALTE!$U$10,(10/(PERALTE!$U$10-PERALTE!$Q$10)*(RASANTE!F67-PERALTE!$Q$10)-2),IF(RASANTE!F67&lt;=PERALTE!$X$10,8,IF(RASANTE!F67&lt;=PERALTE!$AB$10,(10/(PERALTE!$X$10-PERALTE!$AB$10)*(RASANTE!F67-PERALTE!$AB$10)-2))))),IF(AND(AH!$H$14="Izquierda",RASANTE!F67&lt;=PERALTE!$AB$12),IF(RASANTE!F67&lt;=PERALTE!$S$12,-2,IF(RASANTE!F67&lt;=PERALTE!$U$12,(-6/(PERALTE!$U$12-PERALTE!$S$12)*(RASANTE!F67-PERALTE!$S$12)-2),IF(RASANTE!F67&lt;=PERALTE!$X$12,-8,IF(RASANTE!F67&lt;=PERALTE!$Z$12,(-6/(PERALTE!$X$12-PERALTE!$Z$12)*(RASANTE!F67-PERALTE!$Z$12)-2),IF(RASANTE!F67&lt;=PERALTE!$AB$12,-2))))),IF(AND(AH!$H$14="Derecha",RASANTE!F67&lt;=PERALTE!$AB$12),IF(RASANTE!F67&lt;=PERALTE!$Q$12,-2,IF(RASANTE!F67&lt;=PERALTE!$U$12,(10/(PERALTE!$U$12-PERALTE!$Q$12)*(RASANTE!F67-PERALTE!$Q$12)-2),IF(RASANTE!F67&lt;=PERALTE!$X$12,8,IF(RASANTE!F67&lt;=PERALTE!$AB$12,(10/(PERALTE!$X$12-PERALTE!$AB$12)*(RASANTE!F67-PERALTE!$AB$12)-2))))),IF(AND(AH!$H$16="Izquierda",RASANTE!F67&lt;=PERALTE!$AB$14),IF(RASANTE!F67&lt;=PERALTE!$S$14,-2,IF(RASANTE!F67&lt;=PERALTE!$U$14,(-6/(PERALTE!$U$14-PERALTE!$S$14)*(RASANTE!F67-PERALTE!$S$14)-2),IF(RASANTE!F67&lt;=PERALTE!$X$14,-8,IF(RASANTE!F67&lt;=PERALTE!$Z$14,(-6/(PERALTE!$X$14-PERALTE!$Z$14)*(RASANTE!F67-PERALTE!$Z$14)-2),IF(RASANTE!F67&lt;=PERALTE!$AB$14,-2))))),IF(AND(AH!$H$16="Derecha",RASANTE!F67&lt;=PERALTE!$AB$14),IF(RASANTE!F67&lt;=PERALTE!$Q$14,-2,IF(RASANTE!F67&lt;=PERALTE!$U$14,(10/(PERALTE!$U$14-PERALTE!$Q$14)*(RASANTE!F67-PERALTE!$Q$14)-2),IF(RASANTE!F67&lt;=PERALTE!$X$14,8,IF(RASANTE!F67&lt;=PERALTE!$AB$14,(10/(PERALTE!$X$14-PERALTE!$AB$14)*(RASANTE!F67-PERALTE!$AB$14)-2))))),IF(AND(AH!$H$18="Izquierda",RASANTE!F67&lt;=PERALTE!$AB$16),IF(RASANTE!F67&lt;=PERALTE!$S$16,-2,IF(RASANTE!F67&lt;=PERALTE!$U$16,(-6/(PERALTE!$U$16-PERALTE!$S$16)*(RASANTE!F67-PERALTE!$S$16)-2),IF(RASANTE!F67&lt;=PERALTE!$X$16,-8,IF(RASANTE!F67&lt;=PERALTE!$Z$16,(-6/(PERALTE!$X$16-PERALTE!$Z$16)*(RASANTE!F67-PERALTE!$Z$16)-2),IF(RASANTE!F67&lt;=PERALTE!$AB$16,-2))))),IF(AND(AH!$H$18="Derecha",RASANTE!F67&lt;=PERALTE!$AB$16),IF(RASANTE!F67&lt;=PERALTE!$Q$16,-2,IF(RASANTE!F67&lt;=PERALTE!$U$16,(10/(PERALTE!$U$16-PERALTE!$Q$16)*(RASANTE!F67-PERALTE!$Q$16)-2),IF(RASANTE!F67&lt;=PERALTE!$X$16,8,IF(RASANTE!F67&lt;=PERALTE!$AB$16,(10/(PERALTE!$X$16-PERALTE!$AB$16)*(RASANTE!F67-PERALTE!$AB$16)-2))))),IF(AND(AH!$H$20="Izquierda",RASANTE!F67&lt;=PERALTE!$AB$18),IF(RASANTE!F67&lt;=PERALTE!$S$18,-2,IF(RASANTE!F67&lt;=PERALTE!$U$18,(-6/(PERALTE!$U$18-PERALTE!$S$18)*(RASANTE!F67-PERALTE!$S$18)-2),IF(RASANTE!F67&lt;=PERALTE!$X$18,-8,IF(RASANTE!F67&lt;=PERALTE!$Z$18,(-6/(PERALTE!$X$18-PERALTE!$Z$18)*(RASANTE!F67-PERALTE!$Z$18)-2),IF(RASANTE!F67&lt;=PERALTE!$AB$18,-2))))),IF(AND(AH!$H$20="Derecha",RASANTE!F67&lt;=PERALTE!$AB$18),IF(RASANTE!F67&lt;=PERALTE!$Q$18,-2,IF(RASANTE!F67&lt;=PERALTE!$U$18,(10/(PERALTE!$U$18-PERALTE!$Q$18)*(RASANTE!F67-PERALTE!$Q$18)-2),IF(RASANTE!F67&lt;=PERALTE!$X$18,8,IF(RASANTE!F67&lt;=PERALTE!$AB$18,(10/(PERALTE!$X$18-PERALTE!$AB$18)*(RASANTE!F67-PERALTE!$AB$18)-2))))),IF(AND(AH!$H$24="Izquierda",RASANTE!F67&lt;=PERALTE!$AB$22),IF(RASANTE!F67&lt;=PERALTE!$S$22,-2,IF(RASANTE!F67&lt;=PERALTE!$U$22,(-6/(PERALTE!$U$22-PERALTE!$S$22)*(RASANTE!F67-PERALTE!$S$22)-2),IF(RASANTE!F67&lt;=PERALTE!$X$22,-8,IF(RASANTE!F67&lt;=PERALTE!$Z$22,(-6/(PERALTE!$X$22-PERALTE!$Z$22)*(RASANTE!F67-PERALTE!$Z$22)-2),IF(RASANTE!F67&lt;=PERALTE!$AB$22,-2))))),IF(AND(AH!$H$24="Derecha",RASANTE!F67&lt;=PERALTE!$AB$22),IF(RASANTE!F67&lt;=PERALTE!$Q$22,-2,IF(RASANTE!F67&lt;=PERALTE!$U$22,(10/(PERALTE!$U$22-PERALTE!$Q$22)*(RASANTE!F67-PERALTE!$Q$22)-2),IF(RASANTE!F67&lt;=PERALTE!$X$22,8,IF(RASANTE!F67&lt;=PERALTE!$AB$22,(10/(PERALTE!$X$22-PERALTE!$AB$22)*(RASANTE!F67-PERALTE!$AB$22)-2))))),IF(AND(AH!#REF!="Izquierda",RASANTE!F67&lt;=PERALTE!#REF!),IF(RASANTE!F67&lt;=PERALTE!#REF!,-2,IF(RASANTE!F67&lt;=PERALTE!#REF!,(-6/(PERALTE!#REF!-PERALTE!#REF!)*(RASANTE!F67-PERALTE!#REF!)-2),IF(RASANTE!F67&lt;=PERALTE!#REF!,-8,IF(RASANTE!F67&lt;=PERALTE!#REF!,(-6/(PERALTE!#REF!-PERALTE!#REF!)*(RASANTE!F67-PERALTE!#REF!)-2),IF(RASANTE!F67&lt;=PERALTE!#REF!,-2))))),IF(AND(AH!#REF!="Derecha",RASANTE!F67&lt;=PERALTE!#REF!),IF(RASANTE!F67&lt;=PERALTE!#REF!,-2,IF(RASANTE!F67&lt;=PERALTE!#REF!,(10/(PERALTE!#REF!-PERALTE!#REF!)*(RASANTE!F67-PERALTE!#REF!)-2),IF(RASANTE!F67&lt;=PERALTE!#REF!,8,IF(RASANTE!F67&lt;=PERALTE!#REF!,(10/(PERALTE!#REF!-PERALTE!#REF!)*(RASANTE!F67-PERALTE!#REF!)-2))))),IF(AND(AH!#REF!="Izquierda",RASANTE!F67&lt;=PERALTE!$AB$26),IF(RASANTE!F67&lt;=PERALTE!$S$26,-2,IF(RASANTE!F67&lt;=PERALTE!$U$26,(-6/(PERALTE!$U$26-PERALTE!$S$26)*(RASANTE!F67-PERALTE!$S$26)-2),IF(RASANTE!F67&lt;=PERALTE!$X$26,-8,IF(RASANTE!F67&lt;=PERALTE!$Z$26,(-6/(PERALTE!$X$26-PERALTE!$Z$26)*(RASANTE!F67-PERALTE!$Z$26)-2),IF(RASANTE!F67&lt;=PERALTE!$AB$26,-2))))),IF(AND(AH!#REF!="Derecha",RASANTE!F67&lt;=PERALTE!$AB$26),IF(RASANTE!F67&lt;=PERALTE!$Q$26,-2,IF(RASANTE!F67&lt;=PERALTE!$U$26,(10/(PERALTE!$U$26-PERALTE!$Q$26)*(RASANTE!F67-PERALTE!$Q$26)-2),IF(RASANTE!F67&lt;=PERALTE!$X$26,8,IF(RASANTE!F67&lt;=PERALTE!$AB$26,(10/(PERALTE!$X$26-PERALTE!$AB$26)*(RASANTE!F67-PERALTE!$AB$26)-2))))),IF(F67&lt;=PERALTE!#REF!,-2,"Abscisa fuera de la vía")))))))))))))))))))))</f>
        <v>8</v>
      </c>
      <c r="I67" s="28">
        <f>+IF(AND(AH!$H$8="Derecha",RASANTE!F67&lt;=PERALTE!$AB$6),IF(RASANTE!F67&lt;=PERALTE!$S$6,-2,IF(RASANTE!F67&lt;=PERALTE!$U$6,(-6/(PERALTE!$U$6-PERALTE!$S$6)*(RASANTE!F67-PERALTE!$S$6)-2),IF(RASANTE!F67&lt;=PERALTE!$X$6,-8,IF(RASANTE!F67&lt;=PERALTE!$Z$6,(-6/(PERALTE!$X$6-PERALTE!$Z$6)*(RASANTE!F67-PERALTE!$Z$6)-2),IF(RASANTE!F67&lt;=PERALTE!$AB$6,-2))))),IF(AND(AH!$H$8="Izquierda",RASANTE!F67&lt;=PERALTE!$AB$6),IF(RASANTE!F67&lt;=PERALTE!$Q$6,-2,IF(RASANTE!F67&lt;=PERALTE!$U$6,(10/(PERALTE!$U$6-PERALTE!$Q$6)*(RASANTE!F67-PERALTE!$Q$6)-2),IF(RASANTE!F67&lt;=PERALTE!$X$6,8,IF(RASANTE!F67&lt;=PERALTE!$AB$6,(10/(PERALTE!$X$6-PERALTE!$AB$6)*(RASANTE!F67-PERALTE!$AB$6)-2))))),IF(AND(AH!$H$10="Derecha",RASANTE!F67&lt;=PERALTE!$AB$8),IF(RASANTE!F67&lt;=PERALTE!$S$8,-2,IF(RASANTE!F67&lt;=PERALTE!$U$8,(-6/(PERALTE!$U$8-PERALTE!$S$8)*(RASANTE!F67-PERALTE!$S$8)-2),IF(RASANTE!F67&lt;=PERALTE!$X$8,-8,IF(RASANTE!F67&lt;=PERALTE!$Z$8,(-6/(PERALTE!$X$8-PERALTE!$Z$8)*(RASANTE!F67-PERALTE!$Z$8)-2),IF(RASANTE!F67&lt;=PERALTE!$AB$8,-2))))),IF(AND(AH!$H$10="Izquierda",RASANTE!F67&lt;=PERALTE!$AB$8),IF(RASANTE!F67&lt;=PERALTE!$Q$8,-2,IF(RASANTE!F67&lt;=PERALTE!$U$8,(10/(PERALTE!$U$8-PERALTE!$Q$8)*(RASANTE!F67-PERALTE!$Q$8)-2),IF(RASANTE!F67&lt;=PERALTE!$X$8,8,IF(RASANTE!F67&lt;=PERALTE!$AB$8,(10/(PERALTE!$X$8-PERALTE!$AB$8)*(RASANTE!F67-PERALTE!$AB$8)-2))))),IF(AND(AH!$H$12="Derecha",RASANTE!F67&lt;=PERALTE!$AB$10),IF(RASANTE!F67&lt;=PERALTE!$S$10,-2,IF(RASANTE!F67&lt;=PERALTE!$U$10,(-6/(PERALTE!$U$10-PERALTE!$S$10)*(RASANTE!F67-PERALTE!$S$10)-2),IF(RASANTE!F67&lt;=PERALTE!$X$10,-8,IF(RASANTE!F67&lt;=PERALTE!$Z$10,(-6/(PERALTE!$X$10-PERALTE!$Z$10)*(RASANTE!F67-PERALTE!$Z$10)-2),IF(RASANTE!F67&lt;=PERALTE!$AB$10,-2))))),IF(AND(AH!$H$12="Izquierda",RASANTE!F67&lt;=PERALTE!$AB$10),IF(RASANTE!F67&lt;=PERALTE!$Q$10,-2,IF(RASANTE!F67&lt;=PERALTE!$U$10,(10/(PERALTE!$U$10-PERALTE!$Q$10)*(RASANTE!F67-PERALTE!$Q$10)-2),IF(RASANTE!F67&lt;=PERALTE!$X$10,8,IF(RASANTE!F67&lt;=PERALTE!$AB$10,(10/(PERALTE!$X$10-PERALTE!$AB$10)*(RASANTE!F67-PERALTE!$AB$10)-2))))),IF(AND(AH!$H$14="Derecha",RASANTE!F67&lt;=PERALTE!$AB$12),IF(RASANTE!F67&lt;=PERALTE!$S$12,-2,IF(RASANTE!F67&lt;=PERALTE!$U$12,(-6/(PERALTE!$U$12-PERALTE!$S$12)*(RASANTE!F67-PERALTE!$S$12)-2),IF(RASANTE!F67&lt;=PERALTE!$X$12,-8,IF(RASANTE!F67&lt;=PERALTE!$Z$12,(-6/(PERALTE!$X$12-PERALTE!$Z$12)*(RASANTE!F67-PERALTE!$Z$12)-2),IF(RASANTE!F67&lt;=PERALTE!$AB$12,-2))))),IF(AND(AH!$H$14="Izquierda",RASANTE!F67&lt;=PERALTE!$AB$12),IF(RASANTE!F67&lt;=PERALTE!$Q$12,-2,IF(RASANTE!F67&lt;=PERALTE!$U$12,(10/(PERALTE!$U$12-PERALTE!$Q$12)*(RASANTE!F67-PERALTE!$Q$12)-2),IF(RASANTE!F67&lt;=PERALTE!$X$12,8,IF(RASANTE!F67&lt;=PERALTE!$AB$12,(10/(PERALTE!$X$12-PERALTE!$AB$12)*(RASANTE!F67-PERALTE!$AB$12)-2))))),IF(AND(AH!$H$16="Derecha",RASANTE!F67&lt;=PERALTE!$AB$14),IF(RASANTE!F67&lt;=PERALTE!$S$14,-2,IF(RASANTE!F67&lt;=PERALTE!$U$14,(-6/(PERALTE!$U$14-PERALTE!$S$14)*(RASANTE!F67-PERALTE!$S$14)-2),IF(RASANTE!F67&lt;=PERALTE!$X$14,-8,IF(RASANTE!F67&lt;=PERALTE!$Z$14,(-6/(PERALTE!$X$14-PERALTE!$Z$14)*(RASANTE!F67-PERALTE!$Z$14)-2),IF(RASANTE!F67&lt;=PERALTE!$AB$14,-2))))),IF(AND(AH!$H$16="Izquierda",RASANTE!F67&lt;=PERALTE!$AB$14),IF(RASANTE!F67&lt;=PERALTE!$Q$14,-2,IF(RASANTE!F67&lt;=PERALTE!$U$14,(10/(PERALTE!$U$14-PERALTE!$Q$14)*(RASANTE!F67-PERALTE!$Q$14)-2),IF(RASANTE!F67&lt;=PERALTE!$X$14,8,IF(RASANTE!F67&lt;=PERALTE!$AB$14,(10/(PERALTE!$X$14-PERALTE!$AB$14)*(RASANTE!F67-PERALTE!$AB$14)-2))))),IF(AND(AH!$H$18="Derecha",RASANTE!F67&lt;=PERALTE!$AB$16),IF(RASANTE!F67&lt;=PERALTE!$S$16,-2,IF(RASANTE!F67&lt;=PERALTE!$U$16,(-6/(PERALTE!$U$16-PERALTE!$S$16)*(RASANTE!F67-PERALTE!$S$16)-2),IF(RASANTE!F67&lt;=PERALTE!$X$16,-8,IF(RASANTE!F67&lt;=PERALTE!$Z$16,(-6/(PERALTE!$X$16-PERALTE!$Z$16)*(RASANTE!F67-PERALTE!$Z$16)-2),IF(RASANTE!F67&lt;=PERALTE!$AB$16,-2))))),IF(AND(AH!$H$18="Izquierda",RASANTE!F67&lt;=PERALTE!$AB$16),IF(RASANTE!F67&lt;=PERALTE!$Q$16,-2,IF(RASANTE!F67&lt;=PERALTE!$U$16,(10/(PERALTE!$U$16-PERALTE!$Q$16)*(RASANTE!F67-PERALTE!$Q$16)-2),IF(RASANTE!F67&lt;=PERALTE!$X$16,8,IF(RASANTE!F67&lt;=PERALTE!$AB$16,(10/(PERALTE!$X$16-PERALTE!$AB$16)*(RASANTE!F67-PERALTE!$AB$16)-2))))),IF(AND(AH!$H$20="Derecha",RASANTE!F67&lt;=PERALTE!$AB$18),IF(RASANTE!F67&lt;=PERALTE!$S$18,-2,IF(RASANTE!F67&lt;=PERALTE!$U$18,(-6/(PERALTE!$U$18-PERALTE!$S$18)*(RASANTE!F67-PERALTE!$S$18)-2),IF(RASANTE!F67&lt;=PERALTE!$X$18,-8,IF(RASANTE!F67&lt;=PERALTE!$Z$18,(-6/(PERALTE!$X$18-PERALTE!$Z$18)*(RASANTE!F67-PERALTE!$Z$18)-2),IF(RASANTE!F67&lt;=PERALTE!$AB$18,-2))))),IF(AND(AH!$H$20="Izquierda",RASANTE!F67&lt;=PERALTE!$AB$18),IF(RASANTE!F67&lt;=PERALTE!$Q$18,-2,IF(RASANTE!F67&lt;=PERALTE!$U$18,(10/(PERALTE!$U$18-PERALTE!$Q$18)*(RASANTE!F67-PERALTE!$Q$18)-2),IF(RASANTE!F67&lt;=PERALTE!$X$18,8,IF(RASANTE!F67&lt;=PERALTE!$AB$18,(10/(PERALTE!$X$18-PERALTE!$AB$18)*(RASANTE!F67-PERALTE!$AB$18)-2))))),IF(AND(AH!$H$24="Derecha",RASANTE!F67&lt;=PERALTE!$AB$22),IF(RASANTE!F67&lt;=PERALTE!$S$22,-2,IF(RASANTE!F67&lt;=PERALTE!$U$22,(-6/(PERALTE!$U$22-PERALTE!$S$22)*(RASANTE!F67-PERALTE!$S$22)-2),IF(RASANTE!F67&lt;=PERALTE!$X$22,-8,IF(RASANTE!F67&lt;=PERALTE!$Z$22,(-6/(PERALTE!$X$22-PERALTE!$Z$22)*(RASANTE!F67-PERALTE!$Z$22)-2),IF(RASANTE!F67&lt;=PERALTE!$AB$22,-2))))),IF(AND(AH!$H$24="Izquierda",RASANTE!F67&lt;=PERALTE!$AB$22),IF(RASANTE!F67&lt;=PERALTE!$Q$22,-2,IF(RASANTE!F67&lt;=PERALTE!$U$22,(10/(PERALTE!$U$22-PERALTE!$Q$22)*(RASANTE!F67-PERALTE!$Q$22)-2),IF(RASANTE!F67&lt;=PERALTE!$X$22,8,IF(RASANTE!F67&lt;=PERALTE!$AB$22,(10/(PERALTE!$X$22-PERALTE!$AB$22)*(RASANTE!F67-PERALTE!$AB$22)-2))))),IF(AND(AH!#REF!="Derecha",RASANTE!F67&lt;=PERALTE!#REF!),IF(RASANTE!F67&lt;=PERALTE!#REF!,-2,IF(RASANTE!F67&lt;=PERALTE!#REF!,(-6/(PERALTE!#REF!-PERALTE!#REF!)*(RASANTE!F67-PERALTE!#REF!)-2),IF(RASANTE!F67&lt;=PERALTE!#REF!,-8,IF(RASANTE!F67&lt;=PERALTE!#REF!,(-6/(PERALTE!#REF!-PERALTE!#REF!)*(RASANTE!F67-PERALTE!#REF!)-2),IF(RASANTE!F67&lt;=PERALTE!#REF!,-2))))),IF(AND(AH!#REF!="Izquierda",RASANTE!F67&lt;=PERALTE!#REF!),IF(RASANTE!F67&lt;=PERALTE!#REF!,-2,IF(RASANTE!F67&lt;=PERALTE!#REF!,(10/(PERALTE!#REF!-PERALTE!#REF!)*(RASANTE!F67-PERALTE!#REF!)-2),IF(RASANTE!F67&lt;=PERALTE!#REF!,8,IF(RASANTE!F67&lt;=PERALTE!#REF!,(10/(PERALTE!#REF!-PERALTE!#REF!)*(RASANTE!F67-PERALTE!#REF!)-2))))),IF(AND(AH!#REF!="Derecha",RASANTE!F67&lt;=PERALTE!$AB$26),IF(RASANTE!F67&lt;=PERALTE!$S$26,-2,IF(RASANTE!F67&lt;=PERALTE!$U$26,(-6/(PERALTE!$U$26-PERALTE!$S$26)*(RASANTE!F67-PERALTE!$S$26)-2),IF(RASANTE!F67&lt;=PERALTE!$X$26,-8,IF(RASANTE!F67&lt;=PERALTE!$Z$26,(-6/(PERALTE!$X$26-PERALTE!$Z$26)*(RASANTE!F67-PERALTE!$Z$26)-2),IF(RASANTE!F67&lt;=PERALTE!$AB$26,-2))))),IF(AND(AH!#REF!="Izquierda",RASANTE!F67&lt;=PERALTE!$AB$26),IF(RASANTE!F67&lt;=PERALTE!$Q$26,-2,IF(RASANTE!F67&lt;=PERALTE!$U$26,(10/(PERALTE!$U$26-PERALTE!$Q$26)*(RASANTE!F67-PERALTE!$Q$26)-2),IF(RASANTE!F67&lt;=PERALTE!$X$26,8,IF(RASANTE!F67&lt;=PERALTE!$AB$26,(10/(PERALTE!$X$26-PERALTE!$AB$26)*(RASANTE!F67-PERALTE!$AB$26)-2))))),IF(F67&lt;=PERALTE!#REF!,-2,"Abscisa fuera de la vía")))))))))))))))))))))</f>
        <v>-8</v>
      </c>
      <c r="J67" s="28">
        <f t="shared" si="1"/>
        <v>1643.0056000000009</v>
      </c>
      <c r="K67" s="28">
        <f>+IF(AND(AV!$S$6&lt;F195,F195&lt;=AV!$T$6),AV!$P$6*((AV!$S$6-RASANTE!F195)/(AV!$N$6))^2,IF(AND(AV!$T$6&lt;RASANTE!F195,F195&lt;AV!$U$6),AV!$P$6*((AV!$U$6-RASANTE!F195)/(AV!$O$6))^2,IF(AND(AV!$S$8&lt;F195,F195&lt;=AV!$T$8),AV!$P$8*((AV!$S$8-RASANTE!F195)/(AV!$N$8))^2,IF(AND(AV!$T$8&lt;RASANTE!F195,F195&lt;AV!$U$8),AV!$P$8*((AV!$U$8-RASANTE!F195)/(AV!$O$8))^2,IF(AND(AV!$S$10&lt;F195,F195&lt;=AV!$T$10),AV!$P$10*((AV!$S$10-RASANTE!F195)/(AV!$N$10))^2,IF(AND(AV!$T$10&lt;RASANTE!F195,F195&lt;AV!$U$10),AV!$P$10*((AV!$U$10-RASANTE!F195)/(AV!$O$10))^2,IF(AND(AV!$S$12&lt;F195,F195&lt;=AV!$T$12),AV!$P$12*((AV!$S$12-RASANTE!F195)/(AV!$N$12))^2,IF(AND(AV!$T$12&lt;RASANTE!F195,F195&lt;AV!$U$12),AV!$P$12*((AV!$U$12-RASANTE!F195)/(AV!$O$12))^2,IF(AND(AV!$S$14&lt;F195,F195&lt;=AV!$T$14),AV!$P$14*((AV!$S$14-RASANTE!F195)/(AV!$N$14))^2,IF(AND(AV!$T$14&lt;RASANTE!F195,F195&lt;AV!$U$14),AV!$P$14*((AV!$U$14-RASANTE!F195)/(AV!$O$14))^2,IF(AND(AV!$S$16&lt;F195,F195&lt;=AV!$T$16),AV!$P$16*((AV!$S$16-RASANTE!F195)/(AV!$N$16))^2,IF(AND(AV!$T$16&lt;RASANTE!F195,F195&lt;AV!$U$16),AV!$P$16*((AV!$U$16-RASANTE!F195)/(AV!$O$16))^2,IF(AND(AV!$S$18&lt;F195,F195&lt;=AV!$T$18),AV!$P$18*((AV!$S$18-RASANTE!F195)/(AV!$N$18))^2,IF(AND(AV!$T$18&lt;RASANTE!F195,F195&lt;AV!$U$18),AV!$P$18*((AV!$U$18-RASANTE!F195)/(AV!$O$18))^2,IF(AND(AV!$S$20&lt;F195,F195&lt;=AV!$T$20),AV!$P$20*((AV!$S$20-RASANTE!F195)/(AV!$N$20))^2,IF(AND(AV!$T$20&lt;RASANTE!F195,F195&lt;AV!$U$20),AV!$P$20*((AV!$U$20-RASANTE!F195)/(AV!$O$20))^2,IF(AND(AV!$S$22&lt;F195,F195&lt;=AV!$T$22),AV!$P$22*((AV!$S$22-RASANTE!F195)/(AV!$N$22))^2,IF(AND(AV!$T$22&lt;RASANTE!F195,F195&lt;AV!$U$22),AV!$P$22*((AV!$U$22-RASANTE!F195)/(AV!$O$22))^2,IF(AND(AV!$S$24&lt;F195,F195&lt;=AV!$T$24),AV!$P$24*((AV!$S$24-RASANTE!F195)/(AV!$N$24))^2,IF(AND(AV!$T$24&lt;RASANTE!F195,F195&lt;AV!$U$24),AV!$P$24*((AV!$U$24-RASANTE!F195)/(AV!$O$24))^2,0))))))))))))))))))))</f>
        <v>0</v>
      </c>
      <c r="L67" s="28">
        <f>+M67+H67%*PERALTE!$C$32</f>
        <v>1643.2856000000008</v>
      </c>
      <c r="M67" s="28">
        <f t="shared" si="3"/>
        <v>1643.0056000000009</v>
      </c>
      <c r="N67" s="28">
        <f>+M67+I67%*PERALTE!$C$32</f>
        <v>1642.7256000000009</v>
      </c>
      <c r="O67" s="92"/>
      <c r="P67" s="84"/>
      <c r="Q67" s="84"/>
      <c r="R67" s="84"/>
      <c r="S67" s="84"/>
      <c r="T67" s="84"/>
      <c r="U67" s="84"/>
      <c r="V67" s="84"/>
      <c r="W67" s="84"/>
      <c r="X67" s="84"/>
      <c r="Y67" s="84"/>
    </row>
    <row r="68" spans="1:25" ht="15.75" customHeight="1" x14ac:dyDescent="0.2">
      <c r="A68" s="90"/>
      <c r="B68" s="86"/>
      <c r="C68" s="86"/>
      <c r="D68" s="86"/>
      <c r="F68" s="34">
        <v>430</v>
      </c>
      <c r="G68" s="88">
        <f>IF(F68&lt;=AV!$T$6,AV!$C$5,IF(RASANTE!F68&lt;=AV!$T$8,AV!$C$7,IF(RASANTE!F68&lt;=AV!$T$10,AV!$C$9,IF(RASANTE!F68&lt;=AV!$T$12,AV!#REF!,IF(RASANTE!F68&lt;=AV!$T$14,AV!$C$11,IF(RASANTE!F68&lt;=AV!$T$16,AV!$C$13, IF(RASANTE!F68&lt;=AV!$T$18,AV!$C$15,IF(RASANTE!F68&lt;=AV!$T$20,AV!$C$19,IF(RASANTE!F68&lt;=AV!$T$22,AV!$C$21,IF(RASANTE!F68&lt;=AV!$T$24,AV!$C$23,AV!$C$25))))))))))</f>
        <v>-7.774</v>
      </c>
      <c r="H68" s="28">
        <f>+IF(AND(AH!$H$8="Izquierda",RASANTE!F68&lt;=PERALTE!$AB$6),IF(RASANTE!F68&lt;=PERALTE!$S$6,-2,IF(RASANTE!F68&lt;=PERALTE!$U$6,(-6/(PERALTE!$U$6-PERALTE!$S$6)*(RASANTE!F68-PERALTE!$S$6)-2),IF(RASANTE!F68&lt;=PERALTE!$X$6,-8,IF(RASANTE!F68&lt;=PERALTE!$Z$6,(-6/(PERALTE!$X$6-PERALTE!$Z$6)*(RASANTE!F68-PERALTE!$Z$6)-2),IF(RASANTE!F68&lt;=PERALTE!$AB$6,-2))))),IF(AND(AH!$H$8="Derecha",RASANTE!F68&lt;=PERALTE!$AB$6),IF(RASANTE!F68&lt;=PERALTE!$Q$6,-2,IF(RASANTE!F68&lt;=PERALTE!$U$6,(10/(PERALTE!$U$6-PERALTE!$Q$6)*(RASANTE!F68-PERALTE!$Q$6)-2),IF(RASANTE!F68&lt;=PERALTE!$X$6,8,IF(RASANTE!F68&lt;=PERALTE!$AB$6,(10/(PERALTE!$X$6-PERALTE!$AB$6)*(RASANTE!F68-PERALTE!$AB$6)-2))))),IF(AND(AH!$H$10="Izquierda",RASANTE!F68&lt;=PERALTE!$AB$8),IF(RASANTE!F68&lt;=PERALTE!$S$8,-2,IF(RASANTE!F68&lt;=PERALTE!$U$8,(-6/(PERALTE!$U$8-PERALTE!$S$8)*(RASANTE!F68-PERALTE!$S$8)-2),IF(RASANTE!F68&lt;=PERALTE!$X$8,-8,IF(RASANTE!F68&lt;=PERALTE!$Z$8,(-6/(PERALTE!$X$8-PERALTE!$Z$8)*(RASANTE!F68-PERALTE!$Z$8)-2),IF(RASANTE!F68&lt;=PERALTE!$AB$8,-2))))),IF(AND(AH!$H$10="Derecha",RASANTE!F68&lt;=PERALTE!$AB$8),IF(RASANTE!F68&lt;=PERALTE!$Q$8,-2,IF(RASANTE!F68&lt;=PERALTE!$U$8,(10/(PERALTE!$U$8-PERALTE!$Q$8)*(RASANTE!F68-PERALTE!$Q$8)-2),IF(RASANTE!F68&lt;=PERALTE!$X$8,8,IF(RASANTE!F68&lt;=PERALTE!$AB$8,(10/(PERALTE!$X$8-PERALTE!$AB$8)*(RASANTE!F68-PERALTE!$AB$8)-2))))),IF(AND(AH!$H$12="Izquierda",RASANTE!F68&lt;=PERALTE!$AB$10),IF(RASANTE!F68&lt;=PERALTE!$S$10,-2,IF(RASANTE!F68&lt;=PERALTE!$U$10,(-6/(PERALTE!$U$10-PERALTE!$S$10)*(RASANTE!F68-PERALTE!$S$10)-2),IF(RASANTE!F68&lt;=PERALTE!$X$10,-8,IF(RASANTE!F68&lt;=PERALTE!$Z$10,(-6/(PERALTE!$X$10-PERALTE!$Z$10)*(RASANTE!F68-PERALTE!$Z$10)-2),IF(RASANTE!F68&lt;=PERALTE!$AB$10,-2))))),IF(AND(AH!$H$12="Derecha",RASANTE!F68&lt;=PERALTE!$AB$10),IF(RASANTE!F68&lt;=PERALTE!$Q$10,-2,IF(RASANTE!F68&lt;=PERALTE!$U$10,(10/(PERALTE!$U$10-PERALTE!$Q$10)*(RASANTE!F68-PERALTE!$Q$10)-2),IF(RASANTE!F68&lt;=PERALTE!$X$10,8,IF(RASANTE!F68&lt;=PERALTE!$AB$10,(10/(PERALTE!$X$10-PERALTE!$AB$10)*(RASANTE!F68-PERALTE!$AB$10)-2))))),IF(AND(AH!$H$14="Izquierda",RASANTE!F68&lt;=PERALTE!$AB$12),IF(RASANTE!F68&lt;=PERALTE!$S$12,-2,IF(RASANTE!F68&lt;=PERALTE!$U$12,(-6/(PERALTE!$U$12-PERALTE!$S$12)*(RASANTE!F68-PERALTE!$S$12)-2),IF(RASANTE!F68&lt;=PERALTE!$X$12,-8,IF(RASANTE!F68&lt;=PERALTE!$Z$12,(-6/(PERALTE!$X$12-PERALTE!$Z$12)*(RASANTE!F68-PERALTE!$Z$12)-2),IF(RASANTE!F68&lt;=PERALTE!$AB$12,-2))))),IF(AND(AH!$H$14="Derecha",RASANTE!F68&lt;=PERALTE!$AB$12),IF(RASANTE!F68&lt;=PERALTE!$Q$12,-2,IF(RASANTE!F68&lt;=PERALTE!$U$12,(10/(PERALTE!$U$12-PERALTE!$Q$12)*(RASANTE!F68-PERALTE!$Q$12)-2),IF(RASANTE!F68&lt;=PERALTE!$X$12,8,IF(RASANTE!F68&lt;=PERALTE!$AB$12,(10/(PERALTE!$X$12-PERALTE!$AB$12)*(RASANTE!F68-PERALTE!$AB$12)-2))))),IF(AND(AH!$H$16="Izquierda",RASANTE!F68&lt;=PERALTE!$AB$14),IF(RASANTE!F68&lt;=PERALTE!$S$14,-2,IF(RASANTE!F68&lt;=PERALTE!$U$14,(-6/(PERALTE!$U$14-PERALTE!$S$14)*(RASANTE!F68-PERALTE!$S$14)-2),IF(RASANTE!F68&lt;=PERALTE!$X$14,-8,IF(RASANTE!F68&lt;=PERALTE!$Z$14,(-6/(PERALTE!$X$14-PERALTE!$Z$14)*(RASANTE!F68-PERALTE!$Z$14)-2),IF(RASANTE!F68&lt;=PERALTE!$AB$14,-2))))),IF(AND(AH!$H$16="Derecha",RASANTE!F68&lt;=PERALTE!$AB$14),IF(RASANTE!F68&lt;=PERALTE!$Q$14,-2,IF(RASANTE!F68&lt;=PERALTE!$U$14,(10/(PERALTE!$U$14-PERALTE!$Q$14)*(RASANTE!F68-PERALTE!$Q$14)-2),IF(RASANTE!F68&lt;=PERALTE!$X$14,8,IF(RASANTE!F68&lt;=PERALTE!$AB$14,(10/(PERALTE!$X$14-PERALTE!$AB$14)*(RASANTE!F68-PERALTE!$AB$14)-2))))),IF(AND(AH!$H$18="Izquierda",RASANTE!F68&lt;=PERALTE!$AB$16),IF(RASANTE!F68&lt;=PERALTE!$S$16,-2,IF(RASANTE!F68&lt;=PERALTE!$U$16,(-6/(PERALTE!$U$16-PERALTE!$S$16)*(RASANTE!F68-PERALTE!$S$16)-2),IF(RASANTE!F68&lt;=PERALTE!$X$16,-8,IF(RASANTE!F68&lt;=PERALTE!$Z$16,(-6/(PERALTE!$X$16-PERALTE!$Z$16)*(RASANTE!F68-PERALTE!$Z$16)-2),IF(RASANTE!F68&lt;=PERALTE!$AB$16,-2))))),IF(AND(AH!$H$18="Derecha",RASANTE!F68&lt;=PERALTE!$AB$16),IF(RASANTE!F68&lt;=PERALTE!$Q$16,-2,IF(RASANTE!F68&lt;=PERALTE!$U$16,(10/(PERALTE!$U$16-PERALTE!$Q$16)*(RASANTE!F68-PERALTE!$Q$16)-2),IF(RASANTE!F68&lt;=PERALTE!$X$16,8,IF(RASANTE!F68&lt;=PERALTE!$AB$16,(10/(PERALTE!$X$16-PERALTE!$AB$16)*(RASANTE!F68-PERALTE!$AB$16)-2))))),IF(AND(AH!$H$20="Izquierda",RASANTE!F68&lt;=PERALTE!$AB$18),IF(RASANTE!F68&lt;=PERALTE!$S$18,-2,IF(RASANTE!F68&lt;=PERALTE!$U$18,(-6/(PERALTE!$U$18-PERALTE!$S$18)*(RASANTE!F68-PERALTE!$S$18)-2),IF(RASANTE!F68&lt;=PERALTE!$X$18,-8,IF(RASANTE!F68&lt;=PERALTE!$Z$18,(-6/(PERALTE!$X$18-PERALTE!$Z$18)*(RASANTE!F68-PERALTE!$Z$18)-2),IF(RASANTE!F68&lt;=PERALTE!$AB$18,-2))))),IF(AND(AH!$H$20="Derecha",RASANTE!F68&lt;=PERALTE!$AB$18),IF(RASANTE!F68&lt;=PERALTE!$Q$18,-2,IF(RASANTE!F68&lt;=PERALTE!$U$18,(10/(PERALTE!$U$18-PERALTE!$Q$18)*(RASANTE!F68-PERALTE!$Q$18)-2),IF(RASANTE!F68&lt;=PERALTE!$X$18,8,IF(RASANTE!F68&lt;=PERALTE!$AB$18,(10/(PERALTE!$X$18-PERALTE!$AB$18)*(RASANTE!F68-PERALTE!$AB$18)-2))))),IF(AND(AH!$H$24="Izquierda",RASANTE!F68&lt;=PERALTE!$AB$22),IF(RASANTE!F68&lt;=PERALTE!$S$22,-2,IF(RASANTE!F68&lt;=PERALTE!$U$22,(-6/(PERALTE!$U$22-PERALTE!$S$22)*(RASANTE!F68-PERALTE!$S$22)-2),IF(RASANTE!F68&lt;=PERALTE!$X$22,-8,IF(RASANTE!F68&lt;=PERALTE!$Z$22,(-6/(PERALTE!$X$22-PERALTE!$Z$22)*(RASANTE!F68-PERALTE!$Z$22)-2),IF(RASANTE!F68&lt;=PERALTE!$AB$22,-2))))),IF(AND(AH!$H$24="Derecha",RASANTE!F68&lt;=PERALTE!$AB$22),IF(RASANTE!F68&lt;=PERALTE!$Q$22,-2,IF(RASANTE!F68&lt;=PERALTE!$U$22,(10/(PERALTE!$U$22-PERALTE!$Q$22)*(RASANTE!F68-PERALTE!$Q$22)-2),IF(RASANTE!F68&lt;=PERALTE!$X$22,8,IF(RASANTE!F68&lt;=PERALTE!$AB$22,(10/(PERALTE!$X$22-PERALTE!$AB$22)*(RASANTE!F68-PERALTE!$AB$22)-2))))),IF(AND(AH!#REF!="Izquierda",RASANTE!F68&lt;=PERALTE!#REF!),IF(RASANTE!F68&lt;=PERALTE!#REF!,-2,IF(RASANTE!F68&lt;=PERALTE!#REF!,(-6/(PERALTE!#REF!-PERALTE!#REF!)*(RASANTE!F68-PERALTE!#REF!)-2),IF(RASANTE!F68&lt;=PERALTE!#REF!,-8,IF(RASANTE!F68&lt;=PERALTE!#REF!,(-6/(PERALTE!#REF!-PERALTE!#REF!)*(RASANTE!F68-PERALTE!#REF!)-2),IF(RASANTE!F68&lt;=PERALTE!#REF!,-2))))),IF(AND(AH!#REF!="Derecha",RASANTE!F68&lt;=PERALTE!#REF!),IF(RASANTE!F68&lt;=PERALTE!#REF!,-2,IF(RASANTE!F68&lt;=PERALTE!#REF!,(10/(PERALTE!#REF!-PERALTE!#REF!)*(RASANTE!F68-PERALTE!#REF!)-2),IF(RASANTE!F68&lt;=PERALTE!#REF!,8,IF(RASANTE!F68&lt;=PERALTE!#REF!,(10/(PERALTE!#REF!-PERALTE!#REF!)*(RASANTE!F68-PERALTE!#REF!)-2))))),IF(AND(AH!#REF!="Izquierda",RASANTE!F68&lt;=PERALTE!$AB$26),IF(RASANTE!F68&lt;=PERALTE!$S$26,-2,IF(RASANTE!F68&lt;=PERALTE!$U$26,(-6/(PERALTE!$U$26-PERALTE!$S$26)*(RASANTE!F68-PERALTE!$S$26)-2),IF(RASANTE!F68&lt;=PERALTE!$X$26,-8,IF(RASANTE!F68&lt;=PERALTE!$Z$26,(-6/(PERALTE!$X$26-PERALTE!$Z$26)*(RASANTE!F68-PERALTE!$Z$26)-2),IF(RASANTE!F68&lt;=PERALTE!$AB$26,-2))))),IF(AND(AH!#REF!="Derecha",RASANTE!F68&lt;=PERALTE!$AB$26),IF(RASANTE!F68&lt;=PERALTE!$Q$26,-2,IF(RASANTE!F68&lt;=PERALTE!$U$26,(10/(PERALTE!$U$26-PERALTE!$Q$26)*(RASANTE!F68-PERALTE!$Q$26)-2),IF(RASANTE!F68&lt;=PERALTE!$X$26,8,IF(RASANTE!F68&lt;=PERALTE!$AB$26,(10/(PERALTE!$X$26-PERALTE!$AB$26)*(RASANTE!F68-PERALTE!$AB$26)-2))))),IF(F68&lt;=PERALTE!#REF!,-2,"Abscisa fuera de la vía")))))))))))))))))))))</f>
        <v>8</v>
      </c>
      <c r="I68" s="28">
        <f>+IF(AND(AH!$H$8="Derecha",RASANTE!F68&lt;=PERALTE!$AB$6),IF(RASANTE!F68&lt;=PERALTE!$S$6,-2,IF(RASANTE!F68&lt;=PERALTE!$U$6,(-6/(PERALTE!$U$6-PERALTE!$S$6)*(RASANTE!F68-PERALTE!$S$6)-2),IF(RASANTE!F68&lt;=PERALTE!$X$6,-8,IF(RASANTE!F68&lt;=PERALTE!$Z$6,(-6/(PERALTE!$X$6-PERALTE!$Z$6)*(RASANTE!F68-PERALTE!$Z$6)-2),IF(RASANTE!F68&lt;=PERALTE!$AB$6,-2))))),IF(AND(AH!$H$8="Izquierda",RASANTE!F68&lt;=PERALTE!$AB$6),IF(RASANTE!F68&lt;=PERALTE!$Q$6,-2,IF(RASANTE!F68&lt;=PERALTE!$U$6,(10/(PERALTE!$U$6-PERALTE!$Q$6)*(RASANTE!F68-PERALTE!$Q$6)-2),IF(RASANTE!F68&lt;=PERALTE!$X$6,8,IF(RASANTE!F68&lt;=PERALTE!$AB$6,(10/(PERALTE!$X$6-PERALTE!$AB$6)*(RASANTE!F68-PERALTE!$AB$6)-2))))),IF(AND(AH!$H$10="Derecha",RASANTE!F68&lt;=PERALTE!$AB$8),IF(RASANTE!F68&lt;=PERALTE!$S$8,-2,IF(RASANTE!F68&lt;=PERALTE!$U$8,(-6/(PERALTE!$U$8-PERALTE!$S$8)*(RASANTE!F68-PERALTE!$S$8)-2),IF(RASANTE!F68&lt;=PERALTE!$X$8,-8,IF(RASANTE!F68&lt;=PERALTE!$Z$8,(-6/(PERALTE!$X$8-PERALTE!$Z$8)*(RASANTE!F68-PERALTE!$Z$8)-2),IF(RASANTE!F68&lt;=PERALTE!$AB$8,-2))))),IF(AND(AH!$H$10="Izquierda",RASANTE!F68&lt;=PERALTE!$AB$8),IF(RASANTE!F68&lt;=PERALTE!$Q$8,-2,IF(RASANTE!F68&lt;=PERALTE!$U$8,(10/(PERALTE!$U$8-PERALTE!$Q$8)*(RASANTE!F68-PERALTE!$Q$8)-2),IF(RASANTE!F68&lt;=PERALTE!$X$8,8,IF(RASANTE!F68&lt;=PERALTE!$AB$8,(10/(PERALTE!$X$8-PERALTE!$AB$8)*(RASANTE!F68-PERALTE!$AB$8)-2))))),IF(AND(AH!$H$12="Derecha",RASANTE!F68&lt;=PERALTE!$AB$10),IF(RASANTE!F68&lt;=PERALTE!$S$10,-2,IF(RASANTE!F68&lt;=PERALTE!$U$10,(-6/(PERALTE!$U$10-PERALTE!$S$10)*(RASANTE!F68-PERALTE!$S$10)-2),IF(RASANTE!F68&lt;=PERALTE!$X$10,-8,IF(RASANTE!F68&lt;=PERALTE!$Z$10,(-6/(PERALTE!$X$10-PERALTE!$Z$10)*(RASANTE!F68-PERALTE!$Z$10)-2),IF(RASANTE!F68&lt;=PERALTE!$AB$10,-2))))),IF(AND(AH!$H$12="Izquierda",RASANTE!F68&lt;=PERALTE!$AB$10),IF(RASANTE!F68&lt;=PERALTE!$Q$10,-2,IF(RASANTE!F68&lt;=PERALTE!$U$10,(10/(PERALTE!$U$10-PERALTE!$Q$10)*(RASANTE!F68-PERALTE!$Q$10)-2),IF(RASANTE!F68&lt;=PERALTE!$X$10,8,IF(RASANTE!F68&lt;=PERALTE!$AB$10,(10/(PERALTE!$X$10-PERALTE!$AB$10)*(RASANTE!F68-PERALTE!$AB$10)-2))))),IF(AND(AH!$H$14="Derecha",RASANTE!F68&lt;=PERALTE!$AB$12),IF(RASANTE!F68&lt;=PERALTE!$S$12,-2,IF(RASANTE!F68&lt;=PERALTE!$U$12,(-6/(PERALTE!$U$12-PERALTE!$S$12)*(RASANTE!F68-PERALTE!$S$12)-2),IF(RASANTE!F68&lt;=PERALTE!$X$12,-8,IF(RASANTE!F68&lt;=PERALTE!$Z$12,(-6/(PERALTE!$X$12-PERALTE!$Z$12)*(RASANTE!F68-PERALTE!$Z$12)-2),IF(RASANTE!F68&lt;=PERALTE!$AB$12,-2))))),IF(AND(AH!$H$14="Izquierda",RASANTE!F68&lt;=PERALTE!$AB$12),IF(RASANTE!F68&lt;=PERALTE!$Q$12,-2,IF(RASANTE!F68&lt;=PERALTE!$U$12,(10/(PERALTE!$U$12-PERALTE!$Q$12)*(RASANTE!F68-PERALTE!$Q$12)-2),IF(RASANTE!F68&lt;=PERALTE!$X$12,8,IF(RASANTE!F68&lt;=PERALTE!$AB$12,(10/(PERALTE!$X$12-PERALTE!$AB$12)*(RASANTE!F68-PERALTE!$AB$12)-2))))),IF(AND(AH!$H$16="Derecha",RASANTE!F68&lt;=PERALTE!$AB$14),IF(RASANTE!F68&lt;=PERALTE!$S$14,-2,IF(RASANTE!F68&lt;=PERALTE!$U$14,(-6/(PERALTE!$U$14-PERALTE!$S$14)*(RASANTE!F68-PERALTE!$S$14)-2),IF(RASANTE!F68&lt;=PERALTE!$X$14,-8,IF(RASANTE!F68&lt;=PERALTE!$Z$14,(-6/(PERALTE!$X$14-PERALTE!$Z$14)*(RASANTE!F68-PERALTE!$Z$14)-2),IF(RASANTE!F68&lt;=PERALTE!$AB$14,-2))))),IF(AND(AH!$H$16="Izquierda",RASANTE!F68&lt;=PERALTE!$AB$14),IF(RASANTE!F68&lt;=PERALTE!$Q$14,-2,IF(RASANTE!F68&lt;=PERALTE!$U$14,(10/(PERALTE!$U$14-PERALTE!$Q$14)*(RASANTE!F68-PERALTE!$Q$14)-2),IF(RASANTE!F68&lt;=PERALTE!$X$14,8,IF(RASANTE!F68&lt;=PERALTE!$AB$14,(10/(PERALTE!$X$14-PERALTE!$AB$14)*(RASANTE!F68-PERALTE!$AB$14)-2))))),IF(AND(AH!$H$18="Derecha",RASANTE!F68&lt;=PERALTE!$AB$16),IF(RASANTE!F68&lt;=PERALTE!$S$16,-2,IF(RASANTE!F68&lt;=PERALTE!$U$16,(-6/(PERALTE!$U$16-PERALTE!$S$16)*(RASANTE!F68-PERALTE!$S$16)-2),IF(RASANTE!F68&lt;=PERALTE!$X$16,-8,IF(RASANTE!F68&lt;=PERALTE!$Z$16,(-6/(PERALTE!$X$16-PERALTE!$Z$16)*(RASANTE!F68-PERALTE!$Z$16)-2),IF(RASANTE!F68&lt;=PERALTE!$AB$16,-2))))),IF(AND(AH!$H$18="Izquierda",RASANTE!F68&lt;=PERALTE!$AB$16),IF(RASANTE!F68&lt;=PERALTE!$Q$16,-2,IF(RASANTE!F68&lt;=PERALTE!$U$16,(10/(PERALTE!$U$16-PERALTE!$Q$16)*(RASANTE!F68-PERALTE!$Q$16)-2),IF(RASANTE!F68&lt;=PERALTE!$X$16,8,IF(RASANTE!F68&lt;=PERALTE!$AB$16,(10/(PERALTE!$X$16-PERALTE!$AB$16)*(RASANTE!F68-PERALTE!$AB$16)-2))))),IF(AND(AH!$H$20="Derecha",RASANTE!F68&lt;=PERALTE!$AB$18),IF(RASANTE!F68&lt;=PERALTE!$S$18,-2,IF(RASANTE!F68&lt;=PERALTE!$U$18,(-6/(PERALTE!$U$18-PERALTE!$S$18)*(RASANTE!F68-PERALTE!$S$18)-2),IF(RASANTE!F68&lt;=PERALTE!$X$18,-8,IF(RASANTE!F68&lt;=PERALTE!$Z$18,(-6/(PERALTE!$X$18-PERALTE!$Z$18)*(RASANTE!F68-PERALTE!$Z$18)-2),IF(RASANTE!F68&lt;=PERALTE!$AB$18,-2))))),IF(AND(AH!$H$20="Izquierda",RASANTE!F68&lt;=PERALTE!$AB$18),IF(RASANTE!F68&lt;=PERALTE!$Q$18,-2,IF(RASANTE!F68&lt;=PERALTE!$U$18,(10/(PERALTE!$U$18-PERALTE!$Q$18)*(RASANTE!F68-PERALTE!$Q$18)-2),IF(RASANTE!F68&lt;=PERALTE!$X$18,8,IF(RASANTE!F68&lt;=PERALTE!$AB$18,(10/(PERALTE!$X$18-PERALTE!$AB$18)*(RASANTE!F68-PERALTE!$AB$18)-2))))),IF(AND(AH!$H$24="Derecha",RASANTE!F68&lt;=PERALTE!$AB$22),IF(RASANTE!F68&lt;=PERALTE!$S$22,-2,IF(RASANTE!F68&lt;=PERALTE!$U$22,(-6/(PERALTE!$U$22-PERALTE!$S$22)*(RASANTE!F68-PERALTE!$S$22)-2),IF(RASANTE!F68&lt;=PERALTE!$X$22,-8,IF(RASANTE!F68&lt;=PERALTE!$Z$22,(-6/(PERALTE!$X$22-PERALTE!$Z$22)*(RASANTE!F68-PERALTE!$Z$22)-2),IF(RASANTE!F68&lt;=PERALTE!$AB$22,-2))))),IF(AND(AH!$H$24="Izquierda",RASANTE!F68&lt;=PERALTE!$AB$22),IF(RASANTE!F68&lt;=PERALTE!$Q$22,-2,IF(RASANTE!F68&lt;=PERALTE!$U$22,(10/(PERALTE!$U$22-PERALTE!$Q$22)*(RASANTE!F68-PERALTE!$Q$22)-2),IF(RASANTE!F68&lt;=PERALTE!$X$22,8,IF(RASANTE!F68&lt;=PERALTE!$AB$22,(10/(PERALTE!$X$22-PERALTE!$AB$22)*(RASANTE!F68-PERALTE!$AB$22)-2))))),IF(AND(AH!#REF!="Derecha",RASANTE!F68&lt;=PERALTE!#REF!),IF(RASANTE!F68&lt;=PERALTE!#REF!,-2,IF(RASANTE!F68&lt;=PERALTE!#REF!,(-6/(PERALTE!#REF!-PERALTE!#REF!)*(RASANTE!F68-PERALTE!#REF!)-2),IF(RASANTE!F68&lt;=PERALTE!#REF!,-8,IF(RASANTE!F68&lt;=PERALTE!#REF!,(-6/(PERALTE!#REF!-PERALTE!#REF!)*(RASANTE!F68-PERALTE!#REF!)-2),IF(RASANTE!F68&lt;=PERALTE!#REF!,-2))))),IF(AND(AH!#REF!="Izquierda",RASANTE!F68&lt;=PERALTE!#REF!),IF(RASANTE!F68&lt;=PERALTE!#REF!,-2,IF(RASANTE!F68&lt;=PERALTE!#REF!,(10/(PERALTE!#REF!-PERALTE!#REF!)*(RASANTE!F68-PERALTE!#REF!)-2),IF(RASANTE!F68&lt;=PERALTE!#REF!,8,IF(RASANTE!F68&lt;=PERALTE!#REF!,(10/(PERALTE!#REF!-PERALTE!#REF!)*(RASANTE!F68-PERALTE!#REF!)-2))))),IF(AND(AH!#REF!="Derecha",RASANTE!F68&lt;=PERALTE!$AB$26),IF(RASANTE!F68&lt;=PERALTE!$S$26,-2,IF(RASANTE!F68&lt;=PERALTE!$U$26,(-6/(PERALTE!$U$26-PERALTE!$S$26)*(RASANTE!F68-PERALTE!$S$26)-2),IF(RASANTE!F68&lt;=PERALTE!$X$26,-8,IF(RASANTE!F68&lt;=PERALTE!$Z$26,(-6/(PERALTE!$X$26-PERALTE!$Z$26)*(RASANTE!F68-PERALTE!$Z$26)-2),IF(RASANTE!F68&lt;=PERALTE!$AB$26,-2))))),IF(AND(AH!#REF!="Izquierda",RASANTE!F68&lt;=PERALTE!$AB$26),IF(RASANTE!F68&lt;=PERALTE!$Q$26,-2,IF(RASANTE!F68&lt;=PERALTE!$U$26,(10/(PERALTE!$U$26-PERALTE!$Q$26)*(RASANTE!F68-PERALTE!$Q$26)-2),IF(RASANTE!F68&lt;=PERALTE!$X$26,8,IF(RASANTE!F68&lt;=PERALTE!$AB$26,(10/(PERALTE!$X$26-PERALTE!$AB$26)*(RASANTE!F68-PERALTE!$AB$26)-2))))),IF(F68&lt;=PERALTE!#REF!,-2,"Abscisa fuera de la vía")))))))))))))))))))))</f>
        <v>-8</v>
      </c>
      <c r="J68" s="28">
        <f t="shared" si="1"/>
        <v>1642.2282000000009</v>
      </c>
      <c r="K68" s="28">
        <f>+IF(AND(AV!$S$6&lt;F196,F196&lt;=AV!$T$6),AV!$P$6*((AV!$S$6-RASANTE!F196)/(AV!$N$6))^2,IF(AND(AV!$T$6&lt;RASANTE!F196,F196&lt;AV!$U$6),AV!$P$6*((AV!$U$6-RASANTE!F196)/(AV!$O$6))^2,IF(AND(AV!$S$8&lt;F196,F196&lt;=AV!$T$8),AV!$P$8*((AV!$S$8-RASANTE!F196)/(AV!$N$8))^2,IF(AND(AV!$T$8&lt;RASANTE!F196,F196&lt;AV!$U$8),AV!$P$8*((AV!$U$8-RASANTE!F196)/(AV!$O$8))^2,IF(AND(AV!$S$10&lt;F196,F196&lt;=AV!$T$10),AV!$P$10*((AV!$S$10-RASANTE!F196)/(AV!$N$10))^2,IF(AND(AV!$T$10&lt;RASANTE!F196,F196&lt;AV!$U$10),AV!$P$10*((AV!$U$10-RASANTE!F196)/(AV!$O$10))^2,IF(AND(AV!$S$12&lt;F196,F196&lt;=AV!$T$12),AV!$P$12*((AV!$S$12-RASANTE!F196)/(AV!$N$12))^2,IF(AND(AV!$T$12&lt;RASANTE!F196,F196&lt;AV!$U$12),AV!$P$12*((AV!$U$12-RASANTE!F196)/(AV!$O$12))^2,IF(AND(AV!$S$14&lt;F196,F196&lt;=AV!$T$14),AV!$P$14*((AV!$S$14-RASANTE!F196)/(AV!$N$14))^2,IF(AND(AV!$T$14&lt;RASANTE!F196,F196&lt;AV!$U$14),AV!$P$14*((AV!$U$14-RASANTE!F196)/(AV!$O$14))^2,IF(AND(AV!$S$16&lt;F196,F196&lt;=AV!$T$16),AV!$P$16*((AV!$S$16-RASANTE!F196)/(AV!$N$16))^2,IF(AND(AV!$T$16&lt;RASANTE!F196,F196&lt;AV!$U$16),AV!$P$16*((AV!$U$16-RASANTE!F196)/(AV!$O$16))^2,IF(AND(AV!$S$18&lt;F196,F196&lt;=AV!$T$18),AV!$P$18*((AV!$S$18-RASANTE!F196)/(AV!$N$18))^2,IF(AND(AV!$T$18&lt;RASANTE!F196,F196&lt;AV!$U$18),AV!$P$18*((AV!$U$18-RASANTE!F196)/(AV!$O$18))^2,IF(AND(AV!$S$20&lt;F196,F196&lt;=AV!$T$20),AV!$P$20*((AV!$S$20-RASANTE!F196)/(AV!$N$20))^2,IF(AND(AV!$T$20&lt;RASANTE!F196,F196&lt;AV!$U$20),AV!$P$20*((AV!$U$20-RASANTE!F196)/(AV!$O$20))^2,IF(AND(AV!$S$22&lt;F196,F196&lt;=AV!$T$22),AV!$P$22*((AV!$S$22-RASANTE!F196)/(AV!$N$22))^2,IF(AND(AV!$T$22&lt;RASANTE!F196,F196&lt;AV!$U$22),AV!$P$22*((AV!$U$22-RASANTE!F196)/(AV!$O$22))^2,IF(AND(AV!$S$24&lt;F196,F196&lt;=AV!$T$24),AV!$P$24*((AV!$S$24-RASANTE!F196)/(AV!$N$24))^2,IF(AND(AV!$T$24&lt;RASANTE!F196,F196&lt;AV!$U$24),AV!$P$24*((AV!$U$24-RASANTE!F196)/(AV!$O$24))^2,0))))))))))))))))))))</f>
        <v>0</v>
      </c>
      <c r="L68" s="28">
        <f>+M68+H68%*PERALTE!$C$32</f>
        <v>1642.5082000000009</v>
      </c>
      <c r="M68" s="28">
        <f t="shared" si="3"/>
        <v>1642.2282000000009</v>
      </c>
      <c r="N68" s="28">
        <f>+M68+I68%*PERALTE!$C$32</f>
        <v>1641.948200000001</v>
      </c>
      <c r="O68" s="92"/>
      <c r="P68" s="84"/>
      <c r="Q68" s="84"/>
      <c r="R68" s="84"/>
      <c r="S68" s="84"/>
      <c r="T68" s="84"/>
      <c r="U68" s="84"/>
      <c r="V68" s="84"/>
      <c r="W68" s="84"/>
      <c r="X68" s="84"/>
      <c r="Y68" s="84"/>
    </row>
    <row r="69" spans="1:25" ht="15.75" customHeight="1" x14ac:dyDescent="0.2">
      <c r="A69" s="90"/>
      <c r="B69" s="86"/>
      <c r="C69" s="86"/>
      <c r="D69" s="86"/>
      <c r="F69" s="34">
        <v>440</v>
      </c>
      <c r="G69" s="88">
        <f>IF(F69&lt;=AV!$T$6,AV!$C$5,IF(RASANTE!F69&lt;=AV!$T$8,AV!$C$7,IF(RASANTE!F69&lt;=AV!$T$10,AV!$C$9,IF(RASANTE!F69&lt;=AV!$T$12,AV!#REF!,IF(RASANTE!F69&lt;=AV!$T$14,AV!$C$11,IF(RASANTE!F69&lt;=AV!$T$16,AV!$C$13, IF(RASANTE!F69&lt;=AV!$T$18,AV!$C$15,IF(RASANTE!F69&lt;=AV!$T$20,AV!$C$19,IF(RASANTE!F69&lt;=AV!$T$22,AV!$C$21,IF(RASANTE!F69&lt;=AV!$T$24,AV!$C$23,AV!$C$25))))))))))</f>
        <v>-7.774</v>
      </c>
      <c r="H69" s="28">
        <f>+IF(AND(AH!$H$8="Izquierda",RASANTE!F69&lt;=PERALTE!$AB$6),IF(RASANTE!F69&lt;=PERALTE!$S$6,-2,IF(RASANTE!F69&lt;=PERALTE!$U$6,(-6/(PERALTE!$U$6-PERALTE!$S$6)*(RASANTE!F69-PERALTE!$S$6)-2),IF(RASANTE!F69&lt;=PERALTE!$X$6,-8,IF(RASANTE!F69&lt;=PERALTE!$Z$6,(-6/(PERALTE!$X$6-PERALTE!$Z$6)*(RASANTE!F69-PERALTE!$Z$6)-2),IF(RASANTE!F69&lt;=PERALTE!$AB$6,-2))))),IF(AND(AH!$H$8="Derecha",RASANTE!F69&lt;=PERALTE!$AB$6),IF(RASANTE!F69&lt;=PERALTE!$Q$6,-2,IF(RASANTE!F69&lt;=PERALTE!$U$6,(10/(PERALTE!$U$6-PERALTE!$Q$6)*(RASANTE!F69-PERALTE!$Q$6)-2),IF(RASANTE!F69&lt;=PERALTE!$X$6,8,IF(RASANTE!F69&lt;=PERALTE!$AB$6,(10/(PERALTE!$X$6-PERALTE!$AB$6)*(RASANTE!F69-PERALTE!$AB$6)-2))))),IF(AND(AH!$H$10="Izquierda",RASANTE!F69&lt;=PERALTE!$AB$8),IF(RASANTE!F69&lt;=PERALTE!$S$8,-2,IF(RASANTE!F69&lt;=PERALTE!$U$8,(-6/(PERALTE!$U$8-PERALTE!$S$8)*(RASANTE!F69-PERALTE!$S$8)-2),IF(RASANTE!F69&lt;=PERALTE!$X$8,-8,IF(RASANTE!F69&lt;=PERALTE!$Z$8,(-6/(PERALTE!$X$8-PERALTE!$Z$8)*(RASANTE!F69-PERALTE!$Z$8)-2),IF(RASANTE!F69&lt;=PERALTE!$AB$8,-2))))),IF(AND(AH!$H$10="Derecha",RASANTE!F69&lt;=PERALTE!$AB$8),IF(RASANTE!F69&lt;=PERALTE!$Q$8,-2,IF(RASANTE!F69&lt;=PERALTE!$U$8,(10/(PERALTE!$U$8-PERALTE!$Q$8)*(RASANTE!F69-PERALTE!$Q$8)-2),IF(RASANTE!F69&lt;=PERALTE!$X$8,8,IF(RASANTE!F69&lt;=PERALTE!$AB$8,(10/(PERALTE!$X$8-PERALTE!$AB$8)*(RASANTE!F69-PERALTE!$AB$8)-2))))),IF(AND(AH!$H$12="Izquierda",RASANTE!F69&lt;=PERALTE!$AB$10),IF(RASANTE!F69&lt;=PERALTE!$S$10,-2,IF(RASANTE!F69&lt;=PERALTE!$U$10,(-6/(PERALTE!$U$10-PERALTE!$S$10)*(RASANTE!F69-PERALTE!$S$10)-2),IF(RASANTE!F69&lt;=PERALTE!$X$10,-8,IF(RASANTE!F69&lt;=PERALTE!$Z$10,(-6/(PERALTE!$X$10-PERALTE!$Z$10)*(RASANTE!F69-PERALTE!$Z$10)-2),IF(RASANTE!F69&lt;=PERALTE!$AB$10,-2))))),IF(AND(AH!$H$12="Derecha",RASANTE!F69&lt;=PERALTE!$AB$10),IF(RASANTE!F69&lt;=PERALTE!$Q$10,-2,IF(RASANTE!F69&lt;=PERALTE!$U$10,(10/(PERALTE!$U$10-PERALTE!$Q$10)*(RASANTE!F69-PERALTE!$Q$10)-2),IF(RASANTE!F69&lt;=PERALTE!$X$10,8,IF(RASANTE!F69&lt;=PERALTE!$AB$10,(10/(PERALTE!$X$10-PERALTE!$AB$10)*(RASANTE!F69-PERALTE!$AB$10)-2))))),IF(AND(AH!$H$14="Izquierda",RASANTE!F69&lt;=PERALTE!$AB$12),IF(RASANTE!F69&lt;=PERALTE!$S$12,-2,IF(RASANTE!F69&lt;=PERALTE!$U$12,(-6/(PERALTE!$U$12-PERALTE!$S$12)*(RASANTE!F69-PERALTE!$S$12)-2),IF(RASANTE!F69&lt;=PERALTE!$X$12,-8,IF(RASANTE!F69&lt;=PERALTE!$Z$12,(-6/(PERALTE!$X$12-PERALTE!$Z$12)*(RASANTE!F69-PERALTE!$Z$12)-2),IF(RASANTE!F69&lt;=PERALTE!$AB$12,-2))))),IF(AND(AH!$H$14="Derecha",RASANTE!F69&lt;=PERALTE!$AB$12),IF(RASANTE!F69&lt;=PERALTE!$Q$12,-2,IF(RASANTE!F69&lt;=PERALTE!$U$12,(10/(PERALTE!$U$12-PERALTE!$Q$12)*(RASANTE!F69-PERALTE!$Q$12)-2),IF(RASANTE!F69&lt;=PERALTE!$X$12,8,IF(RASANTE!F69&lt;=PERALTE!$AB$12,(10/(PERALTE!$X$12-PERALTE!$AB$12)*(RASANTE!F69-PERALTE!$AB$12)-2))))),IF(AND(AH!$H$16="Izquierda",RASANTE!F69&lt;=PERALTE!$AB$14),IF(RASANTE!F69&lt;=PERALTE!$S$14,-2,IF(RASANTE!F69&lt;=PERALTE!$U$14,(-6/(PERALTE!$U$14-PERALTE!$S$14)*(RASANTE!F69-PERALTE!$S$14)-2),IF(RASANTE!F69&lt;=PERALTE!$X$14,-8,IF(RASANTE!F69&lt;=PERALTE!$Z$14,(-6/(PERALTE!$X$14-PERALTE!$Z$14)*(RASANTE!F69-PERALTE!$Z$14)-2),IF(RASANTE!F69&lt;=PERALTE!$AB$14,-2))))),IF(AND(AH!$H$16="Derecha",RASANTE!F69&lt;=PERALTE!$AB$14),IF(RASANTE!F69&lt;=PERALTE!$Q$14,-2,IF(RASANTE!F69&lt;=PERALTE!$U$14,(10/(PERALTE!$U$14-PERALTE!$Q$14)*(RASANTE!F69-PERALTE!$Q$14)-2),IF(RASANTE!F69&lt;=PERALTE!$X$14,8,IF(RASANTE!F69&lt;=PERALTE!$AB$14,(10/(PERALTE!$X$14-PERALTE!$AB$14)*(RASANTE!F69-PERALTE!$AB$14)-2))))),IF(AND(AH!$H$18="Izquierda",RASANTE!F69&lt;=PERALTE!$AB$16),IF(RASANTE!F69&lt;=PERALTE!$S$16,-2,IF(RASANTE!F69&lt;=PERALTE!$U$16,(-6/(PERALTE!$U$16-PERALTE!$S$16)*(RASANTE!F69-PERALTE!$S$16)-2),IF(RASANTE!F69&lt;=PERALTE!$X$16,-8,IF(RASANTE!F69&lt;=PERALTE!$Z$16,(-6/(PERALTE!$X$16-PERALTE!$Z$16)*(RASANTE!F69-PERALTE!$Z$16)-2),IF(RASANTE!F69&lt;=PERALTE!$AB$16,-2))))),IF(AND(AH!$H$18="Derecha",RASANTE!F69&lt;=PERALTE!$AB$16),IF(RASANTE!F69&lt;=PERALTE!$Q$16,-2,IF(RASANTE!F69&lt;=PERALTE!$U$16,(10/(PERALTE!$U$16-PERALTE!$Q$16)*(RASANTE!F69-PERALTE!$Q$16)-2),IF(RASANTE!F69&lt;=PERALTE!$X$16,8,IF(RASANTE!F69&lt;=PERALTE!$AB$16,(10/(PERALTE!$X$16-PERALTE!$AB$16)*(RASANTE!F69-PERALTE!$AB$16)-2))))),IF(AND(AH!$H$20="Izquierda",RASANTE!F69&lt;=PERALTE!$AB$18),IF(RASANTE!F69&lt;=PERALTE!$S$18,-2,IF(RASANTE!F69&lt;=PERALTE!$U$18,(-6/(PERALTE!$U$18-PERALTE!$S$18)*(RASANTE!F69-PERALTE!$S$18)-2),IF(RASANTE!F69&lt;=PERALTE!$X$18,-8,IF(RASANTE!F69&lt;=PERALTE!$Z$18,(-6/(PERALTE!$X$18-PERALTE!$Z$18)*(RASANTE!F69-PERALTE!$Z$18)-2),IF(RASANTE!F69&lt;=PERALTE!$AB$18,-2))))),IF(AND(AH!$H$20="Derecha",RASANTE!F69&lt;=PERALTE!$AB$18),IF(RASANTE!F69&lt;=PERALTE!$Q$18,-2,IF(RASANTE!F69&lt;=PERALTE!$U$18,(10/(PERALTE!$U$18-PERALTE!$Q$18)*(RASANTE!F69-PERALTE!$Q$18)-2),IF(RASANTE!F69&lt;=PERALTE!$X$18,8,IF(RASANTE!F69&lt;=PERALTE!$AB$18,(10/(PERALTE!$X$18-PERALTE!$AB$18)*(RASANTE!F69-PERALTE!$AB$18)-2))))),IF(AND(AH!$H$24="Izquierda",RASANTE!F69&lt;=PERALTE!$AB$22),IF(RASANTE!F69&lt;=PERALTE!$S$22,-2,IF(RASANTE!F69&lt;=PERALTE!$U$22,(-6/(PERALTE!$U$22-PERALTE!$S$22)*(RASANTE!F69-PERALTE!$S$22)-2),IF(RASANTE!F69&lt;=PERALTE!$X$22,-8,IF(RASANTE!F69&lt;=PERALTE!$Z$22,(-6/(PERALTE!$X$22-PERALTE!$Z$22)*(RASANTE!F69-PERALTE!$Z$22)-2),IF(RASANTE!F69&lt;=PERALTE!$AB$22,-2))))),IF(AND(AH!$H$24="Derecha",RASANTE!F69&lt;=PERALTE!$AB$22),IF(RASANTE!F69&lt;=PERALTE!$Q$22,-2,IF(RASANTE!F69&lt;=PERALTE!$U$22,(10/(PERALTE!$U$22-PERALTE!$Q$22)*(RASANTE!F69-PERALTE!$Q$22)-2),IF(RASANTE!F69&lt;=PERALTE!$X$22,8,IF(RASANTE!F69&lt;=PERALTE!$AB$22,(10/(PERALTE!$X$22-PERALTE!$AB$22)*(RASANTE!F69-PERALTE!$AB$22)-2))))),IF(AND(AH!#REF!="Izquierda",RASANTE!F69&lt;=PERALTE!#REF!),IF(RASANTE!F69&lt;=PERALTE!#REF!,-2,IF(RASANTE!F69&lt;=PERALTE!#REF!,(-6/(PERALTE!#REF!-PERALTE!#REF!)*(RASANTE!F69-PERALTE!#REF!)-2),IF(RASANTE!F69&lt;=PERALTE!#REF!,-8,IF(RASANTE!F69&lt;=PERALTE!#REF!,(-6/(PERALTE!#REF!-PERALTE!#REF!)*(RASANTE!F69-PERALTE!#REF!)-2),IF(RASANTE!F69&lt;=PERALTE!#REF!,-2))))),IF(AND(AH!#REF!="Derecha",RASANTE!F69&lt;=PERALTE!#REF!),IF(RASANTE!F69&lt;=PERALTE!#REF!,-2,IF(RASANTE!F69&lt;=PERALTE!#REF!,(10/(PERALTE!#REF!-PERALTE!#REF!)*(RASANTE!F69-PERALTE!#REF!)-2),IF(RASANTE!F69&lt;=PERALTE!#REF!,8,IF(RASANTE!F69&lt;=PERALTE!#REF!,(10/(PERALTE!#REF!-PERALTE!#REF!)*(RASANTE!F69-PERALTE!#REF!)-2))))),IF(AND(AH!#REF!="Izquierda",RASANTE!F69&lt;=PERALTE!$AB$26),IF(RASANTE!F69&lt;=PERALTE!$S$26,-2,IF(RASANTE!F69&lt;=PERALTE!$U$26,(-6/(PERALTE!$U$26-PERALTE!$S$26)*(RASANTE!F69-PERALTE!$S$26)-2),IF(RASANTE!F69&lt;=PERALTE!$X$26,-8,IF(RASANTE!F69&lt;=PERALTE!$Z$26,(-6/(PERALTE!$X$26-PERALTE!$Z$26)*(RASANTE!F69-PERALTE!$Z$26)-2),IF(RASANTE!F69&lt;=PERALTE!$AB$26,-2))))),IF(AND(AH!#REF!="Derecha",RASANTE!F69&lt;=PERALTE!$AB$26),IF(RASANTE!F69&lt;=PERALTE!$Q$26,-2,IF(RASANTE!F69&lt;=PERALTE!$U$26,(10/(PERALTE!$U$26-PERALTE!$Q$26)*(RASANTE!F69-PERALTE!$Q$26)-2),IF(RASANTE!F69&lt;=PERALTE!$X$26,8,IF(RASANTE!F69&lt;=PERALTE!$AB$26,(10/(PERALTE!$X$26-PERALTE!$AB$26)*(RASANTE!F69-PERALTE!$AB$26)-2))))),IF(F69&lt;=PERALTE!#REF!,-2,"Abscisa fuera de la vía")))))))))))))))))))))</f>
        <v>8</v>
      </c>
      <c r="I69" s="28">
        <f>+IF(AND(AH!$H$8="Derecha",RASANTE!F69&lt;=PERALTE!$AB$6),IF(RASANTE!F69&lt;=PERALTE!$S$6,-2,IF(RASANTE!F69&lt;=PERALTE!$U$6,(-6/(PERALTE!$U$6-PERALTE!$S$6)*(RASANTE!F69-PERALTE!$S$6)-2),IF(RASANTE!F69&lt;=PERALTE!$X$6,-8,IF(RASANTE!F69&lt;=PERALTE!$Z$6,(-6/(PERALTE!$X$6-PERALTE!$Z$6)*(RASANTE!F69-PERALTE!$Z$6)-2),IF(RASANTE!F69&lt;=PERALTE!$AB$6,-2))))),IF(AND(AH!$H$8="Izquierda",RASANTE!F69&lt;=PERALTE!$AB$6),IF(RASANTE!F69&lt;=PERALTE!$Q$6,-2,IF(RASANTE!F69&lt;=PERALTE!$U$6,(10/(PERALTE!$U$6-PERALTE!$Q$6)*(RASANTE!F69-PERALTE!$Q$6)-2),IF(RASANTE!F69&lt;=PERALTE!$X$6,8,IF(RASANTE!F69&lt;=PERALTE!$AB$6,(10/(PERALTE!$X$6-PERALTE!$AB$6)*(RASANTE!F69-PERALTE!$AB$6)-2))))),IF(AND(AH!$H$10="Derecha",RASANTE!F69&lt;=PERALTE!$AB$8),IF(RASANTE!F69&lt;=PERALTE!$S$8,-2,IF(RASANTE!F69&lt;=PERALTE!$U$8,(-6/(PERALTE!$U$8-PERALTE!$S$8)*(RASANTE!F69-PERALTE!$S$8)-2),IF(RASANTE!F69&lt;=PERALTE!$X$8,-8,IF(RASANTE!F69&lt;=PERALTE!$Z$8,(-6/(PERALTE!$X$8-PERALTE!$Z$8)*(RASANTE!F69-PERALTE!$Z$8)-2),IF(RASANTE!F69&lt;=PERALTE!$AB$8,-2))))),IF(AND(AH!$H$10="Izquierda",RASANTE!F69&lt;=PERALTE!$AB$8),IF(RASANTE!F69&lt;=PERALTE!$Q$8,-2,IF(RASANTE!F69&lt;=PERALTE!$U$8,(10/(PERALTE!$U$8-PERALTE!$Q$8)*(RASANTE!F69-PERALTE!$Q$8)-2),IF(RASANTE!F69&lt;=PERALTE!$X$8,8,IF(RASANTE!F69&lt;=PERALTE!$AB$8,(10/(PERALTE!$X$8-PERALTE!$AB$8)*(RASANTE!F69-PERALTE!$AB$8)-2))))),IF(AND(AH!$H$12="Derecha",RASANTE!F69&lt;=PERALTE!$AB$10),IF(RASANTE!F69&lt;=PERALTE!$S$10,-2,IF(RASANTE!F69&lt;=PERALTE!$U$10,(-6/(PERALTE!$U$10-PERALTE!$S$10)*(RASANTE!F69-PERALTE!$S$10)-2),IF(RASANTE!F69&lt;=PERALTE!$X$10,-8,IF(RASANTE!F69&lt;=PERALTE!$Z$10,(-6/(PERALTE!$X$10-PERALTE!$Z$10)*(RASANTE!F69-PERALTE!$Z$10)-2),IF(RASANTE!F69&lt;=PERALTE!$AB$10,-2))))),IF(AND(AH!$H$12="Izquierda",RASANTE!F69&lt;=PERALTE!$AB$10),IF(RASANTE!F69&lt;=PERALTE!$Q$10,-2,IF(RASANTE!F69&lt;=PERALTE!$U$10,(10/(PERALTE!$U$10-PERALTE!$Q$10)*(RASANTE!F69-PERALTE!$Q$10)-2),IF(RASANTE!F69&lt;=PERALTE!$X$10,8,IF(RASANTE!F69&lt;=PERALTE!$AB$10,(10/(PERALTE!$X$10-PERALTE!$AB$10)*(RASANTE!F69-PERALTE!$AB$10)-2))))),IF(AND(AH!$H$14="Derecha",RASANTE!F69&lt;=PERALTE!$AB$12),IF(RASANTE!F69&lt;=PERALTE!$S$12,-2,IF(RASANTE!F69&lt;=PERALTE!$U$12,(-6/(PERALTE!$U$12-PERALTE!$S$12)*(RASANTE!F69-PERALTE!$S$12)-2),IF(RASANTE!F69&lt;=PERALTE!$X$12,-8,IF(RASANTE!F69&lt;=PERALTE!$Z$12,(-6/(PERALTE!$X$12-PERALTE!$Z$12)*(RASANTE!F69-PERALTE!$Z$12)-2),IF(RASANTE!F69&lt;=PERALTE!$AB$12,-2))))),IF(AND(AH!$H$14="Izquierda",RASANTE!F69&lt;=PERALTE!$AB$12),IF(RASANTE!F69&lt;=PERALTE!$Q$12,-2,IF(RASANTE!F69&lt;=PERALTE!$U$12,(10/(PERALTE!$U$12-PERALTE!$Q$12)*(RASANTE!F69-PERALTE!$Q$12)-2),IF(RASANTE!F69&lt;=PERALTE!$X$12,8,IF(RASANTE!F69&lt;=PERALTE!$AB$12,(10/(PERALTE!$X$12-PERALTE!$AB$12)*(RASANTE!F69-PERALTE!$AB$12)-2))))),IF(AND(AH!$H$16="Derecha",RASANTE!F69&lt;=PERALTE!$AB$14),IF(RASANTE!F69&lt;=PERALTE!$S$14,-2,IF(RASANTE!F69&lt;=PERALTE!$U$14,(-6/(PERALTE!$U$14-PERALTE!$S$14)*(RASANTE!F69-PERALTE!$S$14)-2),IF(RASANTE!F69&lt;=PERALTE!$X$14,-8,IF(RASANTE!F69&lt;=PERALTE!$Z$14,(-6/(PERALTE!$X$14-PERALTE!$Z$14)*(RASANTE!F69-PERALTE!$Z$14)-2),IF(RASANTE!F69&lt;=PERALTE!$AB$14,-2))))),IF(AND(AH!$H$16="Izquierda",RASANTE!F69&lt;=PERALTE!$AB$14),IF(RASANTE!F69&lt;=PERALTE!$Q$14,-2,IF(RASANTE!F69&lt;=PERALTE!$U$14,(10/(PERALTE!$U$14-PERALTE!$Q$14)*(RASANTE!F69-PERALTE!$Q$14)-2),IF(RASANTE!F69&lt;=PERALTE!$X$14,8,IF(RASANTE!F69&lt;=PERALTE!$AB$14,(10/(PERALTE!$X$14-PERALTE!$AB$14)*(RASANTE!F69-PERALTE!$AB$14)-2))))),IF(AND(AH!$H$18="Derecha",RASANTE!F69&lt;=PERALTE!$AB$16),IF(RASANTE!F69&lt;=PERALTE!$S$16,-2,IF(RASANTE!F69&lt;=PERALTE!$U$16,(-6/(PERALTE!$U$16-PERALTE!$S$16)*(RASANTE!F69-PERALTE!$S$16)-2),IF(RASANTE!F69&lt;=PERALTE!$X$16,-8,IF(RASANTE!F69&lt;=PERALTE!$Z$16,(-6/(PERALTE!$X$16-PERALTE!$Z$16)*(RASANTE!F69-PERALTE!$Z$16)-2),IF(RASANTE!F69&lt;=PERALTE!$AB$16,-2))))),IF(AND(AH!$H$18="Izquierda",RASANTE!F69&lt;=PERALTE!$AB$16),IF(RASANTE!F69&lt;=PERALTE!$Q$16,-2,IF(RASANTE!F69&lt;=PERALTE!$U$16,(10/(PERALTE!$U$16-PERALTE!$Q$16)*(RASANTE!F69-PERALTE!$Q$16)-2),IF(RASANTE!F69&lt;=PERALTE!$X$16,8,IF(RASANTE!F69&lt;=PERALTE!$AB$16,(10/(PERALTE!$X$16-PERALTE!$AB$16)*(RASANTE!F69-PERALTE!$AB$16)-2))))),IF(AND(AH!$H$20="Derecha",RASANTE!F69&lt;=PERALTE!$AB$18),IF(RASANTE!F69&lt;=PERALTE!$S$18,-2,IF(RASANTE!F69&lt;=PERALTE!$U$18,(-6/(PERALTE!$U$18-PERALTE!$S$18)*(RASANTE!F69-PERALTE!$S$18)-2),IF(RASANTE!F69&lt;=PERALTE!$X$18,-8,IF(RASANTE!F69&lt;=PERALTE!$Z$18,(-6/(PERALTE!$X$18-PERALTE!$Z$18)*(RASANTE!F69-PERALTE!$Z$18)-2),IF(RASANTE!F69&lt;=PERALTE!$AB$18,-2))))),IF(AND(AH!$H$20="Izquierda",RASANTE!F69&lt;=PERALTE!$AB$18),IF(RASANTE!F69&lt;=PERALTE!$Q$18,-2,IF(RASANTE!F69&lt;=PERALTE!$U$18,(10/(PERALTE!$U$18-PERALTE!$Q$18)*(RASANTE!F69-PERALTE!$Q$18)-2),IF(RASANTE!F69&lt;=PERALTE!$X$18,8,IF(RASANTE!F69&lt;=PERALTE!$AB$18,(10/(PERALTE!$X$18-PERALTE!$AB$18)*(RASANTE!F69-PERALTE!$AB$18)-2))))),IF(AND(AH!$H$24="Derecha",RASANTE!F69&lt;=PERALTE!$AB$22),IF(RASANTE!F69&lt;=PERALTE!$S$22,-2,IF(RASANTE!F69&lt;=PERALTE!$U$22,(-6/(PERALTE!$U$22-PERALTE!$S$22)*(RASANTE!F69-PERALTE!$S$22)-2),IF(RASANTE!F69&lt;=PERALTE!$X$22,-8,IF(RASANTE!F69&lt;=PERALTE!$Z$22,(-6/(PERALTE!$X$22-PERALTE!$Z$22)*(RASANTE!F69-PERALTE!$Z$22)-2),IF(RASANTE!F69&lt;=PERALTE!$AB$22,-2))))),IF(AND(AH!$H$24="Izquierda",RASANTE!F69&lt;=PERALTE!$AB$22),IF(RASANTE!F69&lt;=PERALTE!$Q$22,-2,IF(RASANTE!F69&lt;=PERALTE!$U$22,(10/(PERALTE!$U$22-PERALTE!$Q$22)*(RASANTE!F69-PERALTE!$Q$22)-2),IF(RASANTE!F69&lt;=PERALTE!$X$22,8,IF(RASANTE!F69&lt;=PERALTE!$AB$22,(10/(PERALTE!$X$22-PERALTE!$AB$22)*(RASANTE!F69-PERALTE!$AB$22)-2))))),IF(AND(AH!#REF!="Derecha",RASANTE!F69&lt;=PERALTE!#REF!),IF(RASANTE!F69&lt;=PERALTE!#REF!,-2,IF(RASANTE!F69&lt;=PERALTE!#REF!,(-6/(PERALTE!#REF!-PERALTE!#REF!)*(RASANTE!F69-PERALTE!#REF!)-2),IF(RASANTE!F69&lt;=PERALTE!#REF!,-8,IF(RASANTE!F69&lt;=PERALTE!#REF!,(-6/(PERALTE!#REF!-PERALTE!#REF!)*(RASANTE!F69-PERALTE!#REF!)-2),IF(RASANTE!F69&lt;=PERALTE!#REF!,-2))))),IF(AND(AH!#REF!="Izquierda",RASANTE!F69&lt;=PERALTE!#REF!),IF(RASANTE!F69&lt;=PERALTE!#REF!,-2,IF(RASANTE!F69&lt;=PERALTE!#REF!,(10/(PERALTE!#REF!-PERALTE!#REF!)*(RASANTE!F69-PERALTE!#REF!)-2),IF(RASANTE!F69&lt;=PERALTE!#REF!,8,IF(RASANTE!F69&lt;=PERALTE!#REF!,(10/(PERALTE!#REF!-PERALTE!#REF!)*(RASANTE!F69-PERALTE!#REF!)-2))))),IF(AND(AH!#REF!="Derecha",RASANTE!F69&lt;=PERALTE!$AB$26),IF(RASANTE!F69&lt;=PERALTE!$S$26,-2,IF(RASANTE!F69&lt;=PERALTE!$U$26,(-6/(PERALTE!$U$26-PERALTE!$S$26)*(RASANTE!F69-PERALTE!$S$26)-2),IF(RASANTE!F69&lt;=PERALTE!$X$26,-8,IF(RASANTE!F69&lt;=PERALTE!$Z$26,(-6/(PERALTE!$X$26-PERALTE!$Z$26)*(RASANTE!F69-PERALTE!$Z$26)-2),IF(RASANTE!F69&lt;=PERALTE!$AB$26,-2))))),IF(AND(AH!#REF!="Izquierda",RASANTE!F69&lt;=PERALTE!$AB$26),IF(RASANTE!F69&lt;=PERALTE!$Q$26,-2,IF(RASANTE!F69&lt;=PERALTE!$U$26,(10/(PERALTE!$U$26-PERALTE!$Q$26)*(RASANTE!F69-PERALTE!$Q$26)-2),IF(RASANTE!F69&lt;=PERALTE!$X$26,8,IF(RASANTE!F69&lt;=PERALTE!$AB$26,(10/(PERALTE!$X$26-PERALTE!$AB$26)*(RASANTE!F69-PERALTE!$AB$26)-2))))),IF(F69&lt;=PERALTE!#REF!,-2,"Abscisa fuera de la vía")))))))))))))))))))))</f>
        <v>-8</v>
      </c>
      <c r="J69" s="28">
        <f t="shared" si="1"/>
        <v>1641.450800000001</v>
      </c>
      <c r="K69" s="28">
        <f>+IF(AND(AV!$S$6&lt;F197,F197&lt;=AV!$T$6),AV!$P$6*((AV!$S$6-RASANTE!F197)/(AV!$N$6))^2,IF(AND(AV!$T$6&lt;RASANTE!F197,F197&lt;AV!$U$6),AV!$P$6*((AV!$U$6-RASANTE!F197)/(AV!$O$6))^2,IF(AND(AV!$S$8&lt;F197,F197&lt;=AV!$T$8),AV!$P$8*((AV!$S$8-RASANTE!F197)/(AV!$N$8))^2,IF(AND(AV!$T$8&lt;RASANTE!F197,F197&lt;AV!$U$8),AV!$P$8*((AV!$U$8-RASANTE!F197)/(AV!$O$8))^2,IF(AND(AV!$S$10&lt;F197,F197&lt;=AV!$T$10),AV!$P$10*((AV!$S$10-RASANTE!F197)/(AV!$N$10))^2,IF(AND(AV!$T$10&lt;RASANTE!F197,F197&lt;AV!$U$10),AV!$P$10*((AV!$U$10-RASANTE!F197)/(AV!$O$10))^2,IF(AND(AV!$S$12&lt;F197,F197&lt;=AV!$T$12),AV!$P$12*((AV!$S$12-RASANTE!F197)/(AV!$N$12))^2,IF(AND(AV!$T$12&lt;RASANTE!F197,F197&lt;AV!$U$12),AV!$P$12*((AV!$U$12-RASANTE!F197)/(AV!$O$12))^2,IF(AND(AV!$S$14&lt;F197,F197&lt;=AV!$T$14),AV!$P$14*((AV!$S$14-RASANTE!F197)/(AV!$N$14))^2,IF(AND(AV!$T$14&lt;RASANTE!F197,F197&lt;AV!$U$14),AV!$P$14*((AV!$U$14-RASANTE!F197)/(AV!$O$14))^2,IF(AND(AV!$S$16&lt;F197,F197&lt;=AV!$T$16),AV!$P$16*((AV!$S$16-RASANTE!F197)/(AV!$N$16))^2,IF(AND(AV!$T$16&lt;RASANTE!F197,F197&lt;AV!$U$16),AV!$P$16*((AV!$U$16-RASANTE!F197)/(AV!$O$16))^2,IF(AND(AV!$S$18&lt;F197,F197&lt;=AV!$T$18),AV!$P$18*((AV!$S$18-RASANTE!F197)/(AV!$N$18))^2,IF(AND(AV!$T$18&lt;RASANTE!F197,F197&lt;AV!$U$18),AV!$P$18*((AV!$U$18-RASANTE!F197)/(AV!$O$18))^2,IF(AND(AV!$S$20&lt;F197,F197&lt;=AV!$T$20),AV!$P$20*((AV!$S$20-RASANTE!F197)/(AV!$N$20))^2,IF(AND(AV!$T$20&lt;RASANTE!F197,F197&lt;AV!$U$20),AV!$P$20*((AV!$U$20-RASANTE!F197)/(AV!$O$20))^2,IF(AND(AV!$S$22&lt;F197,F197&lt;=AV!$T$22),AV!$P$22*((AV!$S$22-RASANTE!F197)/(AV!$N$22))^2,IF(AND(AV!$T$22&lt;RASANTE!F197,F197&lt;AV!$U$22),AV!$P$22*((AV!$U$22-RASANTE!F197)/(AV!$O$22))^2,IF(AND(AV!$S$24&lt;F197,F197&lt;=AV!$T$24),AV!$P$24*((AV!$S$24-RASANTE!F197)/(AV!$N$24))^2,IF(AND(AV!$T$24&lt;RASANTE!F197,F197&lt;AV!$U$24),AV!$P$24*((AV!$U$24-RASANTE!F197)/(AV!$O$24))^2,0))))))))))))))))))))</f>
        <v>0</v>
      </c>
      <c r="L69" s="28">
        <f>+M69+H69%*PERALTE!$C$32</f>
        <v>1641.730800000001</v>
      </c>
      <c r="M69" s="28">
        <f t="shared" si="3"/>
        <v>1641.450800000001</v>
      </c>
      <c r="N69" s="28">
        <f>+M69+I69%*PERALTE!$C$32</f>
        <v>1641.170800000001</v>
      </c>
      <c r="O69" s="92"/>
      <c r="P69" s="84"/>
      <c r="Q69" s="84"/>
      <c r="R69" s="84"/>
      <c r="S69" s="84"/>
      <c r="T69" s="84"/>
      <c r="U69" s="84"/>
      <c r="V69" s="84"/>
      <c r="W69" s="84"/>
      <c r="X69" s="84"/>
      <c r="Y69" s="84"/>
    </row>
    <row r="70" spans="1:25" ht="15.75" customHeight="1" x14ac:dyDescent="0.2">
      <c r="A70" s="90"/>
      <c r="B70" s="86"/>
      <c r="C70" s="86"/>
      <c r="D70" s="86"/>
      <c r="E70" s="91"/>
      <c r="F70" s="34">
        <v>450</v>
      </c>
      <c r="G70" s="88">
        <f>IF(F70&lt;=AV!$T$6,AV!$C$5,IF(RASANTE!F70&lt;=AV!$T$8,AV!$C$7,IF(RASANTE!F70&lt;=AV!$T$10,AV!$C$9,IF(RASANTE!F70&lt;=AV!$T$12,AV!#REF!,IF(RASANTE!F70&lt;=AV!$T$14,AV!$C$11,IF(RASANTE!F70&lt;=AV!$T$16,AV!$C$13, IF(RASANTE!F70&lt;=AV!$T$18,AV!$C$15,IF(RASANTE!F70&lt;=AV!$T$20,AV!$C$19,IF(RASANTE!F70&lt;=AV!$T$22,AV!$C$21,IF(RASANTE!F70&lt;=AV!$T$24,AV!$C$23,AV!$C$25))))))))))</f>
        <v>-7.774</v>
      </c>
      <c r="H70" s="28">
        <f>+IF(AND(AH!$H$8="Izquierda",RASANTE!F70&lt;=PERALTE!$AB$6),IF(RASANTE!F70&lt;=PERALTE!$S$6,-2,IF(RASANTE!F70&lt;=PERALTE!$U$6,(-6/(PERALTE!$U$6-PERALTE!$S$6)*(RASANTE!F70-PERALTE!$S$6)-2),IF(RASANTE!F70&lt;=PERALTE!$X$6,-8,IF(RASANTE!F70&lt;=PERALTE!$Z$6,(-6/(PERALTE!$X$6-PERALTE!$Z$6)*(RASANTE!F70-PERALTE!$Z$6)-2),IF(RASANTE!F70&lt;=PERALTE!$AB$6,-2))))),IF(AND(AH!$H$8="Derecha",RASANTE!F70&lt;=PERALTE!$AB$6),IF(RASANTE!F70&lt;=PERALTE!$Q$6,-2,IF(RASANTE!F70&lt;=PERALTE!$U$6,(10/(PERALTE!$U$6-PERALTE!$Q$6)*(RASANTE!F70-PERALTE!$Q$6)-2),IF(RASANTE!F70&lt;=PERALTE!$X$6,8,IF(RASANTE!F70&lt;=PERALTE!$AB$6,(10/(PERALTE!$X$6-PERALTE!$AB$6)*(RASANTE!F70-PERALTE!$AB$6)-2))))),IF(AND(AH!$H$10="Izquierda",RASANTE!F70&lt;=PERALTE!$AB$8),IF(RASANTE!F70&lt;=PERALTE!$S$8,-2,IF(RASANTE!F70&lt;=PERALTE!$U$8,(-6/(PERALTE!$U$8-PERALTE!$S$8)*(RASANTE!F70-PERALTE!$S$8)-2),IF(RASANTE!F70&lt;=PERALTE!$X$8,-8,IF(RASANTE!F70&lt;=PERALTE!$Z$8,(-6/(PERALTE!$X$8-PERALTE!$Z$8)*(RASANTE!F70-PERALTE!$Z$8)-2),IF(RASANTE!F70&lt;=PERALTE!$AB$8,-2))))),IF(AND(AH!$H$10="Derecha",RASANTE!F70&lt;=PERALTE!$AB$8),IF(RASANTE!F70&lt;=PERALTE!$Q$8,-2,IF(RASANTE!F70&lt;=PERALTE!$U$8,(10/(PERALTE!$U$8-PERALTE!$Q$8)*(RASANTE!F70-PERALTE!$Q$8)-2),IF(RASANTE!F70&lt;=PERALTE!$X$8,8,IF(RASANTE!F70&lt;=PERALTE!$AB$8,(10/(PERALTE!$X$8-PERALTE!$AB$8)*(RASANTE!F70-PERALTE!$AB$8)-2))))),IF(AND(AH!$H$12="Izquierda",RASANTE!F70&lt;=PERALTE!$AB$10),IF(RASANTE!F70&lt;=PERALTE!$S$10,-2,IF(RASANTE!F70&lt;=PERALTE!$U$10,(-6/(PERALTE!$U$10-PERALTE!$S$10)*(RASANTE!F70-PERALTE!$S$10)-2),IF(RASANTE!F70&lt;=PERALTE!$X$10,-8,IF(RASANTE!F70&lt;=PERALTE!$Z$10,(-6/(PERALTE!$X$10-PERALTE!$Z$10)*(RASANTE!F70-PERALTE!$Z$10)-2),IF(RASANTE!F70&lt;=PERALTE!$AB$10,-2))))),IF(AND(AH!$H$12="Derecha",RASANTE!F70&lt;=PERALTE!$AB$10),IF(RASANTE!F70&lt;=PERALTE!$Q$10,-2,IF(RASANTE!F70&lt;=PERALTE!$U$10,(10/(PERALTE!$U$10-PERALTE!$Q$10)*(RASANTE!F70-PERALTE!$Q$10)-2),IF(RASANTE!F70&lt;=PERALTE!$X$10,8,IF(RASANTE!F70&lt;=PERALTE!$AB$10,(10/(PERALTE!$X$10-PERALTE!$AB$10)*(RASANTE!F70-PERALTE!$AB$10)-2))))),IF(AND(AH!$H$14="Izquierda",RASANTE!F70&lt;=PERALTE!$AB$12),IF(RASANTE!F70&lt;=PERALTE!$S$12,-2,IF(RASANTE!F70&lt;=PERALTE!$U$12,(-6/(PERALTE!$U$12-PERALTE!$S$12)*(RASANTE!F70-PERALTE!$S$12)-2),IF(RASANTE!F70&lt;=PERALTE!$X$12,-8,IF(RASANTE!F70&lt;=PERALTE!$Z$12,(-6/(PERALTE!$X$12-PERALTE!$Z$12)*(RASANTE!F70-PERALTE!$Z$12)-2),IF(RASANTE!F70&lt;=PERALTE!$AB$12,-2))))),IF(AND(AH!$H$14="Derecha",RASANTE!F70&lt;=PERALTE!$AB$12),IF(RASANTE!F70&lt;=PERALTE!$Q$12,-2,IF(RASANTE!F70&lt;=PERALTE!$U$12,(10/(PERALTE!$U$12-PERALTE!$Q$12)*(RASANTE!F70-PERALTE!$Q$12)-2),IF(RASANTE!F70&lt;=PERALTE!$X$12,8,IF(RASANTE!F70&lt;=PERALTE!$AB$12,(10/(PERALTE!$X$12-PERALTE!$AB$12)*(RASANTE!F70-PERALTE!$AB$12)-2))))),IF(AND(AH!$H$16="Izquierda",RASANTE!F70&lt;=PERALTE!$AB$14),IF(RASANTE!F70&lt;=PERALTE!$S$14,-2,IF(RASANTE!F70&lt;=PERALTE!$U$14,(-6/(PERALTE!$U$14-PERALTE!$S$14)*(RASANTE!F70-PERALTE!$S$14)-2),IF(RASANTE!F70&lt;=PERALTE!$X$14,-8,IF(RASANTE!F70&lt;=PERALTE!$Z$14,(-6/(PERALTE!$X$14-PERALTE!$Z$14)*(RASANTE!F70-PERALTE!$Z$14)-2),IF(RASANTE!F70&lt;=PERALTE!$AB$14,-2))))),IF(AND(AH!$H$16="Derecha",RASANTE!F70&lt;=PERALTE!$AB$14),IF(RASANTE!F70&lt;=PERALTE!$Q$14,-2,IF(RASANTE!F70&lt;=PERALTE!$U$14,(10/(PERALTE!$U$14-PERALTE!$Q$14)*(RASANTE!F70-PERALTE!$Q$14)-2),IF(RASANTE!F70&lt;=PERALTE!$X$14,8,IF(RASANTE!F70&lt;=PERALTE!$AB$14,(10/(PERALTE!$X$14-PERALTE!$AB$14)*(RASANTE!F70-PERALTE!$AB$14)-2))))),IF(AND(AH!$H$18="Izquierda",RASANTE!F70&lt;=PERALTE!$AB$16),IF(RASANTE!F70&lt;=PERALTE!$S$16,-2,IF(RASANTE!F70&lt;=PERALTE!$U$16,(-6/(PERALTE!$U$16-PERALTE!$S$16)*(RASANTE!F70-PERALTE!$S$16)-2),IF(RASANTE!F70&lt;=PERALTE!$X$16,-8,IF(RASANTE!F70&lt;=PERALTE!$Z$16,(-6/(PERALTE!$X$16-PERALTE!$Z$16)*(RASANTE!F70-PERALTE!$Z$16)-2),IF(RASANTE!F70&lt;=PERALTE!$AB$16,-2))))),IF(AND(AH!$H$18="Derecha",RASANTE!F70&lt;=PERALTE!$AB$16),IF(RASANTE!F70&lt;=PERALTE!$Q$16,-2,IF(RASANTE!F70&lt;=PERALTE!$U$16,(10/(PERALTE!$U$16-PERALTE!$Q$16)*(RASANTE!F70-PERALTE!$Q$16)-2),IF(RASANTE!F70&lt;=PERALTE!$X$16,8,IF(RASANTE!F70&lt;=PERALTE!$AB$16,(10/(PERALTE!$X$16-PERALTE!$AB$16)*(RASANTE!F70-PERALTE!$AB$16)-2))))),IF(AND(AH!$H$20="Izquierda",RASANTE!F70&lt;=PERALTE!$AB$18),IF(RASANTE!F70&lt;=PERALTE!$S$18,-2,IF(RASANTE!F70&lt;=PERALTE!$U$18,(-6/(PERALTE!$U$18-PERALTE!$S$18)*(RASANTE!F70-PERALTE!$S$18)-2),IF(RASANTE!F70&lt;=PERALTE!$X$18,-8,IF(RASANTE!F70&lt;=PERALTE!$Z$18,(-6/(PERALTE!$X$18-PERALTE!$Z$18)*(RASANTE!F70-PERALTE!$Z$18)-2),IF(RASANTE!F70&lt;=PERALTE!$AB$18,-2))))),IF(AND(AH!$H$20="Derecha",RASANTE!F70&lt;=PERALTE!$AB$18),IF(RASANTE!F70&lt;=PERALTE!$Q$18,-2,IF(RASANTE!F70&lt;=PERALTE!$U$18,(10/(PERALTE!$U$18-PERALTE!$Q$18)*(RASANTE!F70-PERALTE!$Q$18)-2),IF(RASANTE!F70&lt;=PERALTE!$X$18,8,IF(RASANTE!F70&lt;=PERALTE!$AB$18,(10/(PERALTE!$X$18-PERALTE!$AB$18)*(RASANTE!F70-PERALTE!$AB$18)-2))))),IF(AND(AH!$H$24="Izquierda",RASANTE!F70&lt;=PERALTE!$AB$22),IF(RASANTE!F70&lt;=PERALTE!$S$22,-2,IF(RASANTE!F70&lt;=PERALTE!$U$22,(-6/(PERALTE!$U$22-PERALTE!$S$22)*(RASANTE!F70-PERALTE!$S$22)-2),IF(RASANTE!F70&lt;=PERALTE!$X$22,-8,IF(RASANTE!F70&lt;=PERALTE!$Z$22,(-6/(PERALTE!$X$22-PERALTE!$Z$22)*(RASANTE!F70-PERALTE!$Z$22)-2),IF(RASANTE!F70&lt;=PERALTE!$AB$22,-2))))),IF(AND(AH!$H$24="Derecha",RASANTE!F70&lt;=PERALTE!$AB$22),IF(RASANTE!F70&lt;=PERALTE!$Q$22,-2,IF(RASANTE!F70&lt;=PERALTE!$U$22,(10/(PERALTE!$U$22-PERALTE!$Q$22)*(RASANTE!F70-PERALTE!$Q$22)-2),IF(RASANTE!F70&lt;=PERALTE!$X$22,8,IF(RASANTE!F70&lt;=PERALTE!$AB$22,(10/(PERALTE!$X$22-PERALTE!$AB$22)*(RASANTE!F70-PERALTE!$AB$22)-2))))),IF(AND(AH!#REF!="Izquierda",RASANTE!F70&lt;=PERALTE!#REF!),IF(RASANTE!F70&lt;=PERALTE!#REF!,-2,IF(RASANTE!F70&lt;=PERALTE!#REF!,(-6/(PERALTE!#REF!-PERALTE!#REF!)*(RASANTE!F70-PERALTE!#REF!)-2),IF(RASANTE!F70&lt;=PERALTE!#REF!,-8,IF(RASANTE!F70&lt;=PERALTE!#REF!,(-6/(PERALTE!#REF!-PERALTE!#REF!)*(RASANTE!F70-PERALTE!#REF!)-2),IF(RASANTE!F70&lt;=PERALTE!#REF!,-2))))),IF(AND(AH!#REF!="Derecha",RASANTE!F70&lt;=PERALTE!#REF!),IF(RASANTE!F70&lt;=PERALTE!#REF!,-2,IF(RASANTE!F70&lt;=PERALTE!#REF!,(10/(PERALTE!#REF!-PERALTE!#REF!)*(RASANTE!F70-PERALTE!#REF!)-2),IF(RASANTE!F70&lt;=PERALTE!#REF!,8,IF(RASANTE!F70&lt;=PERALTE!#REF!,(10/(PERALTE!#REF!-PERALTE!#REF!)*(RASANTE!F70-PERALTE!#REF!)-2))))),IF(AND(AH!#REF!="Izquierda",RASANTE!F70&lt;=PERALTE!$AB$26),IF(RASANTE!F70&lt;=PERALTE!$S$26,-2,IF(RASANTE!F70&lt;=PERALTE!$U$26,(-6/(PERALTE!$U$26-PERALTE!$S$26)*(RASANTE!F70-PERALTE!$S$26)-2),IF(RASANTE!F70&lt;=PERALTE!$X$26,-8,IF(RASANTE!F70&lt;=PERALTE!$Z$26,(-6/(PERALTE!$X$26-PERALTE!$Z$26)*(RASANTE!F70-PERALTE!$Z$26)-2),IF(RASANTE!F70&lt;=PERALTE!$AB$26,-2))))),IF(AND(AH!#REF!="Derecha",RASANTE!F70&lt;=PERALTE!$AB$26),IF(RASANTE!F70&lt;=PERALTE!$Q$26,-2,IF(RASANTE!F70&lt;=PERALTE!$U$26,(10/(PERALTE!$U$26-PERALTE!$Q$26)*(RASANTE!F70-PERALTE!$Q$26)-2),IF(RASANTE!F70&lt;=PERALTE!$X$26,8,IF(RASANTE!F70&lt;=PERALTE!$AB$26,(10/(PERALTE!$X$26-PERALTE!$AB$26)*(RASANTE!F70-PERALTE!$AB$26)-2))))),IF(F70&lt;=PERALTE!#REF!,-2,"Abscisa fuera de la vía")))))))))))))))))))))</f>
        <v>8</v>
      </c>
      <c r="I70" s="28">
        <f>+IF(AND(AH!$H$8="Derecha",RASANTE!F70&lt;=PERALTE!$AB$6),IF(RASANTE!F70&lt;=PERALTE!$S$6,-2,IF(RASANTE!F70&lt;=PERALTE!$U$6,(-6/(PERALTE!$U$6-PERALTE!$S$6)*(RASANTE!F70-PERALTE!$S$6)-2),IF(RASANTE!F70&lt;=PERALTE!$X$6,-8,IF(RASANTE!F70&lt;=PERALTE!$Z$6,(-6/(PERALTE!$X$6-PERALTE!$Z$6)*(RASANTE!F70-PERALTE!$Z$6)-2),IF(RASANTE!F70&lt;=PERALTE!$AB$6,-2))))),IF(AND(AH!$H$8="Izquierda",RASANTE!F70&lt;=PERALTE!$AB$6),IF(RASANTE!F70&lt;=PERALTE!$Q$6,-2,IF(RASANTE!F70&lt;=PERALTE!$U$6,(10/(PERALTE!$U$6-PERALTE!$Q$6)*(RASANTE!F70-PERALTE!$Q$6)-2),IF(RASANTE!F70&lt;=PERALTE!$X$6,8,IF(RASANTE!F70&lt;=PERALTE!$AB$6,(10/(PERALTE!$X$6-PERALTE!$AB$6)*(RASANTE!F70-PERALTE!$AB$6)-2))))),IF(AND(AH!$H$10="Derecha",RASANTE!F70&lt;=PERALTE!$AB$8),IF(RASANTE!F70&lt;=PERALTE!$S$8,-2,IF(RASANTE!F70&lt;=PERALTE!$U$8,(-6/(PERALTE!$U$8-PERALTE!$S$8)*(RASANTE!F70-PERALTE!$S$8)-2),IF(RASANTE!F70&lt;=PERALTE!$X$8,-8,IF(RASANTE!F70&lt;=PERALTE!$Z$8,(-6/(PERALTE!$X$8-PERALTE!$Z$8)*(RASANTE!F70-PERALTE!$Z$8)-2),IF(RASANTE!F70&lt;=PERALTE!$AB$8,-2))))),IF(AND(AH!$H$10="Izquierda",RASANTE!F70&lt;=PERALTE!$AB$8),IF(RASANTE!F70&lt;=PERALTE!$Q$8,-2,IF(RASANTE!F70&lt;=PERALTE!$U$8,(10/(PERALTE!$U$8-PERALTE!$Q$8)*(RASANTE!F70-PERALTE!$Q$8)-2),IF(RASANTE!F70&lt;=PERALTE!$X$8,8,IF(RASANTE!F70&lt;=PERALTE!$AB$8,(10/(PERALTE!$X$8-PERALTE!$AB$8)*(RASANTE!F70-PERALTE!$AB$8)-2))))),IF(AND(AH!$H$12="Derecha",RASANTE!F70&lt;=PERALTE!$AB$10),IF(RASANTE!F70&lt;=PERALTE!$S$10,-2,IF(RASANTE!F70&lt;=PERALTE!$U$10,(-6/(PERALTE!$U$10-PERALTE!$S$10)*(RASANTE!F70-PERALTE!$S$10)-2),IF(RASANTE!F70&lt;=PERALTE!$X$10,-8,IF(RASANTE!F70&lt;=PERALTE!$Z$10,(-6/(PERALTE!$X$10-PERALTE!$Z$10)*(RASANTE!F70-PERALTE!$Z$10)-2),IF(RASANTE!F70&lt;=PERALTE!$AB$10,-2))))),IF(AND(AH!$H$12="Izquierda",RASANTE!F70&lt;=PERALTE!$AB$10),IF(RASANTE!F70&lt;=PERALTE!$Q$10,-2,IF(RASANTE!F70&lt;=PERALTE!$U$10,(10/(PERALTE!$U$10-PERALTE!$Q$10)*(RASANTE!F70-PERALTE!$Q$10)-2),IF(RASANTE!F70&lt;=PERALTE!$X$10,8,IF(RASANTE!F70&lt;=PERALTE!$AB$10,(10/(PERALTE!$X$10-PERALTE!$AB$10)*(RASANTE!F70-PERALTE!$AB$10)-2))))),IF(AND(AH!$H$14="Derecha",RASANTE!F70&lt;=PERALTE!$AB$12),IF(RASANTE!F70&lt;=PERALTE!$S$12,-2,IF(RASANTE!F70&lt;=PERALTE!$U$12,(-6/(PERALTE!$U$12-PERALTE!$S$12)*(RASANTE!F70-PERALTE!$S$12)-2),IF(RASANTE!F70&lt;=PERALTE!$X$12,-8,IF(RASANTE!F70&lt;=PERALTE!$Z$12,(-6/(PERALTE!$X$12-PERALTE!$Z$12)*(RASANTE!F70-PERALTE!$Z$12)-2),IF(RASANTE!F70&lt;=PERALTE!$AB$12,-2))))),IF(AND(AH!$H$14="Izquierda",RASANTE!F70&lt;=PERALTE!$AB$12),IF(RASANTE!F70&lt;=PERALTE!$Q$12,-2,IF(RASANTE!F70&lt;=PERALTE!$U$12,(10/(PERALTE!$U$12-PERALTE!$Q$12)*(RASANTE!F70-PERALTE!$Q$12)-2),IF(RASANTE!F70&lt;=PERALTE!$X$12,8,IF(RASANTE!F70&lt;=PERALTE!$AB$12,(10/(PERALTE!$X$12-PERALTE!$AB$12)*(RASANTE!F70-PERALTE!$AB$12)-2))))),IF(AND(AH!$H$16="Derecha",RASANTE!F70&lt;=PERALTE!$AB$14),IF(RASANTE!F70&lt;=PERALTE!$S$14,-2,IF(RASANTE!F70&lt;=PERALTE!$U$14,(-6/(PERALTE!$U$14-PERALTE!$S$14)*(RASANTE!F70-PERALTE!$S$14)-2),IF(RASANTE!F70&lt;=PERALTE!$X$14,-8,IF(RASANTE!F70&lt;=PERALTE!$Z$14,(-6/(PERALTE!$X$14-PERALTE!$Z$14)*(RASANTE!F70-PERALTE!$Z$14)-2),IF(RASANTE!F70&lt;=PERALTE!$AB$14,-2))))),IF(AND(AH!$H$16="Izquierda",RASANTE!F70&lt;=PERALTE!$AB$14),IF(RASANTE!F70&lt;=PERALTE!$Q$14,-2,IF(RASANTE!F70&lt;=PERALTE!$U$14,(10/(PERALTE!$U$14-PERALTE!$Q$14)*(RASANTE!F70-PERALTE!$Q$14)-2),IF(RASANTE!F70&lt;=PERALTE!$X$14,8,IF(RASANTE!F70&lt;=PERALTE!$AB$14,(10/(PERALTE!$X$14-PERALTE!$AB$14)*(RASANTE!F70-PERALTE!$AB$14)-2))))),IF(AND(AH!$H$18="Derecha",RASANTE!F70&lt;=PERALTE!$AB$16),IF(RASANTE!F70&lt;=PERALTE!$S$16,-2,IF(RASANTE!F70&lt;=PERALTE!$U$16,(-6/(PERALTE!$U$16-PERALTE!$S$16)*(RASANTE!F70-PERALTE!$S$16)-2),IF(RASANTE!F70&lt;=PERALTE!$X$16,-8,IF(RASANTE!F70&lt;=PERALTE!$Z$16,(-6/(PERALTE!$X$16-PERALTE!$Z$16)*(RASANTE!F70-PERALTE!$Z$16)-2),IF(RASANTE!F70&lt;=PERALTE!$AB$16,-2))))),IF(AND(AH!$H$18="Izquierda",RASANTE!F70&lt;=PERALTE!$AB$16),IF(RASANTE!F70&lt;=PERALTE!$Q$16,-2,IF(RASANTE!F70&lt;=PERALTE!$U$16,(10/(PERALTE!$U$16-PERALTE!$Q$16)*(RASANTE!F70-PERALTE!$Q$16)-2),IF(RASANTE!F70&lt;=PERALTE!$X$16,8,IF(RASANTE!F70&lt;=PERALTE!$AB$16,(10/(PERALTE!$X$16-PERALTE!$AB$16)*(RASANTE!F70-PERALTE!$AB$16)-2))))),IF(AND(AH!$H$20="Derecha",RASANTE!F70&lt;=PERALTE!$AB$18),IF(RASANTE!F70&lt;=PERALTE!$S$18,-2,IF(RASANTE!F70&lt;=PERALTE!$U$18,(-6/(PERALTE!$U$18-PERALTE!$S$18)*(RASANTE!F70-PERALTE!$S$18)-2),IF(RASANTE!F70&lt;=PERALTE!$X$18,-8,IF(RASANTE!F70&lt;=PERALTE!$Z$18,(-6/(PERALTE!$X$18-PERALTE!$Z$18)*(RASANTE!F70-PERALTE!$Z$18)-2),IF(RASANTE!F70&lt;=PERALTE!$AB$18,-2))))),IF(AND(AH!$H$20="Izquierda",RASANTE!F70&lt;=PERALTE!$AB$18),IF(RASANTE!F70&lt;=PERALTE!$Q$18,-2,IF(RASANTE!F70&lt;=PERALTE!$U$18,(10/(PERALTE!$U$18-PERALTE!$Q$18)*(RASANTE!F70-PERALTE!$Q$18)-2),IF(RASANTE!F70&lt;=PERALTE!$X$18,8,IF(RASANTE!F70&lt;=PERALTE!$AB$18,(10/(PERALTE!$X$18-PERALTE!$AB$18)*(RASANTE!F70-PERALTE!$AB$18)-2))))),IF(AND(AH!$H$24="Derecha",RASANTE!F70&lt;=PERALTE!$AB$22),IF(RASANTE!F70&lt;=PERALTE!$S$22,-2,IF(RASANTE!F70&lt;=PERALTE!$U$22,(-6/(PERALTE!$U$22-PERALTE!$S$22)*(RASANTE!F70-PERALTE!$S$22)-2),IF(RASANTE!F70&lt;=PERALTE!$X$22,-8,IF(RASANTE!F70&lt;=PERALTE!$Z$22,(-6/(PERALTE!$X$22-PERALTE!$Z$22)*(RASANTE!F70-PERALTE!$Z$22)-2),IF(RASANTE!F70&lt;=PERALTE!$AB$22,-2))))),IF(AND(AH!$H$24="Izquierda",RASANTE!F70&lt;=PERALTE!$AB$22),IF(RASANTE!F70&lt;=PERALTE!$Q$22,-2,IF(RASANTE!F70&lt;=PERALTE!$U$22,(10/(PERALTE!$U$22-PERALTE!$Q$22)*(RASANTE!F70-PERALTE!$Q$22)-2),IF(RASANTE!F70&lt;=PERALTE!$X$22,8,IF(RASANTE!F70&lt;=PERALTE!$AB$22,(10/(PERALTE!$X$22-PERALTE!$AB$22)*(RASANTE!F70-PERALTE!$AB$22)-2))))),IF(AND(AH!#REF!="Derecha",RASANTE!F70&lt;=PERALTE!#REF!),IF(RASANTE!F70&lt;=PERALTE!#REF!,-2,IF(RASANTE!F70&lt;=PERALTE!#REF!,(-6/(PERALTE!#REF!-PERALTE!#REF!)*(RASANTE!F70-PERALTE!#REF!)-2),IF(RASANTE!F70&lt;=PERALTE!#REF!,-8,IF(RASANTE!F70&lt;=PERALTE!#REF!,(-6/(PERALTE!#REF!-PERALTE!#REF!)*(RASANTE!F70-PERALTE!#REF!)-2),IF(RASANTE!F70&lt;=PERALTE!#REF!,-2))))),IF(AND(AH!#REF!="Izquierda",RASANTE!F70&lt;=PERALTE!#REF!),IF(RASANTE!F70&lt;=PERALTE!#REF!,-2,IF(RASANTE!F70&lt;=PERALTE!#REF!,(10/(PERALTE!#REF!-PERALTE!#REF!)*(RASANTE!F70-PERALTE!#REF!)-2),IF(RASANTE!F70&lt;=PERALTE!#REF!,8,IF(RASANTE!F70&lt;=PERALTE!#REF!,(10/(PERALTE!#REF!-PERALTE!#REF!)*(RASANTE!F70-PERALTE!#REF!)-2))))),IF(AND(AH!#REF!="Derecha",RASANTE!F70&lt;=PERALTE!$AB$26),IF(RASANTE!F70&lt;=PERALTE!$S$26,-2,IF(RASANTE!F70&lt;=PERALTE!$U$26,(-6/(PERALTE!$U$26-PERALTE!$S$26)*(RASANTE!F70-PERALTE!$S$26)-2),IF(RASANTE!F70&lt;=PERALTE!$X$26,-8,IF(RASANTE!F70&lt;=PERALTE!$Z$26,(-6/(PERALTE!$X$26-PERALTE!$Z$26)*(RASANTE!F70-PERALTE!$Z$26)-2),IF(RASANTE!F70&lt;=PERALTE!$AB$26,-2))))),IF(AND(AH!#REF!="Izquierda",RASANTE!F70&lt;=PERALTE!$AB$26),IF(RASANTE!F70&lt;=PERALTE!$Q$26,-2,IF(RASANTE!F70&lt;=PERALTE!$U$26,(10/(PERALTE!$U$26-PERALTE!$Q$26)*(RASANTE!F70-PERALTE!$Q$26)-2),IF(RASANTE!F70&lt;=PERALTE!$X$26,8,IF(RASANTE!F70&lt;=PERALTE!$AB$26,(10/(PERALTE!$X$26-PERALTE!$AB$26)*(RASANTE!F70-PERALTE!$AB$26)-2))))),IF(F70&lt;=PERALTE!#REF!,-2,"Abscisa fuera de la vía")))))))))))))))))))))</f>
        <v>-8</v>
      </c>
      <c r="J70" s="28">
        <f t="shared" si="1"/>
        <v>1640.673400000001</v>
      </c>
      <c r="K70" s="28">
        <f>+IF(AND(AV!$S$6&lt;F198,F198&lt;=AV!$T$6),AV!$P$6*((AV!$S$6-RASANTE!F198)/(AV!$N$6))^2,IF(AND(AV!$T$6&lt;RASANTE!F198,F198&lt;AV!$U$6),AV!$P$6*((AV!$U$6-RASANTE!F198)/(AV!$O$6))^2,IF(AND(AV!$S$8&lt;F198,F198&lt;=AV!$T$8),AV!$P$8*((AV!$S$8-RASANTE!F198)/(AV!$N$8))^2,IF(AND(AV!$T$8&lt;RASANTE!F198,F198&lt;AV!$U$8),AV!$P$8*((AV!$U$8-RASANTE!F198)/(AV!$O$8))^2,IF(AND(AV!$S$10&lt;F198,F198&lt;=AV!$T$10),AV!$P$10*((AV!$S$10-RASANTE!F198)/(AV!$N$10))^2,IF(AND(AV!$T$10&lt;RASANTE!F198,F198&lt;AV!$U$10),AV!$P$10*((AV!$U$10-RASANTE!F198)/(AV!$O$10))^2,IF(AND(AV!$S$12&lt;F198,F198&lt;=AV!$T$12),AV!$P$12*((AV!$S$12-RASANTE!F198)/(AV!$N$12))^2,IF(AND(AV!$T$12&lt;RASANTE!F198,F198&lt;AV!$U$12),AV!$P$12*((AV!$U$12-RASANTE!F198)/(AV!$O$12))^2,IF(AND(AV!$S$14&lt;F198,F198&lt;=AV!$T$14),AV!$P$14*((AV!$S$14-RASANTE!F198)/(AV!$N$14))^2,IF(AND(AV!$T$14&lt;RASANTE!F198,F198&lt;AV!$U$14),AV!$P$14*((AV!$U$14-RASANTE!F198)/(AV!$O$14))^2,IF(AND(AV!$S$16&lt;F198,F198&lt;=AV!$T$16),AV!$P$16*((AV!$S$16-RASANTE!F198)/(AV!$N$16))^2,IF(AND(AV!$T$16&lt;RASANTE!F198,F198&lt;AV!$U$16),AV!$P$16*((AV!$U$16-RASANTE!F198)/(AV!$O$16))^2,IF(AND(AV!$S$18&lt;F198,F198&lt;=AV!$T$18),AV!$P$18*((AV!$S$18-RASANTE!F198)/(AV!$N$18))^2,IF(AND(AV!$T$18&lt;RASANTE!F198,F198&lt;AV!$U$18),AV!$P$18*((AV!$U$18-RASANTE!F198)/(AV!$O$18))^2,IF(AND(AV!$S$20&lt;F198,F198&lt;=AV!$T$20),AV!$P$20*((AV!$S$20-RASANTE!F198)/(AV!$N$20))^2,IF(AND(AV!$T$20&lt;RASANTE!F198,F198&lt;AV!$U$20),AV!$P$20*((AV!$U$20-RASANTE!F198)/(AV!$O$20))^2,IF(AND(AV!$S$22&lt;F198,F198&lt;=AV!$T$22),AV!$P$22*((AV!$S$22-RASANTE!F198)/(AV!$N$22))^2,IF(AND(AV!$T$22&lt;RASANTE!F198,F198&lt;AV!$U$22),AV!$P$22*((AV!$U$22-RASANTE!F198)/(AV!$O$22))^2,IF(AND(AV!$S$24&lt;F198,F198&lt;=AV!$T$24),AV!$P$24*((AV!$S$24-RASANTE!F198)/(AV!$N$24))^2,IF(AND(AV!$T$24&lt;RASANTE!F198,F198&lt;AV!$U$24),AV!$P$24*((AV!$U$24-RASANTE!F198)/(AV!$O$24))^2,0))))))))))))))))))))</f>
        <v>0</v>
      </c>
      <c r="L70" s="28">
        <f>+M70+H70%*PERALTE!$C$32</f>
        <v>1640.953400000001</v>
      </c>
      <c r="M70" s="28">
        <f t="shared" si="3"/>
        <v>1640.673400000001</v>
      </c>
      <c r="N70" s="28">
        <f>+M70+I70%*PERALTE!$C$32</f>
        <v>1640.3934000000011</v>
      </c>
      <c r="O70" s="92"/>
      <c r="P70" s="84"/>
      <c r="Q70" s="84"/>
      <c r="R70" s="84"/>
      <c r="S70" s="84"/>
      <c r="T70" s="84"/>
      <c r="U70" s="84"/>
      <c r="V70" s="84"/>
      <c r="W70" s="84"/>
      <c r="X70" s="84"/>
      <c r="Y70" s="84"/>
    </row>
    <row r="71" spans="1:25" ht="15.75" customHeight="1" x14ac:dyDescent="0.2">
      <c r="A71" s="90"/>
      <c r="B71" s="86"/>
      <c r="C71" s="86"/>
      <c r="D71" s="86"/>
      <c r="F71" s="34">
        <v>460</v>
      </c>
      <c r="G71" s="88">
        <f>IF(F71&lt;=AV!$T$6,AV!$C$5,IF(RASANTE!F71&lt;=AV!$T$8,AV!$C$7,IF(RASANTE!F71&lt;=AV!$T$10,AV!$C$9,IF(RASANTE!F71&lt;=AV!$T$12,AV!#REF!,IF(RASANTE!F71&lt;=AV!$T$14,AV!$C$11,IF(RASANTE!F71&lt;=AV!$T$16,AV!$C$13, IF(RASANTE!F71&lt;=AV!$T$18,AV!$C$15,IF(RASANTE!F71&lt;=AV!$T$20,AV!$C$19,IF(RASANTE!F71&lt;=AV!$T$22,AV!$C$21,IF(RASANTE!F71&lt;=AV!$T$24,AV!$C$23,AV!$C$25))))))))))</f>
        <v>-7.774</v>
      </c>
      <c r="H71" s="28">
        <f>+IF(AND(AH!$H$8="Izquierda",RASANTE!F71&lt;=PERALTE!$AB$6),IF(RASANTE!F71&lt;=PERALTE!$S$6,-2,IF(RASANTE!F71&lt;=PERALTE!$U$6,(-6/(PERALTE!$U$6-PERALTE!$S$6)*(RASANTE!F71-PERALTE!$S$6)-2),IF(RASANTE!F71&lt;=PERALTE!$X$6,-8,IF(RASANTE!F71&lt;=PERALTE!$Z$6,(-6/(PERALTE!$X$6-PERALTE!$Z$6)*(RASANTE!F71-PERALTE!$Z$6)-2),IF(RASANTE!F71&lt;=PERALTE!$AB$6,-2))))),IF(AND(AH!$H$8="Derecha",RASANTE!F71&lt;=PERALTE!$AB$6),IF(RASANTE!F71&lt;=PERALTE!$Q$6,-2,IF(RASANTE!F71&lt;=PERALTE!$U$6,(10/(PERALTE!$U$6-PERALTE!$Q$6)*(RASANTE!F71-PERALTE!$Q$6)-2),IF(RASANTE!F71&lt;=PERALTE!$X$6,8,IF(RASANTE!F71&lt;=PERALTE!$AB$6,(10/(PERALTE!$X$6-PERALTE!$AB$6)*(RASANTE!F71-PERALTE!$AB$6)-2))))),IF(AND(AH!$H$10="Izquierda",RASANTE!F71&lt;=PERALTE!$AB$8),IF(RASANTE!F71&lt;=PERALTE!$S$8,-2,IF(RASANTE!F71&lt;=PERALTE!$U$8,(-6/(PERALTE!$U$8-PERALTE!$S$8)*(RASANTE!F71-PERALTE!$S$8)-2),IF(RASANTE!F71&lt;=PERALTE!$X$8,-8,IF(RASANTE!F71&lt;=PERALTE!$Z$8,(-6/(PERALTE!$X$8-PERALTE!$Z$8)*(RASANTE!F71-PERALTE!$Z$8)-2),IF(RASANTE!F71&lt;=PERALTE!$AB$8,-2))))),IF(AND(AH!$H$10="Derecha",RASANTE!F71&lt;=PERALTE!$AB$8),IF(RASANTE!F71&lt;=PERALTE!$Q$8,-2,IF(RASANTE!F71&lt;=PERALTE!$U$8,(10/(PERALTE!$U$8-PERALTE!$Q$8)*(RASANTE!F71-PERALTE!$Q$8)-2),IF(RASANTE!F71&lt;=PERALTE!$X$8,8,IF(RASANTE!F71&lt;=PERALTE!$AB$8,(10/(PERALTE!$X$8-PERALTE!$AB$8)*(RASANTE!F71-PERALTE!$AB$8)-2))))),IF(AND(AH!$H$12="Izquierda",RASANTE!F71&lt;=PERALTE!$AB$10),IF(RASANTE!F71&lt;=PERALTE!$S$10,-2,IF(RASANTE!F71&lt;=PERALTE!$U$10,(-6/(PERALTE!$U$10-PERALTE!$S$10)*(RASANTE!F71-PERALTE!$S$10)-2),IF(RASANTE!F71&lt;=PERALTE!$X$10,-8,IF(RASANTE!F71&lt;=PERALTE!$Z$10,(-6/(PERALTE!$X$10-PERALTE!$Z$10)*(RASANTE!F71-PERALTE!$Z$10)-2),IF(RASANTE!F71&lt;=PERALTE!$AB$10,-2))))),IF(AND(AH!$H$12="Derecha",RASANTE!F71&lt;=PERALTE!$AB$10),IF(RASANTE!F71&lt;=PERALTE!$Q$10,-2,IF(RASANTE!F71&lt;=PERALTE!$U$10,(10/(PERALTE!$U$10-PERALTE!$Q$10)*(RASANTE!F71-PERALTE!$Q$10)-2),IF(RASANTE!F71&lt;=PERALTE!$X$10,8,IF(RASANTE!F71&lt;=PERALTE!$AB$10,(10/(PERALTE!$X$10-PERALTE!$AB$10)*(RASANTE!F71-PERALTE!$AB$10)-2))))),IF(AND(AH!$H$14="Izquierda",RASANTE!F71&lt;=PERALTE!$AB$12),IF(RASANTE!F71&lt;=PERALTE!$S$12,-2,IF(RASANTE!F71&lt;=PERALTE!$U$12,(-6/(PERALTE!$U$12-PERALTE!$S$12)*(RASANTE!F71-PERALTE!$S$12)-2),IF(RASANTE!F71&lt;=PERALTE!$X$12,-8,IF(RASANTE!F71&lt;=PERALTE!$Z$12,(-6/(PERALTE!$X$12-PERALTE!$Z$12)*(RASANTE!F71-PERALTE!$Z$12)-2),IF(RASANTE!F71&lt;=PERALTE!$AB$12,-2))))),IF(AND(AH!$H$14="Derecha",RASANTE!F71&lt;=PERALTE!$AB$12),IF(RASANTE!F71&lt;=PERALTE!$Q$12,-2,IF(RASANTE!F71&lt;=PERALTE!$U$12,(10/(PERALTE!$U$12-PERALTE!$Q$12)*(RASANTE!F71-PERALTE!$Q$12)-2),IF(RASANTE!F71&lt;=PERALTE!$X$12,8,IF(RASANTE!F71&lt;=PERALTE!$AB$12,(10/(PERALTE!$X$12-PERALTE!$AB$12)*(RASANTE!F71-PERALTE!$AB$12)-2))))),IF(AND(AH!$H$16="Izquierda",RASANTE!F71&lt;=PERALTE!$AB$14),IF(RASANTE!F71&lt;=PERALTE!$S$14,-2,IF(RASANTE!F71&lt;=PERALTE!$U$14,(-6/(PERALTE!$U$14-PERALTE!$S$14)*(RASANTE!F71-PERALTE!$S$14)-2),IF(RASANTE!F71&lt;=PERALTE!$X$14,-8,IF(RASANTE!F71&lt;=PERALTE!$Z$14,(-6/(PERALTE!$X$14-PERALTE!$Z$14)*(RASANTE!F71-PERALTE!$Z$14)-2),IF(RASANTE!F71&lt;=PERALTE!$AB$14,-2))))),IF(AND(AH!$H$16="Derecha",RASANTE!F71&lt;=PERALTE!$AB$14),IF(RASANTE!F71&lt;=PERALTE!$Q$14,-2,IF(RASANTE!F71&lt;=PERALTE!$U$14,(10/(PERALTE!$U$14-PERALTE!$Q$14)*(RASANTE!F71-PERALTE!$Q$14)-2),IF(RASANTE!F71&lt;=PERALTE!$X$14,8,IF(RASANTE!F71&lt;=PERALTE!$AB$14,(10/(PERALTE!$X$14-PERALTE!$AB$14)*(RASANTE!F71-PERALTE!$AB$14)-2))))),IF(AND(AH!$H$18="Izquierda",RASANTE!F71&lt;=PERALTE!$AB$16),IF(RASANTE!F71&lt;=PERALTE!$S$16,-2,IF(RASANTE!F71&lt;=PERALTE!$U$16,(-6/(PERALTE!$U$16-PERALTE!$S$16)*(RASANTE!F71-PERALTE!$S$16)-2),IF(RASANTE!F71&lt;=PERALTE!$X$16,-8,IF(RASANTE!F71&lt;=PERALTE!$Z$16,(-6/(PERALTE!$X$16-PERALTE!$Z$16)*(RASANTE!F71-PERALTE!$Z$16)-2),IF(RASANTE!F71&lt;=PERALTE!$AB$16,-2))))),IF(AND(AH!$H$18="Derecha",RASANTE!F71&lt;=PERALTE!$AB$16),IF(RASANTE!F71&lt;=PERALTE!$Q$16,-2,IF(RASANTE!F71&lt;=PERALTE!$U$16,(10/(PERALTE!$U$16-PERALTE!$Q$16)*(RASANTE!F71-PERALTE!$Q$16)-2),IF(RASANTE!F71&lt;=PERALTE!$X$16,8,IF(RASANTE!F71&lt;=PERALTE!$AB$16,(10/(PERALTE!$X$16-PERALTE!$AB$16)*(RASANTE!F71-PERALTE!$AB$16)-2))))),IF(AND(AH!$H$20="Izquierda",RASANTE!F71&lt;=PERALTE!$AB$18),IF(RASANTE!F71&lt;=PERALTE!$S$18,-2,IF(RASANTE!F71&lt;=PERALTE!$U$18,(-6/(PERALTE!$U$18-PERALTE!$S$18)*(RASANTE!F71-PERALTE!$S$18)-2),IF(RASANTE!F71&lt;=PERALTE!$X$18,-8,IF(RASANTE!F71&lt;=PERALTE!$Z$18,(-6/(PERALTE!$X$18-PERALTE!$Z$18)*(RASANTE!F71-PERALTE!$Z$18)-2),IF(RASANTE!F71&lt;=PERALTE!$AB$18,-2))))),IF(AND(AH!$H$20="Derecha",RASANTE!F71&lt;=PERALTE!$AB$18),IF(RASANTE!F71&lt;=PERALTE!$Q$18,-2,IF(RASANTE!F71&lt;=PERALTE!$U$18,(10/(PERALTE!$U$18-PERALTE!$Q$18)*(RASANTE!F71-PERALTE!$Q$18)-2),IF(RASANTE!F71&lt;=PERALTE!$X$18,8,IF(RASANTE!F71&lt;=PERALTE!$AB$18,(10/(PERALTE!$X$18-PERALTE!$AB$18)*(RASANTE!F71-PERALTE!$AB$18)-2))))),IF(AND(AH!$H$24="Izquierda",RASANTE!F71&lt;=PERALTE!$AB$22),IF(RASANTE!F71&lt;=PERALTE!$S$22,-2,IF(RASANTE!F71&lt;=PERALTE!$U$22,(-6/(PERALTE!$U$22-PERALTE!$S$22)*(RASANTE!F71-PERALTE!$S$22)-2),IF(RASANTE!F71&lt;=PERALTE!$X$22,-8,IF(RASANTE!F71&lt;=PERALTE!$Z$22,(-6/(PERALTE!$X$22-PERALTE!$Z$22)*(RASANTE!F71-PERALTE!$Z$22)-2),IF(RASANTE!F71&lt;=PERALTE!$AB$22,-2))))),IF(AND(AH!$H$24="Derecha",RASANTE!F71&lt;=PERALTE!$AB$22),IF(RASANTE!F71&lt;=PERALTE!$Q$22,-2,IF(RASANTE!F71&lt;=PERALTE!$U$22,(10/(PERALTE!$U$22-PERALTE!$Q$22)*(RASANTE!F71-PERALTE!$Q$22)-2),IF(RASANTE!F71&lt;=PERALTE!$X$22,8,IF(RASANTE!F71&lt;=PERALTE!$AB$22,(10/(PERALTE!$X$22-PERALTE!$AB$22)*(RASANTE!F71-PERALTE!$AB$22)-2))))),IF(AND(AH!#REF!="Izquierda",RASANTE!F71&lt;=PERALTE!#REF!),IF(RASANTE!F71&lt;=PERALTE!#REF!,-2,IF(RASANTE!F71&lt;=PERALTE!#REF!,(-6/(PERALTE!#REF!-PERALTE!#REF!)*(RASANTE!F71-PERALTE!#REF!)-2),IF(RASANTE!F71&lt;=PERALTE!#REF!,-8,IF(RASANTE!F71&lt;=PERALTE!#REF!,(-6/(PERALTE!#REF!-PERALTE!#REF!)*(RASANTE!F71-PERALTE!#REF!)-2),IF(RASANTE!F71&lt;=PERALTE!#REF!,-2))))),IF(AND(AH!#REF!="Derecha",RASANTE!F71&lt;=PERALTE!#REF!),IF(RASANTE!F71&lt;=PERALTE!#REF!,-2,IF(RASANTE!F71&lt;=PERALTE!#REF!,(10/(PERALTE!#REF!-PERALTE!#REF!)*(RASANTE!F71-PERALTE!#REF!)-2),IF(RASANTE!F71&lt;=PERALTE!#REF!,8,IF(RASANTE!F71&lt;=PERALTE!#REF!,(10/(PERALTE!#REF!-PERALTE!#REF!)*(RASANTE!F71-PERALTE!#REF!)-2))))),IF(AND(AH!#REF!="Izquierda",RASANTE!F71&lt;=PERALTE!$AB$26),IF(RASANTE!F71&lt;=PERALTE!$S$26,-2,IF(RASANTE!F71&lt;=PERALTE!$U$26,(-6/(PERALTE!$U$26-PERALTE!$S$26)*(RASANTE!F71-PERALTE!$S$26)-2),IF(RASANTE!F71&lt;=PERALTE!$X$26,-8,IF(RASANTE!F71&lt;=PERALTE!$Z$26,(-6/(PERALTE!$X$26-PERALTE!$Z$26)*(RASANTE!F71-PERALTE!$Z$26)-2),IF(RASANTE!F71&lt;=PERALTE!$AB$26,-2))))),IF(AND(AH!#REF!="Derecha",RASANTE!F71&lt;=PERALTE!$AB$26),IF(RASANTE!F71&lt;=PERALTE!$Q$26,-2,IF(RASANTE!F71&lt;=PERALTE!$U$26,(10/(PERALTE!$U$26-PERALTE!$Q$26)*(RASANTE!F71-PERALTE!$Q$26)-2),IF(RASANTE!F71&lt;=PERALTE!$X$26,8,IF(RASANTE!F71&lt;=PERALTE!$AB$26,(10/(PERALTE!$X$26-PERALTE!$AB$26)*(RASANTE!F71-PERALTE!$AB$26)-2))))),IF(F71&lt;=PERALTE!#REF!,-2,"Abscisa fuera de la vía")))))))))))))))))))))</f>
        <v>8</v>
      </c>
      <c r="I71" s="28">
        <f>+IF(AND(AH!$H$8="Derecha",RASANTE!F71&lt;=PERALTE!$AB$6),IF(RASANTE!F71&lt;=PERALTE!$S$6,-2,IF(RASANTE!F71&lt;=PERALTE!$U$6,(-6/(PERALTE!$U$6-PERALTE!$S$6)*(RASANTE!F71-PERALTE!$S$6)-2),IF(RASANTE!F71&lt;=PERALTE!$X$6,-8,IF(RASANTE!F71&lt;=PERALTE!$Z$6,(-6/(PERALTE!$X$6-PERALTE!$Z$6)*(RASANTE!F71-PERALTE!$Z$6)-2),IF(RASANTE!F71&lt;=PERALTE!$AB$6,-2))))),IF(AND(AH!$H$8="Izquierda",RASANTE!F71&lt;=PERALTE!$AB$6),IF(RASANTE!F71&lt;=PERALTE!$Q$6,-2,IF(RASANTE!F71&lt;=PERALTE!$U$6,(10/(PERALTE!$U$6-PERALTE!$Q$6)*(RASANTE!F71-PERALTE!$Q$6)-2),IF(RASANTE!F71&lt;=PERALTE!$X$6,8,IF(RASANTE!F71&lt;=PERALTE!$AB$6,(10/(PERALTE!$X$6-PERALTE!$AB$6)*(RASANTE!F71-PERALTE!$AB$6)-2))))),IF(AND(AH!$H$10="Derecha",RASANTE!F71&lt;=PERALTE!$AB$8),IF(RASANTE!F71&lt;=PERALTE!$S$8,-2,IF(RASANTE!F71&lt;=PERALTE!$U$8,(-6/(PERALTE!$U$8-PERALTE!$S$8)*(RASANTE!F71-PERALTE!$S$8)-2),IF(RASANTE!F71&lt;=PERALTE!$X$8,-8,IF(RASANTE!F71&lt;=PERALTE!$Z$8,(-6/(PERALTE!$X$8-PERALTE!$Z$8)*(RASANTE!F71-PERALTE!$Z$8)-2),IF(RASANTE!F71&lt;=PERALTE!$AB$8,-2))))),IF(AND(AH!$H$10="Izquierda",RASANTE!F71&lt;=PERALTE!$AB$8),IF(RASANTE!F71&lt;=PERALTE!$Q$8,-2,IF(RASANTE!F71&lt;=PERALTE!$U$8,(10/(PERALTE!$U$8-PERALTE!$Q$8)*(RASANTE!F71-PERALTE!$Q$8)-2),IF(RASANTE!F71&lt;=PERALTE!$X$8,8,IF(RASANTE!F71&lt;=PERALTE!$AB$8,(10/(PERALTE!$X$8-PERALTE!$AB$8)*(RASANTE!F71-PERALTE!$AB$8)-2))))),IF(AND(AH!$H$12="Derecha",RASANTE!F71&lt;=PERALTE!$AB$10),IF(RASANTE!F71&lt;=PERALTE!$S$10,-2,IF(RASANTE!F71&lt;=PERALTE!$U$10,(-6/(PERALTE!$U$10-PERALTE!$S$10)*(RASANTE!F71-PERALTE!$S$10)-2),IF(RASANTE!F71&lt;=PERALTE!$X$10,-8,IF(RASANTE!F71&lt;=PERALTE!$Z$10,(-6/(PERALTE!$X$10-PERALTE!$Z$10)*(RASANTE!F71-PERALTE!$Z$10)-2),IF(RASANTE!F71&lt;=PERALTE!$AB$10,-2))))),IF(AND(AH!$H$12="Izquierda",RASANTE!F71&lt;=PERALTE!$AB$10),IF(RASANTE!F71&lt;=PERALTE!$Q$10,-2,IF(RASANTE!F71&lt;=PERALTE!$U$10,(10/(PERALTE!$U$10-PERALTE!$Q$10)*(RASANTE!F71-PERALTE!$Q$10)-2),IF(RASANTE!F71&lt;=PERALTE!$X$10,8,IF(RASANTE!F71&lt;=PERALTE!$AB$10,(10/(PERALTE!$X$10-PERALTE!$AB$10)*(RASANTE!F71-PERALTE!$AB$10)-2))))),IF(AND(AH!$H$14="Derecha",RASANTE!F71&lt;=PERALTE!$AB$12),IF(RASANTE!F71&lt;=PERALTE!$S$12,-2,IF(RASANTE!F71&lt;=PERALTE!$U$12,(-6/(PERALTE!$U$12-PERALTE!$S$12)*(RASANTE!F71-PERALTE!$S$12)-2),IF(RASANTE!F71&lt;=PERALTE!$X$12,-8,IF(RASANTE!F71&lt;=PERALTE!$Z$12,(-6/(PERALTE!$X$12-PERALTE!$Z$12)*(RASANTE!F71-PERALTE!$Z$12)-2),IF(RASANTE!F71&lt;=PERALTE!$AB$12,-2))))),IF(AND(AH!$H$14="Izquierda",RASANTE!F71&lt;=PERALTE!$AB$12),IF(RASANTE!F71&lt;=PERALTE!$Q$12,-2,IF(RASANTE!F71&lt;=PERALTE!$U$12,(10/(PERALTE!$U$12-PERALTE!$Q$12)*(RASANTE!F71-PERALTE!$Q$12)-2),IF(RASANTE!F71&lt;=PERALTE!$X$12,8,IF(RASANTE!F71&lt;=PERALTE!$AB$12,(10/(PERALTE!$X$12-PERALTE!$AB$12)*(RASANTE!F71-PERALTE!$AB$12)-2))))),IF(AND(AH!$H$16="Derecha",RASANTE!F71&lt;=PERALTE!$AB$14),IF(RASANTE!F71&lt;=PERALTE!$S$14,-2,IF(RASANTE!F71&lt;=PERALTE!$U$14,(-6/(PERALTE!$U$14-PERALTE!$S$14)*(RASANTE!F71-PERALTE!$S$14)-2),IF(RASANTE!F71&lt;=PERALTE!$X$14,-8,IF(RASANTE!F71&lt;=PERALTE!$Z$14,(-6/(PERALTE!$X$14-PERALTE!$Z$14)*(RASANTE!F71-PERALTE!$Z$14)-2),IF(RASANTE!F71&lt;=PERALTE!$AB$14,-2))))),IF(AND(AH!$H$16="Izquierda",RASANTE!F71&lt;=PERALTE!$AB$14),IF(RASANTE!F71&lt;=PERALTE!$Q$14,-2,IF(RASANTE!F71&lt;=PERALTE!$U$14,(10/(PERALTE!$U$14-PERALTE!$Q$14)*(RASANTE!F71-PERALTE!$Q$14)-2),IF(RASANTE!F71&lt;=PERALTE!$X$14,8,IF(RASANTE!F71&lt;=PERALTE!$AB$14,(10/(PERALTE!$X$14-PERALTE!$AB$14)*(RASANTE!F71-PERALTE!$AB$14)-2))))),IF(AND(AH!$H$18="Derecha",RASANTE!F71&lt;=PERALTE!$AB$16),IF(RASANTE!F71&lt;=PERALTE!$S$16,-2,IF(RASANTE!F71&lt;=PERALTE!$U$16,(-6/(PERALTE!$U$16-PERALTE!$S$16)*(RASANTE!F71-PERALTE!$S$16)-2),IF(RASANTE!F71&lt;=PERALTE!$X$16,-8,IF(RASANTE!F71&lt;=PERALTE!$Z$16,(-6/(PERALTE!$X$16-PERALTE!$Z$16)*(RASANTE!F71-PERALTE!$Z$16)-2),IF(RASANTE!F71&lt;=PERALTE!$AB$16,-2))))),IF(AND(AH!$H$18="Izquierda",RASANTE!F71&lt;=PERALTE!$AB$16),IF(RASANTE!F71&lt;=PERALTE!$Q$16,-2,IF(RASANTE!F71&lt;=PERALTE!$U$16,(10/(PERALTE!$U$16-PERALTE!$Q$16)*(RASANTE!F71-PERALTE!$Q$16)-2),IF(RASANTE!F71&lt;=PERALTE!$X$16,8,IF(RASANTE!F71&lt;=PERALTE!$AB$16,(10/(PERALTE!$X$16-PERALTE!$AB$16)*(RASANTE!F71-PERALTE!$AB$16)-2))))),IF(AND(AH!$H$20="Derecha",RASANTE!F71&lt;=PERALTE!$AB$18),IF(RASANTE!F71&lt;=PERALTE!$S$18,-2,IF(RASANTE!F71&lt;=PERALTE!$U$18,(-6/(PERALTE!$U$18-PERALTE!$S$18)*(RASANTE!F71-PERALTE!$S$18)-2),IF(RASANTE!F71&lt;=PERALTE!$X$18,-8,IF(RASANTE!F71&lt;=PERALTE!$Z$18,(-6/(PERALTE!$X$18-PERALTE!$Z$18)*(RASANTE!F71-PERALTE!$Z$18)-2),IF(RASANTE!F71&lt;=PERALTE!$AB$18,-2))))),IF(AND(AH!$H$20="Izquierda",RASANTE!F71&lt;=PERALTE!$AB$18),IF(RASANTE!F71&lt;=PERALTE!$Q$18,-2,IF(RASANTE!F71&lt;=PERALTE!$U$18,(10/(PERALTE!$U$18-PERALTE!$Q$18)*(RASANTE!F71-PERALTE!$Q$18)-2),IF(RASANTE!F71&lt;=PERALTE!$X$18,8,IF(RASANTE!F71&lt;=PERALTE!$AB$18,(10/(PERALTE!$X$18-PERALTE!$AB$18)*(RASANTE!F71-PERALTE!$AB$18)-2))))),IF(AND(AH!$H$24="Derecha",RASANTE!F71&lt;=PERALTE!$AB$22),IF(RASANTE!F71&lt;=PERALTE!$S$22,-2,IF(RASANTE!F71&lt;=PERALTE!$U$22,(-6/(PERALTE!$U$22-PERALTE!$S$22)*(RASANTE!F71-PERALTE!$S$22)-2),IF(RASANTE!F71&lt;=PERALTE!$X$22,-8,IF(RASANTE!F71&lt;=PERALTE!$Z$22,(-6/(PERALTE!$X$22-PERALTE!$Z$22)*(RASANTE!F71-PERALTE!$Z$22)-2),IF(RASANTE!F71&lt;=PERALTE!$AB$22,-2))))),IF(AND(AH!$H$24="Izquierda",RASANTE!F71&lt;=PERALTE!$AB$22),IF(RASANTE!F71&lt;=PERALTE!$Q$22,-2,IF(RASANTE!F71&lt;=PERALTE!$U$22,(10/(PERALTE!$U$22-PERALTE!$Q$22)*(RASANTE!F71-PERALTE!$Q$22)-2),IF(RASANTE!F71&lt;=PERALTE!$X$22,8,IF(RASANTE!F71&lt;=PERALTE!$AB$22,(10/(PERALTE!$X$22-PERALTE!$AB$22)*(RASANTE!F71-PERALTE!$AB$22)-2))))),IF(AND(AH!#REF!="Derecha",RASANTE!F71&lt;=PERALTE!#REF!),IF(RASANTE!F71&lt;=PERALTE!#REF!,-2,IF(RASANTE!F71&lt;=PERALTE!#REF!,(-6/(PERALTE!#REF!-PERALTE!#REF!)*(RASANTE!F71-PERALTE!#REF!)-2),IF(RASANTE!F71&lt;=PERALTE!#REF!,-8,IF(RASANTE!F71&lt;=PERALTE!#REF!,(-6/(PERALTE!#REF!-PERALTE!#REF!)*(RASANTE!F71-PERALTE!#REF!)-2),IF(RASANTE!F71&lt;=PERALTE!#REF!,-2))))),IF(AND(AH!#REF!="Izquierda",RASANTE!F71&lt;=PERALTE!#REF!),IF(RASANTE!F71&lt;=PERALTE!#REF!,-2,IF(RASANTE!F71&lt;=PERALTE!#REF!,(10/(PERALTE!#REF!-PERALTE!#REF!)*(RASANTE!F71-PERALTE!#REF!)-2),IF(RASANTE!F71&lt;=PERALTE!#REF!,8,IF(RASANTE!F71&lt;=PERALTE!#REF!,(10/(PERALTE!#REF!-PERALTE!#REF!)*(RASANTE!F71-PERALTE!#REF!)-2))))),IF(AND(AH!#REF!="Derecha",RASANTE!F71&lt;=PERALTE!$AB$26),IF(RASANTE!F71&lt;=PERALTE!$S$26,-2,IF(RASANTE!F71&lt;=PERALTE!$U$26,(-6/(PERALTE!$U$26-PERALTE!$S$26)*(RASANTE!F71-PERALTE!$S$26)-2),IF(RASANTE!F71&lt;=PERALTE!$X$26,-8,IF(RASANTE!F71&lt;=PERALTE!$Z$26,(-6/(PERALTE!$X$26-PERALTE!$Z$26)*(RASANTE!F71-PERALTE!$Z$26)-2),IF(RASANTE!F71&lt;=PERALTE!$AB$26,-2))))),IF(AND(AH!#REF!="Izquierda",RASANTE!F71&lt;=PERALTE!$AB$26),IF(RASANTE!F71&lt;=PERALTE!$Q$26,-2,IF(RASANTE!F71&lt;=PERALTE!$U$26,(10/(PERALTE!$U$26-PERALTE!$Q$26)*(RASANTE!F71-PERALTE!$Q$26)-2),IF(RASANTE!F71&lt;=PERALTE!$X$26,8,IF(RASANTE!F71&lt;=PERALTE!$AB$26,(10/(PERALTE!$X$26-PERALTE!$AB$26)*(RASANTE!F71-PERALTE!$AB$26)-2))))),IF(F71&lt;=PERALTE!#REF!,-2,"Abscisa fuera de la vía")))))))))))))))))))))</f>
        <v>-8</v>
      </c>
      <c r="J71" s="28">
        <f t="shared" si="1"/>
        <v>1639.8960000000011</v>
      </c>
      <c r="K71" s="28">
        <f>+IF(AND(AV!$S$6&lt;F195,F195&lt;=AV!$T$6),AV!$P$6*((AV!$S$6-RASANTE!F195)/(AV!$N$6))^2,IF(AND(AV!$T$6&lt;RASANTE!F195,F195&lt;AV!$U$6),AV!$P$6*((AV!$U$6-RASANTE!F195)/(AV!$O$6))^2,IF(AND(AV!$S$8&lt;F195,F195&lt;=AV!$T$8),AV!$P$8*((AV!$S$8-RASANTE!F195)/(AV!$N$8))^2,IF(AND(AV!$T$8&lt;RASANTE!F195,F195&lt;AV!$U$8),AV!$P$8*((AV!$U$8-RASANTE!F195)/(AV!$O$8))^2,IF(AND(AV!$S$10&lt;F195,F195&lt;=AV!$T$10),AV!$P$10*((AV!$S$10-RASANTE!F195)/(AV!$N$10))^2,IF(AND(AV!$T$10&lt;RASANTE!F195,F195&lt;AV!$U$10),AV!$P$10*((AV!$U$10-RASANTE!F195)/(AV!$O$10))^2,IF(AND(AV!$S$12&lt;F195,F195&lt;=AV!$T$12),AV!$P$12*((AV!$S$12-RASANTE!F195)/(AV!$N$12))^2,IF(AND(AV!$T$12&lt;RASANTE!F195,F195&lt;AV!$U$12),AV!$P$12*((AV!$U$12-RASANTE!F195)/(AV!$O$12))^2,IF(AND(AV!$S$14&lt;F195,F195&lt;=AV!$T$14),AV!$P$14*((AV!$S$14-RASANTE!F195)/(AV!$N$14))^2,IF(AND(AV!$T$14&lt;RASANTE!F195,F195&lt;AV!$U$14),AV!$P$14*((AV!$U$14-RASANTE!F195)/(AV!$O$14))^2,IF(AND(AV!$S$16&lt;F195,F195&lt;=AV!$T$16),AV!$P$16*((AV!$S$16-RASANTE!F195)/(AV!$N$16))^2,IF(AND(AV!$T$16&lt;RASANTE!F195,F195&lt;AV!$U$16),AV!$P$16*((AV!$U$16-RASANTE!F195)/(AV!$O$16))^2,IF(AND(AV!$S$18&lt;F195,F195&lt;=AV!$T$18),AV!$P$18*((AV!$S$18-RASANTE!F195)/(AV!$N$18))^2,IF(AND(AV!$T$18&lt;RASANTE!F195,F195&lt;AV!$U$18),AV!$P$18*((AV!$U$18-RASANTE!F195)/(AV!$O$18))^2,IF(AND(AV!$S$20&lt;F195,F195&lt;=AV!$T$20),AV!$P$20*((AV!$S$20-RASANTE!F195)/(AV!$N$20))^2,IF(AND(AV!$T$20&lt;RASANTE!F195,F195&lt;AV!$U$20),AV!$P$20*((AV!$U$20-RASANTE!F195)/(AV!$O$20))^2,IF(AND(AV!$S$22&lt;F195,F195&lt;=AV!$T$22),AV!$P$22*((AV!$S$22-RASANTE!F195)/(AV!$N$22))^2,IF(AND(AV!$T$22&lt;RASANTE!F195,F195&lt;AV!$U$22),AV!$P$22*((AV!$U$22-RASANTE!F195)/(AV!$O$22))^2,IF(AND(AV!$S$24&lt;F195,F195&lt;=AV!$T$24),AV!$P$24*((AV!$S$24-RASANTE!F195)/(AV!$N$24))^2,IF(AND(AV!$T$24&lt;RASANTE!F195,F195&lt;AV!$U$24),AV!$P$24*((AV!$U$24-RASANTE!F195)/(AV!$O$24))^2,0))))))))))))))))))))</f>
        <v>0</v>
      </c>
      <c r="L71" s="28">
        <f>+M71+H71%*PERALTE!$C$32</f>
        <v>1640.1760000000011</v>
      </c>
      <c r="M71" s="28">
        <f t="shared" si="3"/>
        <v>1639.8960000000011</v>
      </c>
      <c r="N71" s="28">
        <f>+M71+I71%*PERALTE!$C$32</f>
        <v>1639.6160000000011</v>
      </c>
      <c r="O71" s="92"/>
      <c r="P71" s="84"/>
      <c r="Q71" s="84"/>
      <c r="R71" s="84"/>
      <c r="S71" s="84"/>
      <c r="T71" s="84"/>
      <c r="U71" s="84"/>
      <c r="V71" s="84"/>
      <c r="W71" s="84"/>
      <c r="X71" s="84"/>
      <c r="Y71" s="84"/>
    </row>
    <row r="72" spans="1:25" ht="15.75" customHeight="1" x14ac:dyDescent="0.2">
      <c r="A72" s="130" t="s">
        <v>200</v>
      </c>
      <c r="B72" s="86"/>
      <c r="C72" s="86"/>
      <c r="D72" s="86"/>
      <c r="E72" s="131" t="s">
        <v>201</v>
      </c>
      <c r="F72" s="34">
        <f>AV!S8</f>
        <v>468.88200000000001</v>
      </c>
      <c r="G72" s="88">
        <f>IF(F72&lt;=AV!$T$6,AV!$C$5,IF(RASANTE!F72&lt;=AV!$T$8,AV!$C$7,IF(RASANTE!F72&lt;=AV!$T$10,AV!$C$9,IF(RASANTE!F72&lt;=AV!$T$12,AV!#REF!,IF(RASANTE!F72&lt;=AV!$T$14,AV!$C$11,IF(RASANTE!F72&lt;=AV!$T$16,AV!$C$13, IF(RASANTE!F72&lt;=AV!$T$18,AV!$C$15,IF(RASANTE!F72&lt;=AV!$T$20,AV!$C$19,IF(RASANTE!F72&lt;=AV!$T$22,AV!$C$21,IF(RASANTE!F72&lt;=AV!$T$24,AV!$C$23,AV!$C$25))))))))))</f>
        <v>-7.774</v>
      </c>
      <c r="H72" s="28">
        <f>+IF(AND(AH!$H$8="Izquierda",RASANTE!F72&lt;=PERALTE!$AB$6),IF(RASANTE!F72&lt;=PERALTE!$S$6,-2,IF(RASANTE!F72&lt;=PERALTE!$U$6,(-6/(PERALTE!$U$6-PERALTE!$S$6)*(RASANTE!F72-PERALTE!$S$6)-2),IF(RASANTE!F72&lt;=PERALTE!$X$6,-8,IF(RASANTE!F72&lt;=PERALTE!$Z$6,(-6/(PERALTE!$X$6-PERALTE!$Z$6)*(RASANTE!F72-PERALTE!$Z$6)-2),IF(RASANTE!F72&lt;=PERALTE!$AB$6,-2))))),IF(AND(AH!$H$8="Derecha",RASANTE!F72&lt;=PERALTE!$AB$6),IF(RASANTE!F72&lt;=PERALTE!$Q$6,-2,IF(RASANTE!F72&lt;=PERALTE!$U$6,(10/(PERALTE!$U$6-PERALTE!$Q$6)*(RASANTE!F72-PERALTE!$Q$6)-2),IF(RASANTE!F72&lt;=PERALTE!$X$6,8,IF(RASANTE!F72&lt;=PERALTE!$AB$6,(10/(PERALTE!$X$6-PERALTE!$AB$6)*(RASANTE!F72-PERALTE!$AB$6)-2))))),IF(AND(AH!$H$10="Izquierda",RASANTE!F72&lt;=PERALTE!$AB$8),IF(RASANTE!F72&lt;=PERALTE!$S$8,-2,IF(RASANTE!F72&lt;=PERALTE!$U$8,(-6/(PERALTE!$U$8-PERALTE!$S$8)*(RASANTE!F72-PERALTE!$S$8)-2),IF(RASANTE!F72&lt;=PERALTE!$X$8,-8,IF(RASANTE!F72&lt;=PERALTE!$Z$8,(-6/(PERALTE!$X$8-PERALTE!$Z$8)*(RASANTE!F72-PERALTE!$Z$8)-2),IF(RASANTE!F72&lt;=PERALTE!$AB$8,-2))))),IF(AND(AH!$H$10="Derecha",RASANTE!F72&lt;=PERALTE!$AB$8),IF(RASANTE!F72&lt;=PERALTE!$Q$8,-2,IF(RASANTE!F72&lt;=PERALTE!$U$8,(10/(PERALTE!$U$8-PERALTE!$Q$8)*(RASANTE!F72-PERALTE!$Q$8)-2),IF(RASANTE!F72&lt;=PERALTE!$X$8,8,IF(RASANTE!F72&lt;=PERALTE!$AB$8,(10/(PERALTE!$X$8-PERALTE!$AB$8)*(RASANTE!F72-PERALTE!$AB$8)-2))))),IF(AND(AH!$H$12="Izquierda",RASANTE!F72&lt;=PERALTE!$AB$10),IF(RASANTE!F72&lt;=PERALTE!$S$10,-2,IF(RASANTE!F72&lt;=PERALTE!$U$10,(-6/(PERALTE!$U$10-PERALTE!$S$10)*(RASANTE!F72-PERALTE!$S$10)-2),IF(RASANTE!F72&lt;=PERALTE!$X$10,-8,IF(RASANTE!F72&lt;=PERALTE!$Z$10,(-6/(PERALTE!$X$10-PERALTE!$Z$10)*(RASANTE!F72-PERALTE!$Z$10)-2),IF(RASANTE!F72&lt;=PERALTE!$AB$10,-2))))),IF(AND(AH!$H$12="Derecha",RASANTE!F72&lt;=PERALTE!$AB$10),IF(RASANTE!F72&lt;=PERALTE!$Q$10,-2,IF(RASANTE!F72&lt;=PERALTE!$U$10,(10/(PERALTE!$U$10-PERALTE!$Q$10)*(RASANTE!F72-PERALTE!$Q$10)-2),IF(RASANTE!F72&lt;=PERALTE!$X$10,8,IF(RASANTE!F72&lt;=PERALTE!$AB$10,(10/(PERALTE!$X$10-PERALTE!$AB$10)*(RASANTE!F72-PERALTE!$AB$10)-2))))),IF(AND(AH!$H$14="Izquierda",RASANTE!F72&lt;=PERALTE!$AB$12),IF(RASANTE!F72&lt;=PERALTE!$S$12,-2,IF(RASANTE!F72&lt;=PERALTE!$U$12,(-6/(PERALTE!$U$12-PERALTE!$S$12)*(RASANTE!F72-PERALTE!$S$12)-2),IF(RASANTE!F72&lt;=PERALTE!$X$12,-8,IF(RASANTE!F72&lt;=PERALTE!$Z$12,(-6/(PERALTE!$X$12-PERALTE!$Z$12)*(RASANTE!F72-PERALTE!$Z$12)-2),IF(RASANTE!F72&lt;=PERALTE!$AB$12,-2))))),IF(AND(AH!$H$14="Derecha",RASANTE!F72&lt;=PERALTE!$AB$12),IF(RASANTE!F72&lt;=PERALTE!$Q$12,-2,IF(RASANTE!F72&lt;=PERALTE!$U$12,(10/(PERALTE!$U$12-PERALTE!$Q$12)*(RASANTE!F72-PERALTE!$Q$12)-2),IF(RASANTE!F72&lt;=PERALTE!$X$12,8,IF(RASANTE!F72&lt;=PERALTE!$AB$12,(10/(PERALTE!$X$12-PERALTE!$AB$12)*(RASANTE!F72-PERALTE!$AB$12)-2))))),IF(AND(AH!$H$16="Izquierda",RASANTE!F72&lt;=PERALTE!$AB$14),IF(RASANTE!F72&lt;=PERALTE!$S$14,-2,IF(RASANTE!F72&lt;=PERALTE!$U$14,(-6/(PERALTE!$U$14-PERALTE!$S$14)*(RASANTE!F72-PERALTE!$S$14)-2),IF(RASANTE!F72&lt;=PERALTE!$X$14,-8,IF(RASANTE!F72&lt;=PERALTE!$Z$14,(-6/(PERALTE!$X$14-PERALTE!$Z$14)*(RASANTE!F72-PERALTE!$Z$14)-2),IF(RASANTE!F72&lt;=PERALTE!$AB$14,-2))))),IF(AND(AH!$H$16="Derecha",RASANTE!F72&lt;=PERALTE!$AB$14),IF(RASANTE!F72&lt;=PERALTE!$Q$14,-2,IF(RASANTE!F72&lt;=PERALTE!$U$14,(10/(PERALTE!$U$14-PERALTE!$Q$14)*(RASANTE!F72-PERALTE!$Q$14)-2),IF(RASANTE!F72&lt;=PERALTE!$X$14,8,IF(RASANTE!F72&lt;=PERALTE!$AB$14,(10/(PERALTE!$X$14-PERALTE!$AB$14)*(RASANTE!F72-PERALTE!$AB$14)-2))))),IF(AND(AH!$H$18="Izquierda",RASANTE!F72&lt;=PERALTE!$AB$16),IF(RASANTE!F72&lt;=PERALTE!$S$16,-2,IF(RASANTE!F72&lt;=PERALTE!$U$16,(-6/(PERALTE!$U$16-PERALTE!$S$16)*(RASANTE!F72-PERALTE!$S$16)-2),IF(RASANTE!F72&lt;=PERALTE!$X$16,-8,IF(RASANTE!F72&lt;=PERALTE!$Z$16,(-6/(PERALTE!$X$16-PERALTE!$Z$16)*(RASANTE!F72-PERALTE!$Z$16)-2),IF(RASANTE!F72&lt;=PERALTE!$AB$16,-2))))),IF(AND(AH!$H$18="Derecha",RASANTE!F72&lt;=PERALTE!$AB$16),IF(RASANTE!F72&lt;=PERALTE!$Q$16,-2,IF(RASANTE!F72&lt;=PERALTE!$U$16,(10/(PERALTE!$U$16-PERALTE!$Q$16)*(RASANTE!F72-PERALTE!$Q$16)-2),IF(RASANTE!F72&lt;=PERALTE!$X$16,8,IF(RASANTE!F72&lt;=PERALTE!$AB$16,(10/(PERALTE!$X$16-PERALTE!$AB$16)*(RASANTE!F72-PERALTE!$AB$16)-2))))),IF(AND(AH!$H$20="Izquierda",RASANTE!F72&lt;=PERALTE!$AB$18),IF(RASANTE!F72&lt;=PERALTE!$S$18,-2,IF(RASANTE!F72&lt;=PERALTE!$U$18,(-6/(PERALTE!$U$18-PERALTE!$S$18)*(RASANTE!F72-PERALTE!$S$18)-2),IF(RASANTE!F72&lt;=PERALTE!$X$18,-8,IF(RASANTE!F72&lt;=PERALTE!$Z$18,(-6/(PERALTE!$X$18-PERALTE!$Z$18)*(RASANTE!F72-PERALTE!$Z$18)-2),IF(RASANTE!F72&lt;=PERALTE!$AB$18,-2))))),IF(AND(AH!$H$20="Derecha",RASANTE!F72&lt;=PERALTE!$AB$18),IF(RASANTE!F72&lt;=PERALTE!$Q$18,-2,IF(RASANTE!F72&lt;=PERALTE!$U$18,(10/(PERALTE!$U$18-PERALTE!$Q$18)*(RASANTE!F72-PERALTE!$Q$18)-2),IF(RASANTE!F72&lt;=PERALTE!$X$18,8,IF(RASANTE!F72&lt;=PERALTE!$AB$18,(10/(PERALTE!$X$18-PERALTE!$AB$18)*(RASANTE!F72-PERALTE!$AB$18)-2))))),IF(AND(AH!$H$24="Izquierda",RASANTE!F72&lt;=PERALTE!$AB$22),IF(RASANTE!F72&lt;=PERALTE!$S$22,-2,IF(RASANTE!F72&lt;=PERALTE!$U$22,(-6/(PERALTE!$U$22-PERALTE!$S$22)*(RASANTE!F72-PERALTE!$S$22)-2),IF(RASANTE!F72&lt;=PERALTE!$X$22,-8,IF(RASANTE!F72&lt;=PERALTE!$Z$22,(-6/(PERALTE!$X$22-PERALTE!$Z$22)*(RASANTE!F72-PERALTE!$Z$22)-2),IF(RASANTE!F72&lt;=PERALTE!$AB$22,-2))))),IF(AND(AH!$H$24="Derecha",RASANTE!F72&lt;=PERALTE!$AB$22),IF(RASANTE!F72&lt;=PERALTE!$Q$22,-2,IF(RASANTE!F72&lt;=PERALTE!$U$22,(10/(PERALTE!$U$22-PERALTE!$Q$22)*(RASANTE!F72-PERALTE!$Q$22)-2),IF(RASANTE!F72&lt;=PERALTE!$X$22,8,IF(RASANTE!F72&lt;=PERALTE!$AB$22,(10/(PERALTE!$X$22-PERALTE!$AB$22)*(RASANTE!F72-PERALTE!$AB$22)-2))))),IF(AND(AH!#REF!="Izquierda",RASANTE!F72&lt;=PERALTE!#REF!),IF(RASANTE!F72&lt;=PERALTE!#REF!,-2,IF(RASANTE!F72&lt;=PERALTE!#REF!,(-6/(PERALTE!#REF!-PERALTE!#REF!)*(RASANTE!F72-PERALTE!#REF!)-2),IF(RASANTE!F72&lt;=PERALTE!#REF!,-8,IF(RASANTE!F72&lt;=PERALTE!#REF!,(-6/(PERALTE!#REF!-PERALTE!#REF!)*(RASANTE!F72-PERALTE!#REF!)-2),IF(RASANTE!F72&lt;=PERALTE!#REF!,-2))))),IF(AND(AH!#REF!="Derecha",RASANTE!F72&lt;=PERALTE!#REF!),IF(RASANTE!F72&lt;=PERALTE!#REF!,-2,IF(RASANTE!F72&lt;=PERALTE!#REF!,(10/(PERALTE!#REF!-PERALTE!#REF!)*(RASANTE!F72-PERALTE!#REF!)-2),IF(RASANTE!F72&lt;=PERALTE!#REF!,8,IF(RASANTE!F72&lt;=PERALTE!#REF!,(10/(PERALTE!#REF!-PERALTE!#REF!)*(RASANTE!F72-PERALTE!#REF!)-2))))),IF(AND(AH!#REF!="Izquierda",RASANTE!F72&lt;=PERALTE!$AB$26),IF(RASANTE!F72&lt;=PERALTE!$S$26,-2,IF(RASANTE!F72&lt;=PERALTE!$U$26,(-6/(PERALTE!$U$26-PERALTE!$S$26)*(RASANTE!F72-PERALTE!$S$26)-2),IF(RASANTE!F72&lt;=PERALTE!$X$26,-8,IF(RASANTE!F72&lt;=PERALTE!$Z$26,(-6/(PERALTE!$X$26-PERALTE!$Z$26)*(RASANTE!F72-PERALTE!$Z$26)-2),IF(RASANTE!F72&lt;=PERALTE!$AB$26,-2))))),IF(AND(AH!#REF!="Derecha",RASANTE!F72&lt;=PERALTE!$AB$26),IF(RASANTE!F72&lt;=PERALTE!$Q$26,-2,IF(RASANTE!F72&lt;=PERALTE!$U$26,(10/(PERALTE!$U$26-PERALTE!$Q$26)*(RASANTE!F72-PERALTE!$Q$26)-2),IF(RASANTE!F72&lt;=PERALTE!$X$26,8,IF(RASANTE!F72&lt;=PERALTE!$AB$26,(10/(PERALTE!$X$26-PERALTE!$AB$26)*(RASANTE!F72-PERALTE!$AB$26)-2))))),IF(F72&lt;=PERALTE!#REF!,-2,"Abscisa fuera de la vía")))))))))))))))))))))</f>
        <v>8</v>
      </c>
      <c r="I72" s="28">
        <f>+IF(AND(AH!$H$8="Derecha",RASANTE!F72&lt;=PERALTE!$AB$6),IF(RASANTE!F72&lt;=PERALTE!$S$6,-2,IF(RASANTE!F72&lt;=PERALTE!$U$6,(-6/(PERALTE!$U$6-PERALTE!$S$6)*(RASANTE!F72-PERALTE!$S$6)-2),IF(RASANTE!F72&lt;=PERALTE!$X$6,-8,IF(RASANTE!F72&lt;=PERALTE!$Z$6,(-6/(PERALTE!$X$6-PERALTE!$Z$6)*(RASANTE!F72-PERALTE!$Z$6)-2),IF(RASANTE!F72&lt;=PERALTE!$AB$6,-2))))),IF(AND(AH!$H$8="Izquierda",RASANTE!F72&lt;=PERALTE!$AB$6),IF(RASANTE!F72&lt;=PERALTE!$Q$6,-2,IF(RASANTE!F72&lt;=PERALTE!$U$6,(10/(PERALTE!$U$6-PERALTE!$Q$6)*(RASANTE!F72-PERALTE!$Q$6)-2),IF(RASANTE!F72&lt;=PERALTE!$X$6,8,IF(RASANTE!F72&lt;=PERALTE!$AB$6,(10/(PERALTE!$X$6-PERALTE!$AB$6)*(RASANTE!F72-PERALTE!$AB$6)-2))))),IF(AND(AH!$H$10="Derecha",RASANTE!F72&lt;=PERALTE!$AB$8),IF(RASANTE!F72&lt;=PERALTE!$S$8,-2,IF(RASANTE!F72&lt;=PERALTE!$U$8,(-6/(PERALTE!$U$8-PERALTE!$S$8)*(RASANTE!F72-PERALTE!$S$8)-2),IF(RASANTE!F72&lt;=PERALTE!$X$8,-8,IF(RASANTE!F72&lt;=PERALTE!$Z$8,(-6/(PERALTE!$X$8-PERALTE!$Z$8)*(RASANTE!F72-PERALTE!$Z$8)-2),IF(RASANTE!F72&lt;=PERALTE!$AB$8,-2))))),IF(AND(AH!$H$10="Izquierda",RASANTE!F72&lt;=PERALTE!$AB$8),IF(RASANTE!F72&lt;=PERALTE!$Q$8,-2,IF(RASANTE!F72&lt;=PERALTE!$U$8,(10/(PERALTE!$U$8-PERALTE!$Q$8)*(RASANTE!F72-PERALTE!$Q$8)-2),IF(RASANTE!F72&lt;=PERALTE!$X$8,8,IF(RASANTE!F72&lt;=PERALTE!$AB$8,(10/(PERALTE!$X$8-PERALTE!$AB$8)*(RASANTE!F72-PERALTE!$AB$8)-2))))),IF(AND(AH!$H$12="Derecha",RASANTE!F72&lt;=PERALTE!$AB$10),IF(RASANTE!F72&lt;=PERALTE!$S$10,-2,IF(RASANTE!F72&lt;=PERALTE!$U$10,(-6/(PERALTE!$U$10-PERALTE!$S$10)*(RASANTE!F72-PERALTE!$S$10)-2),IF(RASANTE!F72&lt;=PERALTE!$X$10,-8,IF(RASANTE!F72&lt;=PERALTE!$Z$10,(-6/(PERALTE!$X$10-PERALTE!$Z$10)*(RASANTE!F72-PERALTE!$Z$10)-2),IF(RASANTE!F72&lt;=PERALTE!$AB$10,-2))))),IF(AND(AH!$H$12="Izquierda",RASANTE!F72&lt;=PERALTE!$AB$10),IF(RASANTE!F72&lt;=PERALTE!$Q$10,-2,IF(RASANTE!F72&lt;=PERALTE!$U$10,(10/(PERALTE!$U$10-PERALTE!$Q$10)*(RASANTE!F72-PERALTE!$Q$10)-2),IF(RASANTE!F72&lt;=PERALTE!$X$10,8,IF(RASANTE!F72&lt;=PERALTE!$AB$10,(10/(PERALTE!$X$10-PERALTE!$AB$10)*(RASANTE!F72-PERALTE!$AB$10)-2))))),IF(AND(AH!$H$14="Derecha",RASANTE!F72&lt;=PERALTE!$AB$12),IF(RASANTE!F72&lt;=PERALTE!$S$12,-2,IF(RASANTE!F72&lt;=PERALTE!$U$12,(-6/(PERALTE!$U$12-PERALTE!$S$12)*(RASANTE!F72-PERALTE!$S$12)-2),IF(RASANTE!F72&lt;=PERALTE!$X$12,-8,IF(RASANTE!F72&lt;=PERALTE!$Z$12,(-6/(PERALTE!$X$12-PERALTE!$Z$12)*(RASANTE!F72-PERALTE!$Z$12)-2),IF(RASANTE!F72&lt;=PERALTE!$AB$12,-2))))),IF(AND(AH!$H$14="Izquierda",RASANTE!F72&lt;=PERALTE!$AB$12),IF(RASANTE!F72&lt;=PERALTE!$Q$12,-2,IF(RASANTE!F72&lt;=PERALTE!$U$12,(10/(PERALTE!$U$12-PERALTE!$Q$12)*(RASANTE!F72-PERALTE!$Q$12)-2),IF(RASANTE!F72&lt;=PERALTE!$X$12,8,IF(RASANTE!F72&lt;=PERALTE!$AB$12,(10/(PERALTE!$X$12-PERALTE!$AB$12)*(RASANTE!F72-PERALTE!$AB$12)-2))))),IF(AND(AH!$H$16="Derecha",RASANTE!F72&lt;=PERALTE!$AB$14),IF(RASANTE!F72&lt;=PERALTE!$S$14,-2,IF(RASANTE!F72&lt;=PERALTE!$U$14,(-6/(PERALTE!$U$14-PERALTE!$S$14)*(RASANTE!F72-PERALTE!$S$14)-2),IF(RASANTE!F72&lt;=PERALTE!$X$14,-8,IF(RASANTE!F72&lt;=PERALTE!$Z$14,(-6/(PERALTE!$X$14-PERALTE!$Z$14)*(RASANTE!F72-PERALTE!$Z$14)-2),IF(RASANTE!F72&lt;=PERALTE!$AB$14,-2))))),IF(AND(AH!$H$16="Izquierda",RASANTE!F72&lt;=PERALTE!$AB$14),IF(RASANTE!F72&lt;=PERALTE!$Q$14,-2,IF(RASANTE!F72&lt;=PERALTE!$U$14,(10/(PERALTE!$U$14-PERALTE!$Q$14)*(RASANTE!F72-PERALTE!$Q$14)-2),IF(RASANTE!F72&lt;=PERALTE!$X$14,8,IF(RASANTE!F72&lt;=PERALTE!$AB$14,(10/(PERALTE!$X$14-PERALTE!$AB$14)*(RASANTE!F72-PERALTE!$AB$14)-2))))),IF(AND(AH!$H$18="Derecha",RASANTE!F72&lt;=PERALTE!$AB$16),IF(RASANTE!F72&lt;=PERALTE!$S$16,-2,IF(RASANTE!F72&lt;=PERALTE!$U$16,(-6/(PERALTE!$U$16-PERALTE!$S$16)*(RASANTE!F72-PERALTE!$S$16)-2),IF(RASANTE!F72&lt;=PERALTE!$X$16,-8,IF(RASANTE!F72&lt;=PERALTE!$Z$16,(-6/(PERALTE!$X$16-PERALTE!$Z$16)*(RASANTE!F72-PERALTE!$Z$16)-2),IF(RASANTE!F72&lt;=PERALTE!$AB$16,-2))))),IF(AND(AH!$H$18="Izquierda",RASANTE!F72&lt;=PERALTE!$AB$16),IF(RASANTE!F72&lt;=PERALTE!$Q$16,-2,IF(RASANTE!F72&lt;=PERALTE!$U$16,(10/(PERALTE!$U$16-PERALTE!$Q$16)*(RASANTE!F72-PERALTE!$Q$16)-2),IF(RASANTE!F72&lt;=PERALTE!$X$16,8,IF(RASANTE!F72&lt;=PERALTE!$AB$16,(10/(PERALTE!$X$16-PERALTE!$AB$16)*(RASANTE!F72-PERALTE!$AB$16)-2))))),IF(AND(AH!$H$20="Derecha",RASANTE!F72&lt;=PERALTE!$AB$18),IF(RASANTE!F72&lt;=PERALTE!$S$18,-2,IF(RASANTE!F72&lt;=PERALTE!$U$18,(-6/(PERALTE!$U$18-PERALTE!$S$18)*(RASANTE!F72-PERALTE!$S$18)-2),IF(RASANTE!F72&lt;=PERALTE!$X$18,-8,IF(RASANTE!F72&lt;=PERALTE!$Z$18,(-6/(PERALTE!$X$18-PERALTE!$Z$18)*(RASANTE!F72-PERALTE!$Z$18)-2),IF(RASANTE!F72&lt;=PERALTE!$AB$18,-2))))),IF(AND(AH!$H$20="Izquierda",RASANTE!F72&lt;=PERALTE!$AB$18),IF(RASANTE!F72&lt;=PERALTE!$Q$18,-2,IF(RASANTE!F72&lt;=PERALTE!$U$18,(10/(PERALTE!$U$18-PERALTE!$Q$18)*(RASANTE!F72-PERALTE!$Q$18)-2),IF(RASANTE!F72&lt;=PERALTE!$X$18,8,IF(RASANTE!F72&lt;=PERALTE!$AB$18,(10/(PERALTE!$X$18-PERALTE!$AB$18)*(RASANTE!F72-PERALTE!$AB$18)-2))))),IF(AND(AH!$H$24="Derecha",RASANTE!F72&lt;=PERALTE!$AB$22),IF(RASANTE!F72&lt;=PERALTE!$S$22,-2,IF(RASANTE!F72&lt;=PERALTE!$U$22,(-6/(PERALTE!$U$22-PERALTE!$S$22)*(RASANTE!F72-PERALTE!$S$22)-2),IF(RASANTE!F72&lt;=PERALTE!$X$22,-8,IF(RASANTE!F72&lt;=PERALTE!$Z$22,(-6/(PERALTE!$X$22-PERALTE!$Z$22)*(RASANTE!F72-PERALTE!$Z$22)-2),IF(RASANTE!F72&lt;=PERALTE!$AB$22,-2))))),IF(AND(AH!$H$24="Izquierda",RASANTE!F72&lt;=PERALTE!$AB$22),IF(RASANTE!F72&lt;=PERALTE!$Q$22,-2,IF(RASANTE!F72&lt;=PERALTE!$U$22,(10/(PERALTE!$U$22-PERALTE!$Q$22)*(RASANTE!F72-PERALTE!$Q$22)-2),IF(RASANTE!F72&lt;=PERALTE!$X$22,8,IF(RASANTE!F72&lt;=PERALTE!$AB$22,(10/(PERALTE!$X$22-PERALTE!$AB$22)*(RASANTE!F72-PERALTE!$AB$22)-2))))),IF(AND(AH!#REF!="Derecha",RASANTE!F72&lt;=PERALTE!#REF!),IF(RASANTE!F72&lt;=PERALTE!#REF!,-2,IF(RASANTE!F72&lt;=PERALTE!#REF!,(-6/(PERALTE!#REF!-PERALTE!#REF!)*(RASANTE!F72-PERALTE!#REF!)-2),IF(RASANTE!F72&lt;=PERALTE!#REF!,-8,IF(RASANTE!F72&lt;=PERALTE!#REF!,(-6/(PERALTE!#REF!-PERALTE!#REF!)*(RASANTE!F72-PERALTE!#REF!)-2),IF(RASANTE!F72&lt;=PERALTE!#REF!,-2))))),IF(AND(AH!#REF!="Izquierda",RASANTE!F72&lt;=PERALTE!#REF!),IF(RASANTE!F72&lt;=PERALTE!#REF!,-2,IF(RASANTE!F72&lt;=PERALTE!#REF!,(10/(PERALTE!#REF!-PERALTE!#REF!)*(RASANTE!F72-PERALTE!#REF!)-2),IF(RASANTE!F72&lt;=PERALTE!#REF!,8,IF(RASANTE!F72&lt;=PERALTE!#REF!,(10/(PERALTE!#REF!-PERALTE!#REF!)*(RASANTE!F72-PERALTE!#REF!)-2))))),IF(AND(AH!#REF!="Derecha",RASANTE!F72&lt;=PERALTE!$AB$26),IF(RASANTE!F72&lt;=PERALTE!$S$26,-2,IF(RASANTE!F72&lt;=PERALTE!$U$26,(-6/(PERALTE!$U$26-PERALTE!$S$26)*(RASANTE!F72-PERALTE!$S$26)-2),IF(RASANTE!F72&lt;=PERALTE!$X$26,-8,IF(RASANTE!F72&lt;=PERALTE!$Z$26,(-6/(PERALTE!$X$26-PERALTE!$Z$26)*(RASANTE!F72-PERALTE!$Z$26)-2),IF(RASANTE!F72&lt;=PERALTE!$AB$26,-2))))),IF(AND(AH!#REF!="Izquierda",RASANTE!F72&lt;=PERALTE!$AB$26),IF(RASANTE!F72&lt;=PERALTE!$Q$26,-2,IF(RASANTE!F72&lt;=PERALTE!$U$26,(10/(PERALTE!$U$26-PERALTE!$Q$26)*(RASANTE!F72-PERALTE!$Q$26)-2),IF(RASANTE!F72&lt;=PERALTE!$X$26,8,IF(RASANTE!F72&lt;=PERALTE!$AB$26,(10/(PERALTE!$X$26-PERALTE!$AB$26)*(RASANTE!F72-PERALTE!$AB$26)-2))))),IF(F72&lt;=PERALTE!#REF!,-2,"Abscisa fuera de la vía")))))))))))))))))))))</f>
        <v>-8</v>
      </c>
      <c r="J72" s="28">
        <f t="shared" ref="J72:J135" si="4">J71+((F72-F71)*G71/100)</f>
        <v>1639.205513320001</v>
      </c>
      <c r="K72" s="28">
        <f>+IF(AND(AV!$S$6&lt;F196,F196&lt;=AV!$T$6),AV!$P$6*((AV!$S$6-RASANTE!F196)/(AV!$N$6))^2,IF(AND(AV!$T$6&lt;RASANTE!F196,F196&lt;AV!$U$6),AV!$P$6*((AV!$U$6-RASANTE!F196)/(AV!$O$6))^2,IF(AND(AV!$S$8&lt;F196,F196&lt;=AV!$T$8),AV!$P$8*((AV!$S$8-RASANTE!F196)/(AV!$N$8))^2,IF(AND(AV!$T$8&lt;RASANTE!F196,F196&lt;AV!$U$8),AV!$P$8*((AV!$U$8-RASANTE!F196)/(AV!$O$8))^2,IF(AND(AV!$S$10&lt;F196,F196&lt;=AV!$T$10),AV!$P$10*((AV!$S$10-RASANTE!F196)/(AV!$N$10))^2,IF(AND(AV!$T$10&lt;RASANTE!F196,F196&lt;AV!$U$10),AV!$P$10*((AV!$U$10-RASANTE!F196)/(AV!$O$10))^2,IF(AND(AV!$S$12&lt;F196,F196&lt;=AV!$T$12),AV!$P$12*((AV!$S$12-RASANTE!F196)/(AV!$N$12))^2,IF(AND(AV!$T$12&lt;RASANTE!F196,F196&lt;AV!$U$12),AV!$P$12*((AV!$U$12-RASANTE!F196)/(AV!$O$12))^2,IF(AND(AV!$S$14&lt;F196,F196&lt;=AV!$T$14),AV!$P$14*((AV!$S$14-RASANTE!F196)/(AV!$N$14))^2,IF(AND(AV!$T$14&lt;RASANTE!F196,F196&lt;AV!$U$14),AV!$P$14*((AV!$U$14-RASANTE!F196)/(AV!$O$14))^2,IF(AND(AV!$S$16&lt;F196,F196&lt;=AV!$T$16),AV!$P$16*((AV!$S$16-RASANTE!F196)/(AV!$N$16))^2,IF(AND(AV!$T$16&lt;RASANTE!F196,F196&lt;AV!$U$16),AV!$P$16*((AV!$U$16-RASANTE!F196)/(AV!$O$16))^2,IF(AND(AV!$S$18&lt;F196,F196&lt;=AV!$T$18),AV!$P$18*((AV!$S$18-RASANTE!F196)/(AV!$N$18))^2,IF(AND(AV!$T$18&lt;RASANTE!F196,F196&lt;AV!$U$18),AV!$P$18*((AV!$U$18-RASANTE!F196)/(AV!$O$18))^2,IF(AND(AV!$S$20&lt;F196,F196&lt;=AV!$T$20),AV!$P$20*((AV!$S$20-RASANTE!F196)/(AV!$N$20))^2,IF(AND(AV!$T$20&lt;RASANTE!F196,F196&lt;AV!$U$20),AV!$P$20*((AV!$U$20-RASANTE!F196)/(AV!$O$20))^2,IF(AND(AV!$S$22&lt;F196,F196&lt;=AV!$T$22),AV!$P$22*((AV!$S$22-RASANTE!F196)/(AV!$N$22))^2,IF(AND(AV!$T$22&lt;RASANTE!F196,F196&lt;AV!$U$22),AV!$P$22*((AV!$U$22-RASANTE!F196)/(AV!$O$22))^2,IF(AND(AV!$S$24&lt;F196,F196&lt;=AV!$T$24),AV!$P$24*((AV!$S$24-RASANTE!F196)/(AV!$N$24))^2,IF(AND(AV!$T$24&lt;RASANTE!F196,F196&lt;AV!$U$24),AV!$P$24*((AV!$U$24-RASANTE!F196)/(AV!$O$24))^2,0))))))))))))))))))))</f>
        <v>0</v>
      </c>
      <c r="L72" s="28">
        <f>+M72+H72%*PERALTE!$C$32</f>
        <v>1639.485513320001</v>
      </c>
      <c r="M72" s="28">
        <f t="shared" si="3"/>
        <v>1639.205513320001</v>
      </c>
      <c r="N72" s="28">
        <f>+M72+I72%*PERALTE!$C$32</f>
        <v>1638.9255133200011</v>
      </c>
      <c r="O72" s="92"/>
      <c r="P72" s="84"/>
      <c r="Q72" s="84"/>
      <c r="R72" s="84"/>
      <c r="S72" s="84"/>
      <c r="T72" s="84"/>
      <c r="U72" s="84"/>
      <c r="V72" s="84"/>
      <c r="W72" s="84"/>
      <c r="X72" s="84"/>
      <c r="Y72" s="84"/>
    </row>
    <row r="73" spans="1:25" ht="15.75" customHeight="1" x14ac:dyDescent="0.2">
      <c r="A73" s="90"/>
      <c r="B73" s="86"/>
      <c r="C73" s="86"/>
      <c r="D73" s="86"/>
      <c r="E73" s="149">
        <f>AV!M8</f>
        <v>50</v>
      </c>
      <c r="F73" s="34">
        <v>470</v>
      </c>
      <c r="G73" s="88">
        <f>IF(F73&lt;=AV!$T$6,AV!$C$5,IF(RASANTE!F73&lt;=AV!$T$8,AV!$C$7,IF(RASANTE!F73&lt;=AV!$T$10,AV!$C$9,IF(RASANTE!F73&lt;=AV!$T$12,AV!#REF!,IF(RASANTE!F73&lt;=AV!$T$14,AV!$C$11,IF(RASANTE!F73&lt;=AV!$T$16,AV!$C$13, IF(RASANTE!F73&lt;=AV!$T$18,AV!$C$15,IF(RASANTE!F73&lt;=AV!$T$20,AV!$C$19,IF(RASANTE!F73&lt;=AV!$T$22,AV!$C$21,IF(RASANTE!F73&lt;=AV!$T$24,AV!$C$23,AV!$C$25))))))))))</f>
        <v>-7.774</v>
      </c>
      <c r="H73" s="28">
        <f>+IF(AND(AH!$H$8="Izquierda",RASANTE!F73&lt;=PERALTE!$AB$6),IF(RASANTE!F73&lt;=PERALTE!$S$6,-2,IF(RASANTE!F73&lt;=PERALTE!$U$6,(-6/(PERALTE!$U$6-PERALTE!$S$6)*(RASANTE!F73-PERALTE!$S$6)-2),IF(RASANTE!F73&lt;=PERALTE!$X$6,-8,IF(RASANTE!F73&lt;=PERALTE!$Z$6,(-6/(PERALTE!$X$6-PERALTE!$Z$6)*(RASANTE!F73-PERALTE!$Z$6)-2),IF(RASANTE!F73&lt;=PERALTE!$AB$6,-2))))),IF(AND(AH!$H$8="Derecha",RASANTE!F73&lt;=PERALTE!$AB$6),IF(RASANTE!F73&lt;=PERALTE!$Q$6,-2,IF(RASANTE!F73&lt;=PERALTE!$U$6,(10/(PERALTE!$U$6-PERALTE!$Q$6)*(RASANTE!F73-PERALTE!$Q$6)-2),IF(RASANTE!F73&lt;=PERALTE!$X$6,8,IF(RASANTE!F73&lt;=PERALTE!$AB$6,(10/(PERALTE!$X$6-PERALTE!$AB$6)*(RASANTE!F73-PERALTE!$AB$6)-2))))),IF(AND(AH!$H$10="Izquierda",RASANTE!F73&lt;=PERALTE!$AB$8),IF(RASANTE!F73&lt;=PERALTE!$S$8,-2,IF(RASANTE!F73&lt;=PERALTE!$U$8,(-6/(PERALTE!$U$8-PERALTE!$S$8)*(RASANTE!F73-PERALTE!$S$8)-2),IF(RASANTE!F73&lt;=PERALTE!$X$8,-8,IF(RASANTE!F73&lt;=PERALTE!$Z$8,(-6/(PERALTE!$X$8-PERALTE!$Z$8)*(RASANTE!F73-PERALTE!$Z$8)-2),IF(RASANTE!F73&lt;=PERALTE!$AB$8,-2))))),IF(AND(AH!$H$10="Derecha",RASANTE!F73&lt;=PERALTE!$AB$8),IF(RASANTE!F73&lt;=PERALTE!$Q$8,-2,IF(RASANTE!F73&lt;=PERALTE!$U$8,(10/(PERALTE!$U$8-PERALTE!$Q$8)*(RASANTE!F73-PERALTE!$Q$8)-2),IF(RASANTE!F73&lt;=PERALTE!$X$8,8,IF(RASANTE!F73&lt;=PERALTE!$AB$8,(10/(PERALTE!$X$8-PERALTE!$AB$8)*(RASANTE!F73-PERALTE!$AB$8)-2))))),IF(AND(AH!$H$12="Izquierda",RASANTE!F73&lt;=PERALTE!$AB$10),IF(RASANTE!F73&lt;=PERALTE!$S$10,-2,IF(RASANTE!F73&lt;=PERALTE!$U$10,(-6/(PERALTE!$U$10-PERALTE!$S$10)*(RASANTE!F73-PERALTE!$S$10)-2),IF(RASANTE!F73&lt;=PERALTE!$X$10,-8,IF(RASANTE!F73&lt;=PERALTE!$Z$10,(-6/(PERALTE!$X$10-PERALTE!$Z$10)*(RASANTE!F73-PERALTE!$Z$10)-2),IF(RASANTE!F73&lt;=PERALTE!$AB$10,-2))))),IF(AND(AH!$H$12="Derecha",RASANTE!F73&lt;=PERALTE!$AB$10),IF(RASANTE!F73&lt;=PERALTE!$Q$10,-2,IF(RASANTE!F73&lt;=PERALTE!$U$10,(10/(PERALTE!$U$10-PERALTE!$Q$10)*(RASANTE!F73-PERALTE!$Q$10)-2),IF(RASANTE!F73&lt;=PERALTE!$X$10,8,IF(RASANTE!F73&lt;=PERALTE!$AB$10,(10/(PERALTE!$X$10-PERALTE!$AB$10)*(RASANTE!F73-PERALTE!$AB$10)-2))))),IF(AND(AH!$H$14="Izquierda",RASANTE!F73&lt;=PERALTE!$AB$12),IF(RASANTE!F73&lt;=PERALTE!$S$12,-2,IF(RASANTE!F73&lt;=PERALTE!$U$12,(-6/(PERALTE!$U$12-PERALTE!$S$12)*(RASANTE!F73-PERALTE!$S$12)-2),IF(RASANTE!F73&lt;=PERALTE!$X$12,-8,IF(RASANTE!F73&lt;=PERALTE!$Z$12,(-6/(PERALTE!$X$12-PERALTE!$Z$12)*(RASANTE!F73-PERALTE!$Z$12)-2),IF(RASANTE!F73&lt;=PERALTE!$AB$12,-2))))),IF(AND(AH!$H$14="Derecha",RASANTE!F73&lt;=PERALTE!$AB$12),IF(RASANTE!F73&lt;=PERALTE!$Q$12,-2,IF(RASANTE!F73&lt;=PERALTE!$U$12,(10/(PERALTE!$U$12-PERALTE!$Q$12)*(RASANTE!F73-PERALTE!$Q$12)-2),IF(RASANTE!F73&lt;=PERALTE!$X$12,8,IF(RASANTE!F73&lt;=PERALTE!$AB$12,(10/(PERALTE!$X$12-PERALTE!$AB$12)*(RASANTE!F73-PERALTE!$AB$12)-2))))),IF(AND(AH!$H$16="Izquierda",RASANTE!F73&lt;=PERALTE!$AB$14),IF(RASANTE!F73&lt;=PERALTE!$S$14,-2,IF(RASANTE!F73&lt;=PERALTE!$U$14,(-6/(PERALTE!$U$14-PERALTE!$S$14)*(RASANTE!F73-PERALTE!$S$14)-2),IF(RASANTE!F73&lt;=PERALTE!$X$14,-8,IF(RASANTE!F73&lt;=PERALTE!$Z$14,(-6/(PERALTE!$X$14-PERALTE!$Z$14)*(RASANTE!F73-PERALTE!$Z$14)-2),IF(RASANTE!F73&lt;=PERALTE!$AB$14,-2))))),IF(AND(AH!$H$16="Derecha",RASANTE!F73&lt;=PERALTE!$AB$14),IF(RASANTE!F73&lt;=PERALTE!$Q$14,-2,IF(RASANTE!F73&lt;=PERALTE!$U$14,(10/(PERALTE!$U$14-PERALTE!$Q$14)*(RASANTE!F73-PERALTE!$Q$14)-2),IF(RASANTE!F73&lt;=PERALTE!$X$14,8,IF(RASANTE!F73&lt;=PERALTE!$AB$14,(10/(PERALTE!$X$14-PERALTE!$AB$14)*(RASANTE!F73-PERALTE!$AB$14)-2))))),IF(AND(AH!$H$18="Izquierda",RASANTE!F73&lt;=PERALTE!$AB$16),IF(RASANTE!F73&lt;=PERALTE!$S$16,-2,IF(RASANTE!F73&lt;=PERALTE!$U$16,(-6/(PERALTE!$U$16-PERALTE!$S$16)*(RASANTE!F73-PERALTE!$S$16)-2),IF(RASANTE!F73&lt;=PERALTE!$X$16,-8,IF(RASANTE!F73&lt;=PERALTE!$Z$16,(-6/(PERALTE!$X$16-PERALTE!$Z$16)*(RASANTE!F73-PERALTE!$Z$16)-2),IF(RASANTE!F73&lt;=PERALTE!$AB$16,-2))))),IF(AND(AH!$H$18="Derecha",RASANTE!F73&lt;=PERALTE!$AB$16),IF(RASANTE!F73&lt;=PERALTE!$Q$16,-2,IF(RASANTE!F73&lt;=PERALTE!$U$16,(10/(PERALTE!$U$16-PERALTE!$Q$16)*(RASANTE!F73-PERALTE!$Q$16)-2),IF(RASANTE!F73&lt;=PERALTE!$X$16,8,IF(RASANTE!F73&lt;=PERALTE!$AB$16,(10/(PERALTE!$X$16-PERALTE!$AB$16)*(RASANTE!F73-PERALTE!$AB$16)-2))))),IF(AND(AH!$H$20="Izquierda",RASANTE!F73&lt;=PERALTE!$AB$18),IF(RASANTE!F73&lt;=PERALTE!$S$18,-2,IF(RASANTE!F73&lt;=PERALTE!$U$18,(-6/(PERALTE!$U$18-PERALTE!$S$18)*(RASANTE!F73-PERALTE!$S$18)-2),IF(RASANTE!F73&lt;=PERALTE!$X$18,-8,IF(RASANTE!F73&lt;=PERALTE!$Z$18,(-6/(PERALTE!$X$18-PERALTE!$Z$18)*(RASANTE!F73-PERALTE!$Z$18)-2),IF(RASANTE!F73&lt;=PERALTE!$AB$18,-2))))),IF(AND(AH!$H$20="Derecha",RASANTE!F73&lt;=PERALTE!$AB$18),IF(RASANTE!F73&lt;=PERALTE!$Q$18,-2,IF(RASANTE!F73&lt;=PERALTE!$U$18,(10/(PERALTE!$U$18-PERALTE!$Q$18)*(RASANTE!F73-PERALTE!$Q$18)-2),IF(RASANTE!F73&lt;=PERALTE!$X$18,8,IF(RASANTE!F73&lt;=PERALTE!$AB$18,(10/(PERALTE!$X$18-PERALTE!$AB$18)*(RASANTE!F73-PERALTE!$AB$18)-2))))),IF(AND(AH!$H$24="Izquierda",RASANTE!F73&lt;=PERALTE!$AB$22),IF(RASANTE!F73&lt;=PERALTE!$S$22,-2,IF(RASANTE!F73&lt;=PERALTE!$U$22,(-6/(PERALTE!$U$22-PERALTE!$S$22)*(RASANTE!F73-PERALTE!$S$22)-2),IF(RASANTE!F73&lt;=PERALTE!$X$22,-8,IF(RASANTE!F73&lt;=PERALTE!$Z$22,(-6/(PERALTE!$X$22-PERALTE!$Z$22)*(RASANTE!F73-PERALTE!$Z$22)-2),IF(RASANTE!F73&lt;=PERALTE!$AB$22,-2))))),IF(AND(AH!$H$24="Derecha",RASANTE!F73&lt;=PERALTE!$AB$22),IF(RASANTE!F73&lt;=PERALTE!$Q$22,-2,IF(RASANTE!F73&lt;=PERALTE!$U$22,(10/(PERALTE!$U$22-PERALTE!$Q$22)*(RASANTE!F73-PERALTE!$Q$22)-2),IF(RASANTE!F73&lt;=PERALTE!$X$22,8,IF(RASANTE!F73&lt;=PERALTE!$AB$22,(10/(PERALTE!$X$22-PERALTE!$AB$22)*(RASANTE!F73-PERALTE!$AB$22)-2))))),IF(AND(AH!#REF!="Izquierda",RASANTE!F73&lt;=PERALTE!#REF!),IF(RASANTE!F73&lt;=PERALTE!#REF!,-2,IF(RASANTE!F73&lt;=PERALTE!#REF!,(-6/(PERALTE!#REF!-PERALTE!#REF!)*(RASANTE!F73-PERALTE!#REF!)-2),IF(RASANTE!F73&lt;=PERALTE!#REF!,-8,IF(RASANTE!F73&lt;=PERALTE!#REF!,(-6/(PERALTE!#REF!-PERALTE!#REF!)*(RASANTE!F73-PERALTE!#REF!)-2),IF(RASANTE!F73&lt;=PERALTE!#REF!,-2))))),IF(AND(AH!#REF!="Derecha",RASANTE!F73&lt;=PERALTE!#REF!),IF(RASANTE!F73&lt;=PERALTE!#REF!,-2,IF(RASANTE!F73&lt;=PERALTE!#REF!,(10/(PERALTE!#REF!-PERALTE!#REF!)*(RASANTE!F73-PERALTE!#REF!)-2),IF(RASANTE!F73&lt;=PERALTE!#REF!,8,IF(RASANTE!F73&lt;=PERALTE!#REF!,(10/(PERALTE!#REF!-PERALTE!#REF!)*(RASANTE!F73-PERALTE!#REF!)-2))))),IF(AND(AH!#REF!="Izquierda",RASANTE!F73&lt;=PERALTE!$AB$26),IF(RASANTE!F73&lt;=PERALTE!$S$26,-2,IF(RASANTE!F73&lt;=PERALTE!$U$26,(-6/(PERALTE!$U$26-PERALTE!$S$26)*(RASANTE!F73-PERALTE!$S$26)-2),IF(RASANTE!F73&lt;=PERALTE!$X$26,-8,IF(RASANTE!F73&lt;=PERALTE!$Z$26,(-6/(PERALTE!$X$26-PERALTE!$Z$26)*(RASANTE!F73-PERALTE!$Z$26)-2),IF(RASANTE!F73&lt;=PERALTE!$AB$26,-2))))),IF(AND(AH!#REF!="Derecha",RASANTE!F73&lt;=PERALTE!$AB$26),IF(RASANTE!F73&lt;=PERALTE!$Q$26,-2,IF(RASANTE!F73&lt;=PERALTE!$U$26,(10/(PERALTE!$U$26-PERALTE!$Q$26)*(RASANTE!F73-PERALTE!$Q$26)-2),IF(RASANTE!F73&lt;=PERALTE!$X$26,8,IF(RASANTE!F73&lt;=PERALTE!$AB$26,(10/(PERALTE!$X$26-PERALTE!$AB$26)*(RASANTE!F73-PERALTE!$AB$26)-2))))),IF(F73&lt;=PERALTE!#REF!,-2,"Abscisa fuera de la vía")))))))))))))))))))))</f>
        <v>8</v>
      </c>
      <c r="I73" s="28">
        <f>+IF(AND(AH!$H$8="Derecha",RASANTE!F73&lt;=PERALTE!$AB$6),IF(RASANTE!F73&lt;=PERALTE!$S$6,-2,IF(RASANTE!F73&lt;=PERALTE!$U$6,(-6/(PERALTE!$U$6-PERALTE!$S$6)*(RASANTE!F73-PERALTE!$S$6)-2),IF(RASANTE!F73&lt;=PERALTE!$X$6,-8,IF(RASANTE!F73&lt;=PERALTE!$Z$6,(-6/(PERALTE!$X$6-PERALTE!$Z$6)*(RASANTE!F73-PERALTE!$Z$6)-2),IF(RASANTE!F73&lt;=PERALTE!$AB$6,-2))))),IF(AND(AH!$H$8="Izquierda",RASANTE!F73&lt;=PERALTE!$AB$6),IF(RASANTE!F73&lt;=PERALTE!$Q$6,-2,IF(RASANTE!F73&lt;=PERALTE!$U$6,(10/(PERALTE!$U$6-PERALTE!$Q$6)*(RASANTE!F73-PERALTE!$Q$6)-2),IF(RASANTE!F73&lt;=PERALTE!$X$6,8,IF(RASANTE!F73&lt;=PERALTE!$AB$6,(10/(PERALTE!$X$6-PERALTE!$AB$6)*(RASANTE!F73-PERALTE!$AB$6)-2))))),IF(AND(AH!$H$10="Derecha",RASANTE!F73&lt;=PERALTE!$AB$8),IF(RASANTE!F73&lt;=PERALTE!$S$8,-2,IF(RASANTE!F73&lt;=PERALTE!$U$8,(-6/(PERALTE!$U$8-PERALTE!$S$8)*(RASANTE!F73-PERALTE!$S$8)-2),IF(RASANTE!F73&lt;=PERALTE!$X$8,-8,IF(RASANTE!F73&lt;=PERALTE!$Z$8,(-6/(PERALTE!$X$8-PERALTE!$Z$8)*(RASANTE!F73-PERALTE!$Z$8)-2),IF(RASANTE!F73&lt;=PERALTE!$AB$8,-2))))),IF(AND(AH!$H$10="Izquierda",RASANTE!F73&lt;=PERALTE!$AB$8),IF(RASANTE!F73&lt;=PERALTE!$Q$8,-2,IF(RASANTE!F73&lt;=PERALTE!$U$8,(10/(PERALTE!$U$8-PERALTE!$Q$8)*(RASANTE!F73-PERALTE!$Q$8)-2),IF(RASANTE!F73&lt;=PERALTE!$X$8,8,IF(RASANTE!F73&lt;=PERALTE!$AB$8,(10/(PERALTE!$X$8-PERALTE!$AB$8)*(RASANTE!F73-PERALTE!$AB$8)-2))))),IF(AND(AH!$H$12="Derecha",RASANTE!F73&lt;=PERALTE!$AB$10),IF(RASANTE!F73&lt;=PERALTE!$S$10,-2,IF(RASANTE!F73&lt;=PERALTE!$U$10,(-6/(PERALTE!$U$10-PERALTE!$S$10)*(RASANTE!F73-PERALTE!$S$10)-2),IF(RASANTE!F73&lt;=PERALTE!$X$10,-8,IF(RASANTE!F73&lt;=PERALTE!$Z$10,(-6/(PERALTE!$X$10-PERALTE!$Z$10)*(RASANTE!F73-PERALTE!$Z$10)-2),IF(RASANTE!F73&lt;=PERALTE!$AB$10,-2))))),IF(AND(AH!$H$12="Izquierda",RASANTE!F73&lt;=PERALTE!$AB$10),IF(RASANTE!F73&lt;=PERALTE!$Q$10,-2,IF(RASANTE!F73&lt;=PERALTE!$U$10,(10/(PERALTE!$U$10-PERALTE!$Q$10)*(RASANTE!F73-PERALTE!$Q$10)-2),IF(RASANTE!F73&lt;=PERALTE!$X$10,8,IF(RASANTE!F73&lt;=PERALTE!$AB$10,(10/(PERALTE!$X$10-PERALTE!$AB$10)*(RASANTE!F73-PERALTE!$AB$10)-2))))),IF(AND(AH!$H$14="Derecha",RASANTE!F73&lt;=PERALTE!$AB$12),IF(RASANTE!F73&lt;=PERALTE!$S$12,-2,IF(RASANTE!F73&lt;=PERALTE!$U$12,(-6/(PERALTE!$U$12-PERALTE!$S$12)*(RASANTE!F73-PERALTE!$S$12)-2),IF(RASANTE!F73&lt;=PERALTE!$X$12,-8,IF(RASANTE!F73&lt;=PERALTE!$Z$12,(-6/(PERALTE!$X$12-PERALTE!$Z$12)*(RASANTE!F73-PERALTE!$Z$12)-2),IF(RASANTE!F73&lt;=PERALTE!$AB$12,-2))))),IF(AND(AH!$H$14="Izquierda",RASANTE!F73&lt;=PERALTE!$AB$12),IF(RASANTE!F73&lt;=PERALTE!$Q$12,-2,IF(RASANTE!F73&lt;=PERALTE!$U$12,(10/(PERALTE!$U$12-PERALTE!$Q$12)*(RASANTE!F73-PERALTE!$Q$12)-2),IF(RASANTE!F73&lt;=PERALTE!$X$12,8,IF(RASANTE!F73&lt;=PERALTE!$AB$12,(10/(PERALTE!$X$12-PERALTE!$AB$12)*(RASANTE!F73-PERALTE!$AB$12)-2))))),IF(AND(AH!$H$16="Derecha",RASANTE!F73&lt;=PERALTE!$AB$14),IF(RASANTE!F73&lt;=PERALTE!$S$14,-2,IF(RASANTE!F73&lt;=PERALTE!$U$14,(-6/(PERALTE!$U$14-PERALTE!$S$14)*(RASANTE!F73-PERALTE!$S$14)-2),IF(RASANTE!F73&lt;=PERALTE!$X$14,-8,IF(RASANTE!F73&lt;=PERALTE!$Z$14,(-6/(PERALTE!$X$14-PERALTE!$Z$14)*(RASANTE!F73-PERALTE!$Z$14)-2),IF(RASANTE!F73&lt;=PERALTE!$AB$14,-2))))),IF(AND(AH!$H$16="Izquierda",RASANTE!F73&lt;=PERALTE!$AB$14),IF(RASANTE!F73&lt;=PERALTE!$Q$14,-2,IF(RASANTE!F73&lt;=PERALTE!$U$14,(10/(PERALTE!$U$14-PERALTE!$Q$14)*(RASANTE!F73-PERALTE!$Q$14)-2),IF(RASANTE!F73&lt;=PERALTE!$X$14,8,IF(RASANTE!F73&lt;=PERALTE!$AB$14,(10/(PERALTE!$X$14-PERALTE!$AB$14)*(RASANTE!F73-PERALTE!$AB$14)-2))))),IF(AND(AH!$H$18="Derecha",RASANTE!F73&lt;=PERALTE!$AB$16),IF(RASANTE!F73&lt;=PERALTE!$S$16,-2,IF(RASANTE!F73&lt;=PERALTE!$U$16,(-6/(PERALTE!$U$16-PERALTE!$S$16)*(RASANTE!F73-PERALTE!$S$16)-2),IF(RASANTE!F73&lt;=PERALTE!$X$16,-8,IF(RASANTE!F73&lt;=PERALTE!$Z$16,(-6/(PERALTE!$X$16-PERALTE!$Z$16)*(RASANTE!F73-PERALTE!$Z$16)-2),IF(RASANTE!F73&lt;=PERALTE!$AB$16,-2))))),IF(AND(AH!$H$18="Izquierda",RASANTE!F73&lt;=PERALTE!$AB$16),IF(RASANTE!F73&lt;=PERALTE!$Q$16,-2,IF(RASANTE!F73&lt;=PERALTE!$U$16,(10/(PERALTE!$U$16-PERALTE!$Q$16)*(RASANTE!F73-PERALTE!$Q$16)-2),IF(RASANTE!F73&lt;=PERALTE!$X$16,8,IF(RASANTE!F73&lt;=PERALTE!$AB$16,(10/(PERALTE!$X$16-PERALTE!$AB$16)*(RASANTE!F73-PERALTE!$AB$16)-2))))),IF(AND(AH!$H$20="Derecha",RASANTE!F73&lt;=PERALTE!$AB$18),IF(RASANTE!F73&lt;=PERALTE!$S$18,-2,IF(RASANTE!F73&lt;=PERALTE!$U$18,(-6/(PERALTE!$U$18-PERALTE!$S$18)*(RASANTE!F73-PERALTE!$S$18)-2),IF(RASANTE!F73&lt;=PERALTE!$X$18,-8,IF(RASANTE!F73&lt;=PERALTE!$Z$18,(-6/(PERALTE!$X$18-PERALTE!$Z$18)*(RASANTE!F73-PERALTE!$Z$18)-2),IF(RASANTE!F73&lt;=PERALTE!$AB$18,-2))))),IF(AND(AH!$H$20="Izquierda",RASANTE!F73&lt;=PERALTE!$AB$18),IF(RASANTE!F73&lt;=PERALTE!$Q$18,-2,IF(RASANTE!F73&lt;=PERALTE!$U$18,(10/(PERALTE!$U$18-PERALTE!$Q$18)*(RASANTE!F73-PERALTE!$Q$18)-2),IF(RASANTE!F73&lt;=PERALTE!$X$18,8,IF(RASANTE!F73&lt;=PERALTE!$AB$18,(10/(PERALTE!$X$18-PERALTE!$AB$18)*(RASANTE!F73-PERALTE!$AB$18)-2))))),IF(AND(AH!$H$24="Derecha",RASANTE!F73&lt;=PERALTE!$AB$22),IF(RASANTE!F73&lt;=PERALTE!$S$22,-2,IF(RASANTE!F73&lt;=PERALTE!$U$22,(-6/(PERALTE!$U$22-PERALTE!$S$22)*(RASANTE!F73-PERALTE!$S$22)-2),IF(RASANTE!F73&lt;=PERALTE!$X$22,-8,IF(RASANTE!F73&lt;=PERALTE!$Z$22,(-6/(PERALTE!$X$22-PERALTE!$Z$22)*(RASANTE!F73-PERALTE!$Z$22)-2),IF(RASANTE!F73&lt;=PERALTE!$AB$22,-2))))),IF(AND(AH!$H$24="Izquierda",RASANTE!F73&lt;=PERALTE!$AB$22),IF(RASANTE!F73&lt;=PERALTE!$Q$22,-2,IF(RASANTE!F73&lt;=PERALTE!$U$22,(10/(PERALTE!$U$22-PERALTE!$Q$22)*(RASANTE!F73-PERALTE!$Q$22)-2),IF(RASANTE!F73&lt;=PERALTE!$X$22,8,IF(RASANTE!F73&lt;=PERALTE!$AB$22,(10/(PERALTE!$X$22-PERALTE!$AB$22)*(RASANTE!F73-PERALTE!$AB$22)-2))))),IF(AND(AH!#REF!="Derecha",RASANTE!F73&lt;=PERALTE!#REF!),IF(RASANTE!F73&lt;=PERALTE!#REF!,-2,IF(RASANTE!F73&lt;=PERALTE!#REF!,(-6/(PERALTE!#REF!-PERALTE!#REF!)*(RASANTE!F73-PERALTE!#REF!)-2),IF(RASANTE!F73&lt;=PERALTE!#REF!,-8,IF(RASANTE!F73&lt;=PERALTE!#REF!,(-6/(PERALTE!#REF!-PERALTE!#REF!)*(RASANTE!F73-PERALTE!#REF!)-2),IF(RASANTE!F73&lt;=PERALTE!#REF!,-2))))),IF(AND(AH!#REF!="Izquierda",RASANTE!F73&lt;=PERALTE!#REF!),IF(RASANTE!F73&lt;=PERALTE!#REF!,-2,IF(RASANTE!F73&lt;=PERALTE!#REF!,(10/(PERALTE!#REF!-PERALTE!#REF!)*(RASANTE!F73-PERALTE!#REF!)-2),IF(RASANTE!F73&lt;=PERALTE!#REF!,8,IF(RASANTE!F73&lt;=PERALTE!#REF!,(10/(PERALTE!#REF!-PERALTE!#REF!)*(RASANTE!F73-PERALTE!#REF!)-2))))),IF(AND(AH!#REF!="Derecha",RASANTE!F73&lt;=PERALTE!$AB$26),IF(RASANTE!F73&lt;=PERALTE!$S$26,-2,IF(RASANTE!F73&lt;=PERALTE!$U$26,(-6/(PERALTE!$U$26-PERALTE!$S$26)*(RASANTE!F73-PERALTE!$S$26)-2),IF(RASANTE!F73&lt;=PERALTE!$X$26,-8,IF(RASANTE!F73&lt;=PERALTE!$Z$26,(-6/(PERALTE!$X$26-PERALTE!$Z$26)*(RASANTE!F73-PERALTE!$Z$26)-2),IF(RASANTE!F73&lt;=PERALTE!$AB$26,-2))))),IF(AND(AH!#REF!="Izquierda",RASANTE!F73&lt;=PERALTE!$AB$26),IF(RASANTE!F73&lt;=PERALTE!$Q$26,-2,IF(RASANTE!F73&lt;=PERALTE!$U$26,(10/(PERALTE!$U$26-PERALTE!$Q$26)*(RASANTE!F73-PERALTE!$Q$26)-2),IF(RASANTE!F73&lt;=PERALTE!$X$26,8,IF(RASANTE!F73&lt;=PERALTE!$AB$26,(10/(PERALTE!$X$26-PERALTE!$AB$26)*(RASANTE!F73-PERALTE!$AB$26)-2))))),IF(F73&lt;=PERALTE!#REF!,-2,"Abscisa fuera de la vía")))))))))))))))))))))</f>
        <v>-8</v>
      </c>
      <c r="J73" s="28">
        <f t="shared" si="4"/>
        <v>1639.1186000000012</v>
      </c>
      <c r="K73" s="28">
        <f>+IF(AND(AV!$S$6&lt;F73,F73&lt;=AV!$T$6),AV!$P$6*((AV!$S$6-RASANTE!F73)/(AV!$N$6))^2,IF(AND(AV!$T$6&lt;RASANTE!F73,F73&lt;AV!$U$6),AV!$P$6*((AV!$U$6-RASANTE!F73)/(AV!$O$6))^2,IF(AND(AV!$S$8&lt;F73,F73&lt;=AV!$T$8),AV!$P$8*((AV!$S$8-RASANTE!F73)/(AV!$N$8))^2,IF(AND(AV!$T$8&lt;RASANTE!F73,F73&lt;AV!$U$8),AV!$P$8*((AV!$U$8-RASANTE!F73)/(AV!$O$8))^2,IF(AND(AV!$S$10&lt;F73,F73&lt;=AV!$T$10),AV!$P$10*((AV!$S$10-RASANTE!F73)/(AV!$N$10))^2,IF(AND(AV!$T$10&lt;RASANTE!F73,F73&lt;AV!$U$10),AV!$P$10*((AV!$U$10-RASANTE!F73)/(AV!$O$10))^2,IF(AND(AV!$S$12&lt;F73,F73&lt;=AV!$T$12),AV!$P$12*((AV!$S$12-RASANTE!F73)/(AV!$N$12))^2,IF(AND(AV!$T$12&lt;RASANTE!F73,F73&lt;AV!$U$12),AV!$P$12*((AV!$U$12-RASANTE!F73)/(AV!$O$12))^2,IF(AND(AV!$S$14&lt;F73,F73&lt;=AV!$T$14),AV!$P$14*((AV!$S$14-RASANTE!F73)/(AV!$N$14))^2,IF(AND(AV!$T$14&lt;RASANTE!F73,F73&lt;AV!$U$14),AV!$P$14*((AV!$U$14-RASANTE!F73)/(AV!$O$14))^2,IF(AND(AV!$S$16&lt;F73,F73&lt;=AV!$T$16),AV!$P$16*((AV!$S$16-RASANTE!F73)/(AV!$N$16))^2,IF(AND(AV!$T$16&lt;RASANTE!F73,F73&lt;AV!$U$16),AV!$P$16*((AV!$U$16-RASANTE!F73)/(AV!$O$16))^2,IF(AND(AV!$S$18&lt;F73,F73&lt;=AV!$T$18),AV!$P$18*((AV!$S$18-RASANTE!F73)/(AV!$N$18))^2,IF(AND(AV!$T$18&lt;RASANTE!F73,F73&lt;AV!$U$18),AV!$P$18*((AV!$U$18-RASANTE!F73)/(AV!$O$18))^2,IF(AND(AV!$S$20&lt;F73,F73&lt;=AV!$T$20),AV!$P$20*((AV!$S$20-RASANTE!F73)/(AV!$N$20))^2,IF(AND(AV!$T$20&lt;RASANTE!F73,F73&lt;AV!$U$20),AV!$P$20*((AV!$U$20-RASANTE!F73)/(AV!$O$20))^2,IF(AND(AV!$S$22&lt;F73,F73&lt;=AV!$T$22),AV!$P$22*((AV!$S$22-RASANTE!F73)/(AV!$N$22))^2,IF(AND(AV!$T$22&lt;RASANTE!F73,F73&lt;AV!$U$22),AV!$P$22*((AV!$U$22-RASANTE!F73)/(AV!$O$22))^2,IF(AND(AV!$S$24&lt;F73,F73&lt;=AV!$T$24),AV!$P$24*((AV!$S$24-RASANTE!F73)/(AV!$N$24))^2,IF(AND(AV!$T$24&lt;RASANTE!F73,F73&lt;AV!$U$24),AV!$P$24*((AV!$U$24-RASANTE!F73)/(AV!$O$24))^2,0))))))))))))))))))))</f>
        <v>5.9671371759999474E-4</v>
      </c>
      <c r="L73" s="28">
        <f>+M73+H73%*PERALTE!$C$32</f>
        <v>1639.3991967137188</v>
      </c>
      <c r="M73" s="28">
        <f t="shared" si="3"/>
        <v>1639.1191967137188</v>
      </c>
      <c r="N73" s="28">
        <f>+M73+I73%*PERALTE!$C$32</f>
        <v>1638.8391967137188</v>
      </c>
      <c r="O73" s="92"/>
      <c r="P73" s="84"/>
      <c r="Q73" s="84"/>
      <c r="R73" s="84"/>
      <c r="S73" s="84"/>
      <c r="T73" s="84"/>
      <c r="U73" s="84"/>
      <c r="V73" s="84"/>
      <c r="W73" s="84"/>
      <c r="X73" s="84"/>
      <c r="Y73" s="84"/>
    </row>
    <row r="74" spans="1:25" ht="15.75" customHeight="1" x14ac:dyDescent="0.2">
      <c r="A74" s="90"/>
      <c r="B74" s="86"/>
      <c r="C74" s="86"/>
      <c r="D74" s="86"/>
      <c r="E74" s="150">
        <f>AV!N8</f>
        <v>25</v>
      </c>
      <c r="F74" s="34">
        <v>480</v>
      </c>
      <c r="G74" s="88">
        <f>IF(F74&lt;=AV!$T$6,AV!$C$5,IF(RASANTE!F74&lt;=AV!$T$8,AV!$C$7,IF(RASANTE!F74&lt;=AV!$T$10,AV!$C$9,IF(RASANTE!F74&lt;=AV!$T$12,AV!#REF!,IF(RASANTE!F74&lt;=AV!$T$14,AV!$C$11,IF(RASANTE!F74&lt;=AV!$T$16,AV!$C$13, IF(RASANTE!F74&lt;=AV!$T$18,AV!$C$15,IF(RASANTE!F74&lt;=AV!$T$20,AV!$C$19,IF(RASANTE!F74&lt;=AV!$T$22,AV!$C$21,IF(RASANTE!F74&lt;=AV!$T$24,AV!$C$23,AV!$C$25))))))))))</f>
        <v>-7.774</v>
      </c>
      <c r="H74" s="28">
        <f>+IF(AND(AH!$H$8="Izquierda",RASANTE!F74&lt;=PERALTE!$AB$6),IF(RASANTE!F74&lt;=PERALTE!$S$6,-2,IF(RASANTE!F74&lt;=PERALTE!$U$6,(-6/(PERALTE!$U$6-PERALTE!$S$6)*(RASANTE!F74-PERALTE!$S$6)-2),IF(RASANTE!F74&lt;=PERALTE!$X$6,-8,IF(RASANTE!F74&lt;=PERALTE!$Z$6,(-6/(PERALTE!$X$6-PERALTE!$Z$6)*(RASANTE!F74-PERALTE!$Z$6)-2),IF(RASANTE!F74&lt;=PERALTE!$AB$6,-2))))),IF(AND(AH!$H$8="Derecha",RASANTE!F74&lt;=PERALTE!$AB$6),IF(RASANTE!F74&lt;=PERALTE!$Q$6,-2,IF(RASANTE!F74&lt;=PERALTE!$U$6,(10/(PERALTE!$U$6-PERALTE!$Q$6)*(RASANTE!F74-PERALTE!$Q$6)-2),IF(RASANTE!F74&lt;=PERALTE!$X$6,8,IF(RASANTE!F74&lt;=PERALTE!$AB$6,(10/(PERALTE!$X$6-PERALTE!$AB$6)*(RASANTE!F74-PERALTE!$AB$6)-2))))),IF(AND(AH!$H$10="Izquierda",RASANTE!F74&lt;=PERALTE!$AB$8),IF(RASANTE!F74&lt;=PERALTE!$S$8,-2,IF(RASANTE!F74&lt;=PERALTE!$U$8,(-6/(PERALTE!$U$8-PERALTE!$S$8)*(RASANTE!F74-PERALTE!$S$8)-2),IF(RASANTE!F74&lt;=PERALTE!$X$8,-8,IF(RASANTE!F74&lt;=PERALTE!$Z$8,(-6/(PERALTE!$X$8-PERALTE!$Z$8)*(RASANTE!F74-PERALTE!$Z$8)-2),IF(RASANTE!F74&lt;=PERALTE!$AB$8,-2))))),IF(AND(AH!$H$10="Derecha",RASANTE!F74&lt;=PERALTE!$AB$8),IF(RASANTE!F74&lt;=PERALTE!$Q$8,-2,IF(RASANTE!F74&lt;=PERALTE!$U$8,(10/(PERALTE!$U$8-PERALTE!$Q$8)*(RASANTE!F74-PERALTE!$Q$8)-2),IF(RASANTE!F74&lt;=PERALTE!$X$8,8,IF(RASANTE!F74&lt;=PERALTE!$AB$8,(10/(PERALTE!$X$8-PERALTE!$AB$8)*(RASANTE!F74-PERALTE!$AB$8)-2))))),IF(AND(AH!$H$12="Izquierda",RASANTE!F74&lt;=PERALTE!$AB$10),IF(RASANTE!F74&lt;=PERALTE!$S$10,-2,IF(RASANTE!F74&lt;=PERALTE!$U$10,(-6/(PERALTE!$U$10-PERALTE!$S$10)*(RASANTE!F74-PERALTE!$S$10)-2),IF(RASANTE!F74&lt;=PERALTE!$X$10,-8,IF(RASANTE!F74&lt;=PERALTE!$Z$10,(-6/(PERALTE!$X$10-PERALTE!$Z$10)*(RASANTE!F74-PERALTE!$Z$10)-2),IF(RASANTE!F74&lt;=PERALTE!$AB$10,-2))))),IF(AND(AH!$H$12="Derecha",RASANTE!F74&lt;=PERALTE!$AB$10),IF(RASANTE!F74&lt;=PERALTE!$Q$10,-2,IF(RASANTE!F74&lt;=PERALTE!$U$10,(10/(PERALTE!$U$10-PERALTE!$Q$10)*(RASANTE!F74-PERALTE!$Q$10)-2),IF(RASANTE!F74&lt;=PERALTE!$X$10,8,IF(RASANTE!F74&lt;=PERALTE!$AB$10,(10/(PERALTE!$X$10-PERALTE!$AB$10)*(RASANTE!F74-PERALTE!$AB$10)-2))))),IF(AND(AH!$H$14="Izquierda",RASANTE!F74&lt;=PERALTE!$AB$12),IF(RASANTE!F74&lt;=PERALTE!$S$12,-2,IF(RASANTE!F74&lt;=PERALTE!$U$12,(-6/(PERALTE!$U$12-PERALTE!$S$12)*(RASANTE!F74-PERALTE!$S$12)-2),IF(RASANTE!F74&lt;=PERALTE!$X$12,-8,IF(RASANTE!F74&lt;=PERALTE!$Z$12,(-6/(PERALTE!$X$12-PERALTE!$Z$12)*(RASANTE!F74-PERALTE!$Z$12)-2),IF(RASANTE!F74&lt;=PERALTE!$AB$12,-2))))),IF(AND(AH!$H$14="Derecha",RASANTE!F74&lt;=PERALTE!$AB$12),IF(RASANTE!F74&lt;=PERALTE!$Q$12,-2,IF(RASANTE!F74&lt;=PERALTE!$U$12,(10/(PERALTE!$U$12-PERALTE!$Q$12)*(RASANTE!F74-PERALTE!$Q$12)-2),IF(RASANTE!F74&lt;=PERALTE!$X$12,8,IF(RASANTE!F74&lt;=PERALTE!$AB$12,(10/(PERALTE!$X$12-PERALTE!$AB$12)*(RASANTE!F74-PERALTE!$AB$12)-2))))),IF(AND(AH!$H$16="Izquierda",RASANTE!F74&lt;=PERALTE!$AB$14),IF(RASANTE!F74&lt;=PERALTE!$S$14,-2,IF(RASANTE!F74&lt;=PERALTE!$U$14,(-6/(PERALTE!$U$14-PERALTE!$S$14)*(RASANTE!F74-PERALTE!$S$14)-2),IF(RASANTE!F74&lt;=PERALTE!$X$14,-8,IF(RASANTE!F74&lt;=PERALTE!$Z$14,(-6/(PERALTE!$X$14-PERALTE!$Z$14)*(RASANTE!F74-PERALTE!$Z$14)-2),IF(RASANTE!F74&lt;=PERALTE!$AB$14,-2))))),IF(AND(AH!$H$16="Derecha",RASANTE!F74&lt;=PERALTE!$AB$14),IF(RASANTE!F74&lt;=PERALTE!$Q$14,-2,IF(RASANTE!F74&lt;=PERALTE!$U$14,(10/(PERALTE!$U$14-PERALTE!$Q$14)*(RASANTE!F74-PERALTE!$Q$14)-2),IF(RASANTE!F74&lt;=PERALTE!$X$14,8,IF(RASANTE!F74&lt;=PERALTE!$AB$14,(10/(PERALTE!$X$14-PERALTE!$AB$14)*(RASANTE!F74-PERALTE!$AB$14)-2))))),IF(AND(AH!$H$18="Izquierda",RASANTE!F74&lt;=PERALTE!$AB$16),IF(RASANTE!F74&lt;=PERALTE!$S$16,-2,IF(RASANTE!F74&lt;=PERALTE!$U$16,(-6/(PERALTE!$U$16-PERALTE!$S$16)*(RASANTE!F74-PERALTE!$S$16)-2),IF(RASANTE!F74&lt;=PERALTE!$X$16,-8,IF(RASANTE!F74&lt;=PERALTE!$Z$16,(-6/(PERALTE!$X$16-PERALTE!$Z$16)*(RASANTE!F74-PERALTE!$Z$16)-2),IF(RASANTE!F74&lt;=PERALTE!$AB$16,-2))))),IF(AND(AH!$H$18="Derecha",RASANTE!F74&lt;=PERALTE!$AB$16),IF(RASANTE!F74&lt;=PERALTE!$Q$16,-2,IF(RASANTE!F74&lt;=PERALTE!$U$16,(10/(PERALTE!$U$16-PERALTE!$Q$16)*(RASANTE!F74-PERALTE!$Q$16)-2),IF(RASANTE!F74&lt;=PERALTE!$X$16,8,IF(RASANTE!F74&lt;=PERALTE!$AB$16,(10/(PERALTE!$X$16-PERALTE!$AB$16)*(RASANTE!F74-PERALTE!$AB$16)-2))))),IF(AND(AH!$H$20="Izquierda",RASANTE!F74&lt;=PERALTE!$AB$18),IF(RASANTE!F74&lt;=PERALTE!$S$18,-2,IF(RASANTE!F74&lt;=PERALTE!$U$18,(-6/(PERALTE!$U$18-PERALTE!$S$18)*(RASANTE!F74-PERALTE!$S$18)-2),IF(RASANTE!F74&lt;=PERALTE!$X$18,-8,IF(RASANTE!F74&lt;=PERALTE!$Z$18,(-6/(PERALTE!$X$18-PERALTE!$Z$18)*(RASANTE!F74-PERALTE!$Z$18)-2),IF(RASANTE!F74&lt;=PERALTE!$AB$18,-2))))),IF(AND(AH!$H$20="Derecha",RASANTE!F74&lt;=PERALTE!$AB$18),IF(RASANTE!F74&lt;=PERALTE!$Q$18,-2,IF(RASANTE!F74&lt;=PERALTE!$U$18,(10/(PERALTE!$U$18-PERALTE!$Q$18)*(RASANTE!F74-PERALTE!$Q$18)-2),IF(RASANTE!F74&lt;=PERALTE!$X$18,8,IF(RASANTE!F74&lt;=PERALTE!$AB$18,(10/(PERALTE!$X$18-PERALTE!$AB$18)*(RASANTE!F74-PERALTE!$AB$18)-2))))),IF(AND(AH!$H$24="Izquierda",RASANTE!F74&lt;=PERALTE!$AB$22),IF(RASANTE!F74&lt;=PERALTE!$S$22,-2,IF(RASANTE!F74&lt;=PERALTE!$U$22,(-6/(PERALTE!$U$22-PERALTE!$S$22)*(RASANTE!F74-PERALTE!$S$22)-2),IF(RASANTE!F74&lt;=PERALTE!$X$22,-8,IF(RASANTE!F74&lt;=PERALTE!$Z$22,(-6/(PERALTE!$X$22-PERALTE!$Z$22)*(RASANTE!F74-PERALTE!$Z$22)-2),IF(RASANTE!F74&lt;=PERALTE!$AB$22,-2))))),IF(AND(AH!$H$24="Derecha",RASANTE!F74&lt;=PERALTE!$AB$22),IF(RASANTE!F74&lt;=PERALTE!$Q$22,-2,IF(RASANTE!F74&lt;=PERALTE!$U$22,(10/(PERALTE!$U$22-PERALTE!$Q$22)*(RASANTE!F74-PERALTE!$Q$22)-2),IF(RASANTE!F74&lt;=PERALTE!$X$22,8,IF(RASANTE!F74&lt;=PERALTE!$AB$22,(10/(PERALTE!$X$22-PERALTE!$AB$22)*(RASANTE!F74-PERALTE!$AB$22)-2))))),IF(AND(AH!#REF!="Izquierda",RASANTE!F74&lt;=PERALTE!#REF!),IF(RASANTE!F74&lt;=PERALTE!#REF!,-2,IF(RASANTE!F74&lt;=PERALTE!#REF!,(-6/(PERALTE!#REF!-PERALTE!#REF!)*(RASANTE!F74-PERALTE!#REF!)-2),IF(RASANTE!F74&lt;=PERALTE!#REF!,-8,IF(RASANTE!F74&lt;=PERALTE!#REF!,(-6/(PERALTE!#REF!-PERALTE!#REF!)*(RASANTE!F74-PERALTE!#REF!)-2),IF(RASANTE!F74&lt;=PERALTE!#REF!,-2))))),IF(AND(AH!#REF!="Derecha",RASANTE!F74&lt;=PERALTE!#REF!),IF(RASANTE!F74&lt;=PERALTE!#REF!,-2,IF(RASANTE!F74&lt;=PERALTE!#REF!,(10/(PERALTE!#REF!-PERALTE!#REF!)*(RASANTE!F74-PERALTE!#REF!)-2),IF(RASANTE!F74&lt;=PERALTE!#REF!,8,IF(RASANTE!F74&lt;=PERALTE!#REF!,(10/(PERALTE!#REF!-PERALTE!#REF!)*(RASANTE!F74-PERALTE!#REF!)-2))))),IF(AND(AH!#REF!="Izquierda",RASANTE!F74&lt;=PERALTE!$AB$26),IF(RASANTE!F74&lt;=PERALTE!$S$26,-2,IF(RASANTE!F74&lt;=PERALTE!$U$26,(-6/(PERALTE!$U$26-PERALTE!$S$26)*(RASANTE!F74-PERALTE!$S$26)-2),IF(RASANTE!F74&lt;=PERALTE!$X$26,-8,IF(RASANTE!F74&lt;=PERALTE!$Z$26,(-6/(PERALTE!$X$26-PERALTE!$Z$26)*(RASANTE!F74-PERALTE!$Z$26)-2),IF(RASANTE!F74&lt;=PERALTE!$AB$26,-2))))),IF(AND(AH!#REF!="Derecha",RASANTE!F74&lt;=PERALTE!$AB$26),IF(RASANTE!F74&lt;=PERALTE!$Q$26,-2,IF(RASANTE!F74&lt;=PERALTE!$U$26,(10/(PERALTE!$U$26-PERALTE!$Q$26)*(RASANTE!F74-PERALTE!$Q$26)-2),IF(RASANTE!F74&lt;=PERALTE!$X$26,8,IF(RASANTE!F74&lt;=PERALTE!$AB$26,(10/(PERALTE!$X$26-PERALTE!$AB$26)*(RASANTE!F74-PERALTE!$AB$26)-2))))),IF(F74&lt;=PERALTE!#REF!,-2,"Abscisa fuera de la vía")))))))))))))))))))))</f>
        <v>8</v>
      </c>
      <c r="I74" s="28">
        <f>+IF(AND(AH!$H$8="Derecha",RASANTE!F74&lt;=PERALTE!$AB$6),IF(RASANTE!F74&lt;=PERALTE!$S$6,-2,IF(RASANTE!F74&lt;=PERALTE!$U$6,(-6/(PERALTE!$U$6-PERALTE!$S$6)*(RASANTE!F74-PERALTE!$S$6)-2),IF(RASANTE!F74&lt;=PERALTE!$X$6,-8,IF(RASANTE!F74&lt;=PERALTE!$Z$6,(-6/(PERALTE!$X$6-PERALTE!$Z$6)*(RASANTE!F74-PERALTE!$Z$6)-2),IF(RASANTE!F74&lt;=PERALTE!$AB$6,-2))))),IF(AND(AH!$H$8="Izquierda",RASANTE!F74&lt;=PERALTE!$AB$6),IF(RASANTE!F74&lt;=PERALTE!$Q$6,-2,IF(RASANTE!F74&lt;=PERALTE!$U$6,(10/(PERALTE!$U$6-PERALTE!$Q$6)*(RASANTE!F74-PERALTE!$Q$6)-2),IF(RASANTE!F74&lt;=PERALTE!$X$6,8,IF(RASANTE!F74&lt;=PERALTE!$AB$6,(10/(PERALTE!$X$6-PERALTE!$AB$6)*(RASANTE!F74-PERALTE!$AB$6)-2))))),IF(AND(AH!$H$10="Derecha",RASANTE!F74&lt;=PERALTE!$AB$8),IF(RASANTE!F74&lt;=PERALTE!$S$8,-2,IF(RASANTE!F74&lt;=PERALTE!$U$8,(-6/(PERALTE!$U$8-PERALTE!$S$8)*(RASANTE!F74-PERALTE!$S$8)-2),IF(RASANTE!F74&lt;=PERALTE!$X$8,-8,IF(RASANTE!F74&lt;=PERALTE!$Z$8,(-6/(PERALTE!$X$8-PERALTE!$Z$8)*(RASANTE!F74-PERALTE!$Z$8)-2),IF(RASANTE!F74&lt;=PERALTE!$AB$8,-2))))),IF(AND(AH!$H$10="Izquierda",RASANTE!F74&lt;=PERALTE!$AB$8),IF(RASANTE!F74&lt;=PERALTE!$Q$8,-2,IF(RASANTE!F74&lt;=PERALTE!$U$8,(10/(PERALTE!$U$8-PERALTE!$Q$8)*(RASANTE!F74-PERALTE!$Q$8)-2),IF(RASANTE!F74&lt;=PERALTE!$X$8,8,IF(RASANTE!F74&lt;=PERALTE!$AB$8,(10/(PERALTE!$X$8-PERALTE!$AB$8)*(RASANTE!F74-PERALTE!$AB$8)-2))))),IF(AND(AH!$H$12="Derecha",RASANTE!F74&lt;=PERALTE!$AB$10),IF(RASANTE!F74&lt;=PERALTE!$S$10,-2,IF(RASANTE!F74&lt;=PERALTE!$U$10,(-6/(PERALTE!$U$10-PERALTE!$S$10)*(RASANTE!F74-PERALTE!$S$10)-2),IF(RASANTE!F74&lt;=PERALTE!$X$10,-8,IF(RASANTE!F74&lt;=PERALTE!$Z$10,(-6/(PERALTE!$X$10-PERALTE!$Z$10)*(RASANTE!F74-PERALTE!$Z$10)-2),IF(RASANTE!F74&lt;=PERALTE!$AB$10,-2))))),IF(AND(AH!$H$12="Izquierda",RASANTE!F74&lt;=PERALTE!$AB$10),IF(RASANTE!F74&lt;=PERALTE!$Q$10,-2,IF(RASANTE!F74&lt;=PERALTE!$U$10,(10/(PERALTE!$U$10-PERALTE!$Q$10)*(RASANTE!F74-PERALTE!$Q$10)-2),IF(RASANTE!F74&lt;=PERALTE!$X$10,8,IF(RASANTE!F74&lt;=PERALTE!$AB$10,(10/(PERALTE!$X$10-PERALTE!$AB$10)*(RASANTE!F74-PERALTE!$AB$10)-2))))),IF(AND(AH!$H$14="Derecha",RASANTE!F74&lt;=PERALTE!$AB$12),IF(RASANTE!F74&lt;=PERALTE!$S$12,-2,IF(RASANTE!F74&lt;=PERALTE!$U$12,(-6/(PERALTE!$U$12-PERALTE!$S$12)*(RASANTE!F74-PERALTE!$S$12)-2),IF(RASANTE!F74&lt;=PERALTE!$X$12,-8,IF(RASANTE!F74&lt;=PERALTE!$Z$12,(-6/(PERALTE!$X$12-PERALTE!$Z$12)*(RASANTE!F74-PERALTE!$Z$12)-2),IF(RASANTE!F74&lt;=PERALTE!$AB$12,-2))))),IF(AND(AH!$H$14="Izquierda",RASANTE!F74&lt;=PERALTE!$AB$12),IF(RASANTE!F74&lt;=PERALTE!$Q$12,-2,IF(RASANTE!F74&lt;=PERALTE!$U$12,(10/(PERALTE!$U$12-PERALTE!$Q$12)*(RASANTE!F74-PERALTE!$Q$12)-2),IF(RASANTE!F74&lt;=PERALTE!$X$12,8,IF(RASANTE!F74&lt;=PERALTE!$AB$12,(10/(PERALTE!$X$12-PERALTE!$AB$12)*(RASANTE!F74-PERALTE!$AB$12)-2))))),IF(AND(AH!$H$16="Derecha",RASANTE!F74&lt;=PERALTE!$AB$14),IF(RASANTE!F74&lt;=PERALTE!$S$14,-2,IF(RASANTE!F74&lt;=PERALTE!$U$14,(-6/(PERALTE!$U$14-PERALTE!$S$14)*(RASANTE!F74-PERALTE!$S$14)-2),IF(RASANTE!F74&lt;=PERALTE!$X$14,-8,IF(RASANTE!F74&lt;=PERALTE!$Z$14,(-6/(PERALTE!$X$14-PERALTE!$Z$14)*(RASANTE!F74-PERALTE!$Z$14)-2),IF(RASANTE!F74&lt;=PERALTE!$AB$14,-2))))),IF(AND(AH!$H$16="Izquierda",RASANTE!F74&lt;=PERALTE!$AB$14),IF(RASANTE!F74&lt;=PERALTE!$Q$14,-2,IF(RASANTE!F74&lt;=PERALTE!$U$14,(10/(PERALTE!$U$14-PERALTE!$Q$14)*(RASANTE!F74-PERALTE!$Q$14)-2),IF(RASANTE!F74&lt;=PERALTE!$X$14,8,IF(RASANTE!F74&lt;=PERALTE!$AB$14,(10/(PERALTE!$X$14-PERALTE!$AB$14)*(RASANTE!F74-PERALTE!$AB$14)-2))))),IF(AND(AH!$H$18="Derecha",RASANTE!F74&lt;=PERALTE!$AB$16),IF(RASANTE!F74&lt;=PERALTE!$S$16,-2,IF(RASANTE!F74&lt;=PERALTE!$U$16,(-6/(PERALTE!$U$16-PERALTE!$S$16)*(RASANTE!F74-PERALTE!$S$16)-2),IF(RASANTE!F74&lt;=PERALTE!$X$16,-8,IF(RASANTE!F74&lt;=PERALTE!$Z$16,(-6/(PERALTE!$X$16-PERALTE!$Z$16)*(RASANTE!F74-PERALTE!$Z$16)-2),IF(RASANTE!F74&lt;=PERALTE!$AB$16,-2))))),IF(AND(AH!$H$18="Izquierda",RASANTE!F74&lt;=PERALTE!$AB$16),IF(RASANTE!F74&lt;=PERALTE!$Q$16,-2,IF(RASANTE!F74&lt;=PERALTE!$U$16,(10/(PERALTE!$U$16-PERALTE!$Q$16)*(RASANTE!F74-PERALTE!$Q$16)-2),IF(RASANTE!F74&lt;=PERALTE!$X$16,8,IF(RASANTE!F74&lt;=PERALTE!$AB$16,(10/(PERALTE!$X$16-PERALTE!$AB$16)*(RASANTE!F74-PERALTE!$AB$16)-2))))),IF(AND(AH!$H$20="Derecha",RASANTE!F74&lt;=PERALTE!$AB$18),IF(RASANTE!F74&lt;=PERALTE!$S$18,-2,IF(RASANTE!F74&lt;=PERALTE!$U$18,(-6/(PERALTE!$U$18-PERALTE!$S$18)*(RASANTE!F74-PERALTE!$S$18)-2),IF(RASANTE!F74&lt;=PERALTE!$X$18,-8,IF(RASANTE!F74&lt;=PERALTE!$Z$18,(-6/(PERALTE!$X$18-PERALTE!$Z$18)*(RASANTE!F74-PERALTE!$Z$18)-2),IF(RASANTE!F74&lt;=PERALTE!$AB$18,-2))))),IF(AND(AH!$H$20="Izquierda",RASANTE!F74&lt;=PERALTE!$AB$18),IF(RASANTE!F74&lt;=PERALTE!$Q$18,-2,IF(RASANTE!F74&lt;=PERALTE!$U$18,(10/(PERALTE!$U$18-PERALTE!$Q$18)*(RASANTE!F74-PERALTE!$Q$18)-2),IF(RASANTE!F74&lt;=PERALTE!$X$18,8,IF(RASANTE!F74&lt;=PERALTE!$AB$18,(10/(PERALTE!$X$18-PERALTE!$AB$18)*(RASANTE!F74-PERALTE!$AB$18)-2))))),IF(AND(AH!$H$24="Derecha",RASANTE!F74&lt;=PERALTE!$AB$22),IF(RASANTE!F74&lt;=PERALTE!$S$22,-2,IF(RASANTE!F74&lt;=PERALTE!$U$22,(-6/(PERALTE!$U$22-PERALTE!$S$22)*(RASANTE!F74-PERALTE!$S$22)-2),IF(RASANTE!F74&lt;=PERALTE!$X$22,-8,IF(RASANTE!F74&lt;=PERALTE!$Z$22,(-6/(PERALTE!$X$22-PERALTE!$Z$22)*(RASANTE!F74-PERALTE!$Z$22)-2),IF(RASANTE!F74&lt;=PERALTE!$AB$22,-2))))),IF(AND(AH!$H$24="Izquierda",RASANTE!F74&lt;=PERALTE!$AB$22),IF(RASANTE!F74&lt;=PERALTE!$Q$22,-2,IF(RASANTE!F74&lt;=PERALTE!$U$22,(10/(PERALTE!$U$22-PERALTE!$Q$22)*(RASANTE!F74-PERALTE!$Q$22)-2),IF(RASANTE!F74&lt;=PERALTE!$X$22,8,IF(RASANTE!F74&lt;=PERALTE!$AB$22,(10/(PERALTE!$X$22-PERALTE!$AB$22)*(RASANTE!F74-PERALTE!$AB$22)-2))))),IF(AND(AH!#REF!="Derecha",RASANTE!F74&lt;=PERALTE!#REF!),IF(RASANTE!F74&lt;=PERALTE!#REF!,-2,IF(RASANTE!F74&lt;=PERALTE!#REF!,(-6/(PERALTE!#REF!-PERALTE!#REF!)*(RASANTE!F74-PERALTE!#REF!)-2),IF(RASANTE!F74&lt;=PERALTE!#REF!,-8,IF(RASANTE!F74&lt;=PERALTE!#REF!,(-6/(PERALTE!#REF!-PERALTE!#REF!)*(RASANTE!F74-PERALTE!#REF!)-2),IF(RASANTE!F74&lt;=PERALTE!#REF!,-2))))),IF(AND(AH!#REF!="Izquierda",RASANTE!F74&lt;=PERALTE!#REF!),IF(RASANTE!F74&lt;=PERALTE!#REF!,-2,IF(RASANTE!F74&lt;=PERALTE!#REF!,(10/(PERALTE!#REF!-PERALTE!#REF!)*(RASANTE!F74-PERALTE!#REF!)-2),IF(RASANTE!F74&lt;=PERALTE!#REF!,8,IF(RASANTE!F74&lt;=PERALTE!#REF!,(10/(PERALTE!#REF!-PERALTE!#REF!)*(RASANTE!F74-PERALTE!#REF!)-2))))),IF(AND(AH!#REF!="Derecha",RASANTE!F74&lt;=PERALTE!$AB$26),IF(RASANTE!F74&lt;=PERALTE!$S$26,-2,IF(RASANTE!F74&lt;=PERALTE!$U$26,(-6/(PERALTE!$U$26-PERALTE!$S$26)*(RASANTE!F74-PERALTE!$S$26)-2),IF(RASANTE!F74&lt;=PERALTE!$X$26,-8,IF(RASANTE!F74&lt;=PERALTE!$Z$26,(-6/(PERALTE!$X$26-PERALTE!$Z$26)*(RASANTE!F74-PERALTE!$Z$26)-2),IF(RASANTE!F74&lt;=PERALTE!$AB$26,-2))))),IF(AND(AH!#REF!="Izquierda",RASANTE!F74&lt;=PERALTE!$AB$26),IF(RASANTE!F74&lt;=PERALTE!$Q$26,-2,IF(RASANTE!F74&lt;=PERALTE!$U$26,(10/(PERALTE!$U$26-PERALTE!$Q$26)*(RASANTE!F74-PERALTE!$Q$26)-2),IF(RASANTE!F74&lt;=PERALTE!$X$26,8,IF(RASANTE!F74&lt;=PERALTE!$AB$26,(10/(PERALTE!$X$26-PERALTE!$AB$26)*(RASANTE!F74-PERALTE!$AB$26)-2))))),IF(F74&lt;=PERALTE!#REF!,-2,"Abscisa fuera de la vía")))))))))))))))))))))</f>
        <v>-8</v>
      </c>
      <c r="J74" s="28">
        <f t="shared" si="4"/>
        <v>1638.3412000000012</v>
      </c>
      <c r="K74" s="28">
        <f>+IF(AND(AV!$S$6&lt;F74,F74&lt;=AV!$T$6),AV!$P$6*((AV!$S$6-RASANTE!F74)/(AV!$N$6))^2,IF(AND(AV!$T$6&lt;RASANTE!F74,F74&lt;AV!$U$6),AV!$P$6*((AV!$U$6-RASANTE!F74)/(AV!$O$6))^2,IF(AND(AV!$S$8&lt;F74,F74&lt;=AV!$T$8),AV!$P$8*((AV!$S$8-RASANTE!F74)/(AV!$N$8))^2,IF(AND(AV!$T$8&lt;RASANTE!F74,F74&lt;AV!$U$8),AV!$P$8*((AV!$U$8-RASANTE!F74)/(AV!$O$8))^2,IF(AND(AV!$S$10&lt;F74,F74&lt;=AV!$T$10),AV!$P$10*((AV!$S$10-RASANTE!F74)/(AV!$N$10))^2,IF(AND(AV!$T$10&lt;RASANTE!F74,F74&lt;AV!$U$10),AV!$P$10*((AV!$U$10-RASANTE!F74)/(AV!$O$10))^2,IF(AND(AV!$S$12&lt;F74,F74&lt;=AV!$T$12),AV!$P$12*((AV!$S$12-RASANTE!F74)/(AV!$N$12))^2,IF(AND(AV!$T$12&lt;RASANTE!F74,F74&lt;AV!$U$12),AV!$P$12*((AV!$U$12-RASANTE!F74)/(AV!$O$12))^2,IF(AND(AV!$S$14&lt;F74,F74&lt;=AV!$T$14),AV!$P$14*((AV!$S$14-RASANTE!F74)/(AV!$N$14))^2,IF(AND(AV!$T$14&lt;RASANTE!F74,F74&lt;AV!$U$14),AV!$P$14*((AV!$U$14-RASANTE!F74)/(AV!$O$14))^2,IF(AND(AV!$S$16&lt;F74,F74&lt;=AV!$T$16),AV!$P$16*((AV!$S$16-RASANTE!F74)/(AV!$N$16))^2,IF(AND(AV!$T$16&lt;RASANTE!F74,F74&lt;AV!$U$16),AV!$P$16*((AV!$U$16-RASANTE!F74)/(AV!$O$16))^2,IF(AND(AV!$S$18&lt;F74,F74&lt;=AV!$T$18),AV!$P$18*((AV!$S$18-RASANTE!F74)/(AV!$N$18))^2,IF(AND(AV!$T$18&lt;RASANTE!F74,F74&lt;AV!$U$18),AV!$P$18*((AV!$U$18-RASANTE!F74)/(AV!$O$18))^2,IF(AND(AV!$S$20&lt;F74,F74&lt;=AV!$T$20),AV!$P$20*((AV!$S$20-RASANTE!F74)/(AV!$N$20))^2,IF(AND(AV!$T$20&lt;RASANTE!F74,F74&lt;AV!$U$20),AV!$P$20*((AV!$U$20-RASANTE!F74)/(AV!$O$20))^2,IF(AND(AV!$S$22&lt;F74,F74&lt;=AV!$T$22),AV!$P$22*((AV!$S$22-RASANTE!F74)/(AV!$N$22))^2,IF(AND(AV!$T$22&lt;RASANTE!F74,F74&lt;AV!$U$22),AV!$P$22*((AV!$U$22-RASANTE!F74)/(AV!$O$22))^2,IF(AND(AV!$S$24&lt;F74,F74&lt;=AV!$T$24),AV!$P$24*((AV!$S$24-RASANTE!F74)/(AV!$N$24))^2,IF(AND(AV!$T$24&lt;RASANTE!F74,F74&lt;AV!$U$24),AV!$P$24*((AV!$U$24-RASANTE!F74)/(AV!$O$24))^2,0))))))))))))))))))))</f>
        <v>5.9011377717599942E-2</v>
      </c>
      <c r="L74" s="28">
        <f>+M74+H74%*PERALTE!$C$32</f>
        <v>1638.6802113777187</v>
      </c>
      <c r="M74" s="28">
        <f t="shared" si="3"/>
        <v>1638.4002113777187</v>
      </c>
      <c r="N74" s="28">
        <f>+M74+I74%*PERALTE!$C$32</f>
        <v>1638.1202113777188</v>
      </c>
      <c r="O74" s="92"/>
      <c r="P74" s="84"/>
      <c r="Q74" s="84"/>
      <c r="R74" s="84"/>
      <c r="S74" s="84"/>
      <c r="T74" s="84"/>
      <c r="U74" s="84"/>
      <c r="V74" s="84"/>
      <c r="W74" s="84"/>
      <c r="X74" s="84"/>
      <c r="Y74" s="84"/>
    </row>
    <row r="75" spans="1:25" ht="15.75" customHeight="1" x14ac:dyDescent="0.2">
      <c r="A75" s="90"/>
      <c r="B75" s="86"/>
      <c r="C75" s="86"/>
      <c r="D75" s="86"/>
      <c r="E75" s="152">
        <f>AV!P8</f>
        <v>0.298375</v>
      </c>
      <c r="F75" s="34">
        <v>490</v>
      </c>
      <c r="G75" s="88">
        <f>IF(F75&lt;=AV!$T$6,AV!$C$5,IF(RASANTE!F75&lt;=AV!$T$8,AV!$C$7,IF(RASANTE!F75&lt;=AV!$T$10,AV!$C$9,IF(RASANTE!F75&lt;=AV!$T$12,AV!#REF!,IF(RASANTE!F75&lt;=AV!$T$14,AV!$C$11,IF(RASANTE!F75&lt;=AV!$T$16,AV!$C$13, IF(RASANTE!F75&lt;=AV!$T$18,AV!$C$15,IF(RASANTE!F75&lt;=AV!$T$20,AV!$C$19,IF(RASANTE!F75&lt;=AV!$T$22,AV!$C$21,IF(RASANTE!F75&lt;=AV!$T$24,AV!$C$23,AV!$C$25))))))))))</f>
        <v>-7.774</v>
      </c>
      <c r="H75" s="28">
        <f>+IF(AND(AH!$H$8="Izquierda",RASANTE!F75&lt;=PERALTE!$AB$6),IF(RASANTE!F75&lt;=PERALTE!$S$6,-2,IF(RASANTE!F75&lt;=PERALTE!$U$6,(-6/(PERALTE!$U$6-PERALTE!$S$6)*(RASANTE!F75-PERALTE!$S$6)-2),IF(RASANTE!F75&lt;=PERALTE!$X$6,-8,IF(RASANTE!F75&lt;=PERALTE!$Z$6,(-6/(PERALTE!$X$6-PERALTE!$Z$6)*(RASANTE!F75-PERALTE!$Z$6)-2),IF(RASANTE!F75&lt;=PERALTE!$AB$6,-2))))),IF(AND(AH!$H$8="Derecha",RASANTE!F75&lt;=PERALTE!$AB$6),IF(RASANTE!F75&lt;=PERALTE!$Q$6,-2,IF(RASANTE!F75&lt;=PERALTE!$U$6,(10/(PERALTE!$U$6-PERALTE!$Q$6)*(RASANTE!F75-PERALTE!$Q$6)-2),IF(RASANTE!F75&lt;=PERALTE!$X$6,8,IF(RASANTE!F75&lt;=PERALTE!$AB$6,(10/(PERALTE!$X$6-PERALTE!$AB$6)*(RASANTE!F75-PERALTE!$AB$6)-2))))),IF(AND(AH!$H$10="Izquierda",RASANTE!F75&lt;=PERALTE!$AB$8),IF(RASANTE!F75&lt;=PERALTE!$S$8,-2,IF(RASANTE!F75&lt;=PERALTE!$U$8,(-6/(PERALTE!$U$8-PERALTE!$S$8)*(RASANTE!F75-PERALTE!$S$8)-2),IF(RASANTE!F75&lt;=PERALTE!$X$8,-8,IF(RASANTE!F75&lt;=PERALTE!$Z$8,(-6/(PERALTE!$X$8-PERALTE!$Z$8)*(RASANTE!F75-PERALTE!$Z$8)-2),IF(RASANTE!F75&lt;=PERALTE!$AB$8,-2))))),IF(AND(AH!$H$10="Derecha",RASANTE!F75&lt;=PERALTE!$AB$8),IF(RASANTE!F75&lt;=PERALTE!$Q$8,-2,IF(RASANTE!F75&lt;=PERALTE!$U$8,(10/(PERALTE!$U$8-PERALTE!$Q$8)*(RASANTE!F75-PERALTE!$Q$8)-2),IF(RASANTE!F75&lt;=PERALTE!$X$8,8,IF(RASANTE!F75&lt;=PERALTE!$AB$8,(10/(PERALTE!$X$8-PERALTE!$AB$8)*(RASANTE!F75-PERALTE!$AB$8)-2))))),IF(AND(AH!$H$12="Izquierda",RASANTE!F75&lt;=PERALTE!$AB$10),IF(RASANTE!F75&lt;=PERALTE!$S$10,-2,IF(RASANTE!F75&lt;=PERALTE!$U$10,(-6/(PERALTE!$U$10-PERALTE!$S$10)*(RASANTE!F75-PERALTE!$S$10)-2),IF(RASANTE!F75&lt;=PERALTE!$X$10,-8,IF(RASANTE!F75&lt;=PERALTE!$Z$10,(-6/(PERALTE!$X$10-PERALTE!$Z$10)*(RASANTE!F75-PERALTE!$Z$10)-2),IF(RASANTE!F75&lt;=PERALTE!$AB$10,-2))))),IF(AND(AH!$H$12="Derecha",RASANTE!F75&lt;=PERALTE!$AB$10),IF(RASANTE!F75&lt;=PERALTE!$Q$10,-2,IF(RASANTE!F75&lt;=PERALTE!$U$10,(10/(PERALTE!$U$10-PERALTE!$Q$10)*(RASANTE!F75-PERALTE!$Q$10)-2),IF(RASANTE!F75&lt;=PERALTE!$X$10,8,IF(RASANTE!F75&lt;=PERALTE!$AB$10,(10/(PERALTE!$X$10-PERALTE!$AB$10)*(RASANTE!F75-PERALTE!$AB$10)-2))))),IF(AND(AH!$H$14="Izquierda",RASANTE!F75&lt;=PERALTE!$AB$12),IF(RASANTE!F75&lt;=PERALTE!$S$12,-2,IF(RASANTE!F75&lt;=PERALTE!$U$12,(-6/(PERALTE!$U$12-PERALTE!$S$12)*(RASANTE!F75-PERALTE!$S$12)-2),IF(RASANTE!F75&lt;=PERALTE!$X$12,-8,IF(RASANTE!F75&lt;=PERALTE!$Z$12,(-6/(PERALTE!$X$12-PERALTE!$Z$12)*(RASANTE!F75-PERALTE!$Z$12)-2),IF(RASANTE!F75&lt;=PERALTE!$AB$12,-2))))),IF(AND(AH!$H$14="Derecha",RASANTE!F75&lt;=PERALTE!$AB$12),IF(RASANTE!F75&lt;=PERALTE!$Q$12,-2,IF(RASANTE!F75&lt;=PERALTE!$U$12,(10/(PERALTE!$U$12-PERALTE!$Q$12)*(RASANTE!F75-PERALTE!$Q$12)-2),IF(RASANTE!F75&lt;=PERALTE!$X$12,8,IF(RASANTE!F75&lt;=PERALTE!$AB$12,(10/(PERALTE!$X$12-PERALTE!$AB$12)*(RASANTE!F75-PERALTE!$AB$12)-2))))),IF(AND(AH!$H$16="Izquierda",RASANTE!F75&lt;=PERALTE!$AB$14),IF(RASANTE!F75&lt;=PERALTE!$S$14,-2,IF(RASANTE!F75&lt;=PERALTE!$U$14,(-6/(PERALTE!$U$14-PERALTE!$S$14)*(RASANTE!F75-PERALTE!$S$14)-2),IF(RASANTE!F75&lt;=PERALTE!$X$14,-8,IF(RASANTE!F75&lt;=PERALTE!$Z$14,(-6/(PERALTE!$X$14-PERALTE!$Z$14)*(RASANTE!F75-PERALTE!$Z$14)-2),IF(RASANTE!F75&lt;=PERALTE!$AB$14,-2))))),IF(AND(AH!$H$16="Derecha",RASANTE!F75&lt;=PERALTE!$AB$14),IF(RASANTE!F75&lt;=PERALTE!$Q$14,-2,IF(RASANTE!F75&lt;=PERALTE!$U$14,(10/(PERALTE!$U$14-PERALTE!$Q$14)*(RASANTE!F75-PERALTE!$Q$14)-2),IF(RASANTE!F75&lt;=PERALTE!$X$14,8,IF(RASANTE!F75&lt;=PERALTE!$AB$14,(10/(PERALTE!$X$14-PERALTE!$AB$14)*(RASANTE!F75-PERALTE!$AB$14)-2))))),IF(AND(AH!$H$18="Izquierda",RASANTE!F75&lt;=PERALTE!$AB$16),IF(RASANTE!F75&lt;=PERALTE!$S$16,-2,IF(RASANTE!F75&lt;=PERALTE!$U$16,(-6/(PERALTE!$U$16-PERALTE!$S$16)*(RASANTE!F75-PERALTE!$S$16)-2),IF(RASANTE!F75&lt;=PERALTE!$X$16,-8,IF(RASANTE!F75&lt;=PERALTE!$Z$16,(-6/(PERALTE!$X$16-PERALTE!$Z$16)*(RASANTE!F75-PERALTE!$Z$16)-2),IF(RASANTE!F75&lt;=PERALTE!$AB$16,-2))))),IF(AND(AH!$H$18="Derecha",RASANTE!F75&lt;=PERALTE!$AB$16),IF(RASANTE!F75&lt;=PERALTE!$Q$16,-2,IF(RASANTE!F75&lt;=PERALTE!$U$16,(10/(PERALTE!$U$16-PERALTE!$Q$16)*(RASANTE!F75-PERALTE!$Q$16)-2),IF(RASANTE!F75&lt;=PERALTE!$X$16,8,IF(RASANTE!F75&lt;=PERALTE!$AB$16,(10/(PERALTE!$X$16-PERALTE!$AB$16)*(RASANTE!F75-PERALTE!$AB$16)-2))))),IF(AND(AH!$H$20="Izquierda",RASANTE!F75&lt;=PERALTE!$AB$18),IF(RASANTE!F75&lt;=PERALTE!$S$18,-2,IF(RASANTE!F75&lt;=PERALTE!$U$18,(-6/(PERALTE!$U$18-PERALTE!$S$18)*(RASANTE!F75-PERALTE!$S$18)-2),IF(RASANTE!F75&lt;=PERALTE!$X$18,-8,IF(RASANTE!F75&lt;=PERALTE!$Z$18,(-6/(PERALTE!$X$18-PERALTE!$Z$18)*(RASANTE!F75-PERALTE!$Z$18)-2),IF(RASANTE!F75&lt;=PERALTE!$AB$18,-2))))),IF(AND(AH!$H$20="Derecha",RASANTE!F75&lt;=PERALTE!$AB$18),IF(RASANTE!F75&lt;=PERALTE!$Q$18,-2,IF(RASANTE!F75&lt;=PERALTE!$U$18,(10/(PERALTE!$U$18-PERALTE!$Q$18)*(RASANTE!F75-PERALTE!$Q$18)-2),IF(RASANTE!F75&lt;=PERALTE!$X$18,8,IF(RASANTE!F75&lt;=PERALTE!$AB$18,(10/(PERALTE!$X$18-PERALTE!$AB$18)*(RASANTE!F75-PERALTE!$AB$18)-2))))),IF(AND(AH!$H$24="Izquierda",RASANTE!F75&lt;=PERALTE!$AB$22),IF(RASANTE!F75&lt;=PERALTE!$S$22,-2,IF(RASANTE!F75&lt;=PERALTE!$U$22,(-6/(PERALTE!$U$22-PERALTE!$S$22)*(RASANTE!F75-PERALTE!$S$22)-2),IF(RASANTE!F75&lt;=PERALTE!$X$22,-8,IF(RASANTE!F75&lt;=PERALTE!$Z$22,(-6/(PERALTE!$X$22-PERALTE!$Z$22)*(RASANTE!F75-PERALTE!$Z$22)-2),IF(RASANTE!F75&lt;=PERALTE!$AB$22,-2))))),IF(AND(AH!$H$24="Derecha",RASANTE!F75&lt;=PERALTE!$AB$22),IF(RASANTE!F75&lt;=PERALTE!$Q$22,-2,IF(RASANTE!F75&lt;=PERALTE!$U$22,(10/(PERALTE!$U$22-PERALTE!$Q$22)*(RASANTE!F75-PERALTE!$Q$22)-2),IF(RASANTE!F75&lt;=PERALTE!$X$22,8,IF(RASANTE!F75&lt;=PERALTE!$AB$22,(10/(PERALTE!$X$22-PERALTE!$AB$22)*(RASANTE!F75-PERALTE!$AB$22)-2))))),IF(AND(AH!#REF!="Izquierda",RASANTE!F75&lt;=PERALTE!#REF!),IF(RASANTE!F75&lt;=PERALTE!#REF!,-2,IF(RASANTE!F75&lt;=PERALTE!#REF!,(-6/(PERALTE!#REF!-PERALTE!#REF!)*(RASANTE!F75-PERALTE!#REF!)-2),IF(RASANTE!F75&lt;=PERALTE!#REF!,-8,IF(RASANTE!F75&lt;=PERALTE!#REF!,(-6/(PERALTE!#REF!-PERALTE!#REF!)*(RASANTE!F75-PERALTE!#REF!)-2),IF(RASANTE!F75&lt;=PERALTE!#REF!,-2))))),IF(AND(AH!#REF!="Derecha",RASANTE!F75&lt;=PERALTE!#REF!),IF(RASANTE!F75&lt;=PERALTE!#REF!,-2,IF(RASANTE!F75&lt;=PERALTE!#REF!,(10/(PERALTE!#REF!-PERALTE!#REF!)*(RASANTE!F75-PERALTE!#REF!)-2),IF(RASANTE!F75&lt;=PERALTE!#REF!,8,IF(RASANTE!F75&lt;=PERALTE!#REF!,(10/(PERALTE!#REF!-PERALTE!#REF!)*(RASANTE!F75-PERALTE!#REF!)-2))))),IF(AND(AH!#REF!="Izquierda",RASANTE!F75&lt;=PERALTE!$AB$26),IF(RASANTE!F75&lt;=PERALTE!$S$26,-2,IF(RASANTE!F75&lt;=PERALTE!$U$26,(-6/(PERALTE!$U$26-PERALTE!$S$26)*(RASANTE!F75-PERALTE!$S$26)-2),IF(RASANTE!F75&lt;=PERALTE!$X$26,-8,IF(RASANTE!F75&lt;=PERALTE!$Z$26,(-6/(PERALTE!$X$26-PERALTE!$Z$26)*(RASANTE!F75-PERALTE!$Z$26)-2),IF(RASANTE!F75&lt;=PERALTE!$AB$26,-2))))),IF(AND(AH!#REF!="Derecha",RASANTE!F75&lt;=PERALTE!$AB$26),IF(RASANTE!F75&lt;=PERALTE!$Q$26,-2,IF(RASANTE!F75&lt;=PERALTE!$U$26,(10/(PERALTE!$U$26-PERALTE!$Q$26)*(RASANTE!F75-PERALTE!$Q$26)-2),IF(RASANTE!F75&lt;=PERALTE!$X$26,8,IF(RASANTE!F75&lt;=PERALTE!$AB$26,(10/(PERALTE!$X$26-PERALTE!$AB$26)*(RASANTE!F75-PERALTE!$AB$26)-2))))),IF(F75&lt;=PERALTE!#REF!,-2,"Abscisa fuera de la vía")))))))))))))))))))))</f>
        <v>8</v>
      </c>
      <c r="I75" s="28">
        <f>+IF(AND(AH!$H$8="Derecha",RASANTE!F75&lt;=PERALTE!$AB$6),IF(RASANTE!F75&lt;=PERALTE!$S$6,-2,IF(RASANTE!F75&lt;=PERALTE!$U$6,(-6/(PERALTE!$U$6-PERALTE!$S$6)*(RASANTE!F75-PERALTE!$S$6)-2),IF(RASANTE!F75&lt;=PERALTE!$X$6,-8,IF(RASANTE!F75&lt;=PERALTE!$Z$6,(-6/(PERALTE!$X$6-PERALTE!$Z$6)*(RASANTE!F75-PERALTE!$Z$6)-2),IF(RASANTE!F75&lt;=PERALTE!$AB$6,-2))))),IF(AND(AH!$H$8="Izquierda",RASANTE!F75&lt;=PERALTE!$AB$6),IF(RASANTE!F75&lt;=PERALTE!$Q$6,-2,IF(RASANTE!F75&lt;=PERALTE!$U$6,(10/(PERALTE!$U$6-PERALTE!$Q$6)*(RASANTE!F75-PERALTE!$Q$6)-2),IF(RASANTE!F75&lt;=PERALTE!$X$6,8,IF(RASANTE!F75&lt;=PERALTE!$AB$6,(10/(PERALTE!$X$6-PERALTE!$AB$6)*(RASANTE!F75-PERALTE!$AB$6)-2))))),IF(AND(AH!$H$10="Derecha",RASANTE!F75&lt;=PERALTE!$AB$8),IF(RASANTE!F75&lt;=PERALTE!$S$8,-2,IF(RASANTE!F75&lt;=PERALTE!$U$8,(-6/(PERALTE!$U$8-PERALTE!$S$8)*(RASANTE!F75-PERALTE!$S$8)-2),IF(RASANTE!F75&lt;=PERALTE!$X$8,-8,IF(RASANTE!F75&lt;=PERALTE!$Z$8,(-6/(PERALTE!$X$8-PERALTE!$Z$8)*(RASANTE!F75-PERALTE!$Z$8)-2),IF(RASANTE!F75&lt;=PERALTE!$AB$8,-2))))),IF(AND(AH!$H$10="Izquierda",RASANTE!F75&lt;=PERALTE!$AB$8),IF(RASANTE!F75&lt;=PERALTE!$Q$8,-2,IF(RASANTE!F75&lt;=PERALTE!$U$8,(10/(PERALTE!$U$8-PERALTE!$Q$8)*(RASANTE!F75-PERALTE!$Q$8)-2),IF(RASANTE!F75&lt;=PERALTE!$X$8,8,IF(RASANTE!F75&lt;=PERALTE!$AB$8,(10/(PERALTE!$X$8-PERALTE!$AB$8)*(RASANTE!F75-PERALTE!$AB$8)-2))))),IF(AND(AH!$H$12="Derecha",RASANTE!F75&lt;=PERALTE!$AB$10),IF(RASANTE!F75&lt;=PERALTE!$S$10,-2,IF(RASANTE!F75&lt;=PERALTE!$U$10,(-6/(PERALTE!$U$10-PERALTE!$S$10)*(RASANTE!F75-PERALTE!$S$10)-2),IF(RASANTE!F75&lt;=PERALTE!$X$10,-8,IF(RASANTE!F75&lt;=PERALTE!$Z$10,(-6/(PERALTE!$X$10-PERALTE!$Z$10)*(RASANTE!F75-PERALTE!$Z$10)-2),IF(RASANTE!F75&lt;=PERALTE!$AB$10,-2))))),IF(AND(AH!$H$12="Izquierda",RASANTE!F75&lt;=PERALTE!$AB$10),IF(RASANTE!F75&lt;=PERALTE!$Q$10,-2,IF(RASANTE!F75&lt;=PERALTE!$U$10,(10/(PERALTE!$U$10-PERALTE!$Q$10)*(RASANTE!F75-PERALTE!$Q$10)-2),IF(RASANTE!F75&lt;=PERALTE!$X$10,8,IF(RASANTE!F75&lt;=PERALTE!$AB$10,(10/(PERALTE!$X$10-PERALTE!$AB$10)*(RASANTE!F75-PERALTE!$AB$10)-2))))),IF(AND(AH!$H$14="Derecha",RASANTE!F75&lt;=PERALTE!$AB$12),IF(RASANTE!F75&lt;=PERALTE!$S$12,-2,IF(RASANTE!F75&lt;=PERALTE!$U$12,(-6/(PERALTE!$U$12-PERALTE!$S$12)*(RASANTE!F75-PERALTE!$S$12)-2),IF(RASANTE!F75&lt;=PERALTE!$X$12,-8,IF(RASANTE!F75&lt;=PERALTE!$Z$12,(-6/(PERALTE!$X$12-PERALTE!$Z$12)*(RASANTE!F75-PERALTE!$Z$12)-2),IF(RASANTE!F75&lt;=PERALTE!$AB$12,-2))))),IF(AND(AH!$H$14="Izquierda",RASANTE!F75&lt;=PERALTE!$AB$12),IF(RASANTE!F75&lt;=PERALTE!$Q$12,-2,IF(RASANTE!F75&lt;=PERALTE!$U$12,(10/(PERALTE!$U$12-PERALTE!$Q$12)*(RASANTE!F75-PERALTE!$Q$12)-2),IF(RASANTE!F75&lt;=PERALTE!$X$12,8,IF(RASANTE!F75&lt;=PERALTE!$AB$12,(10/(PERALTE!$X$12-PERALTE!$AB$12)*(RASANTE!F75-PERALTE!$AB$12)-2))))),IF(AND(AH!$H$16="Derecha",RASANTE!F75&lt;=PERALTE!$AB$14),IF(RASANTE!F75&lt;=PERALTE!$S$14,-2,IF(RASANTE!F75&lt;=PERALTE!$U$14,(-6/(PERALTE!$U$14-PERALTE!$S$14)*(RASANTE!F75-PERALTE!$S$14)-2),IF(RASANTE!F75&lt;=PERALTE!$X$14,-8,IF(RASANTE!F75&lt;=PERALTE!$Z$14,(-6/(PERALTE!$X$14-PERALTE!$Z$14)*(RASANTE!F75-PERALTE!$Z$14)-2),IF(RASANTE!F75&lt;=PERALTE!$AB$14,-2))))),IF(AND(AH!$H$16="Izquierda",RASANTE!F75&lt;=PERALTE!$AB$14),IF(RASANTE!F75&lt;=PERALTE!$Q$14,-2,IF(RASANTE!F75&lt;=PERALTE!$U$14,(10/(PERALTE!$U$14-PERALTE!$Q$14)*(RASANTE!F75-PERALTE!$Q$14)-2),IF(RASANTE!F75&lt;=PERALTE!$X$14,8,IF(RASANTE!F75&lt;=PERALTE!$AB$14,(10/(PERALTE!$X$14-PERALTE!$AB$14)*(RASANTE!F75-PERALTE!$AB$14)-2))))),IF(AND(AH!$H$18="Derecha",RASANTE!F75&lt;=PERALTE!$AB$16),IF(RASANTE!F75&lt;=PERALTE!$S$16,-2,IF(RASANTE!F75&lt;=PERALTE!$U$16,(-6/(PERALTE!$U$16-PERALTE!$S$16)*(RASANTE!F75-PERALTE!$S$16)-2),IF(RASANTE!F75&lt;=PERALTE!$X$16,-8,IF(RASANTE!F75&lt;=PERALTE!$Z$16,(-6/(PERALTE!$X$16-PERALTE!$Z$16)*(RASANTE!F75-PERALTE!$Z$16)-2),IF(RASANTE!F75&lt;=PERALTE!$AB$16,-2))))),IF(AND(AH!$H$18="Izquierda",RASANTE!F75&lt;=PERALTE!$AB$16),IF(RASANTE!F75&lt;=PERALTE!$Q$16,-2,IF(RASANTE!F75&lt;=PERALTE!$U$16,(10/(PERALTE!$U$16-PERALTE!$Q$16)*(RASANTE!F75-PERALTE!$Q$16)-2),IF(RASANTE!F75&lt;=PERALTE!$X$16,8,IF(RASANTE!F75&lt;=PERALTE!$AB$16,(10/(PERALTE!$X$16-PERALTE!$AB$16)*(RASANTE!F75-PERALTE!$AB$16)-2))))),IF(AND(AH!$H$20="Derecha",RASANTE!F75&lt;=PERALTE!$AB$18),IF(RASANTE!F75&lt;=PERALTE!$S$18,-2,IF(RASANTE!F75&lt;=PERALTE!$U$18,(-6/(PERALTE!$U$18-PERALTE!$S$18)*(RASANTE!F75-PERALTE!$S$18)-2),IF(RASANTE!F75&lt;=PERALTE!$X$18,-8,IF(RASANTE!F75&lt;=PERALTE!$Z$18,(-6/(PERALTE!$X$18-PERALTE!$Z$18)*(RASANTE!F75-PERALTE!$Z$18)-2),IF(RASANTE!F75&lt;=PERALTE!$AB$18,-2))))),IF(AND(AH!$H$20="Izquierda",RASANTE!F75&lt;=PERALTE!$AB$18),IF(RASANTE!F75&lt;=PERALTE!$Q$18,-2,IF(RASANTE!F75&lt;=PERALTE!$U$18,(10/(PERALTE!$U$18-PERALTE!$Q$18)*(RASANTE!F75-PERALTE!$Q$18)-2),IF(RASANTE!F75&lt;=PERALTE!$X$18,8,IF(RASANTE!F75&lt;=PERALTE!$AB$18,(10/(PERALTE!$X$18-PERALTE!$AB$18)*(RASANTE!F75-PERALTE!$AB$18)-2))))),IF(AND(AH!$H$24="Derecha",RASANTE!F75&lt;=PERALTE!$AB$22),IF(RASANTE!F75&lt;=PERALTE!$S$22,-2,IF(RASANTE!F75&lt;=PERALTE!$U$22,(-6/(PERALTE!$U$22-PERALTE!$S$22)*(RASANTE!F75-PERALTE!$S$22)-2),IF(RASANTE!F75&lt;=PERALTE!$X$22,-8,IF(RASANTE!F75&lt;=PERALTE!$Z$22,(-6/(PERALTE!$X$22-PERALTE!$Z$22)*(RASANTE!F75-PERALTE!$Z$22)-2),IF(RASANTE!F75&lt;=PERALTE!$AB$22,-2))))),IF(AND(AH!$H$24="Izquierda",RASANTE!F75&lt;=PERALTE!$AB$22),IF(RASANTE!F75&lt;=PERALTE!$Q$22,-2,IF(RASANTE!F75&lt;=PERALTE!$U$22,(10/(PERALTE!$U$22-PERALTE!$Q$22)*(RASANTE!F75-PERALTE!$Q$22)-2),IF(RASANTE!F75&lt;=PERALTE!$X$22,8,IF(RASANTE!F75&lt;=PERALTE!$AB$22,(10/(PERALTE!$X$22-PERALTE!$AB$22)*(RASANTE!F75-PERALTE!$AB$22)-2))))),IF(AND(AH!#REF!="Derecha",RASANTE!F75&lt;=PERALTE!#REF!),IF(RASANTE!F75&lt;=PERALTE!#REF!,-2,IF(RASANTE!F75&lt;=PERALTE!#REF!,(-6/(PERALTE!#REF!-PERALTE!#REF!)*(RASANTE!F75-PERALTE!#REF!)-2),IF(RASANTE!F75&lt;=PERALTE!#REF!,-8,IF(RASANTE!F75&lt;=PERALTE!#REF!,(-6/(PERALTE!#REF!-PERALTE!#REF!)*(RASANTE!F75-PERALTE!#REF!)-2),IF(RASANTE!F75&lt;=PERALTE!#REF!,-2))))),IF(AND(AH!#REF!="Izquierda",RASANTE!F75&lt;=PERALTE!#REF!),IF(RASANTE!F75&lt;=PERALTE!#REF!,-2,IF(RASANTE!F75&lt;=PERALTE!#REF!,(10/(PERALTE!#REF!-PERALTE!#REF!)*(RASANTE!F75-PERALTE!#REF!)-2),IF(RASANTE!F75&lt;=PERALTE!#REF!,8,IF(RASANTE!F75&lt;=PERALTE!#REF!,(10/(PERALTE!#REF!-PERALTE!#REF!)*(RASANTE!F75-PERALTE!#REF!)-2))))),IF(AND(AH!#REF!="Derecha",RASANTE!F75&lt;=PERALTE!$AB$26),IF(RASANTE!F75&lt;=PERALTE!$S$26,-2,IF(RASANTE!F75&lt;=PERALTE!$U$26,(-6/(PERALTE!$U$26-PERALTE!$S$26)*(RASANTE!F75-PERALTE!$S$26)-2),IF(RASANTE!F75&lt;=PERALTE!$X$26,-8,IF(RASANTE!F75&lt;=PERALTE!$Z$26,(-6/(PERALTE!$X$26-PERALTE!$Z$26)*(RASANTE!F75-PERALTE!$Z$26)-2),IF(RASANTE!F75&lt;=PERALTE!$AB$26,-2))))),IF(AND(AH!#REF!="Izquierda",RASANTE!F75&lt;=PERALTE!$AB$26),IF(RASANTE!F75&lt;=PERALTE!$Q$26,-2,IF(RASANTE!F75&lt;=PERALTE!$U$26,(10/(PERALTE!$U$26-PERALTE!$Q$26)*(RASANTE!F75-PERALTE!$Q$26)-2),IF(RASANTE!F75&lt;=PERALTE!$X$26,8,IF(RASANTE!F75&lt;=PERALTE!$AB$26,(10/(PERALTE!$X$26-PERALTE!$AB$26)*(RASANTE!F75-PERALTE!$AB$26)-2))))),IF(F75&lt;=PERALTE!#REF!,-2,"Abscisa fuera de la vía")))))))))))))))))))))</f>
        <v>-8</v>
      </c>
      <c r="J75" s="28">
        <f t="shared" si="4"/>
        <v>1637.5638000000013</v>
      </c>
      <c r="K75" s="28">
        <f>+IF(AND(AV!$S$6&lt;F75,F75&lt;=AV!$T$6),AV!$P$6*((AV!$S$6-RASANTE!F75)/(AV!$N$6))^2,IF(AND(AV!$T$6&lt;RASANTE!F75,F75&lt;AV!$U$6),AV!$P$6*((AV!$U$6-RASANTE!F75)/(AV!$O$6))^2,IF(AND(AV!$S$8&lt;F75,F75&lt;=AV!$T$8),AV!$P$8*((AV!$S$8-RASANTE!F75)/(AV!$N$8))^2,IF(AND(AV!$T$8&lt;RASANTE!F75,F75&lt;AV!$U$8),AV!$P$8*((AV!$U$8-RASANTE!F75)/(AV!$O$8))^2,IF(AND(AV!$S$10&lt;F75,F75&lt;=AV!$T$10),AV!$P$10*((AV!$S$10-RASANTE!F75)/(AV!$N$10))^2,IF(AND(AV!$T$10&lt;RASANTE!F75,F75&lt;AV!$U$10),AV!$P$10*((AV!$U$10-RASANTE!F75)/(AV!$O$10))^2,IF(AND(AV!$S$12&lt;F75,F75&lt;=AV!$T$12),AV!$P$12*((AV!$S$12-RASANTE!F75)/(AV!$N$12))^2,IF(AND(AV!$T$12&lt;RASANTE!F75,F75&lt;AV!$U$12),AV!$P$12*((AV!$U$12-RASANTE!F75)/(AV!$O$12))^2,IF(AND(AV!$S$14&lt;F75,F75&lt;=AV!$T$14),AV!$P$14*((AV!$S$14-RASANTE!F75)/(AV!$N$14))^2,IF(AND(AV!$T$14&lt;RASANTE!F75,F75&lt;AV!$U$14),AV!$P$14*((AV!$U$14-RASANTE!F75)/(AV!$O$14))^2,IF(AND(AV!$S$16&lt;F75,F75&lt;=AV!$T$16),AV!$P$16*((AV!$S$16-RASANTE!F75)/(AV!$N$16))^2,IF(AND(AV!$T$16&lt;RASANTE!F75,F75&lt;AV!$U$16),AV!$P$16*((AV!$U$16-RASANTE!F75)/(AV!$O$16))^2,IF(AND(AV!$S$18&lt;F75,F75&lt;=AV!$T$18),AV!$P$18*((AV!$S$18-RASANTE!F75)/(AV!$N$18))^2,IF(AND(AV!$T$18&lt;RASANTE!F75,F75&lt;AV!$U$18),AV!$P$18*((AV!$U$18-RASANTE!F75)/(AV!$O$18))^2,IF(AND(AV!$S$20&lt;F75,F75&lt;=AV!$T$20),AV!$P$20*((AV!$S$20-RASANTE!F75)/(AV!$N$20))^2,IF(AND(AV!$T$20&lt;RASANTE!F75,F75&lt;AV!$U$20),AV!$P$20*((AV!$U$20-RASANTE!F75)/(AV!$O$20))^2,IF(AND(AV!$S$22&lt;F75,F75&lt;=AV!$T$22),AV!$P$22*((AV!$S$22-RASANTE!F75)/(AV!$N$22))^2,IF(AND(AV!$T$22&lt;RASANTE!F75,F75&lt;AV!$U$22),AV!$P$22*((AV!$U$22-RASANTE!F75)/(AV!$O$22))^2,IF(AND(AV!$S$24&lt;F75,F75&lt;=AV!$T$24),AV!$P$24*((AV!$S$24-RASANTE!F75)/(AV!$N$24))^2,IF(AND(AV!$T$24&lt;RASANTE!F75,F75&lt;AV!$U$24),AV!$P$24*((AV!$U$24-RASANTE!F75)/(AV!$O$24))^2,0))))))))))))))))))))</f>
        <v>0.21290604171759991</v>
      </c>
      <c r="L75" s="28">
        <f>+M75+H75%*PERALTE!$C$32</f>
        <v>1638.0567060417188</v>
      </c>
      <c r="M75" s="28">
        <f t="shared" si="3"/>
        <v>1637.7767060417189</v>
      </c>
      <c r="N75" s="28">
        <f>+M75+I75%*PERALTE!$C$32</f>
        <v>1637.4967060417189</v>
      </c>
      <c r="O75" s="92"/>
      <c r="P75" s="84"/>
      <c r="Q75" s="84"/>
      <c r="R75" s="84"/>
      <c r="S75" s="84"/>
      <c r="T75" s="84"/>
      <c r="U75" s="84"/>
      <c r="V75" s="84"/>
      <c r="W75" s="84"/>
      <c r="X75" s="84"/>
      <c r="Y75" s="84"/>
    </row>
    <row r="76" spans="1:25" ht="15.75" customHeight="1" x14ac:dyDescent="0.2">
      <c r="A76" s="315" t="s">
        <v>112</v>
      </c>
      <c r="B76" s="86"/>
      <c r="C76" s="86"/>
      <c r="D76" s="86"/>
      <c r="E76" s="151">
        <f>AV!O8</f>
        <v>25</v>
      </c>
      <c r="F76" s="34">
        <f>AV!T8</f>
        <v>493.88200000000001</v>
      </c>
      <c r="G76" s="88">
        <f>IF(F76&lt;=AV!$T$6,AV!$C$5,IF(RASANTE!F76&lt;=AV!$T$8,AV!$C$7,IF(RASANTE!F76&lt;=AV!$T$10,AV!$C$9,IF(RASANTE!F76&lt;=AV!$T$12,AV!#REF!,IF(RASANTE!F76&lt;=AV!$T$14,AV!$C$11,IF(RASANTE!F76&lt;=AV!$T$16,AV!$C$13, IF(RASANTE!F76&lt;=AV!$T$18,AV!$C$15,IF(RASANTE!F76&lt;=AV!$T$20,AV!$C$19,IF(RASANTE!F76&lt;=AV!$T$22,AV!$C$21,IF(RASANTE!F76&lt;=AV!$T$24,AV!$C$23,AV!$C$25))))))))))</f>
        <v>-7.774</v>
      </c>
      <c r="H76" s="28">
        <f>+IF(AND(AH!$H$8="Izquierda",RASANTE!F76&lt;=PERALTE!$AB$6),IF(RASANTE!F76&lt;=PERALTE!$S$6,-2,IF(RASANTE!F76&lt;=PERALTE!$U$6,(-6/(PERALTE!$U$6-PERALTE!$S$6)*(RASANTE!F76-PERALTE!$S$6)-2),IF(RASANTE!F76&lt;=PERALTE!$X$6,-8,IF(RASANTE!F76&lt;=PERALTE!$Z$6,(-6/(PERALTE!$X$6-PERALTE!$Z$6)*(RASANTE!F76-PERALTE!$Z$6)-2),IF(RASANTE!F76&lt;=PERALTE!$AB$6,-2))))),IF(AND(AH!$H$8="Derecha",RASANTE!F76&lt;=PERALTE!$AB$6),IF(RASANTE!F76&lt;=PERALTE!$Q$6,-2,IF(RASANTE!F76&lt;=PERALTE!$U$6,(10/(PERALTE!$U$6-PERALTE!$Q$6)*(RASANTE!F76-PERALTE!$Q$6)-2),IF(RASANTE!F76&lt;=PERALTE!$X$6,8,IF(RASANTE!F76&lt;=PERALTE!$AB$6,(10/(PERALTE!$X$6-PERALTE!$AB$6)*(RASANTE!F76-PERALTE!$AB$6)-2))))),IF(AND(AH!$H$10="Izquierda",RASANTE!F76&lt;=PERALTE!$AB$8),IF(RASANTE!F76&lt;=PERALTE!$S$8,-2,IF(RASANTE!F76&lt;=PERALTE!$U$8,(-6/(PERALTE!$U$8-PERALTE!$S$8)*(RASANTE!F76-PERALTE!$S$8)-2),IF(RASANTE!F76&lt;=PERALTE!$X$8,-8,IF(RASANTE!F76&lt;=PERALTE!$Z$8,(-6/(PERALTE!$X$8-PERALTE!$Z$8)*(RASANTE!F76-PERALTE!$Z$8)-2),IF(RASANTE!F76&lt;=PERALTE!$AB$8,-2))))),IF(AND(AH!$H$10="Derecha",RASANTE!F76&lt;=PERALTE!$AB$8),IF(RASANTE!F76&lt;=PERALTE!$Q$8,-2,IF(RASANTE!F76&lt;=PERALTE!$U$8,(10/(PERALTE!$U$8-PERALTE!$Q$8)*(RASANTE!F76-PERALTE!$Q$8)-2),IF(RASANTE!F76&lt;=PERALTE!$X$8,8,IF(RASANTE!F76&lt;=PERALTE!$AB$8,(10/(PERALTE!$X$8-PERALTE!$AB$8)*(RASANTE!F76-PERALTE!$AB$8)-2))))),IF(AND(AH!$H$12="Izquierda",RASANTE!F76&lt;=PERALTE!$AB$10),IF(RASANTE!F76&lt;=PERALTE!$S$10,-2,IF(RASANTE!F76&lt;=PERALTE!$U$10,(-6/(PERALTE!$U$10-PERALTE!$S$10)*(RASANTE!F76-PERALTE!$S$10)-2),IF(RASANTE!F76&lt;=PERALTE!$X$10,-8,IF(RASANTE!F76&lt;=PERALTE!$Z$10,(-6/(PERALTE!$X$10-PERALTE!$Z$10)*(RASANTE!F76-PERALTE!$Z$10)-2),IF(RASANTE!F76&lt;=PERALTE!$AB$10,-2))))),IF(AND(AH!$H$12="Derecha",RASANTE!F76&lt;=PERALTE!$AB$10),IF(RASANTE!F76&lt;=PERALTE!$Q$10,-2,IF(RASANTE!F76&lt;=PERALTE!$U$10,(10/(PERALTE!$U$10-PERALTE!$Q$10)*(RASANTE!F76-PERALTE!$Q$10)-2),IF(RASANTE!F76&lt;=PERALTE!$X$10,8,IF(RASANTE!F76&lt;=PERALTE!$AB$10,(10/(PERALTE!$X$10-PERALTE!$AB$10)*(RASANTE!F76-PERALTE!$AB$10)-2))))),IF(AND(AH!$H$14="Izquierda",RASANTE!F76&lt;=PERALTE!$AB$12),IF(RASANTE!F76&lt;=PERALTE!$S$12,-2,IF(RASANTE!F76&lt;=PERALTE!$U$12,(-6/(PERALTE!$U$12-PERALTE!$S$12)*(RASANTE!F76-PERALTE!$S$12)-2),IF(RASANTE!F76&lt;=PERALTE!$X$12,-8,IF(RASANTE!F76&lt;=PERALTE!$Z$12,(-6/(PERALTE!$X$12-PERALTE!$Z$12)*(RASANTE!F76-PERALTE!$Z$12)-2),IF(RASANTE!F76&lt;=PERALTE!$AB$12,-2))))),IF(AND(AH!$H$14="Derecha",RASANTE!F76&lt;=PERALTE!$AB$12),IF(RASANTE!F76&lt;=PERALTE!$Q$12,-2,IF(RASANTE!F76&lt;=PERALTE!$U$12,(10/(PERALTE!$U$12-PERALTE!$Q$12)*(RASANTE!F76-PERALTE!$Q$12)-2),IF(RASANTE!F76&lt;=PERALTE!$X$12,8,IF(RASANTE!F76&lt;=PERALTE!$AB$12,(10/(PERALTE!$X$12-PERALTE!$AB$12)*(RASANTE!F76-PERALTE!$AB$12)-2))))),IF(AND(AH!$H$16="Izquierda",RASANTE!F76&lt;=PERALTE!$AB$14),IF(RASANTE!F76&lt;=PERALTE!$S$14,-2,IF(RASANTE!F76&lt;=PERALTE!$U$14,(-6/(PERALTE!$U$14-PERALTE!$S$14)*(RASANTE!F76-PERALTE!$S$14)-2),IF(RASANTE!F76&lt;=PERALTE!$X$14,-8,IF(RASANTE!F76&lt;=PERALTE!$Z$14,(-6/(PERALTE!$X$14-PERALTE!$Z$14)*(RASANTE!F76-PERALTE!$Z$14)-2),IF(RASANTE!F76&lt;=PERALTE!$AB$14,-2))))),IF(AND(AH!$H$16="Derecha",RASANTE!F76&lt;=PERALTE!$AB$14),IF(RASANTE!F76&lt;=PERALTE!$Q$14,-2,IF(RASANTE!F76&lt;=PERALTE!$U$14,(10/(PERALTE!$U$14-PERALTE!$Q$14)*(RASANTE!F76-PERALTE!$Q$14)-2),IF(RASANTE!F76&lt;=PERALTE!$X$14,8,IF(RASANTE!F76&lt;=PERALTE!$AB$14,(10/(PERALTE!$X$14-PERALTE!$AB$14)*(RASANTE!F76-PERALTE!$AB$14)-2))))),IF(AND(AH!$H$18="Izquierda",RASANTE!F76&lt;=PERALTE!$AB$16),IF(RASANTE!F76&lt;=PERALTE!$S$16,-2,IF(RASANTE!F76&lt;=PERALTE!$U$16,(-6/(PERALTE!$U$16-PERALTE!$S$16)*(RASANTE!F76-PERALTE!$S$16)-2),IF(RASANTE!F76&lt;=PERALTE!$X$16,-8,IF(RASANTE!F76&lt;=PERALTE!$Z$16,(-6/(PERALTE!$X$16-PERALTE!$Z$16)*(RASANTE!F76-PERALTE!$Z$16)-2),IF(RASANTE!F76&lt;=PERALTE!$AB$16,-2))))),IF(AND(AH!$H$18="Derecha",RASANTE!F76&lt;=PERALTE!$AB$16),IF(RASANTE!F76&lt;=PERALTE!$Q$16,-2,IF(RASANTE!F76&lt;=PERALTE!$U$16,(10/(PERALTE!$U$16-PERALTE!$Q$16)*(RASANTE!F76-PERALTE!$Q$16)-2),IF(RASANTE!F76&lt;=PERALTE!$X$16,8,IF(RASANTE!F76&lt;=PERALTE!$AB$16,(10/(PERALTE!$X$16-PERALTE!$AB$16)*(RASANTE!F76-PERALTE!$AB$16)-2))))),IF(AND(AH!$H$20="Izquierda",RASANTE!F76&lt;=PERALTE!$AB$18),IF(RASANTE!F76&lt;=PERALTE!$S$18,-2,IF(RASANTE!F76&lt;=PERALTE!$U$18,(-6/(PERALTE!$U$18-PERALTE!$S$18)*(RASANTE!F76-PERALTE!$S$18)-2),IF(RASANTE!F76&lt;=PERALTE!$X$18,-8,IF(RASANTE!F76&lt;=PERALTE!$Z$18,(-6/(PERALTE!$X$18-PERALTE!$Z$18)*(RASANTE!F76-PERALTE!$Z$18)-2),IF(RASANTE!F76&lt;=PERALTE!$AB$18,-2))))),IF(AND(AH!$H$20="Derecha",RASANTE!F76&lt;=PERALTE!$AB$18),IF(RASANTE!F76&lt;=PERALTE!$Q$18,-2,IF(RASANTE!F76&lt;=PERALTE!$U$18,(10/(PERALTE!$U$18-PERALTE!$Q$18)*(RASANTE!F76-PERALTE!$Q$18)-2),IF(RASANTE!F76&lt;=PERALTE!$X$18,8,IF(RASANTE!F76&lt;=PERALTE!$AB$18,(10/(PERALTE!$X$18-PERALTE!$AB$18)*(RASANTE!F76-PERALTE!$AB$18)-2))))),IF(AND(AH!$H$24="Izquierda",RASANTE!F76&lt;=PERALTE!$AB$22),IF(RASANTE!F76&lt;=PERALTE!$S$22,-2,IF(RASANTE!F76&lt;=PERALTE!$U$22,(-6/(PERALTE!$U$22-PERALTE!$S$22)*(RASANTE!F76-PERALTE!$S$22)-2),IF(RASANTE!F76&lt;=PERALTE!$X$22,-8,IF(RASANTE!F76&lt;=PERALTE!$Z$22,(-6/(PERALTE!$X$22-PERALTE!$Z$22)*(RASANTE!F76-PERALTE!$Z$22)-2),IF(RASANTE!F76&lt;=PERALTE!$AB$22,-2))))),IF(AND(AH!$H$24="Derecha",RASANTE!F76&lt;=PERALTE!$AB$22),IF(RASANTE!F76&lt;=PERALTE!$Q$22,-2,IF(RASANTE!F76&lt;=PERALTE!$U$22,(10/(PERALTE!$U$22-PERALTE!$Q$22)*(RASANTE!F76-PERALTE!$Q$22)-2),IF(RASANTE!F76&lt;=PERALTE!$X$22,8,IF(RASANTE!F76&lt;=PERALTE!$AB$22,(10/(PERALTE!$X$22-PERALTE!$AB$22)*(RASANTE!F76-PERALTE!$AB$22)-2))))),IF(AND(AH!#REF!="Izquierda",RASANTE!F76&lt;=PERALTE!#REF!),IF(RASANTE!F76&lt;=PERALTE!#REF!,-2,IF(RASANTE!F76&lt;=PERALTE!#REF!,(-6/(PERALTE!#REF!-PERALTE!#REF!)*(RASANTE!F76-PERALTE!#REF!)-2),IF(RASANTE!F76&lt;=PERALTE!#REF!,-8,IF(RASANTE!F76&lt;=PERALTE!#REF!,(-6/(PERALTE!#REF!-PERALTE!#REF!)*(RASANTE!F76-PERALTE!#REF!)-2),IF(RASANTE!F76&lt;=PERALTE!#REF!,-2))))),IF(AND(AH!#REF!="Derecha",RASANTE!F76&lt;=PERALTE!#REF!),IF(RASANTE!F76&lt;=PERALTE!#REF!,-2,IF(RASANTE!F76&lt;=PERALTE!#REF!,(10/(PERALTE!#REF!-PERALTE!#REF!)*(RASANTE!F76-PERALTE!#REF!)-2),IF(RASANTE!F76&lt;=PERALTE!#REF!,8,IF(RASANTE!F76&lt;=PERALTE!#REF!,(10/(PERALTE!#REF!-PERALTE!#REF!)*(RASANTE!F76-PERALTE!#REF!)-2))))),IF(AND(AH!#REF!="Izquierda",RASANTE!F76&lt;=PERALTE!$AB$26),IF(RASANTE!F76&lt;=PERALTE!$S$26,-2,IF(RASANTE!F76&lt;=PERALTE!$U$26,(-6/(PERALTE!$U$26-PERALTE!$S$26)*(RASANTE!F76-PERALTE!$S$26)-2),IF(RASANTE!F76&lt;=PERALTE!$X$26,-8,IF(RASANTE!F76&lt;=PERALTE!$Z$26,(-6/(PERALTE!$X$26-PERALTE!$Z$26)*(RASANTE!F76-PERALTE!$Z$26)-2),IF(RASANTE!F76&lt;=PERALTE!$AB$26,-2))))),IF(AND(AH!#REF!="Derecha",RASANTE!F76&lt;=PERALTE!$AB$26),IF(RASANTE!F76&lt;=PERALTE!$Q$26,-2,IF(RASANTE!F76&lt;=PERALTE!$U$26,(10/(PERALTE!$U$26-PERALTE!$Q$26)*(RASANTE!F76-PERALTE!$Q$26)-2),IF(RASANTE!F76&lt;=PERALTE!$X$26,8,IF(RASANTE!F76&lt;=PERALTE!$AB$26,(10/(PERALTE!$X$26-PERALTE!$AB$26)*(RASANTE!F76-PERALTE!$AB$26)-2))))),IF(F76&lt;=PERALTE!#REF!,-2,"Abscisa fuera de la vía")))))))))))))))))))))</f>
        <v>8</v>
      </c>
      <c r="I76" s="28">
        <f>+IF(AND(AH!$H$8="Derecha",RASANTE!F76&lt;=PERALTE!$AB$6),IF(RASANTE!F76&lt;=PERALTE!$S$6,-2,IF(RASANTE!F76&lt;=PERALTE!$U$6,(-6/(PERALTE!$U$6-PERALTE!$S$6)*(RASANTE!F76-PERALTE!$S$6)-2),IF(RASANTE!F76&lt;=PERALTE!$X$6,-8,IF(RASANTE!F76&lt;=PERALTE!$Z$6,(-6/(PERALTE!$X$6-PERALTE!$Z$6)*(RASANTE!F76-PERALTE!$Z$6)-2),IF(RASANTE!F76&lt;=PERALTE!$AB$6,-2))))),IF(AND(AH!$H$8="Izquierda",RASANTE!F76&lt;=PERALTE!$AB$6),IF(RASANTE!F76&lt;=PERALTE!$Q$6,-2,IF(RASANTE!F76&lt;=PERALTE!$U$6,(10/(PERALTE!$U$6-PERALTE!$Q$6)*(RASANTE!F76-PERALTE!$Q$6)-2),IF(RASANTE!F76&lt;=PERALTE!$X$6,8,IF(RASANTE!F76&lt;=PERALTE!$AB$6,(10/(PERALTE!$X$6-PERALTE!$AB$6)*(RASANTE!F76-PERALTE!$AB$6)-2))))),IF(AND(AH!$H$10="Derecha",RASANTE!F76&lt;=PERALTE!$AB$8),IF(RASANTE!F76&lt;=PERALTE!$S$8,-2,IF(RASANTE!F76&lt;=PERALTE!$U$8,(-6/(PERALTE!$U$8-PERALTE!$S$8)*(RASANTE!F76-PERALTE!$S$8)-2),IF(RASANTE!F76&lt;=PERALTE!$X$8,-8,IF(RASANTE!F76&lt;=PERALTE!$Z$8,(-6/(PERALTE!$X$8-PERALTE!$Z$8)*(RASANTE!F76-PERALTE!$Z$8)-2),IF(RASANTE!F76&lt;=PERALTE!$AB$8,-2))))),IF(AND(AH!$H$10="Izquierda",RASANTE!F76&lt;=PERALTE!$AB$8),IF(RASANTE!F76&lt;=PERALTE!$Q$8,-2,IF(RASANTE!F76&lt;=PERALTE!$U$8,(10/(PERALTE!$U$8-PERALTE!$Q$8)*(RASANTE!F76-PERALTE!$Q$8)-2),IF(RASANTE!F76&lt;=PERALTE!$X$8,8,IF(RASANTE!F76&lt;=PERALTE!$AB$8,(10/(PERALTE!$X$8-PERALTE!$AB$8)*(RASANTE!F76-PERALTE!$AB$8)-2))))),IF(AND(AH!$H$12="Derecha",RASANTE!F76&lt;=PERALTE!$AB$10),IF(RASANTE!F76&lt;=PERALTE!$S$10,-2,IF(RASANTE!F76&lt;=PERALTE!$U$10,(-6/(PERALTE!$U$10-PERALTE!$S$10)*(RASANTE!F76-PERALTE!$S$10)-2),IF(RASANTE!F76&lt;=PERALTE!$X$10,-8,IF(RASANTE!F76&lt;=PERALTE!$Z$10,(-6/(PERALTE!$X$10-PERALTE!$Z$10)*(RASANTE!F76-PERALTE!$Z$10)-2),IF(RASANTE!F76&lt;=PERALTE!$AB$10,-2))))),IF(AND(AH!$H$12="Izquierda",RASANTE!F76&lt;=PERALTE!$AB$10),IF(RASANTE!F76&lt;=PERALTE!$Q$10,-2,IF(RASANTE!F76&lt;=PERALTE!$U$10,(10/(PERALTE!$U$10-PERALTE!$Q$10)*(RASANTE!F76-PERALTE!$Q$10)-2),IF(RASANTE!F76&lt;=PERALTE!$X$10,8,IF(RASANTE!F76&lt;=PERALTE!$AB$10,(10/(PERALTE!$X$10-PERALTE!$AB$10)*(RASANTE!F76-PERALTE!$AB$10)-2))))),IF(AND(AH!$H$14="Derecha",RASANTE!F76&lt;=PERALTE!$AB$12),IF(RASANTE!F76&lt;=PERALTE!$S$12,-2,IF(RASANTE!F76&lt;=PERALTE!$U$12,(-6/(PERALTE!$U$12-PERALTE!$S$12)*(RASANTE!F76-PERALTE!$S$12)-2),IF(RASANTE!F76&lt;=PERALTE!$X$12,-8,IF(RASANTE!F76&lt;=PERALTE!$Z$12,(-6/(PERALTE!$X$12-PERALTE!$Z$12)*(RASANTE!F76-PERALTE!$Z$12)-2),IF(RASANTE!F76&lt;=PERALTE!$AB$12,-2))))),IF(AND(AH!$H$14="Izquierda",RASANTE!F76&lt;=PERALTE!$AB$12),IF(RASANTE!F76&lt;=PERALTE!$Q$12,-2,IF(RASANTE!F76&lt;=PERALTE!$U$12,(10/(PERALTE!$U$12-PERALTE!$Q$12)*(RASANTE!F76-PERALTE!$Q$12)-2),IF(RASANTE!F76&lt;=PERALTE!$X$12,8,IF(RASANTE!F76&lt;=PERALTE!$AB$12,(10/(PERALTE!$X$12-PERALTE!$AB$12)*(RASANTE!F76-PERALTE!$AB$12)-2))))),IF(AND(AH!$H$16="Derecha",RASANTE!F76&lt;=PERALTE!$AB$14),IF(RASANTE!F76&lt;=PERALTE!$S$14,-2,IF(RASANTE!F76&lt;=PERALTE!$U$14,(-6/(PERALTE!$U$14-PERALTE!$S$14)*(RASANTE!F76-PERALTE!$S$14)-2),IF(RASANTE!F76&lt;=PERALTE!$X$14,-8,IF(RASANTE!F76&lt;=PERALTE!$Z$14,(-6/(PERALTE!$X$14-PERALTE!$Z$14)*(RASANTE!F76-PERALTE!$Z$14)-2),IF(RASANTE!F76&lt;=PERALTE!$AB$14,-2))))),IF(AND(AH!$H$16="Izquierda",RASANTE!F76&lt;=PERALTE!$AB$14),IF(RASANTE!F76&lt;=PERALTE!$Q$14,-2,IF(RASANTE!F76&lt;=PERALTE!$U$14,(10/(PERALTE!$U$14-PERALTE!$Q$14)*(RASANTE!F76-PERALTE!$Q$14)-2),IF(RASANTE!F76&lt;=PERALTE!$X$14,8,IF(RASANTE!F76&lt;=PERALTE!$AB$14,(10/(PERALTE!$X$14-PERALTE!$AB$14)*(RASANTE!F76-PERALTE!$AB$14)-2))))),IF(AND(AH!$H$18="Derecha",RASANTE!F76&lt;=PERALTE!$AB$16),IF(RASANTE!F76&lt;=PERALTE!$S$16,-2,IF(RASANTE!F76&lt;=PERALTE!$U$16,(-6/(PERALTE!$U$16-PERALTE!$S$16)*(RASANTE!F76-PERALTE!$S$16)-2),IF(RASANTE!F76&lt;=PERALTE!$X$16,-8,IF(RASANTE!F76&lt;=PERALTE!$Z$16,(-6/(PERALTE!$X$16-PERALTE!$Z$16)*(RASANTE!F76-PERALTE!$Z$16)-2),IF(RASANTE!F76&lt;=PERALTE!$AB$16,-2))))),IF(AND(AH!$H$18="Izquierda",RASANTE!F76&lt;=PERALTE!$AB$16),IF(RASANTE!F76&lt;=PERALTE!$Q$16,-2,IF(RASANTE!F76&lt;=PERALTE!$U$16,(10/(PERALTE!$U$16-PERALTE!$Q$16)*(RASANTE!F76-PERALTE!$Q$16)-2),IF(RASANTE!F76&lt;=PERALTE!$X$16,8,IF(RASANTE!F76&lt;=PERALTE!$AB$16,(10/(PERALTE!$X$16-PERALTE!$AB$16)*(RASANTE!F76-PERALTE!$AB$16)-2))))),IF(AND(AH!$H$20="Derecha",RASANTE!F76&lt;=PERALTE!$AB$18),IF(RASANTE!F76&lt;=PERALTE!$S$18,-2,IF(RASANTE!F76&lt;=PERALTE!$U$18,(-6/(PERALTE!$U$18-PERALTE!$S$18)*(RASANTE!F76-PERALTE!$S$18)-2),IF(RASANTE!F76&lt;=PERALTE!$X$18,-8,IF(RASANTE!F76&lt;=PERALTE!$Z$18,(-6/(PERALTE!$X$18-PERALTE!$Z$18)*(RASANTE!F76-PERALTE!$Z$18)-2),IF(RASANTE!F76&lt;=PERALTE!$AB$18,-2))))),IF(AND(AH!$H$20="Izquierda",RASANTE!F76&lt;=PERALTE!$AB$18),IF(RASANTE!F76&lt;=PERALTE!$Q$18,-2,IF(RASANTE!F76&lt;=PERALTE!$U$18,(10/(PERALTE!$U$18-PERALTE!$Q$18)*(RASANTE!F76-PERALTE!$Q$18)-2),IF(RASANTE!F76&lt;=PERALTE!$X$18,8,IF(RASANTE!F76&lt;=PERALTE!$AB$18,(10/(PERALTE!$X$18-PERALTE!$AB$18)*(RASANTE!F76-PERALTE!$AB$18)-2))))),IF(AND(AH!$H$24="Derecha",RASANTE!F76&lt;=PERALTE!$AB$22),IF(RASANTE!F76&lt;=PERALTE!$S$22,-2,IF(RASANTE!F76&lt;=PERALTE!$U$22,(-6/(PERALTE!$U$22-PERALTE!$S$22)*(RASANTE!F76-PERALTE!$S$22)-2),IF(RASANTE!F76&lt;=PERALTE!$X$22,-8,IF(RASANTE!F76&lt;=PERALTE!$Z$22,(-6/(PERALTE!$X$22-PERALTE!$Z$22)*(RASANTE!F76-PERALTE!$Z$22)-2),IF(RASANTE!F76&lt;=PERALTE!$AB$22,-2))))),IF(AND(AH!$H$24="Izquierda",RASANTE!F76&lt;=PERALTE!$AB$22),IF(RASANTE!F76&lt;=PERALTE!$Q$22,-2,IF(RASANTE!F76&lt;=PERALTE!$U$22,(10/(PERALTE!$U$22-PERALTE!$Q$22)*(RASANTE!F76-PERALTE!$Q$22)-2),IF(RASANTE!F76&lt;=PERALTE!$X$22,8,IF(RASANTE!F76&lt;=PERALTE!$AB$22,(10/(PERALTE!$X$22-PERALTE!$AB$22)*(RASANTE!F76-PERALTE!$AB$22)-2))))),IF(AND(AH!#REF!="Derecha",RASANTE!F76&lt;=PERALTE!#REF!),IF(RASANTE!F76&lt;=PERALTE!#REF!,-2,IF(RASANTE!F76&lt;=PERALTE!#REF!,(-6/(PERALTE!#REF!-PERALTE!#REF!)*(RASANTE!F76-PERALTE!#REF!)-2),IF(RASANTE!F76&lt;=PERALTE!#REF!,-8,IF(RASANTE!F76&lt;=PERALTE!#REF!,(-6/(PERALTE!#REF!-PERALTE!#REF!)*(RASANTE!F76-PERALTE!#REF!)-2),IF(RASANTE!F76&lt;=PERALTE!#REF!,-2))))),IF(AND(AH!#REF!="Izquierda",RASANTE!F76&lt;=PERALTE!#REF!),IF(RASANTE!F76&lt;=PERALTE!#REF!,-2,IF(RASANTE!F76&lt;=PERALTE!#REF!,(10/(PERALTE!#REF!-PERALTE!#REF!)*(RASANTE!F76-PERALTE!#REF!)-2),IF(RASANTE!F76&lt;=PERALTE!#REF!,8,IF(RASANTE!F76&lt;=PERALTE!#REF!,(10/(PERALTE!#REF!-PERALTE!#REF!)*(RASANTE!F76-PERALTE!#REF!)-2))))),IF(AND(AH!#REF!="Derecha",RASANTE!F76&lt;=PERALTE!$AB$26),IF(RASANTE!F76&lt;=PERALTE!$S$26,-2,IF(RASANTE!F76&lt;=PERALTE!$U$26,(-6/(PERALTE!$U$26-PERALTE!$S$26)*(RASANTE!F76-PERALTE!$S$26)-2),IF(RASANTE!F76&lt;=PERALTE!$X$26,-8,IF(RASANTE!F76&lt;=PERALTE!$Z$26,(-6/(PERALTE!$X$26-PERALTE!$Z$26)*(RASANTE!F76-PERALTE!$Z$26)-2),IF(RASANTE!F76&lt;=PERALTE!$AB$26,-2))))),IF(AND(AH!#REF!="Izquierda",RASANTE!F76&lt;=PERALTE!$AB$26),IF(RASANTE!F76&lt;=PERALTE!$Q$26,-2,IF(RASANTE!F76&lt;=PERALTE!$U$26,(10/(PERALTE!$U$26-PERALTE!$Q$26)*(RASANTE!F76-PERALTE!$Q$26)-2),IF(RASANTE!F76&lt;=PERALTE!$X$26,8,IF(RASANTE!F76&lt;=PERALTE!$AB$26,(10/(PERALTE!$X$26-PERALTE!$AB$26)*(RASANTE!F76-PERALTE!$AB$26)-2))))),IF(F76&lt;=PERALTE!#REF!,-2,"Abscisa fuera de la vía")))))))))))))))))))))</f>
        <v>-8</v>
      </c>
      <c r="J76" s="28">
        <f t="shared" si="4"/>
        <v>1637.2620133200012</v>
      </c>
      <c r="K76" s="28">
        <f>+IF(AND(AV!$S$6&lt;F76,F76&lt;=AV!$T$6),AV!$P$6*((AV!$S$6-RASANTE!F76)/(AV!$N$6))^2,IF(AND(AV!$T$6&lt;RASANTE!F76,F76&lt;AV!$U$6),AV!$P$6*((AV!$U$6-RASANTE!F76)/(AV!$O$6))^2,IF(AND(AV!$S$8&lt;F76,F76&lt;=AV!$T$8),AV!$P$8*((AV!$S$8-RASANTE!F76)/(AV!$N$8))^2,IF(AND(AV!$T$8&lt;RASANTE!F76,F76&lt;AV!$U$8),AV!$P$8*((AV!$U$8-RASANTE!F76)/(AV!$O$8))^2,IF(AND(AV!$S$10&lt;F76,F76&lt;=AV!$T$10),AV!$P$10*((AV!$S$10-RASANTE!F76)/(AV!$N$10))^2,IF(AND(AV!$T$10&lt;RASANTE!F76,F76&lt;AV!$U$10),AV!$P$10*((AV!$U$10-RASANTE!F76)/(AV!$O$10))^2,IF(AND(AV!$S$12&lt;F76,F76&lt;=AV!$T$12),AV!$P$12*((AV!$S$12-RASANTE!F76)/(AV!$N$12))^2,IF(AND(AV!$T$12&lt;RASANTE!F76,F76&lt;AV!$U$12),AV!$P$12*((AV!$U$12-RASANTE!F76)/(AV!$O$12))^2,IF(AND(AV!$S$14&lt;F76,F76&lt;=AV!$T$14),AV!$P$14*((AV!$S$14-RASANTE!F76)/(AV!$N$14))^2,IF(AND(AV!$T$14&lt;RASANTE!F76,F76&lt;AV!$U$14),AV!$P$14*((AV!$U$14-RASANTE!F76)/(AV!$O$14))^2,IF(AND(AV!$S$16&lt;F76,F76&lt;=AV!$T$16),AV!$P$16*((AV!$S$16-RASANTE!F76)/(AV!$N$16))^2,IF(AND(AV!$T$16&lt;RASANTE!F76,F76&lt;AV!$U$16),AV!$P$16*((AV!$U$16-RASANTE!F76)/(AV!$O$16))^2,IF(AND(AV!$S$18&lt;F76,F76&lt;=AV!$T$18),AV!$P$18*((AV!$S$18-RASANTE!F76)/(AV!$N$18))^2,IF(AND(AV!$T$18&lt;RASANTE!F76,F76&lt;AV!$U$18),AV!$P$18*((AV!$U$18-RASANTE!F76)/(AV!$O$18))^2,IF(AND(AV!$S$20&lt;F76,F76&lt;=AV!$T$20),AV!$P$20*((AV!$S$20-RASANTE!F76)/(AV!$N$20))^2,IF(AND(AV!$T$20&lt;RASANTE!F76,F76&lt;AV!$U$20),AV!$P$20*((AV!$U$20-RASANTE!F76)/(AV!$O$20))^2,IF(AND(AV!$S$22&lt;F76,F76&lt;=AV!$T$22),AV!$P$22*((AV!$S$22-RASANTE!F76)/(AV!$N$22))^2,IF(AND(AV!$T$22&lt;RASANTE!F76,F76&lt;AV!$U$22),AV!$P$22*((AV!$U$22-RASANTE!F76)/(AV!$O$22))^2,IF(AND(AV!$S$24&lt;F76,F76&lt;=AV!$T$24),AV!$P$24*((AV!$S$24-RASANTE!F76)/(AV!$N$24))^2,IF(AND(AV!$T$24&lt;RASANTE!F76,F76&lt;AV!$U$24),AV!$P$24*((AV!$U$24-RASANTE!F76)/(AV!$O$24))^2,0))))))))))))))))))))</f>
        <v>0.298375</v>
      </c>
      <c r="L76" s="28">
        <f>+M76+H76%*PERALTE!$C$32</f>
        <v>1637.8403883200012</v>
      </c>
      <c r="M76" s="28">
        <f t="shared" si="3"/>
        <v>1637.5603883200013</v>
      </c>
      <c r="N76" s="28">
        <f>+M76+I76%*PERALTE!$C$32</f>
        <v>1637.2803883200013</v>
      </c>
      <c r="O76" s="92"/>
      <c r="P76" s="84"/>
      <c r="Q76" s="84"/>
      <c r="R76" s="84"/>
      <c r="S76" s="84"/>
      <c r="T76" s="84"/>
      <c r="U76" s="84"/>
      <c r="V76" s="84"/>
      <c r="W76" s="84"/>
      <c r="X76" s="84"/>
      <c r="Y76" s="84"/>
    </row>
    <row r="77" spans="1:25" ht="15.75" customHeight="1" x14ac:dyDescent="0.2">
      <c r="A77" s="90"/>
      <c r="B77" s="86"/>
      <c r="C77" s="86"/>
      <c r="D77" s="86"/>
      <c r="E77" s="153">
        <f>AV!C7</f>
        <v>-7.774</v>
      </c>
      <c r="F77" s="34">
        <v>500</v>
      </c>
      <c r="G77" s="88">
        <f>IF(F77&lt;=AV!$T$6,AV!$C$5,IF(RASANTE!F77&lt;=AV!$T$8,AV!$C$7,IF(RASANTE!F77&lt;=AV!$T$10,AV!$C$9,IF(RASANTE!F77&lt;=AV!$T$12,AV!#REF!,IF(RASANTE!F77&lt;=AV!$T$14,AV!$C$11,IF(RASANTE!F77&lt;=AV!$T$16,AV!$C$13, IF(RASANTE!F77&lt;=AV!$T$18,AV!$C$15,IF(RASANTE!F77&lt;=AV!$T$20,AV!$C$19,IF(RASANTE!F77&lt;=AV!$T$22,AV!$C$21,IF(RASANTE!F77&lt;=AV!$T$24,AV!$C$23,AV!$C$25))))))))))</f>
        <v>-3</v>
      </c>
      <c r="H77" s="28">
        <f>+IF(AND(AH!$H$8="Izquierda",RASANTE!F77&lt;=PERALTE!$AB$6),IF(RASANTE!F77&lt;=PERALTE!$S$6,-2,IF(RASANTE!F77&lt;=PERALTE!$U$6,(-6/(PERALTE!$U$6-PERALTE!$S$6)*(RASANTE!F77-PERALTE!$S$6)-2),IF(RASANTE!F77&lt;=PERALTE!$X$6,-8,IF(RASANTE!F77&lt;=PERALTE!$Z$6,(-6/(PERALTE!$X$6-PERALTE!$Z$6)*(RASANTE!F77-PERALTE!$Z$6)-2),IF(RASANTE!F77&lt;=PERALTE!$AB$6,-2))))),IF(AND(AH!$H$8="Derecha",RASANTE!F77&lt;=PERALTE!$AB$6),IF(RASANTE!F77&lt;=PERALTE!$Q$6,-2,IF(RASANTE!F77&lt;=PERALTE!$U$6,(10/(PERALTE!$U$6-PERALTE!$Q$6)*(RASANTE!F77-PERALTE!$Q$6)-2),IF(RASANTE!F77&lt;=PERALTE!$X$6,8,IF(RASANTE!F77&lt;=PERALTE!$AB$6,(10/(PERALTE!$X$6-PERALTE!$AB$6)*(RASANTE!F77-PERALTE!$AB$6)-2))))),IF(AND(AH!$H$10="Izquierda",RASANTE!F77&lt;=PERALTE!$AB$8),IF(RASANTE!F77&lt;=PERALTE!$S$8,-2,IF(RASANTE!F77&lt;=PERALTE!$U$8,(-6/(PERALTE!$U$8-PERALTE!$S$8)*(RASANTE!F77-PERALTE!$S$8)-2),IF(RASANTE!F77&lt;=PERALTE!$X$8,-8,IF(RASANTE!F77&lt;=PERALTE!$Z$8,(-6/(PERALTE!$X$8-PERALTE!$Z$8)*(RASANTE!F77-PERALTE!$Z$8)-2),IF(RASANTE!F77&lt;=PERALTE!$AB$8,-2))))),IF(AND(AH!$H$10="Derecha",RASANTE!F77&lt;=PERALTE!$AB$8),IF(RASANTE!F77&lt;=PERALTE!$Q$8,-2,IF(RASANTE!F77&lt;=PERALTE!$U$8,(10/(PERALTE!$U$8-PERALTE!$Q$8)*(RASANTE!F77-PERALTE!$Q$8)-2),IF(RASANTE!F77&lt;=PERALTE!$X$8,8,IF(RASANTE!F77&lt;=PERALTE!$AB$8,(10/(PERALTE!$X$8-PERALTE!$AB$8)*(RASANTE!F77-PERALTE!$AB$8)-2))))),IF(AND(AH!$H$12="Izquierda",RASANTE!F77&lt;=PERALTE!$AB$10),IF(RASANTE!F77&lt;=PERALTE!$S$10,-2,IF(RASANTE!F77&lt;=PERALTE!$U$10,(-6/(PERALTE!$U$10-PERALTE!$S$10)*(RASANTE!F77-PERALTE!$S$10)-2),IF(RASANTE!F77&lt;=PERALTE!$X$10,-8,IF(RASANTE!F77&lt;=PERALTE!$Z$10,(-6/(PERALTE!$X$10-PERALTE!$Z$10)*(RASANTE!F77-PERALTE!$Z$10)-2),IF(RASANTE!F77&lt;=PERALTE!$AB$10,-2))))),IF(AND(AH!$H$12="Derecha",RASANTE!F77&lt;=PERALTE!$AB$10),IF(RASANTE!F77&lt;=PERALTE!$Q$10,-2,IF(RASANTE!F77&lt;=PERALTE!$U$10,(10/(PERALTE!$U$10-PERALTE!$Q$10)*(RASANTE!F77-PERALTE!$Q$10)-2),IF(RASANTE!F77&lt;=PERALTE!$X$10,8,IF(RASANTE!F77&lt;=PERALTE!$AB$10,(10/(PERALTE!$X$10-PERALTE!$AB$10)*(RASANTE!F77-PERALTE!$AB$10)-2))))),IF(AND(AH!$H$14="Izquierda",RASANTE!F77&lt;=PERALTE!$AB$12),IF(RASANTE!F77&lt;=PERALTE!$S$12,-2,IF(RASANTE!F77&lt;=PERALTE!$U$12,(-6/(PERALTE!$U$12-PERALTE!$S$12)*(RASANTE!F77-PERALTE!$S$12)-2),IF(RASANTE!F77&lt;=PERALTE!$X$12,-8,IF(RASANTE!F77&lt;=PERALTE!$Z$12,(-6/(PERALTE!$X$12-PERALTE!$Z$12)*(RASANTE!F77-PERALTE!$Z$12)-2),IF(RASANTE!F77&lt;=PERALTE!$AB$12,-2))))),IF(AND(AH!$H$14="Derecha",RASANTE!F77&lt;=PERALTE!$AB$12),IF(RASANTE!F77&lt;=PERALTE!$Q$12,-2,IF(RASANTE!F77&lt;=PERALTE!$U$12,(10/(PERALTE!$U$12-PERALTE!$Q$12)*(RASANTE!F77-PERALTE!$Q$12)-2),IF(RASANTE!F77&lt;=PERALTE!$X$12,8,IF(RASANTE!F77&lt;=PERALTE!$AB$12,(10/(PERALTE!$X$12-PERALTE!$AB$12)*(RASANTE!F77-PERALTE!$AB$12)-2))))),IF(AND(AH!$H$16="Izquierda",RASANTE!F77&lt;=PERALTE!$AB$14),IF(RASANTE!F77&lt;=PERALTE!$S$14,-2,IF(RASANTE!F77&lt;=PERALTE!$U$14,(-6/(PERALTE!$U$14-PERALTE!$S$14)*(RASANTE!F77-PERALTE!$S$14)-2),IF(RASANTE!F77&lt;=PERALTE!$X$14,-8,IF(RASANTE!F77&lt;=PERALTE!$Z$14,(-6/(PERALTE!$X$14-PERALTE!$Z$14)*(RASANTE!F77-PERALTE!$Z$14)-2),IF(RASANTE!F77&lt;=PERALTE!$AB$14,-2))))),IF(AND(AH!$H$16="Derecha",RASANTE!F77&lt;=PERALTE!$AB$14),IF(RASANTE!F77&lt;=PERALTE!$Q$14,-2,IF(RASANTE!F77&lt;=PERALTE!$U$14,(10/(PERALTE!$U$14-PERALTE!$Q$14)*(RASANTE!F77-PERALTE!$Q$14)-2),IF(RASANTE!F77&lt;=PERALTE!$X$14,8,IF(RASANTE!F77&lt;=PERALTE!$AB$14,(10/(PERALTE!$X$14-PERALTE!$AB$14)*(RASANTE!F77-PERALTE!$AB$14)-2))))),IF(AND(AH!$H$18="Izquierda",RASANTE!F77&lt;=PERALTE!$AB$16),IF(RASANTE!F77&lt;=PERALTE!$S$16,-2,IF(RASANTE!F77&lt;=PERALTE!$U$16,(-6/(PERALTE!$U$16-PERALTE!$S$16)*(RASANTE!F77-PERALTE!$S$16)-2),IF(RASANTE!F77&lt;=PERALTE!$X$16,-8,IF(RASANTE!F77&lt;=PERALTE!$Z$16,(-6/(PERALTE!$X$16-PERALTE!$Z$16)*(RASANTE!F77-PERALTE!$Z$16)-2),IF(RASANTE!F77&lt;=PERALTE!$AB$16,-2))))),IF(AND(AH!$H$18="Derecha",RASANTE!F77&lt;=PERALTE!$AB$16),IF(RASANTE!F77&lt;=PERALTE!$Q$16,-2,IF(RASANTE!F77&lt;=PERALTE!$U$16,(10/(PERALTE!$U$16-PERALTE!$Q$16)*(RASANTE!F77-PERALTE!$Q$16)-2),IF(RASANTE!F77&lt;=PERALTE!$X$16,8,IF(RASANTE!F77&lt;=PERALTE!$AB$16,(10/(PERALTE!$X$16-PERALTE!$AB$16)*(RASANTE!F77-PERALTE!$AB$16)-2))))),IF(AND(AH!$H$20="Izquierda",RASANTE!F77&lt;=PERALTE!$AB$18),IF(RASANTE!F77&lt;=PERALTE!$S$18,-2,IF(RASANTE!F77&lt;=PERALTE!$U$18,(-6/(PERALTE!$U$18-PERALTE!$S$18)*(RASANTE!F77-PERALTE!$S$18)-2),IF(RASANTE!F77&lt;=PERALTE!$X$18,-8,IF(RASANTE!F77&lt;=PERALTE!$Z$18,(-6/(PERALTE!$X$18-PERALTE!$Z$18)*(RASANTE!F77-PERALTE!$Z$18)-2),IF(RASANTE!F77&lt;=PERALTE!$AB$18,-2))))),IF(AND(AH!$H$20="Derecha",RASANTE!F77&lt;=PERALTE!$AB$18),IF(RASANTE!F77&lt;=PERALTE!$Q$18,-2,IF(RASANTE!F77&lt;=PERALTE!$U$18,(10/(PERALTE!$U$18-PERALTE!$Q$18)*(RASANTE!F77-PERALTE!$Q$18)-2),IF(RASANTE!F77&lt;=PERALTE!$X$18,8,IF(RASANTE!F77&lt;=PERALTE!$AB$18,(10/(PERALTE!$X$18-PERALTE!$AB$18)*(RASANTE!F77-PERALTE!$AB$18)-2))))),IF(AND(AH!$H$24="Izquierda",RASANTE!F77&lt;=PERALTE!$AB$22),IF(RASANTE!F77&lt;=PERALTE!$S$22,-2,IF(RASANTE!F77&lt;=PERALTE!$U$22,(-6/(PERALTE!$U$22-PERALTE!$S$22)*(RASANTE!F77-PERALTE!$S$22)-2),IF(RASANTE!F77&lt;=PERALTE!$X$22,-8,IF(RASANTE!F77&lt;=PERALTE!$Z$22,(-6/(PERALTE!$X$22-PERALTE!$Z$22)*(RASANTE!F77-PERALTE!$Z$22)-2),IF(RASANTE!F77&lt;=PERALTE!$AB$22,-2))))),IF(AND(AH!$H$24="Derecha",RASANTE!F77&lt;=PERALTE!$AB$22),IF(RASANTE!F77&lt;=PERALTE!$Q$22,-2,IF(RASANTE!F77&lt;=PERALTE!$U$22,(10/(PERALTE!$U$22-PERALTE!$Q$22)*(RASANTE!F77-PERALTE!$Q$22)-2),IF(RASANTE!F77&lt;=PERALTE!$X$22,8,IF(RASANTE!F77&lt;=PERALTE!$AB$22,(10/(PERALTE!$X$22-PERALTE!$AB$22)*(RASANTE!F77-PERALTE!$AB$22)-2))))),IF(AND(AH!#REF!="Izquierda",RASANTE!F77&lt;=PERALTE!#REF!),IF(RASANTE!F77&lt;=PERALTE!#REF!,-2,IF(RASANTE!F77&lt;=PERALTE!#REF!,(-6/(PERALTE!#REF!-PERALTE!#REF!)*(RASANTE!F77-PERALTE!#REF!)-2),IF(RASANTE!F77&lt;=PERALTE!#REF!,-8,IF(RASANTE!F77&lt;=PERALTE!#REF!,(-6/(PERALTE!#REF!-PERALTE!#REF!)*(RASANTE!F77-PERALTE!#REF!)-2),IF(RASANTE!F77&lt;=PERALTE!#REF!,-2))))),IF(AND(AH!#REF!="Derecha",RASANTE!F77&lt;=PERALTE!#REF!),IF(RASANTE!F77&lt;=PERALTE!#REF!,-2,IF(RASANTE!F77&lt;=PERALTE!#REF!,(10/(PERALTE!#REF!-PERALTE!#REF!)*(RASANTE!F77-PERALTE!#REF!)-2),IF(RASANTE!F77&lt;=PERALTE!#REF!,8,IF(RASANTE!F77&lt;=PERALTE!#REF!,(10/(PERALTE!#REF!-PERALTE!#REF!)*(RASANTE!F77-PERALTE!#REF!)-2))))),IF(AND(AH!#REF!="Izquierda",RASANTE!F77&lt;=PERALTE!$AB$26),IF(RASANTE!F77&lt;=PERALTE!$S$26,-2,IF(RASANTE!F77&lt;=PERALTE!$U$26,(-6/(PERALTE!$U$26-PERALTE!$S$26)*(RASANTE!F77-PERALTE!$S$26)-2),IF(RASANTE!F77&lt;=PERALTE!$X$26,-8,IF(RASANTE!F77&lt;=PERALTE!$Z$26,(-6/(PERALTE!$X$26-PERALTE!$Z$26)*(RASANTE!F77-PERALTE!$Z$26)-2),IF(RASANTE!F77&lt;=PERALTE!$AB$26,-2))))),IF(AND(AH!#REF!="Derecha",RASANTE!F77&lt;=PERALTE!$AB$26),IF(RASANTE!F77&lt;=PERALTE!$Q$26,-2,IF(RASANTE!F77&lt;=PERALTE!$U$26,(10/(PERALTE!$U$26-PERALTE!$Q$26)*(RASANTE!F77-PERALTE!$Q$26)-2),IF(RASANTE!F77&lt;=PERALTE!$X$26,8,IF(RASANTE!F77&lt;=PERALTE!$AB$26,(10/(PERALTE!$X$26-PERALTE!$AB$26)*(RASANTE!F77-PERALTE!$AB$26)-2))))),IF(F77&lt;=PERALTE!#REF!,-2,"Abscisa fuera de la vía")))))))))))))))))))))</f>
        <v>8</v>
      </c>
      <c r="I77" s="28">
        <f>+IF(AND(AH!$H$8="Derecha",RASANTE!F77&lt;=PERALTE!$AB$6),IF(RASANTE!F77&lt;=PERALTE!$S$6,-2,IF(RASANTE!F77&lt;=PERALTE!$U$6,(-6/(PERALTE!$U$6-PERALTE!$S$6)*(RASANTE!F77-PERALTE!$S$6)-2),IF(RASANTE!F77&lt;=PERALTE!$X$6,-8,IF(RASANTE!F77&lt;=PERALTE!$Z$6,(-6/(PERALTE!$X$6-PERALTE!$Z$6)*(RASANTE!F77-PERALTE!$Z$6)-2),IF(RASANTE!F77&lt;=PERALTE!$AB$6,-2))))),IF(AND(AH!$H$8="Izquierda",RASANTE!F77&lt;=PERALTE!$AB$6),IF(RASANTE!F77&lt;=PERALTE!$Q$6,-2,IF(RASANTE!F77&lt;=PERALTE!$U$6,(10/(PERALTE!$U$6-PERALTE!$Q$6)*(RASANTE!F77-PERALTE!$Q$6)-2),IF(RASANTE!F77&lt;=PERALTE!$X$6,8,IF(RASANTE!F77&lt;=PERALTE!$AB$6,(10/(PERALTE!$X$6-PERALTE!$AB$6)*(RASANTE!F77-PERALTE!$AB$6)-2))))),IF(AND(AH!$H$10="Derecha",RASANTE!F77&lt;=PERALTE!$AB$8),IF(RASANTE!F77&lt;=PERALTE!$S$8,-2,IF(RASANTE!F77&lt;=PERALTE!$U$8,(-6/(PERALTE!$U$8-PERALTE!$S$8)*(RASANTE!F77-PERALTE!$S$8)-2),IF(RASANTE!F77&lt;=PERALTE!$X$8,-8,IF(RASANTE!F77&lt;=PERALTE!$Z$8,(-6/(PERALTE!$X$8-PERALTE!$Z$8)*(RASANTE!F77-PERALTE!$Z$8)-2),IF(RASANTE!F77&lt;=PERALTE!$AB$8,-2))))),IF(AND(AH!$H$10="Izquierda",RASANTE!F77&lt;=PERALTE!$AB$8),IF(RASANTE!F77&lt;=PERALTE!$Q$8,-2,IF(RASANTE!F77&lt;=PERALTE!$U$8,(10/(PERALTE!$U$8-PERALTE!$Q$8)*(RASANTE!F77-PERALTE!$Q$8)-2),IF(RASANTE!F77&lt;=PERALTE!$X$8,8,IF(RASANTE!F77&lt;=PERALTE!$AB$8,(10/(PERALTE!$X$8-PERALTE!$AB$8)*(RASANTE!F77-PERALTE!$AB$8)-2))))),IF(AND(AH!$H$12="Derecha",RASANTE!F77&lt;=PERALTE!$AB$10),IF(RASANTE!F77&lt;=PERALTE!$S$10,-2,IF(RASANTE!F77&lt;=PERALTE!$U$10,(-6/(PERALTE!$U$10-PERALTE!$S$10)*(RASANTE!F77-PERALTE!$S$10)-2),IF(RASANTE!F77&lt;=PERALTE!$X$10,-8,IF(RASANTE!F77&lt;=PERALTE!$Z$10,(-6/(PERALTE!$X$10-PERALTE!$Z$10)*(RASANTE!F77-PERALTE!$Z$10)-2),IF(RASANTE!F77&lt;=PERALTE!$AB$10,-2))))),IF(AND(AH!$H$12="Izquierda",RASANTE!F77&lt;=PERALTE!$AB$10),IF(RASANTE!F77&lt;=PERALTE!$Q$10,-2,IF(RASANTE!F77&lt;=PERALTE!$U$10,(10/(PERALTE!$U$10-PERALTE!$Q$10)*(RASANTE!F77-PERALTE!$Q$10)-2),IF(RASANTE!F77&lt;=PERALTE!$X$10,8,IF(RASANTE!F77&lt;=PERALTE!$AB$10,(10/(PERALTE!$X$10-PERALTE!$AB$10)*(RASANTE!F77-PERALTE!$AB$10)-2))))),IF(AND(AH!$H$14="Derecha",RASANTE!F77&lt;=PERALTE!$AB$12),IF(RASANTE!F77&lt;=PERALTE!$S$12,-2,IF(RASANTE!F77&lt;=PERALTE!$U$12,(-6/(PERALTE!$U$12-PERALTE!$S$12)*(RASANTE!F77-PERALTE!$S$12)-2),IF(RASANTE!F77&lt;=PERALTE!$X$12,-8,IF(RASANTE!F77&lt;=PERALTE!$Z$12,(-6/(PERALTE!$X$12-PERALTE!$Z$12)*(RASANTE!F77-PERALTE!$Z$12)-2),IF(RASANTE!F77&lt;=PERALTE!$AB$12,-2))))),IF(AND(AH!$H$14="Izquierda",RASANTE!F77&lt;=PERALTE!$AB$12),IF(RASANTE!F77&lt;=PERALTE!$Q$12,-2,IF(RASANTE!F77&lt;=PERALTE!$U$12,(10/(PERALTE!$U$12-PERALTE!$Q$12)*(RASANTE!F77-PERALTE!$Q$12)-2),IF(RASANTE!F77&lt;=PERALTE!$X$12,8,IF(RASANTE!F77&lt;=PERALTE!$AB$12,(10/(PERALTE!$X$12-PERALTE!$AB$12)*(RASANTE!F77-PERALTE!$AB$12)-2))))),IF(AND(AH!$H$16="Derecha",RASANTE!F77&lt;=PERALTE!$AB$14),IF(RASANTE!F77&lt;=PERALTE!$S$14,-2,IF(RASANTE!F77&lt;=PERALTE!$U$14,(-6/(PERALTE!$U$14-PERALTE!$S$14)*(RASANTE!F77-PERALTE!$S$14)-2),IF(RASANTE!F77&lt;=PERALTE!$X$14,-8,IF(RASANTE!F77&lt;=PERALTE!$Z$14,(-6/(PERALTE!$X$14-PERALTE!$Z$14)*(RASANTE!F77-PERALTE!$Z$14)-2),IF(RASANTE!F77&lt;=PERALTE!$AB$14,-2))))),IF(AND(AH!$H$16="Izquierda",RASANTE!F77&lt;=PERALTE!$AB$14),IF(RASANTE!F77&lt;=PERALTE!$Q$14,-2,IF(RASANTE!F77&lt;=PERALTE!$U$14,(10/(PERALTE!$U$14-PERALTE!$Q$14)*(RASANTE!F77-PERALTE!$Q$14)-2),IF(RASANTE!F77&lt;=PERALTE!$X$14,8,IF(RASANTE!F77&lt;=PERALTE!$AB$14,(10/(PERALTE!$X$14-PERALTE!$AB$14)*(RASANTE!F77-PERALTE!$AB$14)-2))))),IF(AND(AH!$H$18="Derecha",RASANTE!F77&lt;=PERALTE!$AB$16),IF(RASANTE!F77&lt;=PERALTE!$S$16,-2,IF(RASANTE!F77&lt;=PERALTE!$U$16,(-6/(PERALTE!$U$16-PERALTE!$S$16)*(RASANTE!F77-PERALTE!$S$16)-2),IF(RASANTE!F77&lt;=PERALTE!$X$16,-8,IF(RASANTE!F77&lt;=PERALTE!$Z$16,(-6/(PERALTE!$X$16-PERALTE!$Z$16)*(RASANTE!F77-PERALTE!$Z$16)-2),IF(RASANTE!F77&lt;=PERALTE!$AB$16,-2))))),IF(AND(AH!$H$18="Izquierda",RASANTE!F77&lt;=PERALTE!$AB$16),IF(RASANTE!F77&lt;=PERALTE!$Q$16,-2,IF(RASANTE!F77&lt;=PERALTE!$U$16,(10/(PERALTE!$U$16-PERALTE!$Q$16)*(RASANTE!F77-PERALTE!$Q$16)-2),IF(RASANTE!F77&lt;=PERALTE!$X$16,8,IF(RASANTE!F77&lt;=PERALTE!$AB$16,(10/(PERALTE!$X$16-PERALTE!$AB$16)*(RASANTE!F77-PERALTE!$AB$16)-2))))),IF(AND(AH!$H$20="Derecha",RASANTE!F77&lt;=PERALTE!$AB$18),IF(RASANTE!F77&lt;=PERALTE!$S$18,-2,IF(RASANTE!F77&lt;=PERALTE!$U$18,(-6/(PERALTE!$U$18-PERALTE!$S$18)*(RASANTE!F77-PERALTE!$S$18)-2),IF(RASANTE!F77&lt;=PERALTE!$X$18,-8,IF(RASANTE!F77&lt;=PERALTE!$Z$18,(-6/(PERALTE!$X$18-PERALTE!$Z$18)*(RASANTE!F77-PERALTE!$Z$18)-2),IF(RASANTE!F77&lt;=PERALTE!$AB$18,-2))))),IF(AND(AH!$H$20="Izquierda",RASANTE!F77&lt;=PERALTE!$AB$18),IF(RASANTE!F77&lt;=PERALTE!$Q$18,-2,IF(RASANTE!F77&lt;=PERALTE!$U$18,(10/(PERALTE!$U$18-PERALTE!$Q$18)*(RASANTE!F77-PERALTE!$Q$18)-2),IF(RASANTE!F77&lt;=PERALTE!$X$18,8,IF(RASANTE!F77&lt;=PERALTE!$AB$18,(10/(PERALTE!$X$18-PERALTE!$AB$18)*(RASANTE!F77-PERALTE!$AB$18)-2))))),IF(AND(AH!$H$24="Derecha",RASANTE!F77&lt;=PERALTE!$AB$22),IF(RASANTE!F77&lt;=PERALTE!$S$22,-2,IF(RASANTE!F77&lt;=PERALTE!$U$22,(-6/(PERALTE!$U$22-PERALTE!$S$22)*(RASANTE!F77-PERALTE!$S$22)-2),IF(RASANTE!F77&lt;=PERALTE!$X$22,-8,IF(RASANTE!F77&lt;=PERALTE!$Z$22,(-6/(PERALTE!$X$22-PERALTE!$Z$22)*(RASANTE!F77-PERALTE!$Z$22)-2),IF(RASANTE!F77&lt;=PERALTE!$AB$22,-2))))),IF(AND(AH!$H$24="Izquierda",RASANTE!F77&lt;=PERALTE!$AB$22),IF(RASANTE!F77&lt;=PERALTE!$Q$22,-2,IF(RASANTE!F77&lt;=PERALTE!$U$22,(10/(PERALTE!$U$22-PERALTE!$Q$22)*(RASANTE!F77-PERALTE!$Q$22)-2),IF(RASANTE!F77&lt;=PERALTE!$X$22,8,IF(RASANTE!F77&lt;=PERALTE!$AB$22,(10/(PERALTE!$X$22-PERALTE!$AB$22)*(RASANTE!F77-PERALTE!$AB$22)-2))))),IF(AND(AH!#REF!="Derecha",RASANTE!F77&lt;=PERALTE!#REF!),IF(RASANTE!F77&lt;=PERALTE!#REF!,-2,IF(RASANTE!F77&lt;=PERALTE!#REF!,(-6/(PERALTE!#REF!-PERALTE!#REF!)*(RASANTE!F77-PERALTE!#REF!)-2),IF(RASANTE!F77&lt;=PERALTE!#REF!,-8,IF(RASANTE!F77&lt;=PERALTE!#REF!,(-6/(PERALTE!#REF!-PERALTE!#REF!)*(RASANTE!F77-PERALTE!#REF!)-2),IF(RASANTE!F77&lt;=PERALTE!#REF!,-2))))),IF(AND(AH!#REF!="Izquierda",RASANTE!F77&lt;=PERALTE!#REF!),IF(RASANTE!F77&lt;=PERALTE!#REF!,-2,IF(RASANTE!F77&lt;=PERALTE!#REF!,(10/(PERALTE!#REF!-PERALTE!#REF!)*(RASANTE!F77-PERALTE!#REF!)-2),IF(RASANTE!F77&lt;=PERALTE!#REF!,8,IF(RASANTE!F77&lt;=PERALTE!#REF!,(10/(PERALTE!#REF!-PERALTE!#REF!)*(RASANTE!F77-PERALTE!#REF!)-2))))),IF(AND(AH!#REF!="Derecha",RASANTE!F77&lt;=PERALTE!$AB$26),IF(RASANTE!F77&lt;=PERALTE!$S$26,-2,IF(RASANTE!F77&lt;=PERALTE!$U$26,(-6/(PERALTE!$U$26-PERALTE!$S$26)*(RASANTE!F77-PERALTE!$S$26)-2),IF(RASANTE!F77&lt;=PERALTE!$X$26,-8,IF(RASANTE!F77&lt;=PERALTE!$Z$26,(-6/(PERALTE!$X$26-PERALTE!$Z$26)*(RASANTE!F77-PERALTE!$Z$26)-2),IF(RASANTE!F77&lt;=PERALTE!$AB$26,-2))))),IF(AND(AH!#REF!="Izquierda",RASANTE!F77&lt;=PERALTE!$AB$26),IF(RASANTE!F77&lt;=PERALTE!$Q$26,-2,IF(RASANTE!F77&lt;=PERALTE!$U$26,(10/(PERALTE!$U$26-PERALTE!$Q$26)*(RASANTE!F77-PERALTE!$Q$26)-2),IF(RASANTE!F77&lt;=PERALTE!$X$26,8,IF(RASANTE!F77&lt;=PERALTE!$AB$26,(10/(PERALTE!$X$26-PERALTE!$AB$26)*(RASANTE!F77-PERALTE!$AB$26)-2))))),IF(F77&lt;=PERALTE!#REF!,-2,"Abscisa fuera de la vía")))))))))))))))))))))</f>
        <v>-8</v>
      </c>
      <c r="J77" s="28">
        <f t="shared" si="4"/>
        <v>1636.7864000000011</v>
      </c>
      <c r="K77" s="28">
        <f>+IF(AND(AV!$S$6&lt;F77,F77&lt;=AV!$T$6),AV!$P$6*((AV!$S$6-RASANTE!F77)/(AV!$N$6))^2,IF(AND(AV!$T$6&lt;RASANTE!F77,F77&lt;AV!$U$6),AV!$P$6*((AV!$U$6-RASANTE!F77)/(AV!$O$6))^2,IF(AND(AV!$S$8&lt;F77,F77&lt;=AV!$T$8),AV!$P$8*((AV!$S$8-RASANTE!F77)/(AV!$N$8))^2,IF(AND(AV!$T$8&lt;RASANTE!F77,F77&lt;AV!$U$8),AV!$P$8*((AV!$U$8-RASANTE!F77)/(AV!$O$8))^2,IF(AND(AV!$S$10&lt;F77,F77&lt;=AV!$T$10),AV!$P$10*((AV!$S$10-RASANTE!F77)/(AV!$N$10))^2,IF(AND(AV!$T$10&lt;RASANTE!F77,F77&lt;AV!$U$10),AV!$P$10*((AV!$U$10-RASANTE!F77)/(AV!$O$10))^2,IF(AND(AV!$S$12&lt;F77,F77&lt;=AV!$T$12),AV!$P$12*((AV!$S$12-RASANTE!F77)/(AV!$N$12))^2,IF(AND(AV!$T$12&lt;RASANTE!F77,F77&lt;AV!$U$12),AV!$P$12*((AV!$U$12-RASANTE!F77)/(AV!$O$12))^2,IF(AND(AV!$S$14&lt;F77,F77&lt;=AV!$T$14),AV!$P$14*((AV!$S$14-RASANTE!F77)/(AV!$N$14))^2,IF(AND(AV!$T$14&lt;RASANTE!F77,F77&lt;AV!$U$14),AV!$P$14*((AV!$U$14-RASANTE!F77)/(AV!$O$14))^2,IF(AND(AV!$S$16&lt;F77,F77&lt;=AV!$T$16),AV!$P$16*((AV!$S$16-RASANTE!F77)/(AV!$N$16))^2,IF(AND(AV!$T$16&lt;RASANTE!F77,F77&lt;AV!$U$16),AV!$P$16*((AV!$U$16-RASANTE!F77)/(AV!$O$16))^2,IF(AND(AV!$S$18&lt;F77,F77&lt;=AV!$T$18),AV!$P$18*((AV!$S$18-RASANTE!F77)/(AV!$N$18))^2,IF(AND(AV!$T$18&lt;RASANTE!F77,F77&lt;AV!$U$18),AV!$P$18*((AV!$U$18-RASANTE!F77)/(AV!$O$18))^2,IF(AND(AV!$S$20&lt;F77,F77&lt;=AV!$T$20),AV!$P$20*((AV!$S$20-RASANTE!F77)/(AV!$N$20))^2,IF(AND(AV!$T$20&lt;RASANTE!F77,F77&lt;AV!$U$20),AV!$P$20*((AV!$U$20-RASANTE!F77)/(AV!$O$20))^2,IF(AND(AV!$S$22&lt;F77,F77&lt;=AV!$T$22),AV!$P$22*((AV!$S$22-RASANTE!F77)/(AV!$N$22))^2,IF(AND(AV!$T$22&lt;RASANTE!F77,F77&lt;AV!$U$22),AV!$P$22*((AV!$U$22-RASANTE!F77)/(AV!$O$22))^2,IF(AND(AV!$S$24&lt;F77,F77&lt;=AV!$T$24),AV!$P$24*((AV!$S$24-RASANTE!F77)/(AV!$N$24))^2,IF(AND(AV!$T$24&lt;RASANTE!F77,F77&lt;AV!$U$24),AV!$P$24*((AV!$U$24-RASANTE!F77)/(AV!$O$24))^2,0))))))))))))))))))))</f>
        <v>0.17020738571760113</v>
      </c>
      <c r="L77" s="28">
        <f>+M77+H77%*PERALTE!$C$32</f>
        <v>1637.2366073857186</v>
      </c>
      <c r="M77" s="28">
        <f t="shared" si="3"/>
        <v>1636.9566073857186</v>
      </c>
      <c r="N77" s="28">
        <f>+M77+I77%*PERALTE!$C$32</f>
        <v>1636.6766073857186</v>
      </c>
      <c r="O77" s="92"/>
      <c r="P77" s="84"/>
      <c r="Q77" s="84"/>
      <c r="R77" s="84"/>
      <c r="S77" s="84"/>
      <c r="T77" s="84"/>
      <c r="U77" s="84"/>
      <c r="V77" s="84"/>
      <c r="W77" s="84"/>
      <c r="X77" s="84"/>
      <c r="Y77" s="84"/>
    </row>
    <row r="78" spans="1:25" ht="15.75" customHeight="1" x14ac:dyDescent="0.2">
      <c r="A78" s="90"/>
      <c r="B78" s="86"/>
      <c r="C78" s="86"/>
      <c r="D78" s="86"/>
      <c r="E78" s="154">
        <f>AV!C9</f>
        <v>-3</v>
      </c>
      <c r="F78" s="34">
        <v>510</v>
      </c>
      <c r="G78" s="88">
        <f>IF(F78&lt;=AV!$T$6,AV!$C$5,IF(RASANTE!F78&lt;=AV!$T$8,AV!$C$7,IF(RASANTE!F78&lt;=AV!$T$10,AV!$C$9,IF(RASANTE!F78&lt;=AV!$T$12,AV!#REF!,IF(RASANTE!F78&lt;=AV!$T$14,AV!$C$11,IF(RASANTE!F78&lt;=AV!$T$16,AV!$C$13, IF(RASANTE!F78&lt;=AV!$T$18,AV!$C$15,IF(RASANTE!F78&lt;=AV!$T$20,AV!$C$19,IF(RASANTE!F78&lt;=AV!$T$22,AV!$C$21,IF(RASANTE!F78&lt;=AV!$T$24,AV!$C$23,AV!$C$25))))))))))</f>
        <v>-3</v>
      </c>
      <c r="H78" s="28">
        <f>+IF(AND(AH!$H$8="Izquierda",RASANTE!F78&lt;=PERALTE!$AB$6),IF(RASANTE!F78&lt;=PERALTE!$S$6,-2,IF(RASANTE!F78&lt;=PERALTE!$U$6,(-6/(PERALTE!$U$6-PERALTE!$S$6)*(RASANTE!F78-PERALTE!$S$6)-2),IF(RASANTE!F78&lt;=PERALTE!$X$6,-8,IF(RASANTE!F78&lt;=PERALTE!$Z$6,(-6/(PERALTE!$X$6-PERALTE!$Z$6)*(RASANTE!F78-PERALTE!$Z$6)-2),IF(RASANTE!F78&lt;=PERALTE!$AB$6,-2))))),IF(AND(AH!$H$8="Derecha",RASANTE!F78&lt;=PERALTE!$AB$6),IF(RASANTE!F78&lt;=PERALTE!$Q$6,-2,IF(RASANTE!F78&lt;=PERALTE!$U$6,(10/(PERALTE!$U$6-PERALTE!$Q$6)*(RASANTE!F78-PERALTE!$Q$6)-2),IF(RASANTE!F78&lt;=PERALTE!$X$6,8,IF(RASANTE!F78&lt;=PERALTE!$AB$6,(10/(PERALTE!$X$6-PERALTE!$AB$6)*(RASANTE!F78-PERALTE!$AB$6)-2))))),IF(AND(AH!$H$10="Izquierda",RASANTE!F78&lt;=PERALTE!$AB$8),IF(RASANTE!F78&lt;=PERALTE!$S$8,-2,IF(RASANTE!F78&lt;=PERALTE!$U$8,(-6/(PERALTE!$U$8-PERALTE!$S$8)*(RASANTE!F78-PERALTE!$S$8)-2),IF(RASANTE!F78&lt;=PERALTE!$X$8,-8,IF(RASANTE!F78&lt;=PERALTE!$Z$8,(-6/(PERALTE!$X$8-PERALTE!$Z$8)*(RASANTE!F78-PERALTE!$Z$8)-2),IF(RASANTE!F78&lt;=PERALTE!$AB$8,-2))))),IF(AND(AH!$H$10="Derecha",RASANTE!F78&lt;=PERALTE!$AB$8),IF(RASANTE!F78&lt;=PERALTE!$Q$8,-2,IF(RASANTE!F78&lt;=PERALTE!$U$8,(10/(PERALTE!$U$8-PERALTE!$Q$8)*(RASANTE!F78-PERALTE!$Q$8)-2),IF(RASANTE!F78&lt;=PERALTE!$X$8,8,IF(RASANTE!F78&lt;=PERALTE!$AB$8,(10/(PERALTE!$X$8-PERALTE!$AB$8)*(RASANTE!F78-PERALTE!$AB$8)-2))))),IF(AND(AH!$H$12="Izquierda",RASANTE!F78&lt;=PERALTE!$AB$10),IF(RASANTE!F78&lt;=PERALTE!$S$10,-2,IF(RASANTE!F78&lt;=PERALTE!$U$10,(-6/(PERALTE!$U$10-PERALTE!$S$10)*(RASANTE!F78-PERALTE!$S$10)-2),IF(RASANTE!F78&lt;=PERALTE!$X$10,-8,IF(RASANTE!F78&lt;=PERALTE!$Z$10,(-6/(PERALTE!$X$10-PERALTE!$Z$10)*(RASANTE!F78-PERALTE!$Z$10)-2),IF(RASANTE!F78&lt;=PERALTE!$AB$10,-2))))),IF(AND(AH!$H$12="Derecha",RASANTE!F78&lt;=PERALTE!$AB$10),IF(RASANTE!F78&lt;=PERALTE!$Q$10,-2,IF(RASANTE!F78&lt;=PERALTE!$U$10,(10/(PERALTE!$U$10-PERALTE!$Q$10)*(RASANTE!F78-PERALTE!$Q$10)-2),IF(RASANTE!F78&lt;=PERALTE!$X$10,8,IF(RASANTE!F78&lt;=PERALTE!$AB$10,(10/(PERALTE!$X$10-PERALTE!$AB$10)*(RASANTE!F78-PERALTE!$AB$10)-2))))),IF(AND(AH!$H$14="Izquierda",RASANTE!F78&lt;=PERALTE!$AB$12),IF(RASANTE!F78&lt;=PERALTE!$S$12,-2,IF(RASANTE!F78&lt;=PERALTE!$U$12,(-6/(PERALTE!$U$12-PERALTE!$S$12)*(RASANTE!F78-PERALTE!$S$12)-2),IF(RASANTE!F78&lt;=PERALTE!$X$12,-8,IF(RASANTE!F78&lt;=PERALTE!$Z$12,(-6/(PERALTE!$X$12-PERALTE!$Z$12)*(RASANTE!F78-PERALTE!$Z$12)-2),IF(RASANTE!F78&lt;=PERALTE!$AB$12,-2))))),IF(AND(AH!$H$14="Derecha",RASANTE!F78&lt;=PERALTE!$AB$12),IF(RASANTE!F78&lt;=PERALTE!$Q$12,-2,IF(RASANTE!F78&lt;=PERALTE!$U$12,(10/(PERALTE!$U$12-PERALTE!$Q$12)*(RASANTE!F78-PERALTE!$Q$12)-2),IF(RASANTE!F78&lt;=PERALTE!$X$12,8,IF(RASANTE!F78&lt;=PERALTE!$AB$12,(10/(PERALTE!$X$12-PERALTE!$AB$12)*(RASANTE!F78-PERALTE!$AB$12)-2))))),IF(AND(AH!$H$16="Izquierda",RASANTE!F78&lt;=PERALTE!$AB$14),IF(RASANTE!F78&lt;=PERALTE!$S$14,-2,IF(RASANTE!F78&lt;=PERALTE!$U$14,(-6/(PERALTE!$U$14-PERALTE!$S$14)*(RASANTE!F78-PERALTE!$S$14)-2),IF(RASANTE!F78&lt;=PERALTE!$X$14,-8,IF(RASANTE!F78&lt;=PERALTE!$Z$14,(-6/(PERALTE!$X$14-PERALTE!$Z$14)*(RASANTE!F78-PERALTE!$Z$14)-2),IF(RASANTE!F78&lt;=PERALTE!$AB$14,-2))))),IF(AND(AH!$H$16="Derecha",RASANTE!F78&lt;=PERALTE!$AB$14),IF(RASANTE!F78&lt;=PERALTE!$Q$14,-2,IF(RASANTE!F78&lt;=PERALTE!$U$14,(10/(PERALTE!$U$14-PERALTE!$Q$14)*(RASANTE!F78-PERALTE!$Q$14)-2),IF(RASANTE!F78&lt;=PERALTE!$X$14,8,IF(RASANTE!F78&lt;=PERALTE!$AB$14,(10/(PERALTE!$X$14-PERALTE!$AB$14)*(RASANTE!F78-PERALTE!$AB$14)-2))))),IF(AND(AH!$H$18="Izquierda",RASANTE!F78&lt;=PERALTE!$AB$16),IF(RASANTE!F78&lt;=PERALTE!$S$16,-2,IF(RASANTE!F78&lt;=PERALTE!$U$16,(-6/(PERALTE!$U$16-PERALTE!$S$16)*(RASANTE!F78-PERALTE!$S$16)-2),IF(RASANTE!F78&lt;=PERALTE!$X$16,-8,IF(RASANTE!F78&lt;=PERALTE!$Z$16,(-6/(PERALTE!$X$16-PERALTE!$Z$16)*(RASANTE!F78-PERALTE!$Z$16)-2),IF(RASANTE!F78&lt;=PERALTE!$AB$16,-2))))),IF(AND(AH!$H$18="Derecha",RASANTE!F78&lt;=PERALTE!$AB$16),IF(RASANTE!F78&lt;=PERALTE!$Q$16,-2,IF(RASANTE!F78&lt;=PERALTE!$U$16,(10/(PERALTE!$U$16-PERALTE!$Q$16)*(RASANTE!F78-PERALTE!$Q$16)-2),IF(RASANTE!F78&lt;=PERALTE!$X$16,8,IF(RASANTE!F78&lt;=PERALTE!$AB$16,(10/(PERALTE!$X$16-PERALTE!$AB$16)*(RASANTE!F78-PERALTE!$AB$16)-2))))),IF(AND(AH!$H$20="Izquierda",RASANTE!F78&lt;=PERALTE!$AB$18),IF(RASANTE!F78&lt;=PERALTE!$S$18,-2,IF(RASANTE!F78&lt;=PERALTE!$U$18,(-6/(PERALTE!$U$18-PERALTE!$S$18)*(RASANTE!F78-PERALTE!$S$18)-2),IF(RASANTE!F78&lt;=PERALTE!$X$18,-8,IF(RASANTE!F78&lt;=PERALTE!$Z$18,(-6/(PERALTE!$X$18-PERALTE!$Z$18)*(RASANTE!F78-PERALTE!$Z$18)-2),IF(RASANTE!F78&lt;=PERALTE!$AB$18,-2))))),IF(AND(AH!$H$20="Derecha",RASANTE!F78&lt;=PERALTE!$AB$18),IF(RASANTE!F78&lt;=PERALTE!$Q$18,-2,IF(RASANTE!F78&lt;=PERALTE!$U$18,(10/(PERALTE!$U$18-PERALTE!$Q$18)*(RASANTE!F78-PERALTE!$Q$18)-2),IF(RASANTE!F78&lt;=PERALTE!$X$18,8,IF(RASANTE!F78&lt;=PERALTE!$AB$18,(10/(PERALTE!$X$18-PERALTE!$AB$18)*(RASANTE!F78-PERALTE!$AB$18)-2))))),IF(AND(AH!$H$24="Izquierda",RASANTE!F78&lt;=PERALTE!$AB$22),IF(RASANTE!F78&lt;=PERALTE!$S$22,-2,IF(RASANTE!F78&lt;=PERALTE!$U$22,(-6/(PERALTE!$U$22-PERALTE!$S$22)*(RASANTE!F78-PERALTE!$S$22)-2),IF(RASANTE!F78&lt;=PERALTE!$X$22,-8,IF(RASANTE!F78&lt;=PERALTE!$Z$22,(-6/(PERALTE!$X$22-PERALTE!$Z$22)*(RASANTE!F78-PERALTE!$Z$22)-2),IF(RASANTE!F78&lt;=PERALTE!$AB$22,-2))))),IF(AND(AH!$H$24="Derecha",RASANTE!F78&lt;=PERALTE!$AB$22),IF(RASANTE!F78&lt;=PERALTE!$Q$22,-2,IF(RASANTE!F78&lt;=PERALTE!$U$22,(10/(PERALTE!$U$22-PERALTE!$Q$22)*(RASANTE!F78-PERALTE!$Q$22)-2),IF(RASANTE!F78&lt;=PERALTE!$X$22,8,IF(RASANTE!F78&lt;=PERALTE!$AB$22,(10/(PERALTE!$X$22-PERALTE!$AB$22)*(RASANTE!F78-PERALTE!$AB$22)-2))))),IF(AND(AH!#REF!="Izquierda",RASANTE!F78&lt;=PERALTE!#REF!),IF(RASANTE!F78&lt;=PERALTE!#REF!,-2,IF(RASANTE!F78&lt;=PERALTE!#REF!,(-6/(PERALTE!#REF!-PERALTE!#REF!)*(RASANTE!F78-PERALTE!#REF!)-2),IF(RASANTE!F78&lt;=PERALTE!#REF!,-8,IF(RASANTE!F78&lt;=PERALTE!#REF!,(-6/(PERALTE!#REF!-PERALTE!#REF!)*(RASANTE!F78-PERALTE!#REF!)-2),IF(RASANTE!F78&lt;=PERALTE!#REF!,-2))))),IF(AND(AH!#REF!="Derecha",RASANTE!F78&lt;=PERALTE!#REF!),IF(RASANTE!F78&lt;=PERALTE!#REF!,-2,IF(RASANTE!F78&lt;=PERALTE!#REF!,(10/(PERALTE!#REF!-PERALTE!#REF!)*(RASANTE!F78-PERALTE!#REF!)-2),IF(RASANTE!F78&lt;=PERALTE!#REF!,8,IF(RASANTE!F78&lt;=PERALTE!#REF!,(10/(PERALTE!#REF!-PERALTE!#REF!)*(RASANTE!F78-PERALTE!#REF!)-2))))),IF(AND(AH!#REF!="Izquierda",RASANTE!F78&lt;=PERALTE!$AB$26),IF(RASANTE!F78&lt;=PERALTE!$S$26,-2,IF(RASANTE!F78&lt;=PERALTE!$U$26,(-6/(PERALTE!$U$26-PERALTE!$S$26)*(RASANTE!F78-PERALTE!$S$26)-2),IF(RASANTE!F78&lt;=PERALTE!$X$26,-8,IF(RASANTE!F78&lt;=PERALTE!$Z$26,(-6/(PERALTE!$X$26-PERALTE!$Z$26)*(RASANTE!F78-PERALTE!$Z$26)-2),IF(RASANTE!F78&lt;=PERALTE!$AB$26,-2))))),IF(AND(AH!#REF!="Derecha",RASANTE!F78&lt;=PERALTE!$AB$26),IF(RASANTE!F78&lt;=PERALTE!$Q$26,-2,IF(RASANTE!F78&lt;=PERALTE!$U$26,(10/(PERALTE!$U$26-PERALTE!$Q$26)*(RASANTE!F78-PERALTE!$Q$26)-2),IF(RASANTE!F78&lt;=PERALTE!$X$26,8,IF(RASANTE!F78&lt;=PERALTE!$AB$26,(10/(PERALTE!$X$26-PERALTE!$AB$26)*(RASANTE!F78-PERALTE!$AB$26)-2))))),IF(F78&lt;=PERALTE!#REF!,-2,"Abscisa fuera de la vía")))))))))))))))))))))</f>
        <v>8</v>
      </c>
      <c r="I78" s="28">
        <f>+IF(AND(AH!$H$8="Derecha",RASANTE!F78&lt;=PERALTE!$AB$6),IF(RASANTE!F78&lt;=PERALTE!$S$6,-2,IF(RASANTE!F78&lt;=PERALTE!$U$6,(-6/(PERALTE!$U$6-PERALTE!$S$6)*(RASANTE!F78-PERALTE!$S$6)-2),IF(RASANTE!F78&lt;=PERALTE!$X$6,-8,IF(RASANTE!F78&lt;=PERALTE!$Z$6,(-6/(PERALTE!$X$6-PERALTE!$Z$6)*(RASANTE!F78-PERALTE!$Z$6)-2),IF(RASANTE!F78&lt;=PERALTE!$AB$6,-2))))),IF(AND(AH!$H$8="Izquierda",RASANTE!F78&lt;=PERALTE!$AB$6),IF(RASANTE!F78&lt;=PERALTE!$Q$6,-2,IF(RASANTE!F78&lt;=PERALTE!$U$6,(10/(PERALTE!$U$6-PERALTE!$Q$6)*(RASANTE!F78-PERALTE!$Q$6)-2),IF(RASANTE!F78&lt;=PERALTE!$X$6,8,IF(RASANTE!F78&lt;=PERALTE!$AB$6,(10/(PERALTE!$X$6-PERALTE!$AB$6)*(RASANTE!F78-PERALTE!$AB$6)-2))))),IF(AND(AH!$H$10="Derecha",RASANTE!F78&lt;=PERALTE!$AB$8),IF(RASANTE!F78&lt;=PERALTE!$S$8,-2,IF(RASANTE!F78&lt;=PERALTE!$U$8,(-6/(PERALTE!$U$8-PERALTE!$S$8)*(RASANTE!F78-PERALTE!$S$8)-2),IF(RASANTE!F78&lt;=PERALTE!$X$8,-8,IF(RASANTE!F78&lt;=PERALTE!$Z$8,(-6/(PERALTE!$X$8-PERALTE!$Z$8)*(RASANTE!F78-PERALTE!$Z$8)-2),IF(RASANTE!F78&lt;=PERALTE!$AB$8,-2))))),IF(AND(AH!$H$10="Izquierda",RASANTE!F78&lt;=PERALTE!$AB$8),IF(RASANTE!F78&lt;=PERALTE!$Q$8,-2,IF(RASANTE!F78&lt;=PERALTE!$U$8,(10/(PERALTE!$U$8-PERALTE!$Q$8)*(RASANTE!F78-PERALTE!$Q$8)-2),IF(RASANTE!F78&lt;=PERALTE!$X$8,8,IF(RASANTE!F78&lt;=PERALTE!$AB$8,(10/(PERALTE!$X$8-PERALTE!$AB$8)*(RASANTE!F78-PERALTE!$AB$8)-2))))),IF(AND(AH!$H$12="Derecha",RASANTE!F78&lt;=PERALTE!$AB$10),IF(RASANTE!F78&lt;=PERALTE!$S$10,-2,IF(RASANTE!F78&lt;=PERALTE!$U$10,(-6/(PERALTE!$U$10-PERALTE!$S$10)*(RASANTE!F78-PERALTE!$S$10)-2),IF(RASANTE!F78&lt;=PERALTE!$X$10,-8,IF(RASANTE!F78&lt;=PERALTE!$Z$10,(-6/(PERALTE!$X$10-PERALTE!$Z$10)*(RASANTE!F78-PERALTE!$Z$10)-2),IF(RASANTE!F78&lt;=PERALTE!$AB$10,-2))))),IF(AND(AH!$H$12="Izquierda",RASANTE!F78&lt;=PERALTE!$AB$10),IF(RASANTE!F78&lt;=PERALTE!$Q$10,-2,IF(RASANTE!F78&lt;=PERALTE!$U$10,(10/(PERALTE!$U$10-PERALTE!$Q$10)*(RASANTE!F78-PERALTE!$Q$10)-2),IF(RASANTE!F78&lt;=PERALTE!$X$10,8,IF(RASANTE!F78&lt;=PERALTE!$AB$10,(10/(PERALTE!$X$10-PERALTE!$AB$10)*(RASANTE!F78-PERALTE!$AB$10)-2))))),IF(AND(AH!$H$14="Derecha",RASANTE!F78&lt;=PERALTE!$AB$12),IF(RASANTE!F78&lt;=PERALTE!$S$12,-2,IF(RASANTE!F78&lt;=PERALTE!$U$12,(-6/(PERALTE!$U$12-PERALTE!$S$12)*(RASANTE!F78-PERALTE!$S$12)-2),IF(RASANTE!F78&lt;=PERALTE!$X$12,-8,IF(RASANTE!F78&lt;=PERALTE!$Z$12,(-6/(PERALTE!$X$12-PERALTE!$Z$12)*(RASANTE!F78-PERALTE!$Z$12)-2),IF(RASANTE!F78&lt;=PERALTE!$AB$12,-2))))),IF(AND(AH!$H$14="Izquierda",RASANTE!F78&lt;=PERALTE!$AB$12),IF(RASANTE!F78&lt;=PERALTE!$Q$12,-2,IF(RASANTE!F78&lt;=PERALTE!$U$12,(10/(PERALTE!$U$12-PERALTE!$Q$12)*(RASANTE!F78-PERALTE!$Q$12)-2),IF(RASANTE!F78&lt;=PERALTE!$X$12,8,IF(RASANTE!F78&lt;=PERALTE!$AB$12,(10/(PERALTE!$X$12-PERALTE!$AB$12)*(RASANTE!F78-PERALTE!$AB$12)-2))))),IF(AND(AH!$H$16="Derecha",RASANTE!F78&lt;=PERALTE!$AB$14),IF(RASANTE!F78&lt;=PERALTE!$S$14,-2,IF(RASANTE!F78&lt;=PERALTE!$U$14,(-6/(PERALTE!$U$14-PERALTE!$S$14)*(RASANTE!F78-PERALTE!$S$14)-2),IF(RASANTE!F78&lt;=PERALTE!$X$14,-8,IF(RASANTE!F78&lt;=PERALTE!$Z$14,(-6/(PERALTE!$X$14-PERALTE!$Z$14)*(RASANTE!F78-PERALTE!$Z$14)-2),IF(RASANTE!F78&lt;=PERALTE!$AB$14,-2))))),IF(AND(AH!$H$16="Izquierda",RASANTE!F78&lt;=PERALTE!$AB$14),IF(RASANTE!F78&lt;=PERALTE!$Q$14,-2,IF(RASANTE!F78&lt;=PERALTE!$U$14,(10/(PERALTE!$U$14-PERALTE!$Q$14)*(RASANTE!F78-PERALTE!$Q$14)-2),IF(RASANTE!F78&lt;=PERALTE!$X$14,8,IF(RASANTE!F78&lt;=PERALTE!$AB$14,(10/(PERALTE!$X$14-PERALTE!$AB$14)*(RASANTE!F78-PERALTE!$AB$14)-2))))),IF(AND(AH!$H$18="Derecha",RASANTE!F78&lt;=PERALTE!$AB$16),IF(RASANTE!F78&lt;=PERALTE!$S$16,-2,IF(RASANTE!F78&lt;=PERALTE!$U$16,(-6/(PERALTE!$U$16-PERALTE!$S$16)*(RASANTE!F78-PERALTE!$S$16)-2),IF(RASANTE!F78&lt;=PERALTE!$X$16,-8,IF(RASANTE!F78&lt;=PERALTE!$Z$16,(-6/(PERALTE!$X$16-PERALTE!$Z$16)*(RASANTE!F78-PERALTE!$Z$16)-2),IF(RASANTE!F78&lt;=PERALTE!$AB$16,-2))))),IF(AND(AH!$H$18="Izquierda",RASANTE!F78&lt;=PERALTE!$AB$16),IF(RASANTE!F78&lt;=PERALTE!$Q$16,-2,IF(RASANTE!F78&lt;=PERALTE!$U$16,(10/(PERALTE!$U$16-PERALTE!$Q$16)*(RASANTE!F78-PERALTE!$Q$16)-2),IF(RASANTE!F78&lt;=PERALTE!$X$16,8,IF(RASANTE!F78&lt;=PERALTE!$AB$16,(10/(PERALTE!$X$16-PERALTE!$AB$16)*(RASANTE!F78-PERALTE!$AB$16)-2))))),IF(AND(AH!$H$20="Derecha",RASANTE!F78&lt;=PERALTE!$AB$18),IF(RASANTE!F78&lt;=PERALTE!$S$18,-2,IF(RASANTE!F78&lt;=PERALTE!$U$18,(-6/(PERALTE!$U$18-PERALTE!$S$18)*(RASANTE!F78-PERALTE!$S$18)-2),IF(RASANTE!F78&lt;=PERALTE!$X$18,-8,IF(RASANTE!F78&lt;=PERALTE!$Z$18,(-6/(PERALTE!$X$18-PERALTE!$Z$18)*(RASANTE!F78-PERALTE!$Z$18)-2),IF(RASANTE!F78&lt;=PERALTE!$AB$18,-2))))),IF(AND(AH!$H$20="Izquierda",RASANTE!F78&lt;=PERALTE!$AB$18),IF(RASANTE!F78&lt;=PERALTE!$Q$18,-2,IF(RASANTE!F78&lt;=PERALTE!$U$18,(10/(PERALTE!$U$18-PERALTE!$Q$18)*(RASANTE!F78-PERALTE!$Q$18)-2),IF(RASANTE!F78&lt;=PERALTE!$X$18,8,IF(RASANTE!F78&lt;=PERALTE!$AB$18,(10/(PERALTE!$X$18-PERALTE!$AB$18)*(RASANTE!F78-PERALTE!$AB$18)-2))))),IF(AND(AH!$H$24="Derecha",RASANTE!F78&lt;=PERALTE!$AB$22),IF(RASANTE!F78&lt;=PERALTE!$S$22,-2,IF(RASANTE!F78&lt;=PERALTE!$U$22,(-6/(PERALTE!$U$22-PERALTE!$S$22)*(RASANTE!F78-PERALTE!$S$22)-2),IF(RASANTE!F78&lt;=PERALTE!$X$22,-8,IF(RASANTE!F78&lt;=PERALTE!$Z$22,(-6/(PERALTE!$X$22-PERALTE!$Z$22)*(RASANTE!F78-PERALTE!$Z$22)-2),IF(RASANTE!F78&lt;=PERALTE!$AB$22,-2))))),IF(AND(AH!$H$24="Izquierda",RASANTE!F78&lt;=PERALTE!$AB$22),IF(RASANTE!F78&lt;=PERALTE!$Q$22,-2,IF(RASANTE!F78&lt;=PERALTE!$U$22,(10/(PERALTE!$U$22-PERALTE!$Q$22)*(RASANTE!F78-PERALTE!$Q$22)-2),IF(RASANTE!F78&lt;=PERALTE!$X$22,8,IF(RASANTE!F78&lt;=PERALTE!$AB$22,(10/(PERALTE!$X$22-PERALTE!$AB$22)*(RASANTE!F78-PERALTE!$AB$22)-2))))),IF(AND(AH!#REF!="Derecha",RASANTE!F78&lt;=PERALTE!#REF!),IF(RASANTE!F78&lt;=PERALTE!#REF!,-2,IF(RASANTE!F78&lt;=PERALTE!#REF!,(-6/(PERALTE!#REF!-PERALTE!#REF!)*(RASANTE!F78-PERALTE!#REF!)-2),IF(RASANTE!F78&lt;=PERALTE!#REF!,-8,IF(RASANTE!F78&lt;=PERALTE!#REF!,(-6/(PERALTE!#REF!-PERALTE!#REF!)*(RASANTE!F78-PERALTE!#REF!)-2),IF(RASANTE!F78&lt;=PERALTE!#REF!,-2))))),IF(AND(AH!#REF!="Izquierda",RASANTE!F78&lt;=PERALTE!#REF!),IF(RASANTE!F78&lt;=PERALTE!#REF!,-2,IF(RASANTE!F78&lt;=PERALTE!#REF!,(10/(PERALTE!#REF!-PERALTE!#REF!)*(RASANTE!F78-PERALTE!#REF!)-2),IF(RASANTE!F78&lt;=PERALTE!#REF!,8,IF(RASANTE!F78&lt;=PERALTE!#REF!,(10/(PERALTE!#REF!-PERALTE!#REF!)*(RASANTE!F78-PERALTE!#REF!)-2))))),IF(AND(AH!#REF!="Derecha",RASANTE!F78&lt;=PERALTE!$AB$26),IF(RASANTE!F78&lt;=PERALTE!$S$26,-2,IF(RASANTE!F78&lt;=PERALTE!$U$26,(-6/(PERALTE!$U$26-PERALTE!$S$26)*(RASANTE!F78-PERALTE!$S$26)-2),IF(RASANTE!F78&lt;=PERALTE!$X$26,-8,IF(RASANTE!F78&lt;=PERALTE!$Z$26,(-6/(PERALTE!$X$26-PERALTE!$Z$26)*(RASANTE!F78-PERALTE!$Z$26)-2),IF(RASANTE!F78&lt;=PERALTE!$AB$26,-2))))),IF(AND(AH!#REF!="Izquierda",RASANTE!F78&lt;=PERALTE!$AB$26),IF(RASANTE!F78&lt;=PERALTE!$Q$26,-2,IF(RASANTE!F78&lt;=PERALTE!$U$26,(10/(PERALTE!$U$26-PERALTE!$Q$26)*(RASANTE!F78-PERALTE!$Q$26)-2),IF(RASANTE!F78&lt;=PERALTE!$X$26,8,IF(RASANTE!F78&lt;=PERALTE!$AB$26,(10/(PERALTE!$X$26-PERALTE!$AB$26)*(RASANTE!F78-PERALTE!$AB$26)-2))))),IF(F78&lt;=PERALTE!#REF!,-2,"Abscisa fuera de la vía")))))))))))))))))))))</f>
        <v>-8</v>
      </c>
      <c r="J78" s="28">
        <f t="shared" si="4"/>
        <v>1636.4864000000011</v>
      </c>
      <c r="K78" s="28">
        <f>+IF(AND(AV!$S$6&lt;F78,F78&lt;=AV!$T$6),AV!$P$6*((AV!$S$6-RASANTE!F78)/(AV!$N$6))^2,IF(AND(AV!$T$6&lt;RASANTE!F78,F78&lt;AV!$U$6),AV!$P$6*((AV!$U$6-RASANTE!F78)/(AV!$O$6))^2,IF(AND(AV!$S$8&lt;F78,F78&lt;=AV!$T$8),AV!$P$8*((AV!$S$8-RASANTE!F78)/(AV!$N$8))^2,IF(AND(AV!$T$8&lt;RASANTE!F78,F78&lt;AV!$U$8),AV!$P$8*((AV!$U$8-RASANTE!F78)/(AV!$O$8))^2,IF(AND(AV!$S$10&lt;F78,F78&lt;=AV!$T$10),AV!$P$10*((AV!$S$10-RASANTE!F78)/(AV!$N$10))^2,IF(AND(AV!$T$10&lt;RASANTE!F78,F78&lt;AV!$U$10),AV!$P$10*((AV!$U$10-RASANTE!F78)/(AV!$O$10))^2,IF(AND(AV!$S$12&lt;F78,F78&lt;=AV!$T$12),AV!$P$12*((AV!$S$12-RASANTE!F78)/(AV!$N$12))^2,IF(AND(AV!$T$12&lt;RASANTE!F78,F78&lt;AV!$U$12),AV!$P$12*((AV!$U$12-RASANTE!F78)/(AV!$O$12))^2,IF(AND(AV!$S$14&lt;F78,F78&lt;=AV!$T$14),AV!$P$14*((AV!$S$14-RASANTE!F78)/(AV!$N$14))^2,IF(AND(AV!$T$14&lt;RASANTE!F78,F78&lt;AV!$U$14),AV!$P$14*((AV!$U$14-RASANTE!F78)/(AV!$O$14))^2,IF(AND(AV!$S$16&lt;F78,F78&lt;=AV!$T$16),AV!$P$16*((AV!$S$16-RASANTE!F78)/(AV!$N$16))^2,IF(AND(AV!$T$16&lt;RASANTE!F78,F78&lt;AV!$U$16),AV!$P$16*((AV!$U$16-RASANTE!F78)/(AV!$O$16))^2,IF(AND(AV!$S$18&lt;F78,F78&lt;=AV!$T$18),AV!$P$18*((AV!$S$18-RASANTE!F78)/(AV!$N$18))^2,IF(AND(AV!$T$18&lt;RASANTE!F78,F78&lt;AV!$U$18),AV!$P$18*((AV!$U$18-RASANTE!F78)/(AV!$O$18))^2,IF(AND(AV!$S$20&lt;F78,F78&lt;=AV!$T$20),AV!$P$20*((AV!$S$20-RASANTE!F78)/(AV!$N$20))^2,IF(AND(AV!$T$20&lt;RASANTE!F78,F78&lt;AV!$U$20),AV!$P$20*((AV!$U$20-RASANTE!F78)/(AV!$O$20))^2,IF(AND(AV!$S$22&lt;F78,F78&lt;=AV!$T$22),AV!$P$22*((AV!$S$22-RASANTE!F78)/(AV!$N$22))^2,IF(AND(AV!$T$22&lt;RASANTE!F78,F78&lt;AV!$U$22),AV!$P$22*((AV!$U$22-RASANTE!F78)/(AV!$O$22))^2,IF(AND(AV!$S$24&lt;F78,F78&lt;=AV!$T$24),AV!$P$24*((AV!$S$24-RASANTE!F78)/(AV!$N$24))^2,IF(AND(AV!$T$24&lt;RASANTE!F78,F78&lt;AV!$U$24),AV!$P$24*((AV!$U$24-RASANTE!F78)/(AV!$O$24))^2,0))))))))))))))))))))</f>
        <v>3.7662049717600524E-2</v>
      </c>
      <c r="L78" s="28">
        <f>+M78+H78%*PERALTE!$C$32</f>
        <v>1636.8040620497188</v>
      </c>
      <c r="M78" s="28">
        <f t="shared" si="3"/>
        <v>1636.5240620497189</v>
      </c>
      <c r="N78" s="28">
        <f>+M78+I78%*PERALTE!$C$32</f>
        <v>1636.2440620497189</v>
      </c>
      <c r="O78" s="92"/>
      <c r="P78" s="84"/>
      <c r="Q78" s="84"/>
      <c r="R78" s="84"/>
      <c r="S78" s="84"/>
      <c r="T78" s="84"/>
      <c r="U78" s="84"/>
      <c r="V78" s="84"/>
      <c r="W78" s="84"/>
      <c r="X78" s="84"/>
      <c r="Y78" s="84"/>
    </row>
    <row r="79" spans="1:25" ht="15.75" customHeight="1" x14ac:dyDescent="0.2">
      <c r="A79" s="130" t="s">
        <v>202</v>
      </c>
      <c r="B79" s="86"/>
      <c r="C79" s="86"/>
      <c r="D79" s="86"/>
      <c r="E79" s="317" t="str">
        <f>AV!Q8</f>
        <v>CONCAVA</v>
      </c>
      <c r="F79" s="34">
        <f>AV!U8</f>
        <v>518.88200000000006</v>
      </c>
      <c r="G79" s="88">
        <f>IF(F79&lt;=AV!$T$6,AV!$C$5,IF(RASANTE!F79&lt;=AV!$T$8,AV!$C$7,IF(RASANTE!F79&lt;=AV!$T$10,AV!$C$9,IF(RASANTE!F79&lt;=AV!$T$12,AV!#REF!,IF(RASANTE!F79&lt;=AV!$T$14,AV!$C$11,IF(RASANTE!F79&lt;=AV!$T$16,AV!$C$13, IF(RASANTE!F79&lt;=AV!$T$18,AV!$C$15,IF(RASANTE!F79&lt;=AV!$T$20,AV!$C$19,IF(RASANTE!F79&lt;=AV!$T$22,AV!$C$21,IF(RASANTE!F79&lt;=AV!$T$24,AV!$C$23,AV!$C$25))))))))))</f>
        <v>-3</v>
      </c>
      <c r="H79" s="28">
        <f>+IF(AND(AH!$H$8="Izquierda",RASANTE!F79&lt;=PERALTE!$AB$6),IF(RASANTE!F79&lt;=PERALTE!$S$6,-2,IF(RASANTE!F79&lt;=PERALTE!$U$6,(-6/(PERALTE!$U$6-PERALTE!$S$6)*(RASANTE!F79-PERALTE!$S$6)-2),IF(RASANTE!F79&lt;=PERALTE!$X$6,-8,IF(RASANTE!F79&lt;=PERALTE!$Z$6,(-6/(PERALTE!$X$6-PERALTE!$Z$6)*(RASANTE!F79-PERALTE!$Z$6)-2),IF(RASANTE!F79&lt;=PERALTE!$AB$6,-2))))),IF(AND(AH!$H$8="Derecha",RASANTE!F79&lt;=PERALTE!$AB$6),IF(RASANTE!F79&lt;=PERALTE!$Q$6,-2,IF(RASANTE!F79&lt;=PERALTE!$U$6,(10/(PERALTE!$U$6-PERALTE!$Q$6)*(RASANTE!F79-PERALTE!$Q$6)-2),IF(RASANTE!F79&lt;=PERALTE!$X$6,8,IF(RASANTE!F79&lt;=PERALTE!$AB$6,(10/(PERALTE!$X$6-PERALTE!$AB$6)*(RASANTE!F79-PERALTE!$AB$6)-2))))),IF(AND(AH!$H$10="Izquierda",RASANTE!F79&lt;=PERALTE!$AB$8),IF(RASANTE!F79&lt;=PERALTE!$S$8,-2,IF(RASANTE!F79&lt;=PERALTE!$U$8,(-6/(PERALTE!$U$8-PERALTE!$S$8)*(RASANTE!F79-PERALTE!$S$8)-2),IF(RASANTE!F79&lt;=PERALTE!$X$8,-8,IF(RASANTE!F79&lt;=PERALTE!$Z$8,(-6/(PERALTE!$X$8-PERALTE!$Z$8)*(RASANTE!F79-PERALTE!$Z$8)-2),IF(RASANTE!F79&lt;=PERALTE!$AB$8,-2))))),IF(AND(AH!$H$10="Derecha",RASANTE!F79&lt;=PERALTE!$AB$8),IF(RASANTE!F79&lt;=PERALTE!$Q$8,-2,IF(RASANTE!F79&lt;=PERALTE!$U$8,(10/(PERALTE!$U$8-PERALTE!$Q$8)*(RASANTE!F79-PERALTE!$Q$8)-2),IF(RASANTE!F79&lt;=PERALTE!$X$8,8,IF(RASANTE!F79&lt;=PERALTE!$AB$8,(10/(PERALTE!$X$8-PERALTE!$AB$8)*(RASANTE!F79-PERALTE!$AB$8)-2))))),IF(AND(AH!$H$12="Izquierda",RASANTE!F79&lt;=PERALTE!$AB$10),IF(RASANTE!F79&lt;=PERALTE!$S$10,-2,IF(RASANTE!F79&lt;=PERALTE!$U$10,(-6/(PERALTE!$U$10-PERALTE!$S$10)*(RASANTE!F79-PERALTE!$S$10)-2),IF(RASANTE!F79&lt;=PERALTE!$X$10,-8,IF(RASANTE!F79&lt;=PERALTE!$Z$10,(-6/(PERALTE!$X$10-PERALTE!$Z$10)*(RASANTE!F79-PERALTE!$Z$10)-2),IF(RASANTE!F79&lt;=PERALTE!$AB$10,-2))))),IF(AND(AH!$H$12="Derecha",RASANTE!F79&lt;=PERALTE!$AB$10),IF(RASANTE!F79&lt;=PERALTE!$Q$10,-2,IF(RASANTE!F79&lt;=PERALTE!$U$10,(10/(PERALTE!$U$10-PERALTE!$Q$10)*(RASANTE!F79-PERALTE!$Q$10)-2),IF(RASANTE!F79&lt;=PERALTE!$X$10,8,IF(RASANTE!F79&lt;=PERALTE!$AB$10,(10/(PERALTE!$X$10-PERALTE!$AB$10)*(RASANTE!F79-PERALTE!$AB$10)-2))))),IF(AND(AH!$H$14="Izquierda",RASANTE!F79&lt;=PERALTE!$AB$12),IF(RASANTE!F79&lt;=PERALTE!$S$12,-2,IF(RASANTE!F79&lt;=PERALTE!$U$12,(-6/(PERALTE!$U$12-PERALTE!$S$12)*(RASANTE!F79-PERALTE!$S$12)-2),IF(RASANTE!F79&lt;=PERALTE!$X$12,-8,IF(RASANTE!F79&lt;=PERALTE!$Z$12,(-6/(PERALTE!$X$12-PERALTE!$Z$12)*(RASANTE!F79-PERALTE!$Z$12)-2),IF(RASANTE!F79&lt;=PERALTE!$AB$12,-2))))),IF(AND(AH!$H$14="Derecha",RASANTE!F79&lt;=PERALTE!$AB$12),IF(RASANTE!F79&lt;=PERALTE!$Q$12,-2,IF(RASANTE!F79&lt;=PERALTE!$U$12,(10/(PERALTE!$U$12-PERALTE!$Q$12)*(RASANTE!F79-PERALTE!$Q$12)-2),IF(RASANTE!F79&lt;=PERALTE!$X$12,8,IF(RASANTE!F79&lt;=PERALTE!$AB$12,(10/(PERALTE!$X$12-PERALTE!$AB$12)*(RASANTE!F79-PERALTE!$AB$12)-2))))),IF(AND(AH!$H$16="Izquierda",RASANTE!F79&lt;=PERALTE!$AB$14),IF(RASANTE!F79&lt;=PERALTE!$S$14,-2,IF(RASANTE!F79&lt;=PERALTE!$U$14,(-6/(PERALTE!$U$14-PERALTE!$S$14)*(RASANTE!F79-PERALTE!$S$14)-2),IF(RASANTE!F79&lt;=PERALTE!$X$14,-8,IF(RASANTE!F79&lt;=PERALTE!$Z$14,(-6/(PERALTE!$X$14-PERALTE!$Z$14)*(RASANTE!F79-PERALTE!$Z$14)-2),IF(RASANTE!F79&lt;=PERALTE!$AB$14,-2))))),IF(AND(AH!$H$16="Derecha",RASANTE!F79&lt;=PERALTE!$AB$14),IF(RASANTE!F79&lt;=PERALTE!$Q$14,-2,IF(RASANTE!F79&lt;=PERALTE!$U$14,(10/(PERALTE!$U$14-PERALTE!$Q$14)*(RASANTE!F79-PERALTE!$Q$14)-2),IF(RASANTE!F79&lt;=PERALTE!$X$14,8,IF(RASANTE!F79&lt;=PERALTE!$AB$14,(10/(PERALTE!$X$14-PERALTE!$AB$14)*(RASANTE!F79-PERALTE!$AB$14)-2))))),IF(AND(AH!$H$18="Izquierda",RASANTE!F79&lt;=PERALTE!$AB$16),IF(RASANTE!F79&lt;=PERALTE!$S$16,-2,IF(RASANTE!F79&lt;=PERALTE!$U$16,(-6/(PERALTE!$U$16-PERALTE!$S$16)*(RASANTE!F79-PERALTE!$S$16)-2),IF(RASANTE!F79&lt;=PERALTE!$X$16,-8,IF(RASANTE!F79&lt;=PERALTE!$Z$16,(-6/(PERALTE!$X$16-PERALTE!$Z$16)*(RASANTE!F79-PERALTE!$Z$16)-2),IF(RASANTE!F79&lt;=PERALTE!$AB$16,-2))))),IF(AND(AH!$H$18="Derecha",RASANTE!F79&lt;=PERALTE!$AB$16),IF(RASANTE!F79&lt;=PERALTE!$Q$16,-2,IF(RASANTE!F79&lt;=PERALTE!$U$16,(10/(PERALTE!$U$16-PERALTE!$Q$16)*(RASANTE!F79-PERALTE!$Q$16)-2),IF(RASANTE!F79&lt;=PERALTE!$X$16,8,IF(RASANTE!F79&lt;=PERALTE!$AB$16,(10/(PERALTE!$X$16-PERALTE!$AB$16)*(RASANTE!F79-PERALTE!$AB$16)-2))))),IF(AND(AH!$H$20="Izquierda",RASANTE!F79&lt;=PERALTE!$AB$18),IF(RASANTE!F79&lt;=PERALTE!$S$18,-2,IF(RASANTE!F79&lt;=PERALTE!$U$18,(-6/(PERALTE!$U$18-PERALTE!$S$18)*(RASANTE!F79-PERALTE!$S$18)-2),IF(RASANTE!F79&lt;=PERALTE!$X$18,-8,IF(RASANTE!F79&lt;=PERALTE!$Z$18,(-6/(PERALTE!$X$18-PERALTE!$Z$18)*(RASANTE!F79-PERALTE!$Z$18)-2),IF(RASANTE!F79&lt;=PERALTE!$AB$18,-2))))),IF(AND(AH!$H$20="Derecha",RASANTE!F79&lt;=PERALTE!$AB$18),IF(RASANTE!F79&lt;=PERALTE!$Q$18,-2,IF(RASANTE!F79&lt;=PERALTE!$U$18,(10/(PERALTE!$U$18-PERALTE!$Q$18)*(RASANTE!F79-PERALTE!$Q$18)-2),IF(RASANTE!F79&lt;=PERALTE!$X$18,8,IF(RASANTE!F79&lt;=PERALTE!$AB$18,(10/(PERALTE!$X$18-PERALTE!$AB$18)*(RASANTE!F79-PERALTE!$AB$18)-2))))),IF(AND(AH!$H$24="Izquierda",RASANTE!F79&lt;=PERALTE!$AB$22),IF(RASANTE!F79&lt;=PERALTE!$S$22,-2,IF(RASANTE!F79&lt;=PERALTE!$U$22,(-6/(PERALTE!$U$22-PERALTE!$S$22)*(RASANTE!F79-PERALTE!$S$22)-2),IF(RASANTE!F79&lt;=PERALTE!$X$22,-8,IF(RASANTE!F79&lt;=PERALTE!$Z$22,(-6/(PERALTE!$X$22-PERALTE!$Z$22)*(RASANTE!F79-PERALTE!$Z$22)-2),IF(RASANTE!F79&lt;=PERALTE!$AB$22,-2))))),IF(AND(AH!$H$24="Derecha",RASANTE!F79&lt;=PERALTE!$AB$22),IF(RASANTE!F79&lt;=PERALTE!$Q$22,-2,IF(RASANTE!F79&lt;=PERALTE!$U$22,(10/(PERALTE!$U$22-PERALTE!$Q$22)*(RASANTE!F79-PERALTE!$Q$22)-2),IF(RASANTE!F79&lt;=PERALTE!$X$22,8,IF(RASANTE!F79&lt;=PERALTE!$AB$22,(10/(PERALTE!$X$22-PERALTE!$AB$22)*(RASANTE!F79-PERALTE!$AB$22)-2))))),IF(AND(AH!#REF!="Izquierda",RASANTE!F79&lt;=PERALTE!#REF!),IF(RASANTE!F79&lt;=PERALTE!#REF!,-2,IF(RASANTE!F79&lt;=PERALTE!#REF!,(-6/(PERALTE!#REF!-PERALTE!#REF!)*(RASANTE!F79-PERALTE!#REF!)-2),IF(RASANTE!F79&lt;=PERALTE!#REF!,-8,IF(RASANTE!F79&lt;=PERALTE!#REF!,(-6/(PERALTE!#REF!-PERALTE!#REF!)*(RASANTE!F79-PERALTE!#REF!)-2),IF(RASANTE!F79&lt;=PERALTE!#REF!,-2))))),IF(AND(AH!#REF!="Derecha",RASANTE!F79&lt;=PERALTE!#REF!),IF(RASANTE!F79&lt;=PERALTE!#REF!,-2,IF(RASANTE!F79&lt;=PERALTE!#REF!,(10/(PERALTE!#REF!-PERALTE!#REF!)*(RASANTE!F79-PERALTE!#REF!)-2),IF(RASANTE!F79&lt;=PERALTE!#REF!,8,IF(RASANTE!F79&lt;=PERALTE!#REF!,(10/(PERALTE!#REF!-PERALTE!#REF!)*(RASANTE!F79-PERALTE!#REF!)-2))))),IF(AND(AH!#REF!="Izquierda",RASANTE!F79&lt;=PERALTE!$AB$26),IF(RASANTE!F79&lt;=PERALTE!$S$26,-2,IF(RASANTE!F79&lt;=PERALTE!$U$26,(-6/(PERALTE!$U$26-PERALTE!$S$26)*(RASANTE!F79-PERALTE!$S$26)-2),IF(RASANTE!F79&lt;=PERALTE!$X$26,-8,IF(RASANTE!F79&lt;=PERALTE!$Z$26,(-6/(PERALTE!$X$26-PERALTE!$Z$26)*(RASANTE!F79-PERALTE!$Z$26)-2),IF(RASANTE!F79&lt;=PERALTE!$AB$26,-2))))),IF(AND(AH!#REF!="Derecha",RASANTE!F79&lt;=PERALTE!$AB$26),IF(RASANTE!F79&lt;=PERALTE!$Q$26,-2,IF(RASANTE!F79&lt;=PERALTE!$U$26,(10/(PERALTE!$U$26-PERALTE!$Q$26)*(RASANTE!F79-PERALTE!$Q$26)-2),IF(RASANTE!F79&lt;=PERALTE!$X$26,8,IF(RASANTE!F79&lt;=PERALTE!$AB$26,(10/(PERALTE!$X$26-PERALTE!$AB$26)*(RASANTE!F79-PERALTE!$AB$26)-2))))),IF(F79&lt;=PERALTE!#REF!,-2,"Abscisa fuera de la vía")))))))))))))))))))))</f>
        <v>8</v>
      </c>
      <c r="I79" s="28">
        <f>+IF(AND(AH!$H$8="Derecha",RASANTE!F79&lt;=PERALTE!$AB$6),IF(RASANTE!F79&lt;=PERALTE!$S$6,-2,IF(RASANTE!F79&lt;=PERALTE!$U$6,(-6/(PERALTE!$U$6-PERALTE!$S$6)*(RASANTE!F79-PERALTE!$S$6)-2),IF(RASANTE!F79&lt;=PERALTE!$X$6,-8,IF(RASANTE!F79&lt;=PERALTE!$Z$6,(-6/(PERALTE!$X$6-PERALTE!$Z$6)*(RASANTE!F79-PERALTE!$Z$6)-2),IF(RASANTE!F79&lt;=PERALTE!$AB$6,-2))))),IF(AND(AH!$H$8="Izquierda",RASANTE!F79&lt;=PERALTE!$AB$6),IF(RASANTE!F79&lt;=PERALTE!$Q$6,-2,IF(RASANTE!F79&lt;=PERALTE!$U$6,(10/(PERALTE!$U$6-PERALTE!$Q$6)*(RASANTE!F79-PERALTE!$Q$6)-2),IF(RASANTE!F79&lt;=PERALTE!$X$6,8,IF(RASANTE!F79&lt;=PERALTE!$AB$6,(10/(PERALTE!$X$6-PERALTE!$AB$6)*(RASANTE!F79-PERALTE!$AB$6)-2))))),IF(AND(AH!$H$10="Derecha",RASANTE!F79&lt;=PERALTE!$AB$8),IF(RASANTE!F79&lt;=PERALTE!$S$8,-2,IF(RASANTE!F79&lt;=PERALTE!$U$8,(-6/(PERALTE!$U$8-PERALTE!$S$8)*(RASANTE!F79-PERALTE!$S$8)-2),IF(RASANTE!F79&lt;=PERALTE!$X$8,-8,IF(RASANTE!F79&lt;=PERALTE!$Z$8,(-6/(PERALTE!$X$8-PERALTE!$Z$8)*(RASANTE!F79-PERALTE!$Z$8)-2),IF(RASANTE!F79&lt;=PERALTE!$AB$8,-2))))),IF(AND(AH!$H$10="Izquierda",RASANTE!F79&lt;=PERALTE!$AB$8),IF(RASANTE!F79&lt;=PERALTE!$Q$8,-2,IF(RASANTE!F79&lt;=PERALTE!$U$8,(10/(PERALTE!$U$8-PERALTE!$Q$8)*(RASANTE!F79-PERALTE!$Q$8)-2),IF(RASANTE!F79&lt;=PERALTE!$X$8,8,IF(RASANTE!F79&lt;=PERALTE!$AB$8,(10/(PERALTE!$X$8-PERALTE!$AB$8)*(RASANTE!F79-PERALTE!$AB$8)-2))))),IF(AND(AH!$H$12="Derecha",RASANTE!F79&lt;=PERALTE!$AB$10),IF(RASANTE!F79&lt;=PERALTE!$S$10,-2,IF(RASANTE!F79&lt;=PERALTE!$U$10,(-6/(PERALTE!$U$10-PERALTE!$S$10)*(RASANTE!F79-PERALTE!$S$10)-2),IF(RASANTE!F79&lt;=PERALTE!$X$10,-8,IF(RASANTE!F79&lt;=PERALTE!$Z$10,(-6/(PERALTE!$X$10-PERALTE!$Z$10)*(RASANTE!F79-PERALTE!$Z$10)-2),IF(RASANTE!F79&lt;=PERALTE!$AB$10,-2))))),IF(AND(AH!$H$12="Izquierda",RASANTE!F79&lt;=PERALTE!$AB$10),IF(RASANTE!F79&lt;=PERALTE!$Q$10,-2,IF(RASANTE!F79&lt;=PERALTE!$U$10,(10/(PERALTE!$U$10-PERALTE!$Q$10)*(RASANTE!F79-PERALTE!$Q$10)-2),IF(RASANTE!F79&lt;=PERALTE!$X$10,8,IF(RASANTE!F79&lt;=PERALTE!$AB$10,(10/(PERALTE!$X$10-PERALTE!$AB$10)*(RASANTE!F79-PERALTE!$AB$10)-2))))),IF(AND(AH!$H$14="Derecha",RASANTE!F79&lt;=PERALTE!$AB$12),IF(RASANTE!F79&lt;=PERALTE!$S$12,-2,IF(RASANTE!F79&lt;=PERALTE!$U$12,(-6/(PERALTE!$U$12-PERALTE!$S$12)*(RASANTE!F79-PERALTE!$S$12)-2),IF(RASANTE!F79&lt;=PERALTE!$X$12,-8,IF(RASANTE!F79&lt;=PERALTE!$Z$12,(-6/(PERALTE!$X$12-PERALTE!$Z$12)*(RASANTE!F79-PERALTE!$Z$12)-2),IF(RASANTE!F79&lt;=PERALTE!$AB$12,-2))))),IF(AND(AH!$H$14="Izquierda",RASANTE!F79&lt;=PERALTE!$AB$12),IF(RASANTE!F79&lt;=PERALTE!$Q$12,-2,IF(RASANTE!F79&lt;=PERALTE!$U$12,(10/(PERALTE!$U$12-PERALTE!$Q$12)*(RASANTE!F79-PERALTE!$Q$12)-2),IF(RASANTE!F79&lt;=PERALTE!$X$12,8,IF(RASANTE!F79&lt;=PERALTE!$AB$12,(10/(PERALTE!$X$12-PERALTE!$AB$12)*(RASANTE!F79-PERALTE!$AB$12)-2))))),IF(AND(AH!$H$16="Derecha",RASANTE!F79&lt;=PERALTE!$AB$14),IF(RASANTE!F79&lt;=PERALTE!$S$14,-2,IF(RASANTE!F79&lt;=PERALTE!$U$14,(-6/(PERALTE!$U$14-PERALTE!$S$14)*(RASANTE!F79-PERALTE!$S$14)-2),IF(RASANTE!F79&lt;=PERALTE!$X$14,-8,IF(RASANTE!F79&lt;=PERALTE!$Z$14,(-6/(PERALTE!$X$14-PERALTE!$Z$14)*(RASANTE!F79-PERALTE!$Z$14)-2),IF(RASANTE!F79&lt;=PERALTE!$AB$14,-2))))),IF(AND(AH!$H$16="Izquierda",RASANTE!F79&lt;=PERALTE!$AB$14),IF(RASANTE!F79&lt;=PERALTE!$Q$14,-2,IF(RASANTE!F79&lt;=PERALTE!$U$14,(10/(PERALTE!$U$14-PERALTE!$Q$14)*(RASANTE!F79-PERALTE!$Q$14)-2),IF(RASANTE!F79&lt;=PERALTE!$X$14,8,IF(RASANTE!F79&lt;=PERALTE!$AB$14,(10/(PERALTE!$X$14-PERALTE!$AB$14)*(RASANTE!F79-PERALTE!$AB$14)-2))))),IF(AND(AH!$H$18="Derecha",RASANTE!F79&lt;=PERALTE!$AB$16),IF(RASANTE!F79&lt;=PERALTE!$S$16,-2,IF(RASANTE!F79&lt;=PERALTE!$U$16,(-6/(PERALTE!$U$16-PERALTE!$S$16)*(RASANTE!F79-PERALTE!$S$16)-2),IF(RASANTE!F79&lt;=PERALTE!$X$16,-8,IF(RASANTE!F79&lt;=PERALTE!$Z$16,(-6/(PERALTE!$X$16-PERALTE!$Z$16)*(RASANTE!F79-PERALTE!$Z$16)-2),IF(RASANTE!F79&lt;=PERALTE!$AB$16,-2))))),IF(AND(AH!$H$18="Izquierda",RASANTE!F79&lt;=PERALTE!$AB$16),IF(RASANTE!F79&lt;=PERALTE!$Q$16,-2,IF(RASANTE!F79&lt;=PERALTE!$U$16,(10/(PERALTE!$U$16-PERALTE!$Q$16)*(RASANTE!F79-PERALTE!$Q$16)-2),IF(RASANTE!F79&lt;=PERALTE!$X$16,8,IF(RASANTE!F79&lt;=PERALTE!$AB$16,(10/(PERALTE!$X$16-PERALTE!$AB$16)*(RASANTE!F79-PERALTE!$AB$16)-2))))),IF(AND(AH!$H$20="Derecha",RASANTE!F79&lt;=PERALTE!$AB$18),IF(RASANTE!F79&lt;=PERALTE!$S$18,-2,IF(RASANTE!F79&lt;=PERALTE!$U$18,(-6/(PERALTE!$U$18-PERALTE!$S$18)*(RASANTE!F79-PERALTE!$S$18)-2),IF(RASANTE!F79&lt;=PERALTE!$X$18,-8,IF(RASANTE!F79&lt;=PERALTE!$Z$18,(-6/(PERALTE!$X$18-PERALTE!$Z$18)*(RASANTE!F79-PERALTE!$Z$18)-2),IF(RASANTE!F79&lt;=PERALTE!$AB$18,-2))))),IF(AND(AH!$H$20="Izquierda",RASANTE!F79&lt;=PERALTE!$AB$18),IF(RASANTE!F79&lt;=PERALTE!$Q$18,-2,IF(RASANTE!F79&lt;=PERALTE!$U$18,(10/(PERALTE!$U$18-PERALTE!$Q$18)*(RASANTE!F79-PERALTE!$Q$18)-2),IF(RASANTE!F79&lt;=PERALTE!$X$18,8,IF(RASANTE!F79&lt;=PERALTE!$AB$18,(10/(PERALTE!$X$18-PERALTE!$AB$18)*(RASANTE!F79-PERALTE!$AB$18)-2))))),IF(AND(AH!$H$24="Derecha",RASANTE!F79&lt;=PERALTE!$AB$22),IF(RASANTE!F79&lt;=PERALTE!$S$22,-2,IF(RASANTE!F79&lt;=PERALTE!$U$22,(-6/(PERALTE!$U$22-PERALTE!$S$22)*(RASANTE!F79-PERALTE!$S$22)-2),IF(RASANTE!F79&lt;=PERALTE!$X$22,-8,IF(RASANTE!F79&lt;=PERALTE!$Z$22,(-6/(PERALTE!$X$22-PERALTE!$Z$22)*(RASANTE!F79-PERALTE!$Z$22)-2),IF(RASANTE!F79&lt;=PERALTE!$AB$22,-2))))),IF(AND(AH!$H$24="Izquierda",RASANTE!F79&lt;=PERALTE!$AB$22),IF(RASANTE!F79&lt;=PERALTE!$Q$22,-2,IF(RASANTE!F79&lt;=PERALTE!$U$22,(10/(PERALTE!$U$22-PERALTE!$Q$22)*(RASANTE!F79-PERALTE!$Q$22)-2),IF(RASANTE!F79&lt;=PERALTE!$X$22,8,IF(RASANTE!F79&lt;=PERALTE!$AB$22,(10/(PERALTE!$X$22-PERALTE!$AB$22)*(RASANTE!F79-PERALTE!$AB$22)-2))))),IF(AND(AH!#REF!="Derecha",RASANTE!F79&lt;=PERALTE!#REF!),IF(RASANTE!F79&lt;=PERALTE!#REF!,-2,IF(RASANTE!F79&lt;=PERALTE!#REF!,(-6/(PERALTE!#REF!-PERALTE!#REF!)*(RASANTE!F79-PERALTE!#REF!)-2),IF(RASANTE!F79&lt;=PERALTE!#REF!,-8,IF(RASANTE!F79&lt;=PERALTE!#REF!,(-6/(PERALTE!#REF!-PERALTE!#REF!)*(RASANTE!F79-PERALTE!#REF!)-2),IF(RASANTE!F79&lt;=PERALTE!#REF!,-2))))),IF(AND(AH!#REF!="Izquierda",RASANTE!F79&lt;=PERALTE!#REF!),IF(RASANTE!F79&lt;=PERALTE!#REF!,-2,IF(RASANTE!F79&lt;=PERALTE!#REF!,(10/(PERALTE!#REF!-PERALTE!#REF!)*(RASANTE!F79-PERALTE!#REF!)-2),IF(RASANTE!F79&lt;=PERALTE!#REF!,8,IF(RASANTE!F79&lt;=PERALTE!#REF!,(10/(PERALTE!#REF!-PERALTE!#REF!)*(RASANTE!F79-PERALTE!#REF!)-2))))),IF(AND(AH!#REF!="Derecha",RASANTE!F79&lt;=PERALTE!$AB$26),IF(RASANTE!F79&lt;=PERALTE!$S$26,-2,IF(RASANTE!F79&lt;=PERALTE!$U$26,(-6/(PERALTE!$U$26-PERALTE!$S$26)*(RASANTE!F79-PERALTE!$S$26)-2),IF(RASANTE!F79&lt;=PERALTE!$X$26,-8,IF(RASANTE!F79&lt;=PERALTE!$Z$26,(-6/(PERALTE!$X$26-PERALTE!$Z$26)*(RASANTE!F79-PERALTE!$Z$26)-2),IF(RASANTE!F79&lt;=PERALTE!$AB$26,-2))))),IF(AND(AH!#REF!="Izquierda",RASANTE!F79&lt;=PERALTE!$AB$26),IF(RASANTE!F79&lt;=PERALTE!$Q$26,-2,IF(RASANTE!F79&lt;=PERALTE!$U$26,(10/(PERALTE!$U$26-PERALTE!$Q$26)*(RASANTE!F79-PERALTE!$Q$26)-2),IF(RASANTE!F79&lt;=PERALTE!$X$26,8,IF(RASANTE!F79&lt;=PERALTE!$AB$26,(10/(PERALTE!$X$26-PERALTE!$AB$26)*(RASANTE!F79-PERALTE!$AB$26)-2))))),IF(F79&lt;=PERALTE!#REF!,-2,"Abscisa fuera de la vía")))))))))))))))))))))</f>
        <v>-8</v>
      </c>
      <c r="J79" s="28">
        <f t="shared" si="4"/>
        <v>1636.2199400000011</v>
      </c>
      <c r="K79" s="28">
        <f>+IF(AND(AV!$S$6&lt;F195,F195&lt;=AV!$T$6),AV!$P$6*((AV!$S$6-RASANTE!F195)/(AV!$N$6))^2,IF(AND(AV!$T$6&lt;RASANTE!F195,F195&lt;AV!$U$6),AV!$P$6*((AV!$U$6-RASANTE!F195)/(AV!$O$6))^2,IF(AND(AV!$S$8&lt;F195,F195&lt;=AV!$T$8),AV!$P$8*((AV!$S$8-RASANTE!F195)/(AV!$N$8))^2,IF(AND(AV!$T$8&lt;RASANTE!F195,F195&lt;AV!$U$8),AV!$P$8*((AV!$U$8-RASANTE!F195)/(AV!$O$8))^2,IF(AND(AV!$S$10&lt;F195,F195&lt;=AV!$T$10),AV!$P$10*((AV!$S$10-RASANTE!F195)/(AV!$N$10))^2,IF(AND(AV!$T$10&lt;RASANTE!F195,F195&lt;AV!$U$10),AV!$P$10*((AV!$U$10-RASANTE!F195)/(AV!$O$10))^2,IF(AND(AV!$S$12&lt;F195,F195&lt;=AV!$T$12),AV!$P$12*((AV!$S$12-RASANTE!F195)/(AV!$N$12))^2,IF(AND(AV!$T$12&lt;RASANTE!F195,F195&lt;AV!$U$12),AV!$P$12*((AV!$U$12-RASANTE!F195)/(AV!$O$12))^2,IF(AND(AV!$S$14&lt;F195,F195&lt;=AV!$T$14),AV!$P$14*((AV!$S$14-RASANTE!F195)/(AV!$N$14))^2,IF(AND(AV!$T$14&lt;RASANTE!F195,F195&lt;AV!$U$14),AV!$P$14*((AV!$U$14-RASANTE!F195)/(AV!$O$14))^2,IF(AND(AV!$S$16&lt;F195,F195&lt;=AV!$T$16),AV!$P$16*((AV!$S$16-RASANTE!F195)/(AV!$N$16))^2,IF(AND(AV!$T$16&lt;RASANTE!F195,F195&lt;AV!$U$16),AV!$P$16*((AV!$U$16-RASANTE!F195)/(AV!$O$16))^2,IF(AND(AV!$S$18&lt;F195,F195&lt;=AV!$T$18),AV!$P$18*((AV!$S$18-RASANTE!F195)/(AV!$N$18))^2,IF(AND(AV!$T$18&lt;RASANTE!F195,F195&lt;AV!$U$18),AV!$P$18*((AV!$U$18-RASANTE!F195)/(AV!$O$18))^2,IF(AND(AV!$S$20&lt;F195,F195&lt;=AV!$T$20),AV!$P$20*((AV!$S$20-RASANTE!F195)/(AV!$N$20))^2,IF(AND(AV!$T$20&lt;RASANTE!F195,F195&lt;AV!$U$20),AV!$P$20*((AV!$U$20-RASANTE!F195)/(AV!$O$20))^2,IF(AND(AV!$S$22&lt;F195,F195&lt;=AV!$T$22),AV!$P$22*((AV!$S$22-RASANTE!F195)/(AV!$N$22))^2,IF(AND(AV!$T$22&lt;RASANTE!F195,F195&lt;AV!$U$22),AV!$P$22*((AV!$U$22-RASANTE!F195)/(AV!$O$22))^2,IF(AND(AV!$S$24&lt;F195,F195&lt;=AV!$T$24),AV!$P$24*((AV!$S$24-RASANTE!F195)/(AV!$N$24))^2,IF(AND(AV!$T$24&lt;RASANTE!F195,F195&lt;AV!$U$24),AV!$P$24*((AV!$U$24-RASANTE!F195)/(AV!$O$24))^2,0))))))))))))))))))))</f>
        <v>0</v>
      </c>
      <c r="L79" s="28">
        <f>+M79+H79%*PERALTE!$C$32</f>
        <v>1636.4999400000011</v>
      </c>
      <c r="M79" s="28">
        <f t="shared" si="3"/>
        <v>1636.2199400000011</v>
      </c>
      <c r="N79" s="28">
        <f>+M79+I79%*PERALTE!$C$32</f>
        <v>1635.9399400000011</v>
      </c>
      <c r="O79" s="92"/>
      <c r="P79" s="84"/>
      <c r="Q79" s="84"/>
      <c r="R79" s="84"/>
      <c r="S79" s="84"/>
      <c r="T79" s="84"/>
      <c r="U79" s="84"/>
      <c r="V79" s="84"/>
      <c r="W79" s="84"/>
      <c r="X79" s="84"/>
      <c r="Y79" s="84"/>
    </row>
    <row r="80" spans="1:25" ht="15.75" customHeight="1" x14ac:dyDescent="0.2">
      <c r="A80" s="90"/>
      <c r="B80" s="86"/>
      <c r="C80" s="86"/>
      <c r="D80" s="86"/>
      <c r="E80" s="91"/>
      <c r="F80" s="34">
        <v>520</v>
      </c>
      <c r="G80" s="88">
        <f>IF(F80&lt;=AV!$T$6,AV!$C$5,IF(RASANTE!F80&lt;=AV!$T$8,AV!$C$7,IF(RASANTE!F80&lt;=AV!$T$10,AV!$C$9,IF(RASANTE!F80&lt;=AV!$T$12,AV!#REF!,IF(RASANTE!F80&lt;=AV!$T$14,AV!$C$11,IF(RASANTE!F80&lt;=AV!$T$16,AV!$C$13, IF(RASANTE!F80&lt;=AV!$T$18,AV!$C$15,IF(RASANTE!F80&lt;=AV!$T$20,AV!$C$19,IF(RASANTE!F80&lt;=AV!$T$22,AV!$C$21,IF(RASANTE!F80&lt;=AV!$T$24,AV!$C$23,AV!$C$25))))))))))</f>
        <v>-3</v>
      </c>
      <c r="H80" s="28">
        <f>+IF(AND(AH!$H$8="Izquierda",RASANTE!F80&lt;=PERALTE!$AB$6),IF(RASANTE!F80&lt;=PERALTE!$S$6,-2,IF(RASANTE!F80&lt;=PERALTE!$U$6,(-6/(PERALTE!$U$6-PERALTE!$S$6)*(RASANTE!F80-PERALTE!$S$6)-2),IF(RASANTE!F80&lt;=PERALTE!$X$6,-8,IF(RASANTE!F80&lt;=PERALTE!$Z$6,(-6/(PERALTE!$X$6-PERALTE!$Z$6)*(RASANTE!F80-PERALTE!$Z$6)-2),IF(RASANTE!F80&lt;=PERALTE!$AB$6,-2))))),IF(AND(AH!$H$8="Derecha",RASANTE!F80&lt;=PERALTE!$AB$6),IF(RASANTE!F80&lt;=PERALTE!$Q$6,-2,IF(RASANTE!F80&lt;=PERALTE!$U$6,(10/(PERALTE!$U$6-PERALTE!$Q$6)*(RASANTE!F80-PERALTE!$Q$6)-2),IF(RASANTE!F80&lt;=PERALTE!$X$6,8,IF(RASANTE!F80&lt;=PERALTE!$AB$6,(10/(PERALTE!$X$6-PERALTE!$AB$6)*(RASANTE!F80-PERALTE!$AB$6)-2))))),IF(AND(AH!$H$10="Izquierda",RASANTE!F80&lt;=PERALTE!$AB$8),IF(RASANTE!F80&lt;=PERALTE!$S$8,-2,IF(RASANTE!F80&lt;=PERALTE!$U$8,(-6/(PERALTE!$U$8-PERALTE!$S$8)*(RASANTE!F80-PERALTE!$S$8)-2),IF(RASANTE!F80&lt;=PERALTE!$X$8,-8,IF(RASANTE!F80&lt;=PERALTE!$Z$8,(-6/(PERALTE!$X$8-PERALTE!$Z$8)*(RASANTE!F80-PERALTE!$Z$8)-2),IF(RASANTE!F80&lt;=PERALTE!$AB$8,-2))))),IF(AND(AH!$H$10="Derecha",RASANTE!F80&lt;=PERALTE!$AB$8),IF(RASANTE!F80&lt;=PERALTE!$Q$8,-2,IF(RASANTE!F80&lt;=PERALTE!$U$8,(10/(PERALTE!$U$8-PERALTE!$Q$8)*(RASANTE!F80-PERALTE!$Q$8)-2),IF(RASANTE!F80&lt;=PERALTE!$X$8,8,IF(RASANTE!F80&lt;=PERALTE!$AB$8,(10/(PERALTE!$X$8-PERALTE!$AB$8)*(RASANTE!F80-PERALTE!$AB$8)-2))))),IF(AND(AH!$H$12="Izquierda",RASANTE!F80&lt;=PERALTE!$AB$10),IF(RASANTE!F80&lt;=PERALTE!$S$10,-2,IF(RASANTE!F80&lt;=PERALTE!$U$10,(-6/(PERALTE!$U$10-PERALTE!$S$10)*(RASANTE!F80-PERALTE!$S$10)-2),IF(RASANTE!F80&lt;=PERALTE!$X$10,-8,IF(RASANTE!F80&lt;=PERALTE!$Z$10,(-6/(PERALTE!$X$10-PERALTE!$Z$10)*(RASANTE!F80-PERALTE!$Z$10)-2),IF(RASANTE!F80&lt;=PERALTE!$AB$10,-2))))),IF(AND(AH!$H$12="Derecha",RASANTE!F80&lt;=PERALTE!$AB$10),IF(RASANTE!F80&lt;=PERALTE!$Q$10,-2,IF(RASANTE!F80&lt;=PERALTE!$U$10,(10/(PERALTE!$U$10-PERALTE!$Q$10)*(RASANTE!F80-PERALTE!$Q$10)-2),IF(RASANTE!F80&lt;=PERALTE!$X$10,8,IF(RASANTE!F80&lt;=PERALTE!$AB$10,(10/(PERALTE!$X$10-PERALTE!$AB$10)*(RASANTE!F80-PERALTE!$AB$10)-2))))),IF(AND(AH!$H$14="Izquierda",RASANTE!F80&lt;=PERALTE!$AB$12),IF(RASANTE!F80&lt;=PERALTE!$S$12,-2,IF(RASANTE!F80&lt;=PERALTE!$U$12,(-6/(PERALTE!$U$12-PERALTE!$S$12)*(RASANTE!F80-PERALTE!$S$12)-2),IF(RASANTE!F80&lt;=PERALTE!$X$12,-8,IF(RASANTE!F80&lt;=PERALTE!$Z$12,(-6/(PERALTE!$X$12-PERALTE!$Z$12)*(RASANTE!F80-PERALTE!$Z$12)-2),IF(RASANTE!F80&lt;=PERALTE!$AB$12,-2))))),IF(AND(AH!$H$14="Derecha",RASANTE!F80&lt;=PERALTE!$AB$12),IF(RASANTE!F80&lt;=PERALTE!$Q$12,-2,IF(RASANTE!F80&lt;=PERALTE!$U$12,(10/(PERALTE!$U$12-PERALTE!$Q$12)*(RASANTE!F80-PERALTE!$Q$12)-2),IF(RASANTE!F80&lt;=PERALTE!$X$12,8,IF(RASANTE!F80&lt;=PERALTE!$AB$12,(10/(PERALTE!$X$12-PERALTE!$AB$12)*(RASANTE!F80-PERALTE!$AB$12)-2))))),IF(AND(AH!$H$16="Izquierda",RASANTE!F80&lt;=PERALTE!$AB$14),IF(RASANTE!F80&lt;=PERALTE!$S$14,-2,IF(RASANTE!F80&lt;=PERALTE!$U$14,(-6/(PERALTE!$U$14-PERALTE!$S$14)*(RASANTE!F80-PERALTE!$S$14)-2),IF(RASANTE!F80&lt;=PERALTE!$X$14,-8,IF(RASANTE!F80&lt;=PERALTE!$Z$14,(-6/(PERALTE!$X$14-PERALTE!$Z$14)*(RASANTE!F80-PERALTE!$Z$14)-2),IF(RASANTE!F80&lt;=PERALTE!$AB$14,-2))))),IF(AND(AH!$H$16="Derecha",RASANTE!F80&lt;=PERALTE!$AB$14),IF(RASANTE!F80&lt;=PERALTE!$Q$14,-2,IF(RASANTE!F80&lt;=PERALTE!$U$14,(10/(PERALTE!$U$14-PERALTE!$Q$14)*(RASANTE!F80-PERALTE!$Q$14)-2),IF(RASANTE!F80&lt;=PERALTE!$X$14,8,IF(RASANTE!F80&lt;=PERALTE!$AB$14,(10/(PERALTE!$X$14-PERALTE!$AB$14)*(RASANTE!F80-PERALTE!$AB$14)-2))))),IF(AND(AH!$H$18="Izquierda",RASANTE!F80&lt;=PERALTE!$AB$16),IF(RASANTE!F80&lt;=PERALTE!$S$16,-2,IF(RASANTE!F80&lt;=PERALTE!$U$16,(-6/(PERALTE!$U$16-PERALTE!$S$16)*(RASANTE!F80-PERALTE!$S$16)-2),IF(RASANTE!F80&lt;=PERALTE!$X$16,-8,IF(RASANTE!F80&lt;=PERALTE!$Z$16,(-6/(PERALTE!$X$16-PERALTE!$Z$16)*(RASANTE!F80-PERALTE!$Z$16)-2),IF(RASANTE!F80&lt;=PERALTE!$AB$16,-2))))),IF(AND(AH!$H$18="Derecha",RASANTE!F80&lt;=PERALTE!$AB$16),IF(RASANTE!F80&lt;=PERALTE!$Q$16,-2,IF(RASANTE!F80&lt;=PERALTE!$U$16,(10/(PERALTE!$U$16-PERALTE!$Q$16)*(RASANTE!F80-PERALTE!$Q$16)-2),IF(RASANTE!F80&lt;=PERALTE!$X$16,8,IF(RASANTE!F80&lt;=PERALTE!$AB$16,(10/(PERALTE!$X$16-PERALTE!$AB$16)*(RASANTE!F80-PERALTE!$AB$16)-2))))),IF(AND(AH!$H$20="Izquierda",RASANTE!F80&lt;=PERALTE!$AB$18),IF(RASANTE!F80&lt;=PERALTE!$S$18,-2,IF(RASANTE!F80&lt;=PERALTE!$U$18,(-6/(PERALTE!$U$18-PERALTE!$S$18)*(RASANTE!F80-PERALTE!$S$18)-2),IF(RASANTE!F80&lt;=PERALTE!$X$18,-8,IF(RASANTE!F80&lt;=PERALTE!$Z$18,(-6/(PERALTE!$X$18-PERALTE!$Z$18)*(RASANTE!F80-PERALTE!$Z$18)-2),IF(RASANTE!F80&lt;=PERALTE!$AB$18,-2))))),IF(AND(AH!$H$20="Derecha",RASANTE!F80&lt;=PERALTE!$AB$18),IF(RASANTE!F80&lt;=PERALTE!$Q$18,-2,IF(RASANTE!F80&lt;=PERALTE!$U$18,(10/(PERALTE!$U$18-PERALTE!$Q$18)*(RASANTE!F80-PERALTE!$Q$18)-2),IF(RASANTE!F80&lt;=PERALTE!$X$18,8,IF(RASANTE!F80&lt;=PERALTE!$AB$18,(10/(PERALTE!$X$18-PERALTE!$AB$18)*(RASANTE!F80-PERALTE!$AB$18)-2))))),IF(AND(AH!$H$24="Izquierda",RASANTE!F80&lt;=PERALTE!$AB$22),IF(RASANTE!F80&lt;=PERALTE!$S$22,-2,IF(RASANTE!F80&lt;=PERALTE!$U$22,(-6/(PERALTE!$U$22-PERALTE!$S$22)*(RASANTE!F80-PERALTE!$S$22)-2),IF(RASANTE!F80&lt;=PERALTE!$X$22,-8,IF(RASANTE!F80&lt;=PERALTE!$Z$22,(-6/(PERALTE!$X$22-PERALTE!$Z$22)*(RASANTE!F80-PERALTE!$Z$22)-2),IF(RASANTE!F80&lt;=PERALTE!$AB$22,-2))))),IF(AND(AH!$H$24="Derecha",RASANTE!F80&lt;=PERALTE!$AB$22),IF(RASANTE!F80&lt;=PERALTE!$Q$22,-2,IF(RASANTE!F80&lt;=PERALTE!$U$22,(10/(PERALTE!$U$22-PERALTE!$Q$22)*(RASANTE!F80-PERALTE!$Q$22)-2),IF(RASANTE!F80&lt;=PERALTE!$X$22,8,IF(RASANTE!F80&lt;=PERALTE!$AB$22,(10/(PERALTE!$X$22-PERALTE!$AB$22)*(RASANTE!F80-PERALTE!$AB$22)-2))))),IF(AND(AH!#REF!="Izquierda",RASANTE!F80&lt;=PERALTE!#REF!),IF(RASANTE!F80&lt;=PERALTE!#REF!,-2,IF(RASANTE!F80&lt;=PERALTE!#REF!,(-6/(PERALTE!#REF!-PERALTE!#REF!)*(RASANTE!F80-PERALTE!#REF!)-2),IF(RASANTE!F80&lt;=PERALTE!#REF!,-8,IF(RASANTE!F80&lt;=PERALTE!#REF!,(-6/(PERALTE!#REF!-PERALTE!#REF!)*(RASANTE!F80-PERALTE!#REF!)-2),IF(RASANTE!F80&lt;=PERALTE!#REF!,-2))))),IF(AND(AH!#REF!="Derecha",RASANTE!F80&lt;=PERALTE!#REF!),IF(RASANTE!F80&lt;=PERALTE!#REF!,-2,IF(RASANTE!F80&lt;=PERALTE!#REF!,(10/(PERALTE!#REF!-PERALTE!#REF!)*(RASANTE!F80-PERALTE!#REF!)-2),IF(RASANTE!F80&lt;=PERALTE!#REF!,8,IF(RASANTE!F80&lt;=PERALTE!#REF!,(10/(PERALTE!#REF!-PERALTE!#REF!)*(RASANTE!F80-PERALTE!#REF!)-2))))),IF(AND(AH!#REF!="Izquierda",RASANTE!F80&lt;=PERALTE!$AB$26),IF(RASANTE!F80&lt;=PERALTE!$S$26,-2,IF(RASANTE!F80&lt;=PERALTE!$U$26,(-6/(PERALTE!$U$26-PERALTE!$S$26)*(RASANTE!F80-PERALTE!$S$26)-2),IF(RASANTE!F80&lt;=PERALTE!$X$26,-8,IF(RASANTE!F80&lt;=PERALTE!$Z$26,(-6/(PERALTE!$X$26-PERALTE!$Z$26)*(RASANTE!F80-PERALTE!$Z$26)-2),IF(RASANTE!F80&lt;=PERALTE!$AB$26,-2))))),IF(AND(AH!#REF!="Derecha",RASANTE!F80&lt;=PERALTE!$AB$26),IF(RASANTE!F80&lt;=PERALTE!$Q$26,-2,IF(RASANTE!F80&lt;=PERALTE!$U$26,(10/(PERALTE!$U$26-PERALTE!$Q$26)*(RASANTE!F80-PERALTE!$Q$26)-2),IF(RASANTE!F80&lt;=PERALTE!$X$26,8,IF(RASANTE!F80&lt;=PERALTE!$AB$26,(10/(PERALTE!$X$26-PERALTE!$AB$26)*(RASANTE!F80-PERALTE!$AB$26)-2))))),IF(F80&lt;=PERALTE!#REF!,-2,"Abscisa fuera de la vía")))))))))))))))))))))</f>
        <v>8</v>
      </c>
      <c r="I80" s="28">
        <f>+IF(AND(AH!$H$8="Derecha",RASANTE!F80&lt;=PERALTE!$AB$6),IF(RASANTE!F80&lt;=PERALTE!$S$6,-2,IF(RASANTE!F80&lt;=PERALTE!$U$6,(-6/(PERALTE!$U$6-PERALTE!$S$6)*(RASANTE!F80-PERALTE!$S$6)-2),IF(RASANTE!F80&lt;=PERALTE!$X$6,-8,IF(RASANTE!F80&lt;=PERALTE!$Z$6,(-6/(PERALTE!$X$6-PERALTE!$Z$6)*(RASANTE!F80-PERALTE!$Z$6)-2),IF(RASANTE!F80&lt;=PERALTE!$AB$6,-2))))),IF(AND(AH!$H$8="Izquierda",RASANTE!F80&lt;=PERALTE!$AB$6),IF(RASANTE!F80&lt;=PERALTE!$Q$6,-2,IF(RASANTE!F80&lt;=PERALTE!$U$6,(10/(PERALTE!$U$6-PERALTE!$Q$6)*(RASANTE!F80-PERALTE!$Q$6)-2),IF(RASANTE!F80&lt;=PERALTE!$X$6,8,IF(RASANTE!F80&lt;=PERALTE!$AB$6,(10/(PERALTE!$X$6-PERALTE!$AB$6)*(RASANTE!F80-PERALTE!$AB$6)-2))))),IF(AND(AH!$H$10="Derecha",RASANTE!F80&lt;=PERALTE!$AB$8),IF(RASANTE!F80&lt;=PERALTE!$S$8,-2,IF(RASANTE!F80&lt;=PERALTE!$U$8,(-6/(PERALTE!$U$8-PERALTE!$S$8)*(RASANTE!F80-PERALTE!$S$8)-2),IF(RASANTE!F80&lt;=PERALTE!$X$8,-8,IF(RASANTE!F80&lt;=PERALTE!$Z$8,(-6/(PERALTE!$X$8-PERALTE!$Z$8)*(RASANTE!F80-PERALTE!$Z$8)-2),IF(RASANTE!F80&lt;=PERALTE!$AB$8,-2))))),IF(AND(AH!$H$10="Izquierda",RASANTE!F80&lt;=PERALTE!$AB$8),IF(RASANTE!F80&lt;=PERALTE!$Q$8,-2,IF(RASANTE!F80&lt;=PERALTE!$U$8,(10/(PERALTE!$U$8-PERALTE!$Q$8)*(RASANTE!F80-PERALTE!$Q$8)-2),IF(RASANTE!F80&lt;=PERALTE!$X$8,8,IF(RASANTE!F80&lt;=PERALTE!$AB$8,(10/(PERALTE!$X$8-PERALTE!$AB$8)*(RASANTE!F80-PERALTE!$AB$8)-2))))),IF(AND(AH!$H$12="Derecha",RASANTE!F80&lt;=PERALTE!$AB$10),IF(RASANTE!F80&lt;=PERALTE!$S$10,-2,IF(RASANTE!F80&lt;=PERALTE!$U$10,(-6/(PERALTE!$U$10-PERALTE!$S$10)*(RASANTE!F80-PERALTE!$S$10)-2),IF(RASANTE!F80&lt;=PERALTE!$X$10,-8,IF(RASANTE!F80&lt;=PERALTE!$Z$10,(-6/(PERALTE!$X$10-PERALTE!$Z$10)*(RASANTE!F80-PERALTE!$Z$10)-2),IF(RASANTE!F80&lt;=PERALTE!$AB$10,-2))))),IF(AND(AH!$H$12="Izquierda",RASANTE!F80&lt;=PERALTE!$AB$10),IF(RASANTE!F80&lt;=PERALTE!$Q$10,-2,IF(RASANTE!F80&lt;=PERALTE!$U$10,(10/(PERALTE!$U$10-PERALTE!$Q$10)*(RASANTE!F80-PERALTE!$Q$10)-2),IF(RASANTE!F80&lt;=PERALTE!$X$10,8,IF(RASANTE!F80&lt;=PERALTE!$AB$10,(10/(PERALTE!$X$10-PERALTE!$AB$10)*(RASANTE!F80-PERALTE!$AB$10)-2))))),IF(AND(AH!$H$14="Derecha",RASANTE!F80&lt;=PERALTE!$AB$12),IF(RASANTE!F80&lt;=PERALTE!$S$12,-2,IF(RASANTE!F80&lt;=PERALTE!$U$12,(-6/(PERALTE!$U$12-PERALTE!$S$12)*(RASANTE!F80-PERALTE!$S$12)-2),IF(RASANTE!F80&lt;=PERALTE!$X$12,-8,IF(RASANTE!F80&lt;=PERALTE!$Z$12,(-6/(PERALTE!$X$12-PERALTE!$Z$12)*(RASANTE!F80-PERALTE!$Z$12)-2),IF(RASANTE!F80&lt;=PERALTE!$AB$12,-2))))),IF(AND(AH!$H$14="Izquierda",RASANTE!F80&lt;=PERALTE!$AB$12),IF(RASANTE!F80&lt;=PERALTE!$Q$12,-2,IF(RASANTE!F80&lt;=PERALTE!$U$12,(10/(PERALTE!$U$12-PERALTE!$Q$12)*(RASANTE!F80-PERALTE!$Q$12)-2),IF(RASANTE!F80&lt;=PERALTE!$X$12,8,IF(RASANTE!F80&lt;=PERALTE!$AB$12,(10/(PERALTE!$X$12-PERALTE!$AB$12)*(RASANTE!F80-PERALTE!$AB$12)-2))))),IF(AND(AH!$H$16="Derecha",RASANTE!F80&lt;=PERALTE!$AB$14),IF(RASANTE!F80&lt;=PERALTE!$S$14,-2,IF(RASANTE!F80&lt;=PERALTE!$U$14,(-6/(PERALTE!$U$14-PERALTE!$S$14)*(RASANTE!F80-PERALTE!$S$14)-2),IF(RASANTE!F80&lt;=PERALTE!$X$14,-8,IF(RASANTE!F80&lt;=PERALTE!$Z$14,(-6/(PERALTE!$X$14-PERALTE!$Z$14)*(RASANTE!F80-PERALTE!$Z$14)-2),IF(RASANTE!F80&lt;=PERALTE!$AB$14,-2))))),IF(AND(AH!$H$16="Izquierda",RASANTE!F80&lt;=PERALTE!$AB$14),IF(RASANTE!F80&lt;=PERALTE!$Q$14,-2,IF(RASANTE!F80&lt;=PERALTE!$U$14,(10/(PERALTE!$U$14-PERALTE!$Q$14)*(RASANTE!F80-PERALTE!$Q$14)-2),IF(RASANTE!F80&lt;=PERALTE!$X$14,8,IF(RASANTE!F80&lt;=PERALTE!$AB$14,(10/(PERALTE!$X$14-PERALTE!$AB$14)*(RASANTE!F80-PERALTE!$AB$14)-2))))),IF(AND(AH!$H$18="Derecha",RASANTE!F80&lt;=PERALTE!$AB$16),IF(RASANTE!F80&lt;=PERALTE!$S$16,-2,IF(RASANTE!F80&lt;=PERALTE!$U$16,(-6/(PERALTE!$U$16-PERALTE!$S$16)*(RASANTE!F80-PERALTE!$S$16)-2),IF(RASANTE!F80&lt;=PERALTE!$X$16,-8,IF(RASANTE!F80&lt;=PERALTE!$Z$16,(-6/(PERALTE!$X$16-PERALTE!$Z$16)*(RASANTE!F80-PERALTE!$Z$16)-2),IF(RASANTE!F80&lt;=PERALTE!$AB$16,-2))))),IF(AND(AH!$H$18="Izquierda",RASANTE!F80&lt;=PERALTE!$AB$16),IF(RASANTE!F80&lt;=PERALTE!$Q$16,-2,IF(RASANTE!F80&lt;=PERALTE!$U$16,(10/(PERALTE!$U$16-PERALTE!$Q$16)*(RASANTE!F80-PERALTE!$Q$16)-2),IF(RASANTE!F80&lt;=PERALTE!$X$16,8,IF(RASANTE!F80&lt;=PERALTE!$AB$16,(10/(PERALTE!$X$16-PERALTE!$AB$16)*(RASANTE!F80-PERALTE!$AB$16)-2))))),IF(AND(AH!$H$20="Derecha",RASANTE!F80&lt;=PERALTE!$AB$18),IF(RASANTE!F80&lt;=PERALTE!$S$18,-2,IF(RASANTE!F80&lt;=PERALTE!$U$18,(-6/(PERALTE!$U$18-PERALTE!$S$18)*(RASANTE!F80-PERALTE!$S$18)-2),IF(RASANTE!F80&lt;=PERALTE!$X$18,-8,IF(RASANTE!F80&lt;=PERALTE!$Z$18,(-6/(PERALTE!$X$18-PERALTE!$Z$18)*(RASANTE!F80-PERALTE!$Z$18)-2),IF(RASANTE!F80&lt;=PERALTE!$AB$18,-2))))),IF(AND(AH!$H$20="Izquierda",RASANTE!F80&lt;=PERALTE!$AB$18),IF(RASANTE!F80&lt;=PERALTE!$Q$18,-2,IF(RASANTE!F80&lt;=PERALTE!$U$18,(10/(PERALTE!$U$18-PERALTE!$Q$18)*(RASANTE!F80-PERALTE!$Q$18)-2),IF(RASANTE!F80&lt;=PERALTE!$X$18,8,IF(RASANTE!F80&lt;=PERALTE!$AB$18,(10/(PERALTE!$X$18-PERALTE!$AB$18)*(RASANTE!F80-PERALTE!$AB$18)-2))))),IF(AND(AH!$H$24="Derecha",RASANTE!F80&lt;=PERALTE!$AB$22),IF(RASANTE!F80&lt;=PERALTE!$S$22,-2,IF(RASANTE!F80&lt;=PERALTE!$U$22,(-6/(PERALTE!$U$22-PERALTE!$S$22)*(RASANTE!F80-PERALTE!$S$22)-2),IF(RASANTE!F80&lt;=PERALTE!$X$22,-8,IF(RASANTE!F80&lt;=PERALTE!$Z$22,(-6/(PERALTE!$X$22-PERALTE!$Z$22)*(RASANTE!F80-PERALTE!$Z$22)-2),IF(RASANTE!F80&lt;=PERALTE!$AB$22,-2))))),IF(AND(AH!$H$24="Izquierda",RASANTE!F80&lt;=PERALTE!$AB$22),IF(RASANTE!F80&lt;=PERALTE!$Q$22,-2,IF(RASANTE!F80&lt;=PERALTE!$U$22,(10/(PERALTE!$U$22-PERALTE!$Q$22)*(RASANTE!F80-PERALTE!$Q$22)-2),IF(RASANTE!F80&lt;=PERALTE!$X$22,8,IF(RASANTE!F80&lt;=PERALTE!$AB$22,(10/(PERALTE!$X$22-PERALTE!$AB$22)*(RASANTE!F80-PERALTE!$AB$22)-2))))),IF(AND(AH!#REF!="Derecha",RASANTE!F80&lt;=PERALTE!#REF!),IF(RASANTE!F80&lt;=PERALTE!#REF!,-2,IF(RASANTE!F80&lt;=PERALTE!#REF!,(-6/(PERALTE!#REF!-PERALTE!#REF!)*(RASANTE!F80-PERALTE!#REF!)-2),IF(RASANTE!F80&lt;=PERALTE!#REF!,-8,IF(RASANTE!F80&lt;=PERALTE!#REF!,(-6/(PERALTE!#REF!-PERALTE!#REF!)*(RASANTE!F80-PERALTE!#REF!)-2),IF(RASANTE!F80&lt;=PERALTE!#REF!,-2))))),IF(AND(AH!#REF!="Izquierda",RASANTE!F80&lt;=PERALTE!#REF!),IF(RASANTE!F80&lt;=PERALTE!#REF!,-2,IF(RASANTE!F80&lt;=PERALTE!#REF!,(10/(PERALTE!#REF!-PERALTE!#REF!)*(RASANTE!F80-PERALTE!#REF!)-2),IF(RASANTE!F80&lt;=PERALTE!#REF!,8,IF(RASANTE!F80&lt;=PERALTE!#REF!,(10/(PERALTE!#REF!-PERALTE!#REF!)*(RASANTE!F80-PERALTE!#REF!)-2))))),IF(AND(AH!#REF!="Derecha",RASANTE!F80&lt;=PERALTE!$AB$26),IF(RASANTE!F80&lt;=PERALTE!$S$26,-2,IF(RASANTE!F80&lt;=PERALTE!$U$26,(-6/(PERALTE!$U$26-PERALTE!$S$26)*(RASANTE!F80-PERALTE!$S$26)-2),IF(RASANTE!F80&lt;=PERALTE!$X$26,-8,IF(RASANTE!F80&lt;=PERALTE!$Z$26,(-6/(PERALTE!$X$26-PERALTE!$Z$26)*(RASANTE!F80-PERALTE!$Z$26)-2),IF(RASANTE!F80&lt;=PERALTE!$AB$26,-2))))),IF(AND(AH!#REF!="Izquierda",RASANTE!F80&lt;=PERALTE!$AB$26),IF(RASANTE!F80&lt;=PERALTE!$Q$26,-2,IF(RASANTE!F80&lt;=PERALTE!$U$26,(10/(PERALTE!$U$26-PERALTE!$Q$26)*(RASANTE!F80-PERALTE!$Q$26)-2),IF(RASANTE!F80&lt;=PERALTE!$X$26,8,IF(RASANTE!F80&lt;=PERALTE!$AB$26,(10/(PERALTE!$X$26-PERALTE!$AB$26)*(RASANTE!F80-PERALTE!$AB$26)-2))))),IF(F80&lt;=PERALTE!#REF!,-2,"Abscisa fuera de la vía")))))))))))))))))))))</f>
        <v>-8</v>
      </c>
      <c r="J80" s="28">
        <f t="shared" si="4"/>
        <v>1636.1864000000012</v>
      </c>
      <c r="K80" s="28">
        <f>+IF(AND(AV!$S$6&lt;F196,F196&lt;=AV!$T$6),AV!$P$6*((AV!$S$6-RASANTE!F196)/(AV!$N$6))^2,IF(AND(AV!$T$6&lt;RASANTE!F196,F196&lt;AV!$U$6),AV!$P$6*((AV!$U$6-RASANTE!F196)/(AV!$O$6))^2,IF(AND(AV!$S$8&lt;F196,F196&lt;=AV!$T$8),AV!$P$8*((AV!$S$8-RASANTE!F196)/(AV!$N$8))^2,IF(AND(AV!$T$8&lt;RASANTE!F196,F196&lt;AV!$U$8),AV!$P$8*((AV!$U$8-RASANTE!F196)/(AV!$O$8))^2,IF(AND(AV!$S$10&lt;F196,F196&lt;=AV!$T$10),AV!$P$10*((AV!$S$10-RASANTE!F196)/(AV!$N$10))^2,IF(AND(AV!$T$10&lt;RASANTE!F196,F196&lt;AV!$U$10),AV!$P$10*((AV!$U$10-RASANTE!F196)/(AV!$O$10))^2,IF(AND(AV!$S$12&lt;F196,F196&lt;=AV!$T$12),AV!$P$12*((AV!$S$12-RASANTE!F196)/(AV!$N$12))^2,IF(AND(AV!$T$12&lt;RASANTE!F196,F196&lt;AV!$U$12),AV!$P$12*((AV!$U$12-RASANTE!F196)/(AV!$O$12))^2,IF(AND(AV!$S$14&lt;F196,F196&lt;=AV!$T$14),AV!$P$14*((AV!$S$14-RASANTE!F196)/(AV!$N$14))^2,IF(AND(AV!$T$14&lt;RASANTE!F196,F196&lt;AV!$U$14),AV!$P$14*((AV!$U$14-RASANTE!F196)/(AV!$O$14))^2,IF(AND(AV!$S$16&lt;F196,F196&lt;=AV!$T$16),AV!$P$16*((AV!$S$16-RASANTE!F196)/(AV!$N$16))^2,IF(AND(AV!$T$16&lt;RASANTE!F196,F196&lt;AV!$U$16),AV!$P$16*((AV!$U$16-RASANTE!F196)/(AV!$O$16))^2,IF(AND(AV!$S$18&lt;F196,F196&lt;=AV!$T$18),AV!$P$18*((AV!$S$18-RASANTE!F196)/(AV!$N$18))^2,IF(AND(AV!$T$18&lt;RASANTE!F196,F196&lt;AV!$U$18),AV!$P$18*((AV!$U$18-RASANTE!F196)/(AV!$O$18))^2,IF(AND(AV!$S$20&lt;F196,F196&lt;=AV!$T$20),AV!$P$20*((AV!$S$20-RASANTE!F196)/(AV!$N$20))^2,IF(AND(AV!$T$20&lt;RASANTE!F196,F196&lt;AV!$U$20),AV!$P$20*((AV!$U$20-RASANTE!F196)/(AV!$O$20))^2,IF(AND(AV!$S$22&lt;F196,F196&lt;=AV!$T$22),AV!$P$22*((AV!$S$22-RASANTE!F196)/(AV!$N$22))^2,IF(AND(AV!$T$22&lt;RASANTE!F196,F196&lt;AV!$U$22),AV!$P$22*((AV!$U$22-RASANTE!F196)/(AV!$O$22))^2,IF(AND(AV!$S$24&lt;F196,F196&lt;=AV!$T$24),AV!$P$24*((AV!$S$24-RASANTE!F196)/(AV!$N$24))^2,IF(AND(AV!$T$24&lt;RASANTE!F196,F196&lt;AV!$U$24),AV!$P$24*((AV!$U$24-RASANTE!F196)/(AV!$O$24))^2,0))))))))))))))))))))</f>
        <v>0</v>
      </c>
      <c r="L80" s="28">
        <f>+M80+H80%*PERALTE!$C$32</f>
        <v>1636.4664000000012</v>
      </c>
      <c r="M80" s="28">
        <f t="shared" si="3"/>
        <v>1636.1864000000012</v>
      </c>
      <c r="N80" s="28">
        <f>+M80+I80%*PERALTE!$C$32</f>
        <v>1635.9064000000012</v>
      </c>
      <c r="O80" s="92"/>
      <c r="P80" s="84"/>
      <c r="Q80" s="84"/>
      <c r="R80" s="84"/>
      <c r="S80" s="84"/>
      <c r="T80" s="84"/>
      <c r="U80" s="84"/>
      <c r="V80" s="84"/>
      <c r="W80" s="84"/>
      <c r="X80" s="84"/>
      <c r="Y80" s="84"/>
    </row>
    <row r="81" spans="1:25" ht="15.75" customHeight="1" x14ac:dyDescent="0.2">
      <c r="A81" s="90"/>
      <c r="B81" s="86"/>
      <c r="C81" s="86"/>
      <c r="D81" s="86"/>
      <c r="E81" s="91"/>
      <c r="F81" s="34">
        <v>530</v>
      </c>
      <c r="G81" s="88">
        <f>IF(F81&lt;=AV!$T$6,AV!$C$5,IF(RASANTE!F81&lt;=AV!$T$8,AV!$C$7,IF(RASANTE!F81&lt;=AV!$T$10,AV!$C$9,IF(RASANTE!F81&lt;=AV!$T$12,AV!#REF!,IF(RASANTE!F81&lt;=AV!$T$14,AV!$C$11,IF(RASANTE!F81&lt;=AV!$T$16,AV!$C$13, IF(RASANTE!F81&lt;=AV!$T$18,AV!$C$15,IF(RASANTE!F81&lt;=AV!$T$20,AV!$C$19,IF(RASANTE!F81&lt;=AV!$T$22,AV!$C$21,IF(RASANTE!F81&lt;=AV!$T$24,AV!$C$23,AV!$C$25))))))))))</f>
        <v>-3</v>
      </c>
      <c r="H81" s="28">
        <f>+IF(AND(AH!$H$8="Izquierda",RASANTE!F81&lt;=PERALTE!$AB$6),IF(RASANTE!F81&lt;=PERALTE!$S$6,-2,IF(RASANTE!F81&lt;=PERALTE!$U$6,(-6/(PERALTE!$U$6-PERALTE!$S$6)*(RASANTE!F81-PERALTE!$S$6)-2),IF(RASANTE!F81&lt;=PERALTE!$X$6,-8,IF(RASANTE!F81&lt;=PERALTE!$Z$6,(-6/(PERALTE!$X$6-PERALTE!$Z$6)*(RASANTE!F81-PERALTE!$Z$6)-2),IF(RASANTE!F81&lt;=PERALTE!$AB$6,-2))))),IF(AND(AH!$H$8="Derecha",RASANTE!F81&lt;=PERALTE!$AB$6),IF(RASANTE!F81&lt;=PERALTE!$Q$6,-2,IF(RASANTE!F81&lt;=PERALTE!$U$6,(10/(PERALTE!$U$6-PERALTE!$Q$6)*(RASANTE!F81-PERALTE!$Q$6)-2),IF(RASANTE!F81&lt;=PERALTE!$X$6,8,IF(RASANTE!F81&lt;=PERALTE!$AB$6,(10/(PERALTE!$X$6-PERALTE!$AB$6)*(RASANTE!F81-PERALTE!$AB$6)-2))))),IF(AND(AH!$H$10="Izquierda",RASANTE!F81&lt;=PERALTE!$AB$8),IF(RASANTE!F81&lt;=PERALTE!$S$8,-2,IF(RASANTE!F81&lt;=PERALTE!$U$8,(-6/(PERALTE!$U$8-PERALTE!$S$8)*(RASANTE!F81-PERALTE!$S$8)-2),IF(RASANTE!F81&lt;=PERALTE!$X$8,-8,IF(RASANTE!F81&lt;=PERALTE!$Z$8,(-6/(PERALTE!$X$8-PERALTE!$Z$8)*(RASANTE!F81-PERALTE!$Z$8)-2),IF(RASANTE!F81&lt;=PERALTE!$AB$8,-2))))),IF(AND(AH!$H$10="Derecha",RASANTE!F81&lt;=PERALTE!$AB$8),IF(RASANTE!F81&lt;=PERALTE!$Q$8,-2,IF(RASANTE!F81&lt;=PERALTE!$U$8,(10/(PERALTE!$U$8-PERALTE!$Q$8)*(RASANTE!F81-PERALTE!$Q$8)-2),IF(RASANTE!F81&lt;=PERALTE!$X$8,8,IF(RASANTE!F81&lt;=PERALTE!$AB$8,(10/(PERALTE!$X$8-PERALTE!$AB$8)*(RASANTE!F81-PERALTE!$AB$8)-2))))),IF(AND(AH!$H$12="Izquierda",RASANTE!F81&lt;=PERALTE!$AB$10),IF(RASANTE!F81&lt;=PERALTE!$S$10,-2,IF(RASANTE!F81&lt;=PERALTE!$U$10,(-6/(PERALTE!$U$10-PERALTE!$S$10)*(RASANTE!F81-PERALTE!$S$10)-2),IF(RASANTE!F81&lt;=PERALTE!$X$10,-8,IF(RASANTE!F81&lt;=PERALTE!$Z$10,(-6/(PERALTE!$X$10-PERALTE!$Z$10)*(RASANTE!F81-PERALTE!$Z$10)-2),IF(RASANTE!F81&lt;=PERALTE!$AB$10,-2))))),IF(AND(AH!$H$12="Derecha",RASANTE!F81&lt;=PERALTE!$AB$10),IF(RASANTE!F81&lt;=PERALTE!$Q$10,-2,IF(RASANTE!F81&lt;=PERALTE!$U$10,(10/(PERALTE!$U$10-PERALTE!$Q$10)*(RASANTE!F81-PERALTE!$Q$10)-2),IF(RASANTE!F81&lt;=PERALTE!$X$10,8,IF(RASANTE!F81&lt;=PERALTE!$AB$10,(10/(PERALTE!$X$10-PERALTE!$AB$10)*(RASANTE!F81-PERALTE!$AB$10)-2))))),IF(AND(AH!$H$14="Izquierda",RASANTE!F81&lt;=PERALTE!$AB$12),IF(RASANTE!F81&lt;=PERALTE!$S$12,-2,IF(RASANTE!F81&lt;=PERALTE!$U$12,(-6/(PERALTE!$U$12-PERALTE!$S$12)*(RASANTE!F81-PERALTE!$S$12)-2),IF(RASANTE!F81&lt;=PERALTE!$X$12,-8,IF(RASANTE!F81&lt;=PERALTE!$Z$12,(-6/(PERALTE!$X$12-PERALTE!$Z$12)*(RASANTE!F81-PERALTE!$Z$12)-2),IF(RASANTE!F81&lt;=PERALTE!$AB$12,-2))))),IF(AND(AH!$H$14="Derecha",RASANTE!F81&lt;=PERALTE!$AB$12),IF(RASANTE!F81&lt;=PERALTE!$Q$12,-2,IF(RASANTE!F81&lt;=PERALTE!$U$12,(10/(PERALTE!$U$12-PERALTE!$Q$12)*(RASANTE!F81-PERALTE!$Q$12)-2),IF(RASANTE!F81&lt;=PERALTE!$X$12,8,IF(RASANTE!F81&lt;=PERALTE!$AB$12,(10/(PERALTE!$X$12-PERALTE!$AB$12)*(RASANTE!F81-PERALTE!$AB$12)-2))))),IF(AND(AH!$H$16="Izquierda",RASANTE!F81&lt;=PERALTE!$AB$14),IF(RASANTE!F81&lt;=PERALTE!$S$14,-2,IF(RASANTE!F81&lt;=PERALTE!$U$14,(-6/(PERALTE!$U$14-PERALTE!$S$14)*(RASANTE!F81-PERALTE!$S$14)-2),IF(RASANTE!F81&lt;=PERALTE!$X$14,-8,IF(RASANTE!F81&lt;=PERALTE!$Z$14,(-6/(PERALTE!$X$14-PERALTE!$Z$14)*(RASANTE!F81-PERALTE!$Z$14)-2),IF(RASANTE!F81&lt;=PERALTE!$AB$14,-2))))),IF(AND(AH!$H$16="Derecha",RASANTE!F81&lt;=PERALTE!$AB$14),IF(RASANTE!F81&lt;=PERALTE!$Q$14,-2,IF(RASANTE!F81&lt;=PERALTE!$U$14,(10/(PERALTE!$U$14-PERALTE!$Q$14)*(RASANTE!F81-PERALTE!$Q$14)-2),IF(RASANTE!F81&lt;=PERALTE!$X$14,8,IF(RASANTE!F81&lt;=PERALTE!$AB$14,(10/(PERALTE!$X$14-PERALTE!$AB$14)*(RASANTE!F81-PERALTE!$AB$14)-2))))),IF(AND(AH!$H$18="Izquierda",RASANTE!F81&lt;=PERALTE!$AB$16),IF(RASANTE!F81&lt;=PERALTE!$S$16,-2,IF(RASANTE!F81&lt;=PERALTE!$U$16,(-6/(PERALTE!$U$16-PERALTE!$S$16)*(RASANTE!F81-PERALTE!$S$16)-2),IF(RASANTE!F81&lt;=PERALTE!$X$16,-8,IF(RASANTE!F81&lt;=PERALTE!$Z$16,(-6/(PERALTE!$X$16-PERALTE!$Z$16)*(RASANTE!F81-PERALTE!$Z$16)-2),IF(RASANTE!F81&lt;=PERALTE!$AB$16,-2))))),IF(AND(AH!$H$18="Derecha",RASANTE!F81&lt;=PERALTE!$AB$16),IF(RASANTE!F81&lt;=PERALTE!$Q$16,-2,IF(RASANTE!F81&lt;=PERALTE!$U$16,(10/(PERALTE!$U$16-PERALTE!$Q$16)*(RASANTE!F81-PERALTE!$Q$16)-2),IF(RASANTE!F81&lt;=PERALTE!$X$16,8,IF(RASANTE!F81&lt;=PERALTE!$AB$16,(10/(PERALTE!$X$16-PERALTE!$AB$16)*(RASANTE!F81-PERALTE!$AB$16)-2))))),IF(AND(AH!$H$20="Izquierda",RASANTE!F81&lt;=PERALTE!$AB$18),IF(RASANTE!F81&lt;=PERALTE!$S$18,-2,IF(RASANTE!F81&lt;=PERALTE!$U$18,(-6/(PERALTE!$U$18-PERALTE!$S$18)*(RASANTE!F81-PERALTE!$S$18)-2),IF(RASANTE!F81&lt;=PERALTE!$X$18,-8,IF(RASANTE!F81&lt;=PERALTE!$Z$18,(-6/(PERALTE!$X$18-PERALTE!$Z$18)*(RASANTE!F81-PERALTE!$Z$18)-2),IF(RASANTE!F81&lt;=PERALTE!$AB$18,-2))))),IF(AND(AH!$H$20="Derecha",RASANTE!F81&lt;=PERALTE!$AB$18),IF(RASANTE!F81&lt;=PERALTE!$Q$18,-2,IF(RASANTE!F81&lt;=PERALTE!$U$18,(10/(PERALTE!$U$18-PERALTE!$Q$18)*(RASANTE!F81-PERALTE!$Q$18)-2),IF(RASANTE!F81&lt;=PERALTE!$X$18,8,IF(RASANTE!F81&lt;=PERALTE!$AB$18,(10/(PERALTE!$X$18-PERALTE!$AB$18)*(RASANTE!F81-PERALTE!$AB$18)-2))))),IF(AND(AH!$H$24="Izquierda",RASANTE!F81&lt;=PERALTE!$AB$22),IF(RASANTE!F81&lt;=PERALTE!$S$22,-2,IF(RASANTE!F81&lt;=PERALTE!$U$22,(-6/(PERALTE!$U$22-PERALTE!$S$22)*(RASANTE!F81-PERALTE!$S$22)-2),IF(RASANTE!F81&lt;=PERALTE!$X$22,-8,IF(RASANTE!F81&lt;=PERALTE!$Z$22,(-6/(PERALTE!$X$22-PERALTE!$Z$22)*(RASANTE!F81-PERALTE!$Z$22)-2),IF(RASANTE!F81&lt;=PERALTE!$AB$22,-2))))),IF(AND(AH!$H$24="Derecha",RASANTE!F81&lt;=PERALTE!$AB$22),IF(RASANTE!F81&lt;=PERALTE!$Q$22,-2,IF(RASANTE!F81&lt;=PERALTE!$U$22,(10/(PERALTE!$U$22-PERALTE!$Q$22)*(RASANTE!F81-PERALTE!$Q$22)-2),IF(RASANTE!F81&lt;=PERALTE!$X$22,8,IF(RASANTE!F81&lt;=PERALTE!$AB$22,(10/(PERALTE!$X$22-PERALTE!$AB$22)*(RASANTE!F81-PERALTE!$AB$22)-2))))),IF(AND(AH!#REF!="Izquierda",RASANTE!F81&lt;=PERALTE!#REF!),IF(RASANTE!F81&lt;=PERALTE!#REF!,-2,IF(RASANTE!F81&lt;=PERALTE!#REF!,(-6/(PERALTE!#REF!-PERALTE!#REF!)*(RASANTE!F81-PERALTE!#REF!)-2),IF(RASANTE!F81&lt;=PERALTE!#REF!,-8,IF(RASANTE!F81&lt;=PERALTE!#REF!,(-6/(PERALTE!#REF!-PERALTE!#REF!)*(RASANTE!F81-PERALTE!#REF!)-2),IF(RASANTE!F81&lt;=PERALTE!#REF!,-2))))),IF(AND(AH!#REF!="Derecha",RASANTE!F81&lt;=PERALTE!#REF!),IF(RASANTE!F81&lt;=PERALTE!#REF!,-2,IF(RASANTE!F81&lt;=PERALTE!#REF!,(10/(PERALTE!#REF!-PERALTE!#REF!)*(RASANTE!F81-PERALTE!#REF!)-2),IF(RASANTE!F81&lt;=PERALTE!#REF!,8,IF(RASANTE!F81&lt;=PERALTE!#REF!,(10/(PERALTE!#REF!-PERALTE!#REF!)*(RASANTE!F81-PERALTE!#REF!)-2))))),IF(AND(AH!#REF!="Izquierda",RASANTE!F81&lt;=PERALTE!$AB$26),IF(RASANTE!F81&lt;=PERALTE!$S$26,-2,IF(RASANTE!F81&lt;=PERALTE!$U$26,(-6/(PERALTE!$U$26-PERALTE!$S$26)*(RASANTE!F81-PERALTE!$S$26)-2),IF(RASANTE!F81&lt;=PERALTE!$X$26,-8,IF(RASANTE!F81&lt;=PERALTE!$Z$26,(-6/(PERALTE!$X$26-PERALTE!$Z$26)*(RASANTE!F81-PERALTE!$Z$26)-2),IF(RASANTE!F81&lt;=PERALTE!$AB$26,-2))))),IF(AND(AH!#REF!="Derecha",RASANTE!F81&lt;=PERALTE!$AB$26),IF(RASANTE!F81&lt;=PERALTE!$Q$26,-2,IF(RASANTE!F81&lt;=PERALTE!$U$26,(10/(PERALTE!$U$26-PERALTE!$Q$26)*(RASANTE!F81-PERALTE!$Q$26)-2),IF(RASANTE!F81&lt;=PERALTE!$X$26,8,IF(RASANTE!F81&lt;=PERALTE!$AB$26,(10/(PERALTE!$X$26-PERALTE!$AB$26)*(RASANTE!F81-PERALTE!$AB$26)-2))))),IF(F81&lt;=PERALTE!#REF!,-2,"Abscisa fuera de la vía")))))))))))))))))))))</f>
        <v>8</v>
      </c>
      <c r="I81" s="28">
        <f>+IF(AND(AH!$H$8="Derecha",RASANTE!F81&lt;=PERALTE!$AB$6),IF(RASANTE!F81&lt;=PERALTE!$S$6,-2,IF(RASANTE!F81&lt;=PERALTE!$U$6,(-6/(PERALTE!$U$6-PERALTE!$S$6)*(RASANTE!F81-PERALTE!$S$6)-2),IF(RASANTE!F81&lt;=PERALTE!$X$6,-8,IF(RASANTE!F81&lt;=PERALTE!$Z$6,(-6/(PERALTE!$X$6-PERALTE!$Z$6)*(RASANTE!F81-PERALTE!$Z$6)-2),IF(RASANTE!F81&lt;=PERALTE!$AB$6,-2))))),IF(AND(AH!$H$8="Izquierda",RASANTE!F81&lt;=PERALTE!$AB$6),IF(RASANTE!F81&lt;=PERALTE!$Q$6,-2,IF(RASANTE!F81&lt;=PERALTE!$U$6,(10/(PERALTE!$U$6-PERALTE!$Q$6)*(RASANTE!F81-PERALTE!$Q$6)-2),IF(RASANTE!F81&lt;=PERALTE!$X$6,8,IF(RASANTE!F81&lt;=PERALTE!$AB$6,(10/(PERALTE!$X$6-PERALTE!$AB$6)*(RASANTE!F81-PERALTE!$AB$6)-2))))),IF(AND(AH!$H$10="Derecha",RASANTE!F81&lt;=PERALTE!$AB$8),IF(RASANTE!F81&lt;=PERALTE!$S$8,-2,IF(RASANTE!F81&lt;=PERALTE!$U$8,(-6/(PERALTE!$U$8-PERALTE!$S$8)*(RASANTE!F81-PERALTE!$S$8)-2),IF(RASANTE!F81&lt;=PERALTE!$X$8,-8,IF(RASANTE!F81&lt;=PERALTE!$Z$8,(-6/(PERALTE!$X$8-PERALTE!$Z$8)*(RASANTE!F81-PERALTE!$Z$8)-2),IF(RASANTE!F81&lt;=PERALTE!$AB$8,-2))))),IF(AND(AH!$H$10="Izquierda",RASANTE!F81&lt;=PERALTE!$AB$8),IF(RASANTE!F81&lt;=PERALTE!$Q$8,-2,IF(RASANTE!F81&lt;=PERALTE!$U$8,(10/(PERALTE!$U$8-PERALTE!$Q$8)*(RASANTE!F81-PERALTE!$Q$8)-2),IF(RASANTE!F81&lt;=PERALTE!$X$8,8,IF(RASANTE!F81&lt;=PERALTE!$AB$8,(10/(PERALTE!$X$8-PERALTE!$AB$8)*(RASANTE!F81-PERALTE!$AB$8)-2))))),IF(AND(AH!$H$12="Derecha",RASANTE!F81&lt;=PERALTE!$AB$10),IF(RASANTE!F81&lt;=PERALTE!$S$10,-2,IF(RASANTE!F81&lt;=PERALTE!$U$10,(-6/(PERALTE!$U$10-PERALTE!$S$10)*(RASANTE!F81-PERALTE!$S$10)-2),IF(RASANTE!F81&lt;=PERALTE!$X$10,-8,IF(RASANTE!F81&lt;=PERALTE!$Z$10,(-6/(PERALTE!$X$10-PERALTE!$Z$10)*(RASANTE!F81-PERALTE!$Z$10)-2),IF(RASANTE!F81&lt;=PERALTE!$AB$10,-2))))),IF(AND(AH!$H$12="Izquierda",RASANTE!F81&lt;=PERALTE!$AB$10),IF(RASANTE!F81&lt;=PERALTE!$Q$10,-2,IF(RASANTE!F81&lt;=PERALTE!$U$10,(10/(PERALTE!$U$10-PERALTE!$Q$10)*(RASANTE!F81-PERALTE!$Q$10)-2),IF(RASANTE!F81&lt;=PERALTE!$X$10,8,IF(RASANTE!F81&lt;=PERALTE!$AB$10,(10/(PERALTE!$X$10-PERALTE!$AB$10)*(RASANTE!F81-PERALTE!$AB$10)-2))))),IF(AND(AH!$H$14="Derecha",RASANTE!F81&lt;=PERALTE!$AB$12),IF(RASANTE!F81&lt;=PERALTE!$S$12,-2,IF(RASANTE!F81&lt;=PERALTE!$U$12,(-6/(PERALTE!$U$12-PERALTE!$S$12)*(RASANTE!F81-PERALTE!$S$12)-2),IF(RASANTE!F81&lt;=PERALTE!$X$12,-8,IF(RASANTE!F81&lt;=PERALTE!$Z$12,(-6/(PERALTE!$X$12-PERALTE!$Z$12)*(RASANTE!F81-PERALTE!$Z$12)-2),IF(RASANTE!F81&lt;=PERALTE!$AB$12,-2))))),IF(AND(AH!$H$14="Izquierda",RASANTE!F81&lt;=PERALTE!$AB$12),IF(RASANTE!F81&lt;=PERALTE!$Q$12,-2,IF(RASANTE!F81&lt;=PERALTE!$U$12,(10/(PERALTE!$U$12-PERALTE!$Q$12)*(RASANTE!F81-PERALTE!$Q$12)-2),IF(RASANTE!F81&lt;=PERALTE!$X$12,8,IF(RASANTE!F81&lt;=PERALTE!$AB$12,(10/(PERALTE!$X$12-PERALTE!$AB$12)*(RASANTE!F81-PERALTE!$AB$12)-2))))),IF(AND(AH!$H$16="Derecha",RASANTE!F81&lt;=PERALTE!$AB$14),IF(RASANTE!F81&lt;=PERALTE!$S$14,-2,IF(RASANTE!F81&lt;=PERALTE!$U$14,(-6/(PERALTE!$U$14-PERALTE!$S$14)*(RASANTE!F81-PERALTE!$S$14)-2),IF(RASANTE!F81&lt;=PERALTE!$X$14,-8,IF(RASANTE!F81&lt;=PERALTE!$Z$14,(-6/(PERALTE!$X$14-PERALTE!$Z$14)*(RASANTE!F81-PERALTE!$Z$14)-2),IF(RASANTE!F81&lt;=PERALTE!$AB$14,-2))))),IF(AND(AH!$H$16="Izquierda",RASANTE!F81&lt;=PERALTE!$AB$14),IF(RASANTE!F81&lt;=PERALTE!$Q$14,-2,IF(RASANTE!F81&lt;=PERALTE!$U$14,(10/(PERALTE!$U$14-PERALTE!$Q$14)*(RASANTE!F81-PERALTE!$Q$14)-2),IF(RASANTE!F81&lt;=PERALTE!$X$14,8,IF(RASANTE!F81&lt;=PERALTE!$AB$14,(10/(PERALTE!$X$14-PERALTE!$AB$14)*(RASANTE!F81-PERALTE!$AB$14)-2))))),IF(AND(AH!$H$18="Derecha",RASANTE!F81&lt;=PERALTE!$AB$16),IF(RASANTE!F81&lt;=PERALTE!$S$16,-2,IF(RASANTE!F81&lt;=PERALTE!$U$16,(-6/(PERALTE!$U$16-PERALTE!$S$16)*(RASANTE!F81-PERALTE!$S$16)-2),IF(RASANTE!F81&lt;=PERALTE!$X$16,-8,IF(RASANTE!F81&lt;=PERALTE!$Z$16,(-6/(PERALTE!$X$16-PERALTE!$Z$16)*(RASANTE!F81-PERALTE!$Z$16)-2),IF(RASANTE!F81&lt;=PERALTE!$AB$16,-2))))),IF(AND(AH!$H$18="Izquierda",RASANTE!F81&lt;=PERALTE!$AB$16),IF(RASANTE!F81&lt;=PERALTE!$Q$16,-2,IF(RASANTE!F81&lt;=PERALTE!$U$16,(10/(PERALTE!$U$16-PERALTE!$Q$16)*(RASANTE!F81-PERALTE!$Q$16)-2),IF(RASANTE!F81&lt;=PERALTE!$X$16,8,IF(RASANTE!F81&lt;=PERALTE!$AB$16,(10/(PERALTE!$X$16-PERALTE!$AB$16)*(RASANTE!F81-PERALTE!$AB$16)-2))))),IF(AND(AH!$H$20="Derecha",RASANTE!F81&lt;=PERALTE!$AB$18),IF(RASANTE!F81&lt;=PERALTE!$S$18,-2,IF(RASANTE!F81&lt;=PERALTE!$U$18,(-6/(PERALTE!$U$18-PERALTE!$S$18)*(RASANTE!F81-PERALTE!$S$18)-2),IF(RASANTE!F81&lt;=PERALTE!$X$18,-8,IF(RASANTE!F81&lt;=PERALTE!$Z$18,(-6/(PERALTE!$X$18-PERALTE!$Z$18)*(RASANTE!F81-PERALTE!$Z$18)-2),IF(RASANTE!F81&lt;=PERALTE!$AB$18,-2))))),IF(AND(AH!$H$20="Izquierda",RASANTE!F81&lt;=PERALTE!$AB$18),IF(RASANTE!F81&lt;=PERALTE!$Q$18,-2,IF(RASANTE!F81&lt;=PERALTE!$U$18,(10/(PERALTE!$U$18-PERALTE!$Q$18)*(RASANTE!F81-PERALTE!$Q$18)-2),IF(RASANTE!F81&lt;=PERALTE!$X$18,8,IF(RASANTE!F81&lt;=PERALTE!$AB$18,(10/(PERALTE!$X$18-PERALTE!$AB$18)*(RASANTE!F81-PERALTE!$AB$18)-2))))),IF(AND(AH!$H$24="Derecha",RASANTE!F81&lt;=PERALTE!$AB$22),IF(RASANTE!F81&lt;=PERALTE!$S$22,-2,IF(RASANTE!F81&lt;=PERALTE!$U$22,(-6/(PERALTE!$U$22-PERALTE!$S$22)*(RASANTE!F81-PERALTE!$S$22)-2),IF(RASANTE!F81&lt;=PERALTE!$X$22,-8,IF(RASANTE!F81&lt;=PERALTE!$Z$22,(-6/(PERALTE!$X$22-PERALTE!$Z$22)*(RASANTE!F81-PERALTE!$Z$22)-2),IF(RASANTE!F81&lt;=PERALTE!$AB$22,-2))))),IF(AND(AH!$H$24="Izquierda",RASANTE!F81&lt;=PERALTE!$AB$22),IF(RASANTE!F81&lt;=PERALTE!$Q$22,-2,IF(RASANTE!F81&lt;=PERALTE!$U$22,(10/(PERALTE!$U$22-PERALTE!$Q$22)*(RASANTE!F81-PERALTE!$Q$22)-2),IF(RASANTE!F81&lt;=PERALTE!$X$22,8,IF(RASANTE!F81&lt;=PERALTE!$AB$22,(10/(PERALTE!$X$22-PERALTE!$AB$22)*(RASANTE!F81-PERALTE!$AB$22)-2))))),IF(AND(AH!#REF!="Derecha",RASANTE!F81&lt;=PERALTE!#REF!),IF(RASANTE!F81&lt;=PERALTE!#REF!,-2,IF(RASANTE!F81&lt;=PERALTE!#REF!,(-6/(PERALTE!#REF!-PERALTE!#REF!)*(RASANTE!F81-PERALTE!#REF!)-2),IF(RASANTE!F81&lt;=PERALTE!#REF!,-8,IF(RASANTE!F81&lt;=PERALTE!#REF!,(-6/(PERALTE!#REF!-PERALTE!#REF!)*(RASANTE!F81-PERALTE!#REF!)-2),IF(RASANTE!F81&lt;=PERALTE!#REF!,-2))))),IF(AND(AH!#REF!="Izquierda",RASANTE!F81&lt;=PERALTE!#REF!),IF(RASANTE!F81&lt;=PERALTE!#REF!,-2,IF(RASANTE!F81&lt;=PERALTE!#REF!,(10/(PERALTE!#REF!-PERALTE!#REF!)*(RASANTE!F81-PERALTE!#REF!)-2),IF(RASANTE!F81&lt;=PERALTE!#REF!,8,IF(RASANTE!F81&lt;=PERALTE!#REF!,(10/(PERALTE!#REF!-PERALTE!#REF!)*(RASANTE!F81-PERALTE!#REF!)-2))))),IF(AND(AH!#REF!="Derecha",RASANTE!F81&lt;=PERALTE!$AB$26),IF(RASANTE!F81&lt;=PERALTE!$S$26,-2,IF(RASANTE!F81&lt;=PERALTE!$U$26,(-6/(PERALTE!$U$26-PERALTE!$S$26)*(RASANTE!F81-PERALTE!$S$26)-2),IF(RASANTE!F81&lt;=PERALTE!$X$26,-8,IF(RASANTE!F81&lt;=PERALTE!$Z$26,(-6/(PERALTE!$X$26-PERALTE!$Z$26)*(RASANTE!F81-PERALTE!$Z$26)-2),IF(RASANTE!F81&lt;=PERALTE!$AB$26,-2))))),IF(AND(AH!#REF!="Izquierda",RASANTE!F81&lt;=PERALTE!$AB$26),IF(RASANTE!F81&lt;=PERALTE!$Q$26,-2,IF(RASANTE!F81&lt;=PERALTE!$U$26,(10/(PERALTE!$U$26-PERALTE!$Q$26)*(RASANTE!F81-PERALTE!$Q$26)-2),IF(RASANTE!F81&lt;=PERALTE!$X$26,8,IF(RASANTE!F81&lt;=PERALTE!$AB$26,(10/(PERALTE!$X$26-PERALTE!$AB$26)*(RASANTE!F81-PERALTE!$AB$26)-2))))),IF(F81&lt;=PERALTE!#REF!,-2,"Abscisa fuera de la vía")))))))))))))))))))))</f>
        <v>-8</v>
      </c>
      <c r="J81" s="28">
        <f t="shared" si="4"/>
        <v>1635.8864000000012</v>
      </c>
      <c r="K81" s="28">
        <f>+IF(AND(AV!$S$6&lt;F197,F197&lt;=AV!$T$6),AV!$P$6*((AV!$S$6-RASANTE!F197)/(AV!$N$6))^2,IF(AND(AV!$T$6&lt;RASANTE!F197,F197&lt;AV!$U$6),AV!$P$6*((AV!$U$6-RASANTE!F197)/(AV!$O$6))^2,IF(AND(AV!$S$8&lt;F197,F197&lt;=AV!$T$8),AV!$P$8*((AV!$S$8-RASANTE!F197)/(AV!$N$8))^2,IF(AND(AV!$T$8&lt;RASANTE!F197,F197&lt;AV!$U$8),AV!$P$8*((AV!$U$8-RASANTE!F197)/(AV!$O$8))^2,IF(AND(AV!$S$10&lt;F197,F197&lt;=AV!$T$10),AV!$P$10*((AV!$S$10-RASANTE!F197)/(AV!$N$10))^2,IF(AND(AV!$T$10&lt;RASANTE!F197,F197&lt;AV!$U$10),AV!$P$10*((AV!$U$10-RASANTE!F197)/(AV!$O$10))^2,IF(AND(AV!$S$12&lt;F197,F197&lt;=AV!$T$12),AV!$P$12*((AV!$S$12-RASANTE!F197)/(AV!$N$12))^2,IF(AND(AV!$T$12&lt;RASANTE!F197,F197&lt;AV!$U$12),AV!$P$12*((AV!$U$12-RASANTE!F197)/(AV!$O$12))^2,IF(AND(AV!$S$14&lt;F197,F197&lt;=AV!$T$14),AV!$P$14*((AV!$S$14-RASANTE!F197)/(AV!$N$14))^2,IF(AND(AV!$T$14&lt;RASANTE!F197,F197&lt;AV!$U$14),AV!$P$14*((AV!$U$14-RASANTE!F197)/(AV!$O$14))^2,IF(AND(AV!$S$16&lt;F197,F197&lt;=AV!$T$16),AV!$P$16*((AV!$S$16-RASANTE!F197)/(AV!$N$16))^2,IF(AND(AV!$T$16&lt;RASANTE!F197,F197&lt;AV!$U$16),AV!$P$16*((AV!$U$16-RASANTE!F197)/(AV!$O$16))^2,IF(AND(AV!$S$18&lt;F197,F197&lt;=AV!$T$18),AV!$P$18*((AV!$S$18-RASANTE!F197)/(AV!$N$18))^2,IF(AND(AV!$T$18&lt;RASANTE!F197,F197&lt;AV!$U$18),AV!$P$18*((AV!$U$18-RASANTE!F197)/(AV!$O$18))^2,IF(AND(AV!$S$20&lt;F197,F197&lt;=AV!$T$20),AV!$P$20*((AV!$S$20-RASANTE!F197)/(AV!$N$20))^2,IF(AND(AV!$T$20&lt;RASANTE!F197,F197&lt;AV!$U$20),AV!$P$20*((AV!$U$20-RASANTE!F197)/(AV!$O$20))^2,IF(AND(AV!$S$22&lt;F197,F197&lt;=AV!$T$22),AV!$P$22*((AV!$S$22-RASANTE!F197)/(AV!$N$22))^2,IF(AND(AV!$T$22&lt;RASANTE!F197,F197&lt;AV!$U$22),AV!$P$22*((AV!$U$22-RASANTE!F197)/(AV!$O$22))^2,IF(AND(AV!$S$24&lt;F197,F197&lt;=AV!$T$24),AV!$P$24*((AV!$S$24-RASANTE!F197)/(AV!$N$24))^2,IF(AND(AV!$T$24&lt;RASANTE!F197,F197&lt;AV!$U$24),AV!$P$24*((AV!$U$24-RASANTE!F197)/(AV!$O$24))^2,0))))))))))))))))))))</f>
        <v>0</v>
      </c>
      <c r="L81" s="28">
        <f>+M81+H81%*PERALTE!$C$32</f>
        <v>1636.1664000000012</v>
      </c>
      <c r="M81" s="28">
        <f t="shared" si="3"/>
        <v>1635.8864000000012</v>
      </c>
      <c r="N81" s="28">
        <f>+M81+I81%*PERALTE!$C$32</f>
        <v>1635.6064000000013</v>
      </c>
      <c r="O81" s="92"/>
      <c r="P81" s="84"/>
      <c r="Q81" s="84"/>
      <c r="R81" s="84"/>
      <c r="S81" s="84"/>
      <c r="T81" s="84"/>
      <c r="U81" s="84"/>
      <c r="V81" s="84"/>
      <c r="W81" s="84"/>
      <c r="X81" s="84"/>
      <c r="Y81" s="84"/>
    </row>
    <row r="82" spans="1:25" ht="15.75" customHeight="1" x14ac:dyDescent="0.2">
      <c r="A82" s="139" t="s">
        <v>199</v>
      </c>
      <c r="E82" s="91"/>
      <c r="F82" s="34">
        <f>PERALTE!W8</f>
        <v>537.2020565397039</v>
      </c>
      <c r="G82" s="88">
        <f>IF(F82&lt;=AV!$T$6,AV!$C$5,IF(RASANTE!F82&lt;=AV!$T$8,AV!$C$7,IF(RASANTE!F82&lt;=AV!$T$10,AV!$C$9,IF(RASANTE!F82&lt;=AV!$T$12,AV!#REF!,IF(RASANTE!F82&lt;=AV!$T$14,AV!$C$11,IF(RASANTE!F82&lt;=AV!$T$16,AV!$C$13, IF(RASANTE!F82&lt;=AV!$T$18,AV!$C$15,IF(RASANTE!F82&lt;=AV!$T$20,AV!$C$19,IF(RASANTE!F82&lt;=AV!$T$22,AV!$C$21,IF(RASANTE!F82&lt;=AV!$T$24,AV!$C$23,AV!$C$25))))))))))</f>
        <v>-3</v>
      </c>
      <c r="H82" s="28">
        <f>+IF(AND(AH!$H$8="Izquierda",RASANTE!F82&lt;=PERALTE!$AB$6),IF(RASANTE!F82&lt;=PERALTE!$S$6,-2,IF(RASANTE!F82&lt;=PERALTE!$U$6,(-6/(PERALTE!$U$6-PERALTE!$S$6)*(RASANTE!F82-PERALTE!$S$6)-2),IF(RASANTE!F82&lt;=PERALTE!$X$6,-8,IF(RASANTE!F82&lt;=PERALTE!$Z$6,(-6/(PERALTE!$X$6-PERALTE!$Z$6)*(RASANTE!F82-PERALTE!$Z$6)-2),IF(RASANTE!F82&lt;=PERALTE!$AB$6,-2))))),IF(AND(AH!$H$8="Derecha",RASANTE!F82&lt;=PERALTE!$AB$6),IF(RASANTE!F82&lt;=PERALTE!$Q$6,-2,IF(RASANTE!F82&lt;=PERALTE!$U$6,(10/(PERALTE!$U$6-PERALTE!$Q$6)*(RASANTE!F82-PERALTE!$Q$6)-2),IF(RASANTE!F82&lt;=PERALTE!$X$6,8,IF(RASANTE!F82&lt;=PERALTE!$AB$6,(10/(PERALTE!$X$6-PERALTE!$AB$6)*(RASANTE!F82-PERALTE!$AB$6)-2))))),IF(AND(AH!$H$10="Izquierda",RASANTE!F82&lt;=PERALTE!$AB$8),IF(RASANTE!F82&lt;=PERALTE!$S$8,-2,IF(RASANTE!F82&lt;=PERALTE!$U$8,(-6/(PERALTE!$U$8-PERALTE!$S$8)*(RASANTE!F82-PERALTE!$S$8)-2),IF(RASANTE!F82&lt;=PERALTE!$X$8,-8,IF(RASANTE!F82&lt;=PERALTE!$Z$8,(-6/(PERALTE!$X$8-PERALTE!$Z$8)*(RASANTE!F82-PERALTE!$Z$8)-2),IF(RASANTE!F82&lt;=PERALTE!$AB$8,-2))))),IF(AND(AH!$H$10="Derecha",RASANTE!F82&lt;=PERALTE!$AB$8),IF(RASANTE!F82&lt;=PERALTE!$Q$8,-2,IF(RASANTE!F82&lt;=PERALTE!$U$8,(10/(PERALTE!$U$8-PERALTE!$Q$8)*(RASANTE!F82-PERALTE!$Q$8)-2),IF(RASANTE!F82&lt;=PERALTE!$X$8,8,IF(RASANTE!F82&lt;=PERALTE!$AB$8,(10/(PERALTE!$X$8-PERALTE!$AB$8)*(RASANTE!F82-PERALTE!$AB$8)-2))))),IF(AND(AH!$H$12="Izquierda",RASANTE!F82&lt;=PERALTE!$AB$10),IF(RASANTE!F82&lt;=PERALTE!$S$10,-2,IF(RASANTE!F82&lt;=PERALTE!$U$10,(-6/(PERALTE!$U$10-PERALTE!$S$10)*(RASANTE!F82-PERALTE!$S$10)-2),IF(RASANTE!F82&lt;=PERALTE!$X$10,-8,IF(RASANTE!F82&lt;=PERALTE!$Z$10,(-6/(PERALTE!$X$10-PERALTE!$Z$10)*(RASANTE!F82-PERALTE!$Z$10)-2),IF(RASANTE!F82&lt;=PERALTE!$AB$10,-2))))),IF(AND(AH!$H$12="Derecha",RASANTE!F82&lt;=PERALTE!$AB$10),IF(RASANTE!F82&lt;=PERALTE!$Q$10,-2,IF(RASANTE!F82&lt;=PERALTE!$U$10,(10/(PERALTE!$U$10-PERALTE!$Q$10)*(RASANTE!F82-PERALTE!$Q$10)-2),IF(RASANTE!F82&lt;=PERALTE!$X$10,8,IF(RASANTE!F82&lt;=PERALTE!$AB$10,(10/(PERALTE!$X$10-PERALTE!$AB$10)*(RASANTE!F82-PERALTE!$AB$10)-2))))),IF(AND(AH!$H$14="Izquierda",RASANTE!F82&lt;=PERALTE!$AB$12),IF(RASANTE!F82&lt;=PERALTE!$S$12,-2,IF(RASANTE!F82&lt;=PERALTE!$U$12,(-6/(PERALTE!$U$12-PERALTE!$S$12)*(RASANTE!F82-PERALTE!$S$12)-2),IF(RASANTE!F82&lt;=PERALTE!$X$12,-8,IF(RASANTE!F82&lt;=PERALTE!$Z$12,(-6/(PERALTE!$X$12-PERALTE!$Z$12)*(RASANTE!F82-PERALTE!$Z$12)-2),IF(RASANTE!F82&lt;=PERALTE!$AB$12,-2))))),IF(AND(AH!$H$14="Derecha",RASANTE!F82&lt;=PERALTE!$AB$12),IF(RASANTE!F82&lt;=PERALTE!$Q$12,-2,IF(RASANTE!F82&lt;=PERALTE!$U$12,(10/(PERALTE!$U$12-PERALTE!$Q$12)*(RASANTE!F82-PERALTE!$Q$12)-2),IF(RASANTE!F82&lt;=PERALTE!$X$12,8,IF(RASANTE!F82&lt;=PERALTE!$AB$12,(10/(PERALTE!$X$12-PERALTE!$AB$12)*(RASANTE!F82-PERALTE!$AB$12)-2))))),IF(AND(AH!$H$16="Izquierda",RASANTE!F82&lt;=PERALTE!$AB$14),IF(RASANTE!F82&lt;=PERALTE!$S$14,-2,IF(RASANTE!F82&lt;=PERALTE!$U$14,(-6/(PERALTE!$U$14-PERALTE!$S$14)*(RASANTE!F82-PERALTE!$S$14)-2),IF(RASANTE!F82&lt;=PERALTE!$X$14,-8,IF(RASANTE!F82&lt;=PERALTE!$Z$14,(-6/(PERALTE!$X$14-PERALTE!$Z$14)*(RASANTE!F82-PERALTE!$Z$14)-2),IF(RASANTE!F82&lt;=PERALTE!$AB$14,-2))))),IF(AND(AH!$H$16="Derecha",RASANTE!F82&lt;=PERALTE!$AB$14),IF(RASANTE!F82&lt;=PERALTE!$Q$14,-2,IF(RASANTE!F82&lt;=PERALTE!$U$14,(10/(PERALTE!$U$14-PERALTE!$Q$14)*(RASANTE!F82-PERALTE!$Q$14)-2),IF(RASANTE!F82&lt;=PERALTE!$X$14,8,IF(RASANTE!F82&lt;=PERALTE!$AB$14,(10/(PERALTE!$X$14-PERALTE!$AB$14)*(RASANTE!F82-PERALTE!$AB$14)-2))))),IF(AND(AH!$H$18="Izquierda",RASANTE!F82&lt;=PERALTE!$AB$16),IF(RASANTE!F82&lt;=PERALTE!$S$16,-2,IF(RASANTE!F82&lt;=PERALTE!$U$16,(-6/(PERALTE!$U$16-PERALTE!$S$16)*(RASANTE!F82-PERALTE!$S$16)-2),IF(RASANTE!F82&lt;=PERALTE!$X$16,-8,IF(RASANTE!F82&lt;=PERALTE!$Z$16,(-6/(PERALTE!$X$16-PERALTE!$Z$16)*(RASANTE!F82-PERALTE!$Z$16)-2),IF(RASANTE!F82&lt;=PERALTE!$AB$16,-2))))),IF(AND(AH!$H$18="Derecha",RASANTE!F82&lt;=PERALTE!$AB$16),IF(RASANTE!F82&lt;=PERALTE!$Q$16,-2,IF(RASANTE!F82&lt;=PERALTE!$U$16,(10/(PERALTE!$U$16-PERALTE!$Q$16)*(RASANTE!F82-PERALTE!$Q$16)-2),IF(RASANTE!F82&lt;=PERALTE!$X$16,8,IF(RASANTE!F82&lt;=PERALTE!$AB$16,(10/(PERALTE!$X$16-PERALTE!$AB$16)*(RASANTE!F82-PERALTE!$AB$16)-2))))),IF(AND(AH!$H$20="Izquierda",RASANTE!F82&lt;=PERALTE!$AB$18),IF(RASANTE!F82&lt;=PERALTE!$S$18,-2,IF(RASANTE!F82&lt;=PERALTE!$U$18,(-6/(PERALTE!$U$18-PERALTE!$S$18)*(RASANTE!F82-PERALTE!$S$18)-2),IF(RASANTE!F82&lt;=PERALTE!$X$18,-8,IF(RASANTE!F82&lt;=PERALTE!$Z$18,(-6/(PERALTE!$X$18-PERALTE!$Z$18)*(RASANTE!F82-PERALTE!$Z$18)-2),IF(RASANTE!F82&lt;=PERALTE!$AB$18,-2))))),IF(AND(AH!$H$20="Derecha",RASANTE!F82&lt;=PERALTE!$AB$18),IF(RASANTE!F82&lt;=PERALTE!$Q$18,-2,IF(RASANTE!F82&lt;=PERALTE!$U$18,(10/(PERALTE!$U$18-PERALTE!$Q$18)*(RASANTE!F82-PERALTE!$Q$18)-2),IF(RASANTE!F82&lt;=PERALTE!$X$18,8,IF(RASANTE!F82&lt;=PERALTE!$AB$18,(10/(PERALTE!$X$18-PERALTE!$AB$18)*(RASANTE!F82-PERALTE!$AB$18)-2))))),IF(AND(AH!$H$24="Izquierda",RASANTE!F82&lt;=PERALTE!$AB$22),IF(RASANTE!F82&lt;=PERALTE!$S$22,-2,IF(RASANTE!F82&lt;=PERALTE!$U$22,(-6/(PERALTE!$U$22-PERALTE!$S$22)*(RASANTE!F82-PERALTE!$S$22)-2),IF(RASANTE!F82&lt;=PERALTE!$X$22,-8,IF(RASANTE!F82&lt;=PERALTE!$Z$22,(-6/(PERALTE!$X$22-PERALTE!$Z$22)*(RASANTE!F82-PERALTE!$Z$22)-2),IF(RASANTE!F82&lt;=PERALTE!$AB$22,-2))))),IF(AND(AH!$H$24="Derecha",RASANTE!F82&lt;=PERALTE!$AB$22),IF(RASANTE!F82&lt;=PERALTE!$Q$22,-2,IF(RASANTE!F82&lt;=PERALTE!$U$22,(10/(PERALTE!$U$22-PERALTE!$Q$22)*(RASANTE!F82-PERALTE!$Q$22)-2),IF(RASANTE!F82&lt;=PERALTE!$X$22,8,IF(RASANTE!F82&lt;=PERALTE!$AB$22,(10/(PERALTE!$X$22-PERALTE!$AB$22)*(RASANTE!F82-PERALTE!$AB$22)-2))))),IF(AND(AH!#REF!="Izquierda",RASANTE!F82&lt;=PERALTE!#REF!),IF(RASANTE!F82&lt;=PERALTE!#REF!,-2,IF(RASANTE!F82&lt;=PERALTE!#REF!,(-6/(PERALTE!#REF!-PERALTE!#REF!)*(RASANTE!F82-PERALTE!#REF!)-2),IF(RASANTE!F82&lt;=PERALTE!#REF!,-8,IF(RASANTE!F82&lt;=PERALTE!#REF!,(-6/(PERALTE!#REF!-PERALTE!#REF!)*(RASANTE!F82-PERALTE!#REF!)-2),IF(RASANTE!F82&lt;=PERALTE!#REF!,-2))))),IF(AND(AH!#REF!="Derecha",RASANTE!F82&lt;=PERALTE!#REF!),IF(RASANTE!F82&lt;=PERALTE!#REF!,-2,IF(RASANTE!F82&lt;=PERALTE!#REF!,(10/(PERALTE!#REF!-PERALTE!#REF!)*(RASANTE!F82-PERALTE!#REF!)-2),IF(RASANTE!F82&lt;=PERALTE!#REF!,8,IF(RASANTE!F82&lt;=PERALTE!#REF!,(10/(PERALTE!#REF!-PERALTE!#REF!)*(RASANTE!F82-PERALTE!#REF!)-2))))),IF(AND(AH!#REF!="Izquierda",RASANTE!F82&lt;=PERALTE!$AB$26),IF(RASANTE!F82&lt;=PERALTE!$S$26,-2,IF(RASANTE!F82&lt;=PERALTE!$U$26,(-6/(PERALTE!$U$26-PERALTE!$S$26)*(RASANTE!F82-PERALTE!$S$26)-2),IF(RASANTE!F82&lt;=PERALTE!$X$26,-8,IF(RASANTE!F82&lt;=PERALTE!$Z$26,(-6/(PERALTE!$X$26-PERALTE!$Z$26)*(RASANTE!F82-PERALTE!$Z$26)-2),IF(RASANTE!F82&lt;=PERALTE!$AB$26,-2))))),IF(AND(AH!#REF!="Derecha",RASANTE!F82&lt;=PERALTE!$AB$26),IF(RASANTE!F82&lt;=PERALTE!$Q$26,-2,IF(RASANTE!F82&lt;=PERALTE!$U$26,(10/(PERALTE!$U$26-PERALTE!$Q$26)*(RASANTE!F82-PERALTE!$Q$26)-2),IF(RASANTE!F82&lt;=PERALTE!$X$26,8,IF(RASANTE!F82&lt;=PERALTE!$AB$26,(10/(PERALTE!$X$26-PERALTE!$AB$26)*(RASANTE!F82-PERALTE!$AB$26)-2))))),IF(F82&lt;=PERALTE!#REF!,-2,"Abscisa fuera de la vía")))))))))))))))))))))</f>
        <v>8</v>
      </c>
      <c r="I82" s="28">
        <f>+IF(AND(AH!$H$8="Derecha",RASANTE!F82&lt;=PERALTE!$AB$6),IF(RASANTE!F82&lt;=PERALTE!$S$6,-2,IF(RASANTE!F82&lt;=PERALTE!$U$6,(-6/(PERALTE!$U$6-PERALTE!$S$6)*(RASANTE!F82-PERALTE!$S$6)-2),IF(RASANTE!F82&lt;=PERALTE!$X$6,-8,IF(RASANTE!F82&lt;=PERALTE!$Z$6,(-6/(PERALTE!$X$6-PERALTE!$Z$6)*(RASANTE!F82-PERALTE!$Z$6)-2),IF(RASANTE!F82&lt;=PERALTE!$AB$6,-2))))),IF(AND(AH!$H$8="Izquierda",RASANTE!F82&lt;=PERALTE!$AB$6),IF(RASANTE!F82&lt;=PERALTE!$Q$6,-2,IF(RASANTE!F82&lt;=PERALTE!$U$6,(10/(PERALTE!$U$6-PERALTE!$Q$6)*(RASANTE!F82-PERALTE!$Q$6)-2),IF(RASANTE!F82&lt;=PERALTE!$X$6,8,IF(RASANTE!F82&lt;=PERALTE!$AB$6,(10/(PERALTE!$X$6-PERALTE!$AB$6)*(RASANTE!F82-PERALTE!$AB$6)-2))))),IF(AND(AH!$H$10="Derecha",RASANTE!F82&lt;=PERALTE!$AB$8),IF(RASANTE!F82&lt;=PERALTE!$S$8,-2,IF(RASANTE!F82&lt;=PERALTE!$U$8,(-6/(PERALTE!$U$8-PERALTE!$S$8)*(RASANTE!F82-PERALTE!$S$8)-2),IF(RASANTE!F82&lt;=PERALTE!$X$8,-8,IF(RASANTE!F82&lt;=PERALTE!$Z$8,(-6/(PERALTE!$X$8-PERALTE!$Z$8)*(RASANTE!F82-PERALTE!$Z$8)-2),IF(RASANTE!F82&lt;=PERALTE!$AB$8,-2))))),IF(AND(AH!$H$10="Izquierda",RASANTE!F82&lt;=PERALTE!$AB$8),IF(RASANTE!F82&lt;=PERALTE!$Q$8,-2,IF(RASANTE!F82&lt;=PERALTE!$U$8,(10/(PERALTE!$U$8-PERALTE!$Q$8)*(RASANTE!F82-PERALTE!$Q$8)-2),IF(RASANTE!F82&lt;=PERALTE!$X$8,8,IF(RASANTE!F82&lt;=PERALTE!$AB$8,(10/(PERALTE!$X$8-PERALTE!$AB$8)*(RASANTE!F82-PERALTE!$AB$8)-2))))),IF(AND(AH!$H$12="Derecha",RASANTE!F82&lt;=PERALTE!$AB$10),IF(RASANTE!F82&lt;=PERALTE!$S$10,-2,IF(RASANTE!F82&lt;=PERALTE!$U$10,(-6/(PERALTE!$U$10-PERALTE!$S$10)*(RASANTE!F82-PERALTE!$S$10)-2),IF(RASANTE!F82&lt;=PERALTE!$X$10,-8,IF(RASANTE!F82&lt;=PERALTE!$Z$10,(-6/(PERALTE!$X$10-PERALTE!$Z$10)*(RASANTE!F82-PERALTE!$Z$10)-2),IF(RASANTE!F82&lt;=PERALTE!$AB$10,-2))))),IF(AND(AH!$H$12="Izquierda",RASANTE!F82&lt;=PERALTE!$AB$10),IF(RASANTE!F82&lt;=PERALTE!$Q$10,-2,IF(RASANTE!F82&lt;=PERALTE!$U$10,(10/(PERALTE!$U$10-PERALTE!$Q$10)*(RASANTE!F82-PERALTE!$Q$10)-2),IF(RASANTE!F82&lt;=PERALTE!$X$10,8,IF(RASANTE!F82&lt;=PERALTE!$AB$10,(10/(PERALTE!$X$10-PERALTE!$AB$10)*(RASANTE!F82-PERALTE!$AB$10)-2))))),IF(AND(AH!$H$14="Derecha",RASANTE!F82&lt;=PERALTE!$AB$12),IF(RASANTE!F82&lt;=PERALTE!$S$12,-2,IF(RASANTE!F82&lt;=PERALTE!$U$12,(-6/(PERALTE!$U$12-PERALTE!$S$12)*(RASANTE!F82-PERALTE!$S$12)-2),IF(RASANTE!F82&lt;=PERALTE!$X$12,-8,IF(RASANTE!F82&lt;=PERALTE!$Z$12,(-6/(PERALTE!$X$12-PERALTE!$Z$12)*(RASANTE!F82-PERALTE!$Z$12)-2),IF(RASANTE!F82&lt;=PERALTE!$AB$12,-2))))),IF(AND(AH!$H$14="Izquierda",RASANTE!F82&lt;=PERALTE!$AB$12),IF(RASANTE!F82&lt;=PERALTE!$Q$12,-2,IF(RASANTE!F82&lt;=PERALTE!$U$12,(10/(PERALTE!$U$12-PERALTE!$Q$12)*(RASANTE!F82-PERALTE!$Q$12)-2),IF(RASANTE!F82&lt;=PERALTE!$X$12,8,IF(RASANTE!F82&lt;=PERALTE!$AB$12,(10/(PERALTE!$X$12-PERALTE!$AB$12)*(RASANTE!F82-PERALTE!$AB$12)-2))))),IF(AND(AH!$H$16="Derecha",RASANTE!F82&lt;=PERALTE!$AB$14),IF(RASANTE!F82&lt;=PERALTE!$S$14,-2,IF(RASANTE!F82&lt;=PERALTE!$U$14,(-6/(PERALTE!$U$14-PERALTE!$S$14)*(RASANTE!F82-PERALTE!$S$14)-2),IF(RASANTE!F82&lt;=PERALTE!$X$14,-8,IF(RASANTE!F82&lt;=PERALTE!$Z$14,(-6/(PERALTE!$X$14-PERALTE!$Z$14)*(RASANTE!F82-PERALTE!$Z$14)-2),IF(RASANTE!F82&lt;=PERALTE!$AB$14,-2))))),IF(AND(AH!$H$16="Izquierda",RASANTE!F82&lt;=PERALTE!$AB$14),IF(RASANTE!F82&lt;=PERALTE!$Q$14,-2,IF(RASANTE!F82&lt;=PERALTE!$U$14,(10/(PERALTE!$U$14-PERALTE!$Q$14)*(RASANTE!F82-PERALTE!$Q$14)-2),IF(RASANTE!F82&lt;=PERALTE!$X$14,8,IF(RASANTE!F82&lt;=PERALTE!$AB$14,(10/(PERALTE!$X$14-PERALTE!$AB$14)*(RASANTE!F82-PERALTE!$AB$14)-2))))),IF(AND(AH!$H$18="Derecha",RASANTE!F82&lt;=PERALTE!$AB$16),IF(RASANTE!F82&lt;=PERALTE!$S$16,-2,IF(RASANTE!F82&lt;=PERALTE!$U$16,(-6/(PERALTE!$U$16-PERALTE!$S$16)*(RASANTE!F82-PERALTE!$S$16)-2),IF(RASANTE!F82&lt;=PERALTE!$X$16,-8,IF(RASANTE!F82&lt;=PERALTE!$Z$16,(-6/(PERALTE!$X$16-PERALTE!$Z$16)*(RASANTE!F82-PERALTE!$Z$16)-2),IF(RASANTE!F82&lt;=PERALTE!$AB$16,-2))))),IF(AND(AH!$H$18="Izquierda",RASANTE!F82&lt;=PERALTE!$AB$16),IF(RASANTE!F82&lt;=PERALTE!$Q$16,-2,IF(RASANTE!F82&lt;=PERALTE!$U$16,(10/(PERALTE!$U$16-PERALTE!$Q$16)*(RASANTE!F82-PERALTE!$Q$16)-2),IF(RASANTE!F82&lt;=PERALTE!$X$16,8,IF(RASANTE!F82&lt;=PERALTE!$AB$16,(10/(PERALTE!$X$16-PERALTE!$AB$16)*(RASANTE!F82-PERALTE!$AB$16)-2))))),IF(AND(AH!$H$20="Derecha",RASANTE!F82&lt;=PERALTE!$AB$18),IF(RASANTE!F82&lt;=PERALTE!$S$18,-2,IF(RASANTE!F82&lt;=PERALTE!$U$18,(-6/(PERALTE!$U$18-PERALTE!$S$18)*(RASANTE!F82-PERALTE!$S$18)-2),IF(RASANTE!F82&lt;=PERALTE!$X$18,-8,IF(RASANTE!F82&lt;=PERALTE!$Z$18,(-6/(PERALTE!$X$18-PERALTE!$Z$18)*(RASANTE!F82-PERALTE!$Z$18)-2),IF(RASANTE!F82&lt;=PERALTE!$AB$18,-2))))),IF(AND(AH!$H$20="Izquierda",RASANTE!F82&lt;=PERALTE!$AB$18),IF(RASANTE!F82&lt;=PERALTE!$Q$18,-2,IF(RASANTE!F82&lt;=PERALTE!$U$18,(10/(PERALTE!$U$18-PERALTE!$Q$18)*(RASANTE!F82-PERALTE!$Q$18)-2),IF(RASANTE!F82&lt;=PERALTE!$X$18,8,IF(RASANTE!F82&lt;=PERALTE!$AB$18,(10/(PERALTE!$X$18-PERALTE!$AB$18)*(RASANTE!F82-PERALTE!$AB$18)-2))))),IF(AND(AH!$H$24="Derecha",RASANTE!F82&lt;=PERALTE!$AB$22),IF(RASANTE!F82&lt;=PERALTE!$S$22,-2,IF(RASANTE!F82&lt;=PERALTE!$U$22,(-6/(PERALTE!$U$22-PERALTE!$S$22)*(RASANTE!F82-PERALTE!$S$22)-2),IF(RASANTE!F82&lt;=PERALTE!$X$22,-8,IF(RASANTE!F82&lt;=PERALTE!$Z$22,(-6/(PERALTE!$X$22-PERALTE!$Z$22)*(RASANTE!F82-PERALTE!$Z$22)-2),IF(RASANTE!F82&lt;=PERALTE!$AB$22,-2))))),IF(AND(AH!$H$24="Izquierda",RASANTE!F82&lt;=PERALTE!$AB$22),IF(RASANTE!F82&lt;=PERALTE!$Q$22,-2,IF(RASANTE!F82&lt;=PERALTE!$U$22,(10/(PERALTE!$U$22-PERALTE!$Q$22)*(RASANTE!F82-PERALTE!$Q$22)-2),IF(RASANTE!F82&lt;=PERALTE!$X$22,8,IF(RASANTE!F82&lt;=PERALTE!$AB$22,(10/(PERALTE!$X$22-PERALTE!$AB$22)*(RASANTE!F82-PERALTE!$AB$22)-2))))),IF(AND(AH!#REF!="Derecha",RASANTE!F82&lt;=PERALTE!#REF!),IF(RASANTE!F82&lt;=PERALTE!#REF!,-2,IF(RASANTE!F82&lt;=PERALTE!#REF!,(-6/(PERALTE!#REF!-PERALTE!#REF!)*(RASANTE!F82-PERALTE!#REF!)-2),IF(RASANTE!F82&lt;=PERALTE!#REF!,-8,IF(RASANTE!F82&lt;=PERALTE!#REF!,(-6/(PERALTE!#REF!-PERALTE!#REF!)*(RASANTE!F82-PERALTE!#REF!)-2),IF(RASANTE!F82&lt;=PERALTE!#REF!,-2))))),IF(AND(AH!#REF!="Izquierda",RASANTE!F82&lt;=PERALTE!#REF!),IF(RASANTE!F82&lt;=PERALTE!#REF!,-2,IF(RASANTE!F82&lt;=PERALTE!#REF!,(10/(PERALTE!#REF!-PERALTE!#REF!)*(RASANTE!F82-PERALTE!#REF!)-2),IF(RASANTE!F82&lt;=PERALTE!#REF!,8,IF(RASANTE!F82&lt;=PERALTE!#REF!,(10/(PERALTE!#REF!-PERALTE!#REF!)*(RASANTE!F82-PERALTE!#REF!)-2))))),IF(AND(AH!#REF!="Derecha",RASANTE!F82&lt;=PERALTE!$AB$26),IF(RASANTE!F82&lt;=PERALTE!$S$26,-2,IF(RASANTE!F82&lt;=PERALTE!$U$26,(-6/(PERALTE!$U$26-PERALTE!$S$26)*(RASANTE!F82-PERALTE!$S$26)-2),IF(RASANTE!F82&lt;=PERALTE!$X$26,-8,IF(RASANTE!F82&lt;=PERALTE!$Z$26,(-6/(PERALTE!$X$26-PERALTE!$Z$26)*(RASANTE!F82-PERALTE!$Z$26)-2),IF(RASANTE!F82&lt;=PERALTE!$AB$26,-2))))),IF(AND(AH!#REF!="Izquierda",RASANTE!F82&lt;=PERALTE!$AB$26),IF(RASANTE!F82&lt;=PERALTE!$Q$26,-2,IF(RASANTE!F82&lt;=PERALTE!$U$26,(10/(PERALTE!$U$26-PERALTE!$Q$26)*(RASANTE!F82-PERALTE!$Q$26)-2),IF(RASANTE!F82&lt;=PERALTE!$X$26,8,IF(RASANTE!F82&lt;=PERALTE!$AB$26,(10/(PERALTE!$X$26-PERALTE!$AB$26)*(RASANTE!F82-PERALTE!$AB$26)-2))))),IF(F82&lt;=PERALTE!#REF!,-2,"Abscisa fuera de la vía")))))))))))))))))))))</f>
        <v>-8</v>
      </c>
      <c r="J82" s="28">
        <f t="shared" si="4"/>
        <v>1635.67033830381</v>
      </c>
      <c r="K82" s="28">
        <f>+IF(AND(AV!$S$6&lt;F198,F198&lt;=AV!$T$6),AV!$P$6*((AV!$S$6-RASANTE!F198)/(AV!$N$6))^2,IF(AND(AV!$T$6&lt;RASANTE!F198,F198&lt;AV!$U$6),AV!$P$6*((AV!$U$6-RASANTE!F198)/(AV!$O$6))^2,IF(AND(AV!$S$8&lt;F198,F198&lt;=AV!$T$8),AV!$P$8*((AV!$S$8-RASANTE!F198)/(AV!$N$8))^2,IF(AND(AV!$T$8&lt;RASANTE!F198,F198&lt;AV!$U$8),AV!$P$8*((AV!$U$8-RASANTE!F198)/(AV!$O$8))^2,IF(AND(AV!$S$10&lt;F198,F198&lt;=AV!$T$10),AV!$P$10*((AV!$S$10-RASANTE!F198)/(AV!$N$10))^2,IF(AND(AV!$T$10&lt;RASANTE!F198,F198&lt;AV!$U$10),AV!$P$10*((AV!$U$10-RASANTE!F198)/(AV!$O$10))^2,IF(AND(AV!$S$12&lt;F198,F198&lt;=AV!$T$12),AV!$P$12*((AV!$S$12-RASANTE!F198)/(AV!$N$12))^2,IF(AND(AV!$T$12&lt;RASANTE!F198,F198&lt;AV!$U$12),AV!$P$12*((AV!$U$12-RASANTE!F198)/(AV!$O$12))^2,IF(AND(AV!$S$14&lt;F198,F198&lt;=AV!$T$14),AV!$P$14*((AV!$S$14-RASANTE!F198)/(AV!$N$14))^2,IF(AND(AV!$T$14&lt;RASANTE!F198,F198&lt;AV!$U$14),AV!$P$14*((AV!$U$14-RASANTE!F198)/(AV!$O$14))^2,IF(AND(AV!$S$16&lt;F198,F198&lt;=AV!$T$16),AV!$P$16*((AV!$S$16-RASANTE!F198)/(AV!$N$16))^2,IF(AND(AV!$T$16&lt;RASANTE!F198,F198&lt;AV!$U$16),AV!$P$16*((AV!$U$16-RASANTE!F198)/(AV!$O$16))^2,IF(AND(AV!$S$18&lt;F198,F198&lt;=AV!$T$18),AV!$P$18*((AV!$S$18-RASANTE!F198)/(AV!$N$18))^2,IF(AND(AV!$T$18&lt;RASANTE!F198,F198&lt;AV!$U$18),AV!$P$18*((AV!$U$18-RASANTE!F198)/(AV!$O$18))^2,IF(AND(AV!$S$20&lt;F198,F198&lt;=AV!$T$20),AV!$P$20*((AV!$S$20-RASANTE!F198)/(AV!$N$20))^2,IF(AND(AV!$T$20&lt;RASANTE!F198,F198&lt;AV!$U$20),AV!$P$20*((AV!$U$20-RASANTE!F198)/(AV!$O$20))^2,IF(AND(AV!$S$22&lt;F198,F198&lt;=AV!$T$22),AV!$P$22*((AV!$S$22-RASANTE!F198)/(AV!$N$22))^2,IF(AND(AV!$T$22&lt;RASANTE!F198,F198&lt;AV!$U$22),AV!$P$22*((AV!$U$22-RASANTE!F198)/(AV!$O$22))^2,IF(AND(AV!$S$24&lt;F198,F198&lt;=AV!$T$24),AV!$P$24*((AV!$S$24-RASANTE!F198)/(AV!$N$24))^2,IF(AND(AV!$T$24&lt;RASANTE!F198,F198&lt;AV!$U$24),AV!$P$24*((AV!$U$24-RASANTE!F198)/(AV!$O$24))^2,0))))))))))))))))))))</f>
        <v>0</v>
      </c>
      <c r="L82" s="28">
        <f>+M82+H82%*PERALTE!$C$32</f>
        <v>1635.95033830381</v>
      </c>
      <c r="M82" s="28">
        <f t="shared" si="3"/>
        <v>1635.67033830381</v>
      </c>
      <c r="N82" s="28">
        <f>+M82+I82%*PERALTE!$C$32</f>
        <v>1635.39033830381</v>
      </c>
      <c r="O82" s="92"/>
      <c r="P82" s="84"/>
      <c r="Q82" s="84"/>
      <c r="R82" s="84"/>
      <c r="S82" s="84"/>
      <c r="T82" s="84"/>
      <c r="U82" s="84"/>
      <c r="V82" s="84"/>
      <c r="W82" s="84"/>
      <c r="X82" s="84"/>
      <c r="Y82" s="84"/>
    </row>
    <row r="83" spans="1:25" ht="15.75" customHeight="1" x14ac:dyDescent="0.2">
      <c r="A83" s="90"/>
      <c r="B83" s="93"/>
      <c r="C83" s="93"/>
      <c r="D83" s="93"/>
      <c r="E83" s="91"/>
      <c r="F83" s="34">
        <v>540</v>
      </c>
      <c r="G83" s="88">
        <f>IF(F83&lt;=AV!$T$6,AV!$C$5,IF(RASANTE!F83&lt;=AV!$T$8,AV!$C$7,IF(RASANTE!F83&lt;=AV!$T$10,AV!$C$9,IF(RASANTE!F83&lt;=AV!$T$12,AV!#REF!,IF(RASANTE!F83&lt;=AV!$T$14,AV!$C$11,IF(RASANTE!F83&lt;=AV!$T$16,AV!$C$13, IF(RASANTE!F83&lt;=AV!$T$18,AV!$C$15,IF(RASANTE!F83&lt;=AV!$T$20,AV!$C$19,IF(RASANTE!F83&lt;=AV!$T$22,AV!$C$21,IF(RASANTE!F83&lt;=AV!$T$24,AV!$C$23,AV!$C$25))))))))))</f>
        <v>-3</v>
      </c>
      <c r="H83" s="28">
        <f>+IF(AND(AH!$H$8="Izquierda",RASANTE!F83&lt;=PERALTE!$AB$6),IF(RASANTE!F83&lt;=PERALTE!$S$6,-2,IF(RASANTE!F83&lt;=PERALTE!$U$6,(-6/(PERALTE!$U$6-PERALTE!$S$6)*(RASANTE!F83-PERALTE!$S$6)-2),IF(RASANTE!F83&lt;=PERALTE!$X$6,-8,IF(RASANTE!F83&lt;=PERALTE!$Z$6,(-6/(PERALTE!$X$6-PERALTE!$Z$6)*(RASANTE!F83-PERALTE!$Z$6)-2),IF(RASANTE!F83&lt;=PERALTE!$AB$6,-2))))),IF(AND(AH!$H$8="Derecha",RASANTE!F83&lt;=PERALTE!$AB$6),IF(RASANTE!F83&lt;=PERALTE!$Q$6,-2,IF(RASANTE!F83&lt;=PERALTE!$U$6,(10/(PERALTE!$U$6-PERALTE!$Q$6)*(RASANTE!F83-PERALTE!$Q$6)-2),IF(RASANTE!F83&lt;=PERALTE!$X$6,8,IF(RASANTE!F83&lt;=PERALTE!$AB$6,(10/(PERALTE!$X$6-PERALTE!$AB$6)*(RASANTE!F83-PERALTE!$AB$6)-2))))),IF(AND(AH!$H$10="Izquierda",RASANTE!F83&lt;=PERALTE!$AB$8),IF(RASANTE!F83&lt;=PERALTE!$S$8,-2,IF(RASANTE!F83&lt;=PERALTE!$U$8,(-6/(PERALTE!$U$8-PERALTE!$S$8)*(RASANTE!F83-PERALTE!$S$8)-2),IF(RASANTE!F83&lt;=PERALTE!$X$8,-8,IF(RASANTE!F83&lt;=PERALTE!$Z$8,(-6/(PERALTE!$X$8-PERALTE!$Z$8)*(RASANTE!F83-PERALTE!$Z$8)-2),IF(RASANTE!F83&lt;=PERALTE!$AB$8,-2))))),IF(AND(AH!$H$10="Derecha",RASANTE!F83&lt;=PERALTE!$AB$8),IF(RASANTE!F83&lt;=PERALTE!$Q$8,-2,IF(RASANTE!F83&lt;=PERALTE!$U$8,(10/(PERALTE!$U$8-PERALTE!$Q$8)*(RASANTE!F83-PERALTE!$Q$8)-2),IF(RASANTE!F83&lt;=PERALTE!$X$8,8,IF(RASANTE!F83&lt;=PERALTE!$AB$8,(10/(PERALTE!$X$8-PERALTE!$AB$8)*(RASANTE!F83-PERALTE!$AB$8)-2))))),IF(AND(AH!$H$12="Izquierda",RASANTE!F83&lt;=PERALTE!$AB$10),IF(RASANTE!F83&lt;=PERALTE!$S$10,-2,IF(RASANTE!F83&lt;=PERALTE!$U$10,(-6/(PERALTE!$U$10-PERALTE!$S$10)*(RASANTE!F83-PERALTE!$S$10)-2),IF(RASANTE!F83&lt;=PERALTE!$X$10,-8,IF(RASANTE!F83&lt;=PERALTE!$Z$10,(-6/(PERALTE!$X$10-PERALTE!$Z$10)*(RASANTE!F83-PERALTE!$Z$10)-2),IF(RASANTE!F83&lt;=PERALTE!$AB$10,-2))))),IF(AND(AH!$H$12="Derecha",RASANTE!F83&lt;=PERALTE!$AB$10),IF(RASANTE!F83&lt;=PERALTE!$Q$10,-2,IF(RASANTE!F83&lt;=PERALTE!$U$10,(10/(PERALTE!$U$10-PERALTE!$Q$10)*(RASANTE!F83-PERALTE!$Q$10)-2),IF(RASANTE!F83&lt;=PERALTE!$X$10,8,IF(RASANTE!F83&lt;=PERALTE!$AB$10,(10/(PERALTE!$X$10-PERALTE!$AB$10)*(RASANTE!F83-PERALTE!$AB$10)-2))))),IF(AND(AH!$H$14="Izquierda",RASANTE!F83&lt;=PERALTE!$AB$12),IF(RASANTE!F83&lt;=PERALTE!$S$12,-2,IF(RASANTE!F83&lt;=PERALTE!$U$12,(-6/(PERALTE!$U$12-PERALTE!$S$12)*(RASANTE!F83-PERALTE!$S$12)-2),IF(RASANTE!F83&lt;=PERALTE!$X$12,-8,IF(RASANTE!F83&lt;=PERALTE!$Z$12,(-6/(PERALTE!$X$12-PERALTE!$Z$12)*(RASANTE!F83-PERALTE!$Z$12)-2),IF(RASANTE!F83&lt;=PERALTE!$AB$12,-2))))),IF(AND(AH!$H$14="Derecha",RASANTE!F83&lt;=PERALTE!$AB$12),IF(RASANTE!F83&lt;=PERALTE!$Q$12,-2,IF(RASANTE!F83&lt;=PERALTE!$U$12,(10/(PERALTE!$U$12-PERALTE!$Q$12)*(RASANTE!F83-PERALTE!$Q$12)-2),IF(RASANTE!F83&lt;=PERALTE!$X$12,8,IF(RASANTE!F83&lt;=PERALTE!$AB$12,(10/(PERALTE!$X$12-PERALTE!$AB$12)*(RASANTE!F83-PERALTE!$AB$12)-2))))),IF(AND(AH!$H$16="Izquierda",RASANTE!F83&lt;=PERALTE!$AB$14),IF(RASANTE!F83&lt;=PERALTE!$S$14,-2,IF(RASANTE!F83&lt;=PERALTE!$U$14,(-6/(PERALTE!$U$14-PERALTE!$S$14)*(RASANTE!F83-PERALTE!$S$14)-2),IF(RASANTE!F83&lt;=PERALTE!$X$14,-8,IF(RASANTE!F83&lt;=PERALTE!$Z$14,(-6/(PERALTE!$X$14-PERALTE!$Z$14)*(RASANTE!F83-PERALTE!$Z$14)-2),IF(RASANTE!F83&lt;=PERALTE!$AB$14,-2))))),IF(AND(AH!$H$16="Derecha",RASANTE!F83&lt;=PERALTE!$AB$14),IF(RASANTE!F83&lt;=PERALTE!$Q$14,-2,IF(RASANTE!F83&lt;=PERALTE!$U$14,(10/(PERALTE!$U$14-PERALTE!$Q$14)*(RASANTE!F83-PERALTE!$Q$14)-2),IF(RASANTE!F83&lt;=PERALTE!$X$14,8,IF(RASANTE!F83&lt;=PERALTE!$AB$14,(10/(PERALTE!$X$14-PERALTE!$AB$14)*(RASANTE!F83-PERALTE!$AB$14)-2))))),IF(AND(AH!$H$18="Izquierda",RASANTE!F83&lt;=PERALTE!$AB$16),IF(RASANTE!F83&lt;=PERALTE!$S$16,-2,IF(RASANTE!F83&lt;=PERALTE!$U$16,(-6/(PERALTE!$U$16-PERALTE!$S$16)*(RASANTE!F83-PERALTE!$S$16)-2),IF(RASANTE!F83&lt;=PERALTE!$X$16,-8,IF(RASANTE!F83&lt;=PERALTE!$Z$16,(-6/(PERALTE!$X$16-PERALTE!$Z$16)*(RASANTE!F83-PERALTE!$Z$16)-2),IF(RASANTE!F83&lt;=PERALTE!$AB$16,-2))))),IF(AND(AH!$H$18="Derecha",RASANTE!F83&lt;=PERALTE!$AB$16),IF(RASANTE!F83&lt;=PERALTE!$Q$16,-2,IF(RASANTE!F83&lt;=PERALTE!$U$16,(10/(PERALTE!$U$16-PERALTE!$Q$16)*(RASANTE!F83-PERALTE!$Q$16)-2),IF(RASANTE!F83&lt;=PERALTE!$X$16,8,IF(RASANTE!F83&lt;=PERALTE!$AB$16,(10/(PERALTE!$X$16-PERALTE!$AB$16)*(RASANTE!F83-PERALTE!$AB$16)-2))))),IF(AND(AH!$H$20="Izquierda",RASANTE!F83&lt;=PERALTE!$AB$18),IF(RASANTE!F83&lt;=PERALTE!$S$18,-2,IF(RASANTE!F83&lt;=PERALTE!$U$18,(-6/(PERALTE!$U$18-PERALTE!$S$18)*(RASANTE!F83-PERALTE!$S$18)-2),IF(RASANTE!F83&lt;=PERALTE!$X$18,-8,IF(RASANTE!F83&lt;=PERALTE!$Z$18,(-6/(PERALTE!$X$18-PERALTE!$Z$18)*(RASANTE!F83-PERALTE!$Z$18)-2),IF(RASANTE!F83&lt;=PERALTE!$AB$18,-2))))),IF(AND(AH!$H$20="Derecha",RASANTE!F83&lt;=PERALTE!$AB$18),IF(RASANTE!F83&lt;=PERALTE!$Q$18,-2,IF(RASANTE!F83&lt;=PERALTE!$U$18,(10/(PERALTE!$U$18-PERALTE!$Q$18)*(RASANTE!F83-PERALTE!$Q$18)-2),IF(RASANTE!F83&lt;=PERALTE!$X$18,8,IF(RASANTE!F83&lt;=PERALTE!$AB$18,(10/(PERALTE!$X$18-PERALTE!$AB$18)*(RASANTE!F83-PERALTE!$AB$18)-2))))),IF(AND(AH!$H$24="Izquierda",RASANTE!F83&lt;=PERALTE!$AB$22),IF(RASANTE!F83&lt;=PERALTE!$S$22,-2,IF(RASANTE!F83&lt;=PERALTE!$U$22,(-6/(PERALTE!$U$22-PERALTE!$S$22)*(RASANTE!F83-PERALTE!$S$22)-2),IF(RASANTE!F83&lt;=PERALTE!$X$22,-8,IF(RASANTE!F83&lt;=PERALTE!$Z$22,(-6/(PERALTE!$X$22-PERALTE!$Z$22)*(RASANTE!F83-PERALTE!$Z$22)-2),IF(RASANTE!F83&lt;=PERALTE!$AB$22,-2))))),IF(AND(AH!$H$24="Derecha",RASANTE!F83&lt;=PERALTE!$AB$22),IF(RASANTE!F83&lt;=PERALTE!$Q$22,-2,IF(RASANTE!F83&lt;=PERALTE!$U$22,(10/(PERALTE!$U$22-PERALTE!$Q$22)*(RASANTE!F83-PERALTE!$Q$22)-2),IF(RASANTE!F83&lt;=PERALTE!$X$22,8,IF(RASANTE!F83&lt;=PERALTE!$AB$22,(10/(PERALTE!$X$22-PERALTE!$AB$22)*(RASANTE!F83-PERALTE!$AB$22)-2))))),IF(AND(AH!#REF!="Izquierda",RASANTE!F83&lt;=PERALTE!#REF!),IF(RASANTE!F83&lt;=PERALTE!#REF!,-2,IF(RASANTE!F83&lt;=PERALTE!#REF!,(-6/(PERALTE!#REF!-PERALTE!#REF!)*(RASANTE!F83-PERALTE!#REF!)-2),IF(RASANTE!F83&lt;=PERALTE!#REF!,-8,IF(RASANTE!F83&lt;=PERALTE!#REF!,(-6/(PERALTE!#REF!-PERALTE!#REF!)*(RASANTE!F83-PERALTE!#REF!)-2),IF(RASANTE!F83&lt;=PERALTE!#REF!,-2))))),IF(AND(AH!#REF!="Derecha",RASANTE!F83&lt;=PERALTE!#REF!),IF(RASANTE!F83&lt;=PERALTE!#REF!,-2,IF(RASANTE!F83&lt;=PERALTE!#REF!,(10/(PERALTE!#REF!-PERALTE!#REF!)*(RASANTE!F83-PERALTE!#REF!)-2),IF(RASANTE!F83&lt;=PERALTE!#REF!,8,IF(RASANTE!F83&lt;=PERALTE!#REF!,(10/(PERALTE!#REF!-PERALTE!#REF!)*(RASANTE!F83-PERALTE!#REF!)-2))))),IF(AND(AH!#REF!="Izquierda",RASANTE!F83&lt;=PERALTE!$AB$26),IF(RASANTE!F83&lt;=PERALTE!$S$26,-2,IF(RASANTE!F83&lt;=PERALTE!$U$26,(-6/(PERALTE!$U$26-PERALTE!$S$26)*(RASANTE!F83-PERALTE!$S$26)-2),IF(RASANTE!F83&lt;=PERALTE!$X$26,-8,IF(RASANTE!F83&lt;=PERALTE!$Z$26,(-6/(PERALTE!$X$26-PERALTE!$Z$26)*(RASANTE!F83-PERALTE!$Z$26)-2),IF(RASANTE!F83&lt;=PERALTE!$AB$26,-2))))),IF(AND(AH!#REF!="Derecha",RASANTE!F83&lt;=PERALTE!$AB$26),IF(RASANTE!F83&lt;=PERALTE!$Q$26,-2,IF(RASANTE!F83&lt;=PERALTE!$U$26,(10/(PERALTE!$U$26-PERALTE!$Q$26)*(RASANTE!F83-PERALTE!$Q$26)-2),IF(RASANTE!F83&lt;=PERALTE!$X$26,8,IF(RASANTE!F83&lt;=PERALTE!$AB$26,(10/(PERALTE!$X$26-PERALTE!$AB$26)*(RASANTE!F83-PERALTE!$AB$26)-2))))),IF(F83&lt;=PERALTE!#REF!,-2,"Abscisa fuera de la vía")))))))))))))))))))))</f>
        <v>8</v>
      </c>
      <c r="I83" s="28">
        <f>+IF(AND(AH!$H$8="Derecha",RASANTE!F83&lt;=PERALTE!$AB$6),IF(RASANTE!F83&lt;=PERALTE!$S$6,-2,IF(RASANTE!F83&lt;=PERALTE!$U$6,(-6/(PERALTE!$U$6-PERALTE!$S$6)*(RASANTE!F83-PERALTE!$S$6)-2),IF(RASANTE!F83&lt;=PERALTE!$X$6,-8,IF(RASANTE!F83&lt;=PERALTE!$Z$6,(-6/(PERALTE!$X$6-PERALTE!$Z$6)*(RASANTE!F83-PERALTE!$Z$6)-2),IF(RASANTE!F83&lt;=PERALTE!$AB$6,-2))))),IF(AND(AH!$H$8="Izquierda",RASANTE!F83&lt;=PERALTE!$AB$6),IF(RASANTE!F83&lt;=PERALTE!$Q$6,-2,IF(RASANTE!F83&lt;=PERALTE!$U$6,(10/(PERALTE!$U$6-PERALTE!$Q$6)*(RASANTE!F83-PERALTE!$Q$6)-2),IF(RASANTE!F83&lt;=PERALTE!$X$6,8,IF(RASANTE!F83&lt;=PERALTE!$AB$6,(10/(PERALTE!$X$6-PERALTE!$AB$6)*(RASANTE!F83-PERALTE!$AB$6)-2))))),IF(AND(AH!$H$10="Derecha",RASANTE!F83&lt;=PERALTE!$AB$8),IF(RASANTE!F83&lt;=PERALTE!$S$8,-2,IF(RASANTE!F83&lt;=PERALTE!$U$8,(-6/(PERALTE!$U$8-PERALTE!$S$8)*(RASANTE!F83-PERALTE!$S$8)-2),IF(RASANTE!F83&lt;=PERALTE!$X$8,-8,IF(RASANTE!F83&lt;=PERALTE!$Z$8,(-6/(PERALTE!$X$8-PERALTE!$Z$8)*(RASANTE!F83-PERALTE!$Z$8)-2),IF(RASANTE!F83&lt;=PERALTE!$AB$8,-2))))),IF(AND(AH!$H$10="Izquierda",RASANTE!F83&lt;=PERALTE!$AB$8),IF(RASANTE!F83&lt;=PERALTE!$Q$8,-2,IF(RASANTE!F83&lt;=PERALTE!$U$8,(10/(PERALTE!$U$8-PERALTE!$Q$8)*(RASANTE!F83-PERALTE!$Q$8)-2),IF(RASANTE!F83&lt;=PERALTE!$X$8,8,IF(RASANTE!F83&lt;=PERALTE!$AB$8,(10/(PERALTE!$X$8-PERALTE!$AB$8)*(RASANTE!F83-PERALTE!$AB$8)-2))))),IF(AND(AH!$H$12="Derecha",RASANTE!F83&lt;=PERALTE!$AB$10),IF(RASANTE!F83&lt;=PERALTE!$S$10,-2,IF(RASANTE!F83&lt;=PERALTE!$U$10,(-6/(PERALTE!$U$10-PERALTE!$S$10)*(RASANTE!F83-PERALTE!$S$10)-2),IF(RASANTE!F83&lt;=PERALTE!$X$10,-8,IF(RASANTE!F83&lt;=PERALTE!$Z$10,(-6/(PERALTE!$X$10-PERALTE!$Z$10)*(RASANTE!F83-PERALTE!$Z$10)-2),IF(RASANTE!F83&lt;=PERALTE!$AB$10,-2))))),IF(AND(AH!$H$12="Izquierda",RASANTE!F83&lt;=PERALTE!$AB$10),IF(RASANTE!F83&lt;=PERALTE!$Q$10,-2,IF(RASANTE!F83&lt;=PERALTE!$U$10,(10/(PERALTE!$U$10-PERALTE!$Q$10)*(RASANTE!F83-PERALTE!$Q$10)-2),IF(RASANTE!F83&lt;=PERALTE!$X$10,8,IF(RASANTE!F83&lt;=PERALTE!$AB$10,(10/(PERALTE!$X$10-PERALTE!$AB$10)*(RASANTE!F83-PERALTE!$AB$10)-2))))),IF(AND(AH!$H$14="Derecha",RASANTE!F83&lt;=PERALTE!$AB$12),IF(RASANTE!F83&lt;=PERALTE!$S$12,-2,IF(RASANTE!F83&lt;=PERALTE!$U$12,(-6/(PERALTE!$U$12-PERALTE!$S$12)*(RASANTE!F83-PERALTE!$S$12)-2),IF(RASANTE!F83&lt;=PERALTE!$X$12,-8,IF(RASANTE!F83&lt;=PERALTE!$Z$12,(-6/(PERALTE!$X$12-PERALTE!$Z$12)*(RASANTE!F83-PERALTE!$Z$12)-2),IF(RASANTE!F83&lt;=PERALTE!$AB$12,-2))))),IF(AND(AH!$H$14="Izquierda",RASANTE!F83&lt;=PERALTE!$AB$12),IF(RASANTE!F83&lt;=PERALTE!$Q$12,-2,IF(RASANTE!F83&lt;=PERALTE!$U$12,(10/(PERALTE!$U$12-PERALTE!$Q$12)*(RASANTE!F83-PERALTE!$Q$12)-2),IF(RASANTE!F83&lt;=PERALTE!$X$12,8,IF(RASANTE!F83&lt;=PERALTE!$AB$12,(10/(PERALTE!$X$12-PERALTE!$AB$12)*(RASANTE!F83-PERALTE!$AB$12)-2))))),IF(AND(AH!$H$16="Derecha",RASANTE!F83&lt;=PERALTE!$AB$14),IF(RASANTE!F83&lt;=PERALTE!$S$14,-2,IF(RASANTE!F83&lt;=PERALTE!$U$14,(-6/(PERALTE!$U$14-PERALTE!$S$14)*(RASANTE!F83-PERALTE!$S$14)-2),IF(RASANTE!F83&lt;=PERALTE!$X$14,-8,IF(RASANTE!F83&lt;=PERALTE!$Z$14,(-6/(PERALTE!$X$14-PERALTE!$Z$14)*(RASANTE!F83-PERALTE!$Z$14)-2),IF(RASANTE!F83&lt;=PERALTE!$AB$14,-2))))),IF(AND(AH!$H$16="Izquierda",RASANTE!F83&lt;=PERALTE!$AB$14),IF(RASANTE!F83&lt;=PERALTE!$Q$14,-2,IF(RASANTE!F83&lt;=PERALTE!$U$14,(10/(PERALTE!$U$14-PERALTE!$Q$14)*(RASANTE!F83-PERALTE!$Q$14)-2),IF(RASANTE!F83&lt;=PERALTE!$X$14,8,IF(RASANTE!F83&lt;=PERALTE!$AB$14,(10/(PERALTE!$X$14-PERALTE!$AB$14)*(RASANTE!F83-PERALTE!$AB$14)-2))))),IF(AND(AH!$H$18="Derecha",RASANTE!F83&lt;=PERALTE!$AB$16),IF(RASANTE!F83&lt;=PERALTE!$S$16,-2,IF(RASANTE!F83&lt;=PERALTE!$U$16,(-6/(PERALTE!$U$16-PERALTE!$S$16)*(RASANTE!F83-PERALTE!$S$16)-2),IF(RASANTE!F83&lt;=PERALTE!$X$16,-8,IF(RASANTE!F83&lt;=PERALTE!$Z$16,(-6/(PERALTE!$X$16-PERALTE!$Z$16)*(RASANTE!F83-PERALTE!$Z$16)-2),IF(RASANTE!F83&lt;=PERALTE!$AB$16,-2))))),IF(AND(AH!$H$18="Izquierda",RASANTE!F83&lt;=PERALTE!$AB$16),IF(RASANTE!F83&lt;=PERALTE!$Q$16,-2,IF(RASANTE!F83&lt;=PERALTE!$U$16,(10/(PERALTE!$U$16-PERALTE!$Q$16)*(RASANTE!F83-PERALTE!$Q$16)-2),IF(RASANTE!F83&lt;=PERALTE!$X$16,8,IF(RASANTE!F83&lt;=PERALTE!$AB$16,(10/(PERALTE!$X$16-PERALTE!$AB$16)*(RASANTE!F83-PERALTE!$AB$16)-2))))),IF(AND(AH!$H$20="Derecha",RASANTE!F83&lt;=PERALTE!$AB$18),IF(RASANTE!F83&lt;=PERALTE!$S$18,-2,IF(RASANTE!F83&lt;=PERALTE!$U$18,(-6/(PERALTE!$U$18-PERALTE!$S$18)*(RASANTE!F83-PERALTE!$S$18)-2),IF(RASANTE!F83&lt;=PERALTE!$X$18,-8,IF(RASANTE!F83&lt;=PERALTE!$Z$18,(-6/(PERALTE!$X$18-PERALTE!$Z$18)*(RASANTE!F83-PERALTE!$Z$18)-2),IF(RASANTE!F83&lt;=PERALTE!$AB$18,-2))))),IF(AND(AH!$H$20="Izquierda",RASANTE!F83&lt;=PERALTE!$AB$18),IF(RASANTE!F83&lt;=PERALTE!$Q$18,-2,IF(RASANTE!F83&lt;=PERALTE!$U$18,(10/(PERALTE!$U$18-PERALTE!$Q$18)*(RASANTE!F83-PERALTE!$Q$18)-2),IF(RASANTE!F83&lt;=PERALTE!$X$18,8,IF(RASANTE!F83&lt;=PERALTE!$AB$18,(10/(PERALTE!$X$18-PERALTE!$AB$18)*(RASANTE!F83-PERALTE!$AB$18)-2))))),IF(AND(AH!$H$24="Derecha",RASANTE!F83&lt;=PERALTE!$AB$22),IF(RASANTE!F83&lt;=PERALTE!$S$22,-2,IF(RASANTE!F83&lt;=PERALTE!$U$22,(-6/(PERALTE!$U$22-PERALTE!$S$22)*(RASANTE!F83-PERALTE!$S$22)-2),IF(RASANTE!F83&lt;=PERALTE!$X$22,-8,IF(RASANTE!F83&lt;=PERALTE!$Z$22,(-6/(PERALTE!$X$22-PERALTE!$Z$22)*(RASANTE!F83-PERALTE!$Z$22)-2),IF(RASANTE!F83&lt;=PERALTE!$AB$22,-2))))),IF(AND(AH!$H$24="Izquierda",RASANTE!F83&lt;=PERALTE!$AB$22),IF(RASANTE!F83&lt;=PERALTE!$Q$22,-2,IF(RASANTE!F83&lt;=PERALTE!$U$22,(10/(PERALTE!$U$22-PERALTE!$Q$22)*(RASANTE!F83-PERALTE!$Q$22)-2),IF(RASANTE!F83&lt;=PERALTE!$X$22,8,IF(RASANTE!F83&lt;=PERALTE!$AB$22,(10/(PERALTE!$X$22-PERALTE!$AB$22)*(RASANTE!F83-PERALTE!$AB$22)-2))))),IF(AND(AH!#REF!="Derecha",RASANTE!F83&lt;=PERALTE!#REF!),IF(RASANTE!F83&lt;=PERALTE!#REF!,-2,IF(RASANTE!F83&lt;=PERALTE!#REF!,(-6/(PERALTE!#REF!-PERALTE!#REF!)*(RASANTE!F83-PERALTE!#REF!)-2),IF(RASANTE!F83&lt;=PERALTE!#REF!,-8,IF(RASANTE!F83&lt;=PERALTE!#REF!,(-6/(PERALTE!#REF!-PERALTE!#REF!)*(RASANTE!F83-PERALTE!#REF!)-2),IF(RASANTE!F83&lt;=PERALTE!#REF!,-2))))),IF(AND(AH!#REF!="Izquierda",RASANTE!F83&lt;=PERALTE!#REF!),IF(RASANTE!F83&lt;=PERALTE!#REF!,-2,IF(RASANTE!F83&lt;=PERALTE!#REF!,(10/(PERALTE!#REF!-PERALTE!#REF!)*(RASANTE!F83-PERALTE!#REF!)-2),IF(RASANTE!F83&lt;=PERALTE!#REF!,8,IF(RASANTE!F83&lt;=PERALTE!#REF!,(10/(PERALTE!#REF!-PERALTE!#REF!)*(RASANTE!F83-PERALTE!#REF!)-2))))),IF(AND(AH!#REF!="Derecha",RASANTE!F83&lt;=PERALTE!$AB$26),IF(RASANTE!F83&lt;=PERALTE!$S$26,-2,IF(RASANTE!F83&lt;=PERALTE!$U$26,(-6/(PERALTE!$U$26-PERALTE!$S$26)*(RASANTE!F83-PERALTE!$S$26)-2),IF(RASANTE!F83&lt;=PERALTE!$X$26,-8,IF(RASANTE!F83&lt;=PERALTE!$Z$26,(-6/(PERALTE!$X$26-PERALTE!$Z$26)*(RASANTE!F83-PERALTE!$Z$26)-2),IF(RASANTE!F83&lt;=PERALTE!$AB$26,-2))))),IF(AND(AH!#REF!="Izquierda",RASANTE!F83&lt;=PERALTE!$AB$26),IF(RASANTE!F83&lt;=PERALTE!$Q$26,-2,IF(RASANTE!F83&lt;=PERALTE!$U$26,(10/(PERALTE!$U$26-PERALTE!$Q$26)*(RASANTE!F83-PERALTE!$Q$26)-2),IF(RASANTE!F83&lt;=PERALTE!$X$26,8,IF(RASANTE!F83&lt;=PERALTE!$AB$26,(10/(PERALTE!$X$26-PERALTE!$AB$26)*(RASANTE!F83-PERALTE!$AB$26)-2))))),IF(F83&lt;=PERALTE!#REF!,-2,"Abscisa fuera de la vía")))))))))))))))))))))</f>
        <v>-8</v>
      </c>
      <c r="J83" s="28">
        <f t="shared" si="4"/>
        <v>1635.586400000001</v>
      </c>
      <c r="K83" s="28">
        <f>+IF(AND(AV!$S$6&lt;F180,F180&lt;=AV!$T$6),AV!$P$6*((AV!$S$6-RASANTE!F180)/(AV!$N$6))^2,IF(AND(AV!$T$6&lt;RASANTE!F180,F180&lt;AV!$U$6),AV!$P$6*((AV!$U$6-RASANTE!F180)/(AV!$O$6))^2,IF(AND(AV!$S$8&lt;F180,F180&lt;=AV!$T$8),AV!$P$8*((AV!$S$8-RASANTE!F180)/(AV!$N$8))^2,IF(AND(AV!$T$8&lt;RASANTE!F180,F180&lt;AV!$U$8),AV!$P$8*((AV!$U$8-RASANTE!F180)/(AV!$O$8))^2,IF(AND(AV!$S$10&lt;F180,F180&lt;=AV!$T$10),AV!$P$10*((AV!$S$10-RASANTE!F180)/(AV!$N$10))^2,IF(AND(AV!$T$10&lt;RASANTE!F180,F180&lt;AV!$U$10),AV!$P$10*((AV!$U$10-RASANTE!F180)/(AV!$O$10))^2,IF(AND(AV!$S$12&lt;F180,F180&lt;=AV!$T$12),AV!$P$12*((AV!$S$12-RASANTE!F180)/(AV!$N$12))^2,IF(AND(AV!$T$12&lt;RASANTE!F180,F180&lt;AV!$U$12),AV!$P$12*((AV!$U$12-RASANTE!F180)/(AV!$O$12))^2,IF(AND(AV!$S$14&lt;F180,F180&lt;=AV!$T$14),AV!$P$14*((AV!$S$14-RASANTE!F180)/(AV!$N$14))^2,IF(AND(AV!$T$14&lt;RASANTE!F180,F180&lt;AV!$U$14),AV!$P$14*((AV!$U$14-RASANTE!F180)/(AV!$O$14))^2,IF(AND(AV!$S$16&lt;F180,F180&lt;=AV!$T$16),AV!$P$16*((AV!$S$16-RASANTE!F180)/(AV!$N$16))^2,IF(AND(AV!$T$16&lt;RASANTE!F180,F180&lt;AV!$U$16),AV!$P$16*((AV!$U$16-RASANTE!F180)/(AV!$O$16))^2,IF(AND(AV!$S$18&lt;F180,F180&lt;=AV!$T$18),AV!$P$18*((AV!$S$18-RASANTE!F180)/(AV!$N$18))^2,IF(AND(AV!$T$18&lt;RASANTE!F180,F180&lt;AV!$U$18),AV!$P$18*((AV!$U$18-RASANTE!F180)/(AV!$O$18))^2,IF(AND(AV!$S$20&lt;F180,F180&lt;=AV!$T$20),AV!$P$20*((AV!$S$20-RASANTE!F180)/(AV!$N$20))^2,IF(AND(AV!$T$20&lt;RASANTE!F180,F180&lt;AV!$U$20),AV!$P$20*((AV!$U$20-RASANTE!F180)/(AV!$O$20))^2,IF(AND(AV!$S$22&lt;F180,F180&lt;=AV!$T$22),AV!$P$22*((AV!$S$22-RASANTE!F180)/(AV!$N$22))^2,IF(AND(AV!$T$22&lt;RASANTE!F180,F180&lt;AV!$U$22),AV!$P$22*((AV!$U$22-RASANTE!F180)/(AV!$O$22))^2,IF(AND(AV!$S$24&lt;F180,F180&lt;=AV!$T$24),AV!$P$24*((AV!$S$24-RASANTE!F180)/(AV!$N$24))^2,IF(AND(AV!$T$24&lt;RASANTE!F180,F180&lt;AV!$U$24),AV!$P$24*((AV!$U$24-RASANTE!F180)/(AV!$O$24))^2,0))))))))))))))))))))</f>
        <v>0</v>
      </c>
      <c r="L83" s="28">
        <f>+M83+H83%*PERALTE!$C$32</f>
        <v>1635.866400000001</v>
      </c>
      <c r="M83" s="28">
        <f t="shared" si="3"/>
        <v>1635.586400000001</v>
      </c>
      <c r="N83" s="28">
        <f>+M83+I83%*PERALTE!$C$32</f>
        <v>1635.3064000000011</v>
      </c>
      <c r="O83" s="92"/>
      <c r="P83" s="84"/>
      <c r="Q83" s="84"/>
      <c r="R83" s="84"/>
      <c r="S83" s="84"/>
      <c r="T83" s="84"/>
      <c r="U83" s="84"/>
      <c r="V83" s="84"/>
      <c r="W83" s="84"/>
      <c r="X83" s="84"/>
      <c r="Y83" s="84"/>
    </row>
    <row r="84" spans="1:25" ht="15.75" customHeight="1" x14ac:dyDescent="0.2">
      <c r="A84" s="90" t="s">
        <v>324</v>
      </c>
      <c r="E84" s="91"/>
      <c r="F84" s="34">
        <f>PERALTE!X8</f>
        <v>546.19826866091591</v>
      </c>
      <c r="G84" s="88">
        <f>IF(F84&lt;=AV!$T$6,AV!$C$5,IF(RASANTE!F84&lt;=AV!$T$8,AV!$C$7,IF(RASANTE!F84&lt;=AV!$T$10,AV!$C$9,IF(RASANTE!F84&lt;=AV!$T$12,AV!#REF!,IF(RASANTE!F84&lt;=AV!$T$14,AV!$C$11,IF(RASANTE!F84&lt;=AV!$T$16,AV!$C$13, IF(RASANTE!F84&lt;=AV!$T$18,AV!$C$15,IF(RASANTE!F84&lt;=AV!$T$20,AV!$C$19,IF(RASANTE!F84&lt;=AV!$T$22,AV!$C$21,IF(RASANTE!F84&lt;=AV!$T$24,AV!$C$23,AV!$C$25))))))))))</f>
        <v>-3</v>
      </c>
      <c r="H84" s="28">
        <f>+IF(AND(AH!$H$8="Izquierda",RASANTE!F84&lt;=PERALTE!$AB$6),IF(RASANTE!F84&lt;=PERALTE!$S$6,-2,IF(RASANTE!F84&lt;=PERALTE!$U$6,(-6/(PERALTE!$U$6-PERALTE!$S$6)*(RASANTE!F84-PERALTE!$S$6)-2),IF(RASANTE!F84&lt;=PERALTE!$X$6,-8,IF(RASANTE!F84&lt;=PERALTE!$Z$6,(-6/(PERALTE!$X$6-PERALTE!$Z$6)*(RASANTE!F84-PERALTE!$Z$6)-2),IF(RASANTE!F84&lt;=PERALTE!$AB$6,-2))))),IF(AND(AH!$H$8="Derecha",RASANTE!F84&lt;=PERALTE!$AB$6),IF(RASANTE!F84&lt;=PERALTE!$Q$6,-2,IF(RASANTE!F84&lt;=PERALTE!$U$6,(10/(PERALTE!$U$6-PERALTE!$Q$6)*(RASANTE!F84-PERALTE!$Q$6)-2),IF(RASANTE!F84&lt;=PERALTE!$X$6,8,IF(RASANTE!F84&lt;=PERALTE!$AB$6,(10/(PERALTE!$X$6-PERALTE!$AB$6)*(RASANTE!F84-PERALTE!$AB$6)-2))))),IF(AND(AH!$H$10="Izquierda",RASANTE!F84&lt;=PERALTE!$AB$8),IF(RASANTE!F84&lt;=PERALTE!$S$8,-2,IF(RASANTE!F84&lt;=PERALTE!$U$8,(-6/(PERALTE!$U$8-PERALTE!$S$8)*(RASANTE!F84-PERALTE!$S$8)-2),IF(RASANTE!F84&lt;=PERALTE!$X$8,-8,IF(RASANTE!F84&lt;=PERALTE!$Z$8,(-6/(PERALTE!$X$8-PERALTE!$Z$8)*(RASANTE!F84-PERALTE!$Z$8)-2),IF(RASANTE!F84&lt;=PERALTE!$AB$8,-2))))),IF(AND(AH!$H$10="Derecha",RASANTE!F84&lt;=PERALTE!$AB$8),IF(RASANTE!F84&lt;=PERALTE!$Q$8,-2,IF(RASANTE!F84&lt;=PERALTE!$U$8,(10/(PERALTE!$U$8-PERALTE!$Q$8)*(RASANTE!F84-PERALTE!$Q$8)-2),IF(RASANTE!F84&lt;=PERALTE!$X$8,8,IF(RASANTE!F84&lt;=PERALTE!$AB$8,(10/(PERALTE!$X$8-PERALTE!$AB$8)*(RASANTE!F84-PERALTE!$AB$8)-2))))),IF(AND(AH!$H$12="Izquierda",RASANTE!F84&lt;=PERALTE!$AB$10),IF(RASANTE!F84&lt;=PERALTE!$S$10,-2,IF(RASANTE!F84&lt;=PERALTE!$U$10,(-6/(PERALTE!$U$10-PERALTE!$S$10)*(RASANTE!F84-PERALTE!$S$10)-2),IF(RASANTE!F84&lt;=PERALTE!$X$10,-8,IF(RASANTE!F84&lt;=PERALTE!$Z$10,(-6/(PERALTE!$X$10-PERALTE!$Z$10)*(RASANTE!F84-PERALTE!$Z$10)-2),IF(RASANTE!F84&lt;=PERALTE!$AB$10,-2))))),IF(AND(AH!$H$12="Derecha",RASANTE!F84&lt;=PERALTE!$AB$10),IF(RASANTE!F84&lt;=PERALTE!$Q$10,-2,IF(RASANTE!F84&lt;=PERALTE!$U$10,(10/(PERALTE!$U$10-PERALTE!$Q$10)*(RASANTE!F84-PERALTE!$Q$10)-2),IF(RASANTE!F84&lt;=PERALTE!$X$10,8,IF(RASANTE!F84&lt;=PERALTE!$AB$10,(10/(PERALTE!$X$10-PERALTE!$AB$10)*(RASANTE!F84-PERALTE!$AB$10)-2))))),IF(AND(AH!$H$14="Izquierda",RASANTE!F84&lt;=PERALTE!$AB$12),IF(RASANTE!F84&lt;=PERALTE!$S$12,-2,IF(RASANTE!F84&lt;=PERALTE!$U$12,(-6/(PERALTE!$U$12-PERALTE!$S$12)*(RASANTE!F84-PERALTE!$S$12)-2),IF(RASANTE!F84&lt;=PERALTE!$X$12,-8,IF(RASANTE!F84&lt;=PERALTE!$Z$12,(-6/(PERALTE!$X$12-PERALTE!$Z$12)*(RASANTE!F84-PERALTE!$Z$12)-2),IF(RASANTE!F84&lt;=PERALTE!$AB$12,-2))))),IF(AND(AH!$H$14="Derecha",RASANTE!F84&lt;=PERALTE!$AB$12),IF(RASANTE!F84&lt;=PERALTE!$Q$12,-2,IF(RASANTE!F84&lt;=PERALTE!$U$12,(10/(PERALTE!$U$12-PERALTE!$Q$12)*(RASANTE!F84-PERALTE!$Q$12)-2),IF(RASANTE!F84&lt;=PERALTE!$X$12,8,IF(RASANTE!F84&lt;=PERALTE!$AB$12,(10/(PERALTE!$X$12-PERALTE!$AB$12)*(RASANTE!F84-PERALTE!$AB$12)-2))))),IF(AND(AH!$H$16="Izquierda",RASANTE!F84&lt;=PERALTE!$AB$14),IF(RASANTE!F84&lt;=PERALTE!$S$14,-2,IF(RASANTE!F84&lt;=PERALTE!$U$14,(-6/(PERALTE!$U$14-PERALTE!$S$14)*(RASANTE!F84-PERALTE!$S$14)-2),IF(RASANTE!F84&lt;=PERALTE!$X$14,-8,IF(RASANTE!F84&lt;=PERALTE!$Z$14,(-6/(PERALTE!$X$14-PERALTE!$Z$14)*(RASANTE!F84-PERALTE!$Z$14)-2),IF(RASANTE!F84&lt;=PERALTE!$AB$14,-2))))),IF(AND(AH!$H$16="Derecha",RASANTE!F84&lt;=PERALTE!$AB$14),IF(RASANTE!F84&lt;=PERALTE!$Q$14,-2,IF(RASANTE!F84&lt;=PERALTE!$U$14,(10/(PERALTE!$U$14-PERALTE!$Q$14)*(RASANTE!F84-PERALTE!$Q$14)-2),IF(RASANTE!F84&lt;=PERALTE!$X$14,8,IF(RASANTE!F84&lt;=PERALTE!$AB$14,(10/(PERALTE!$X$14-PERALTE!$AB$14)*(RASANTE!F84-PERALTE!$AB$14)-2))))),IF(AND(AH!$H$18="Izquierda",RASANTE!F84&lt;=PERALTE!$AB$16),IF(RASANTE!F84&lt;=PERALTE!$S$16,-2,IF(RASANTE!F84&lt;=PERALTE!$U$16,(-6/(PERALTE!$U$16-PERALTE!$S$16)*(RASANTE!F84-PERALTE!$S$16)-2),IF(RASANTE!F84&lt;=PERALTE!$X$16,-8,IF(RASANTE!F84&lt;=PERALTE!$Z$16,(-6/(PERALTE!$X$16-PERALTE!$Z$16)*(RASANTE!F84-PERALTE!$Z$16)-2),IF(RASANTE!F84&lt;=PERALTE!$AB$16,-2))))),IF(AND(AH!$H$18="Derecha",RASANTE!F84&lt;=PERALTE!$AB$16),IF(RASANTE!F84&lt;=PERALTE!$Q$16,-2,IF(RASANTE!F84&lt;=PERALTE!$U$16,(10/(PERALTE!$U$16-PERALTE!$Q$16)*(RASANTE!F84-PERALTE!$Q$16)-2),IF(RASANTE!F84&lt;=PERALTE!$X$16,8,IF(RASANTE!F84&lt;=PERALTE!$AB$16,(10/(PERALTE!$X$16-PERALTE!$AB$16)*(RASANTE!F84-PERALTE!$AB$16)-2))))),IF(AND(AH!$H$20="Izquierda",RASANTE!F84&lt;=PERALTE!$AB$18),IF(RASANTE!F84&lt;=PERALTE!$S$18,-2,IF(RASANTE!F84&lt;=PERALTE!$U$18,(-6/(PERALTE!$U$18-PERALTE!$S$18)*(RASANTE!F84-PERALTE!$S$18)-2),IF(RASANTE!F84&lt;=PERALTE!$X$18,-8,IF(RASANTE!F84&lt;=PERALTE!$Z$18,(-6/(PERALTE!$X$18-PERALTE!$Z$18)*(RASANTE!F84-PERALTE!$Z$18)-2),IF(RASANTE!F84&lt;=PERALTE!$AB$18,-2))))),IF(AND(AH!$H$20="Derecha",RASANTE!F84&lt;=PERALTE!$AB$18),IF(RASANTE!F84&lt;=PERALTE!$Q$18,-2,IF(RASANTE!F84&lt;=PERALTE!$U$18,(10/(PERALTE!$U$18-PERALTE!$Q$18)*(RASANTE!F84-PERALTE!$Q$18)-2),IF(RASANTE!F84&lt;=PERALTE!$X$18,8,IF(RASANTE!F84&lt;=PERALTE!$AB$18,(10/(PERALTE!$X$18-PERALTE!$AB$18)*(RASANTE!F84-PERALTE!$AB$18)-2))))),IF(AND(AH!$H$24="Izquierda",RASANTE!F84&lt;=PERALTE!$AB$22),IF(RASANTE!F84&lt;=PERALTE!$S$22,-2,IF(RASANTE!F84&lt;=PERALTE!$U$22,(-6/(PERALTE!$U$22-PERALTE!$S$22)*(RASANTE!F84-PERALTE!$S$22)-2),IF(RASANTE!F84&lt;=PERALTE!$X$22,-8,IF(RASANTE!F84&lt;=PERALTE!$Z$22,(-6/(PERALTE!$X$22-PERALTE!$Z$22)*(RASANTE!F84-PERALTE!$Z$22)-2),IF(RASANTE!F84&lt;=PERALTE!$AB$22,-2))))),IF(AND(AH!$H$24="Derecha",RASANTE!F84&lt;=PERALTE!$AB$22),IF(RASANTE!F84&lt;=PERALTE!$Q$22,-2,IF(RASANTE!F84&lt;=PERALTE!$U$22,(10/(PERALTE!$U$22-PERALTE!$Q$22)*(RASANTE!F84-PERALTE!$Q$22)-2),IF(RASANTE!F84&lt;=PERALTE!$X$22,8,IF(RASANTE!F84&lt;=PERALTE!$AB$22,(10/(PERALTE!$X$22-PERALTE!$AB$22)*(RASANTE!F84-PERALTE!$AB$22)-2))))),IF(AND(AH!#REF!="Izquierda",RASANTE!F84&lt;=PERALTE!#REF!),IF(RASANTE!F84&lt;=PERALTE!#REF!,-2,IF(RASANTE!F84&lt;=PERALTE!#REF!,(-6/(PERALTE!#REF!-PERALTE!#REF!)*(RASANTE!F84-PERALTE!#REF!)-2),IF(RASANTE!F84&lt;=PERALTE!#REF!,-8,IF(RASANTE!F84&lt;=PERALTE!#REF!,(-6/(PERALTE!#REF!-PERALTE!#REF!)*(RASANTE!F84-PERALTE!#REF!)-2),IF(RASANTE!F84&lt;=PERALTE!#REF!,-2))))),IF(AND(AH!#REF!="Derecha",RASANTE!F84&lt;=PERALTE!#REF!),IF(RASANTE!F84&lt;=PERALTE!#REF!,-2,IF(RASANTE!F84&lt;=PERALTE!#REF!,(10/(PERALTE!#REF!-PERALTE!#REF!)*(RASANTE!F84-PERALTE!#REF!)-2),IF(RASANTE!F84&lt;=PERALTE!#REF!,8,IF(RASANTE!F84&lt;=PERALTE!#REF!,(10/(PERALTE!#REF!-PERALTE!#REF!)*(RASANTE!F84-PERALTE!#REF!)-2))))),IF(AND(AH!#REF!="Izquierda",RASANTE!F84&lt;=PERALTE!$AB$26),IF(RASANTE!F84&lt;=PERALTE!$S$26,-2,IF(RASANTE!F84&lt;=PERALTE!$U$26,(-6/(PERALTE!$U$26-PERALTE!$S$26)*(RASANTE!F84-PERALTE!$S$26)-2),IF(RASANTE!F84&lt;=PERALTE!$X$26,-8,IF(RASANTE!F84&lt;=PERALTE!$Z$26,(-6/(PERALTE!$X$26-PERALTE!$Z$26)*(RASANTE!F84-PERALTE!$Z$26)-2),IF(RASANTE!F84&lt;=PERALTE!$AB$26,-2))))),IF(AND(AH!#REF!="Derecha",RASANTE!F84&lt;=PERALTE!$AB$26),IF(RASANTE!F84&lt;=PERALTE!$Q$26,-2,IF(RASANTE!F84&lt;=PERALTE!$U$26,(10/(PERALTE!$U$26-PERALTE!$Q$26)*(RASANTE!F84-PERALTE!$Q$26)-2),IF(RASANTE!F84&lt;=PERALTE!$X$26,8,IF(RASANTE!F84&lt;=PERALTE!$AB$26,(10/(PERALTE!$X$26-PERALTE!$AB$26)*(RASANTE!F84-PERALTE!$AB$26)-2))))),IF(F84&lt;=PERALTE!#REF!,-2,"Abscisa fuera de la vía")))))))))))))))))))))</f>
        <v>8</v>
      </c>
      <c r="I84" s="28">
        <f>+IF(AND(AH!$H$8="Derecha",RASANTE!F84&lt;=PERALTE!$AB$6),IF(RASANTE!F84&lt;=PERALTE!$S$6,-2,IF(RASANTE!F84&lt;=PERALTE!$U$6,(-6/(PERALTE!$U$6-PERALTE!$S$6)*(RASANTE!F84-PERALTE!$S$6)-2),IF(RASANTE!F84&lt;=PERALTE!$X$6,-8,IF(RASANTE!F84&lt;=PERALTE!$Z$6,(-6/(PERALTE!$X$6-PERALTE!$Z$6)*(RASANTE!F84-PERALTE!$Z$6)-2),IF(RASANTE!F84&lt;=PERALTE!$AB$6,-2))))),IF(AND(AH!$H$8="Izquierda",RASANTE!F84&lt;=PERALTE!$AB$6),IF(RASANTE!F84&lt;=PERALTE!$Q$6,-2,IF(RASANTE!F84&lt;=PERALTE!$U$6,(10/(PERALTE!$U$6-PERALTE!$Q$6)*(RASANTE!F84-PERALTE!$Q$6)-2),IF(RASANTE!F84&lt;=PERALTE!$X$6,8,IF(RASANTE!F84&lt;=PERALTE!$AB$6,(10/(PERALTE!$X$6-PERALTE!$AB$6)*(RASANTE!F84-PERALTE!$AB$6)-2))))),IF(AND(AH!$H$10="Derecha",RASANTE!F84&lt;=PERALTE!$AB$8),IF(RASANTE!F84&lt;=PERALTE!$S$8,-2,IF(RASANTE!F84&lt;=PERALTE!$U$8,(-6/(PERALTE!$U$8-PERALTE!$S$8)*(RASANTE!F84-PERALTE!$S$8)-2),IF(RASANTE!F84&lt;=PERALTE!$X$8,-8,IF(RASANTE!F84&lt;=PERALTE!$Z$8,(-6/(PERALTE!$X$8-PERALTE!$Z$8)*(RASANTE!F84-PERALTE!$Z$8)-2),IF(RASANTE!F84&lt;=PERALTE!$AB$8,-2))))),IF(AND(AH!$H$10="Izquierda",RASANTE!F84&lt;=PERALTE!$AB$8),IF(RASANTE!F84&lt;=PERALTE!$Q$8,-2,IF(RASANTE!F84&lt;=PERALTE!$U$8,(10/(PERALTE!$U$8-PERALTE!$Q$8)*(RASANTE!F84-PERALTE!$Q$8)-2),IF(RASANTE!F84&lt;=PERALTE!$X$8,8,IF(RASANTE!F84&lt;=PERALTE!$AB$8,(10/(PERALTE!$X$8-PERALTE!$AB$8)*(RASANTE!F84-PERALTE!$AB$8)-2))))),IF(AND(AH!$H$12="Derecha",RASANTE!F84&lt;=PERALTE!$AB$10),IF(RASANTE!F84&lt;=PERALTE!$S$10,-2,IF(RASANTE!F84&lt;=PERALTE!$U$10,(-6/(PERALTE!$U$10-PERALTE!$S$10)*(RASANTE!F84-PERALTE!$S$10)-2),IF(RASANTE!F84&lt;=PERALTE!$X$10,-8,IF(RASANTE!F84&lt;=PERALTE!$Z$10,(-6/(PERALTE!$X$10-PERALTE!$Z$10)*(RASANTE!F84-PERALTE!$Z$10)-2),IF(RASANTE!F84&lt;=PERALTE!$AB$10,-2))))),IF(AND(AH!$H$12="Izquierda",RASANTE!F84&lt;=PERALTE!$AB$10),IF(RASANTE!F84&lt;=PERALTE!$Q$10,-2,IF(RASANTE!F84&lt;=PERALTE!$U$10,(10/(PERALTE!$U$10-PERALTE!$Q$10)*(RASANTE!F84-PERALTE!$Q$10)-2),IF(RASANTE!F84&lt;=PERALTE!$X$10,8,IF(RASANTE!F84&lt;=PERALTE!$AB$10,(10/(PERALTE!$X$10-PERALTE!$AB$10)*(RASANTE!F84-PERALTE!$AB$10)-2))))),IF(AND(AH!$H$14="Derecha",RASANTE!F84&lt;=PERALTE!$AB$12),IF(RASANTE!F84&lt;=PERALTE!$S$12,-2,IF(RASANTE!F84&lt;=PERALTE!$U$12,(-6/(PERALTE!$U$12-PERALTE!$S$12)*(RASANTE!F84-PERALTE!$S$12)-2),IF(RASANTE!F84&lt;=PERALTE!$X$12,-8,IF(RASANTE!F84&lt;=PERALTE!$Z$12,(-6/(PERALTE!$X$12-PERALTE!$Z$12)*(RASANTE!F84-PERALTE!$Z$12)-2),IF(RASANTE!F84&lt;=PERALTE!$AB$12,-2))))),IF(AND(AH!$H$14="Izquierda",RASANTE!F84&lt;=PERALTE!$AB$12),IF(RASANTE!F84&lt;=PERALTE!$Q$12,-2,IF(RASANTE!F84&lt;=PERALTE!$U$12,(10/(PERALTE!$U$12-PERALTE!$Q$12)*(RASANTE!F84-PERALTE!$Q$12)-2),IF(RASANTE!F84&lt;=PERALTE!$X$12,8,IF(RASANTE!F84&lt;=PERALTE!$AB$12,(10/(PERALTE!$X$12-PERALTE!$AB$12)*(RASANTE!F84-PERALTE!$AB$12)-2))))),IF(AND(AH!$H$16="Derecha",RASANTE!F84&lt;=PERALTE!$AB$14),IF(RASANTE!F84&lt;=PERALTE!$S$14,-2,IF(RASANTE!F84&lt;=PERALTE!$U$14,(-6/(PERALTE!$U$14-PERALTE!$S$14)*(RASANTE!F84-PERALTE!$S$14)-2),IF(RASANTE!F84&lt;=PERALTE!$X$14,-8,IF(RASANTE!F84&lt;=PERALTE!$Z$14,(-6/(PERALTE!$X$14-PERALTE!$Z$14)*(RASANTE!F84-PERALTE!$Z$14)-2),IF(RASANTE!F84&lt;=PERALTE!$AB$14,-2))))),IF(AND(AH!$H$16="Izquierda",RASANTE!F84&lt;=PERALTE!$AB$14),IF(RASANTE!F84&lt;=PERALTE!$Q$14,-2,IF(RASANTE!F84&lt;=PERALTE!$U$14,(10/(PERALTE!$U$14-PERALTE!$Q$14)*(RASANTE!F84-PERALTE!$Q$14)-2),IF(RASANTE!F84&lt;=PERALTE!$X$14,8,IF(RASANTE!F84&lt;=PERALTE!$AB$14,(10/(PERALTE!$X$14-PERALTE!$AB$14)*(RASANTE!F84-PERALTE!$AB$14)-2))))),IF(AND(AH!$H$18="Derecha",RASANTE!F84&lt;=PERALTE!$AB$16),IF(RASANTE!F84&lt;=PERALTE!$S$16,-2,IF(RASANTE!F84&lt;=PERALTE!$U$16,(-6/(PERALTE!$U$16-PERALTE!$S$16)*(RASANTE!F84-PERALTE!$S$16)-2),IF(RASANTE!F84&lt;=PERALTE!$X$16,-8,IF(RASANTE!F84&lt;=PERALTE!$Z$16,(-6/(PERALTE!$X$16-PERALTE!$Z$16)*(RASANTE!F84-PERALTE!$Z$16)-2),IF(RASANTE!F84&lt;=PERALTE!$AB$16,-2))))),IF(AND(AH!$H$18="Izquierda",RASANTE!F84&lt;=PERALTE!$AB$16),IF(RASANTE!F84&lt;=PERALTE!$Q$16,-2,IF(RASANTE!F84&lt;=PERALTE!$U$16,(10/(PERALTE!$U$16-PERALTE!$Q$16)*(RASANTE!F84-PERALTE!$Q$16)-2),IF(RASANTE!F84&lt;=PERALTE!$X$16,8,IF(RASANTE!F84&lt;=PERALTE!$AB$16,(10/(PERALTE!$X$16-PERALTE!$AB$16)*(RASANTE!F84-PERALTE!$AB$16)-2))))),IF(AND(AH!$H$20="Derecha",RASANTE!F84&lt;=PERALTE!$AB$18),IF(RASANTE!F84&lt;=PERALTE!$S$18,-2,IF(RASANTE!F84&lt;=PERALTE!$U$18,(-6/(PERALTE!$U$18-PERALTE!$S$18)*(RASANTE!F84-PERALTE!$S$18)-2),IF(RASANTE!F84&lt;=PERALTE!$X$18,-8,IF(RASANTE!F84&lt;=PERALTE!$Z$18,(-6/(PERALTE!$X$18-PERALTE!$Z$18)*(RASANTE!F84-PERALTE!$Z$18)-2),IF(RASANTE!F84&lt;=PERALTE!$AB$18,-2))))),IF(AND(AH!$H$20="Izquierda",RASANTE!F84&lt;=PERALTE!$AB$18),IF(RASANTE!F84&lt;=PERALTE!$Q$18,-2,IF(RASANTE!F84&lt;=PERALTE!$U$18,(10/(PERALTE!$U$18-PERALTE!$Q$18)*(RASANTE!F84-PERALTE!$Q$18)-2),IF(RASANTE!F84&lt;=PERALTE!$X$18,8,IF(RASANTE!F84&lt;=PERALTE!$AB$18,(10/(PERALTE!$X$18-PERALTE!$AB$18)*(RASANTE!F84-PERALTE!$AB$18)-2))))),IF(AND(AH!$H$24="Derecha",RASANTE!F84&lt;=PERALTE!$AB$22),IF(RASANTE!F84&lt;=PERALTE!$S$22,-2,IF(RASANTE!F84&lt;=PERALTE!$U$22,(-6/(PERALTE!$U$22-PERALTE!$S$22)*(RASANTE!F84-PERALTE!$S$22)-2),IF(RASANTE!F84&lt;=PERALTE!$X$22,-8,IF(RASANTE!F84&lt;=PERALTE!$Z$22,(-6/(PERALTE!$X$22-PERALTE!$Z$22)*(RASANTE!F84-PERALTE!$Z$22)-2),IF(RASANTE!F84&lt;=PERALTE!$AB$22,-2))))),IF(AND(AH!$H$24="Izquierda",RASANTE!F84&lt;=PERALTE!$AB$22),IF(RASANTE!F84&lt;=PERALTE!$Q$22,-2,IF(RASANTE!F84&lt;=PERALTE!$U$22,(10/(PERALTE!$U$22-PERALTE!$Q$22)*(RASANTE!F84-PERALTE!$Q$22)-2),IF(RASANTE!F84&lt;=PERALTE!$X$22,8,IF(RASANTE!F84&lt;=PERALTE!$AB$22,(10/(PERALTE!$X$22-PERALTE!$AB$22)*(RASANTE!F84-PERALTE!$AB$22)-2))))),IF(AND(AH!#REF!="Derecha",RASANTE!F84&lt;=PERALTE!#REF!),IF(RASANTE!F84&lt;=PERALTE!#REF!,-2,IF(RASANTE!F84&lt;=PERALTE!#REF!,(-6/(PERALTE!#REF!-PERALTE!#REF!)*(RASANTE!F84-PERALTE!#REF!)-2),IF(RASANTE!F84&lt;=PERALTE!#REF!,-8,IF(RASANTE!F84&lt;=PERALTE!#REF!,(-6/(PERALTE!#REF!-PERALTE!#REF!)*(RASANTE!F84-PERALTE!#REF!)-2),IF(RASANTE!F84&lt;=PERALTE!#REF!,-2))))),IF(AND(AH!#REF!="Izquierda",RASANTE!F84&lt;=PERALTE!#REF!),IF(RASANTE!F84&lt;=PERALTE!#REF!,-2,IF(RASANTE!F84&lt;=PERALTE!#REF!,(10/(PERALTE!#REF!-PERALTE!#REF!)*(RASANTE!F84-PERALTE!#REF!)-2),IF(RASANTE!F84&lt;=PERALTE!#REF!,8,IF(RASANTE!F84&lt;=PERALTE!#REF!,(10/(PERALTE!#REF!-PERALTE!#REF!)*(RASANTE!F84-PERALTE!#REF!)-2))))),IF(AND(AH!#REF!="Derecha",RASANTE!F84&lt;=PERALTE!$AB$26),IF(RASANTE!F84&lt;=PERALTE!$S$26,-2,IF(RASANTE!F84&lt;=PERALTE!$U$26,(-6/(PERALTE!$U$26-PERALTE!$S$26)*(RASANTE!F84-PERALTE!$S$26)-2),IF(RASANTE!F84&lt;=PERALTE!$X$26,-8,IF(RASANTE!F84&lt;=PERALTE!$Z$26,(-6/(PERALTE!$X$26-PERALTE!$Z$26)*(RASANTE!F84-PERALTE!$Z$26)-2),IF(RASANTE!F84&lt;=PERALTE!$AB$26,-2))))),IF(AND(AH!#REF!="Izquierda",RASANTE!F84&lt;=PERALTE!$AB$26),IF(RASANTE!F84&lt;=PERALTE!$Q$26,-2,IF(RASANTE!F84&lt;=PERALTE!$U$26,(10/(PERALTE!$U$26-PERALTE!$Q$26)*(RASANTE!F84-PERALTE!$Q$26)-2),IF(RASANTE!F84&lt;=PERALTE!$X$26,8,IF(RASANTE!F84&lt;=PERALTE!$AB$26,(10/(PERALTE!$X$26-PERALTE!$AB$26)*(RASANTE!F84-PERALTE!$AB$26)-2))))),IF(F84&lt;=PERALTE!#REF!,-2,"Abscisa fuera de la vía")))))))))))))))))))))</f>
        <v>-8</v>
      </c>
      <c r="J84" s="28">
        <f t="shared" si="4"/>
        <v>1635.4004519401735</v>
      </c>
      <c r="K84" s="28">
        <f>+IF(AND(AV!$S$6&lt;F181,F181&lt;=AV!$T$6),AV!$P$6*((AV!$S$6-RASANTE!F181)/(AV!$N$6))^2,IF(AND(AV!$T$6&lt;RASANTE!F181,F181&lt;AV!$U$6),AV!$P$6*((AV!$U$6-RASANTE!F181)/(AV!$O$6))^2,IF(AND(AV!$S$8&lt;F181,F181&lt;=AV!$T$8),AV!$P$8*((AV!$S$8-RASANTE!F181)/(AV!$N$8))^2,IF(AND(AV!$T$8&lt;RASANTE!F181,F181&lt;AV!$U$8),AV!$P$8*((AV!$U$8-RASANTE!F181)/(AV!$O$8))^2,IF(AND(AV!$S$10&lt;F181,F181&lt;=AV!$T$10),AV!$P$10*((AV!$S$10-RASANTE!F181)/(AV!$N$10))^2,IF(AND(AV!$T$10&lt;RASANTE!F181,F181&lt;AV!$U$10),AV!$P$10*((AV!$U$10-RASANTE!F181)/(AV!$O$10))^2,IF(AND(AV!$S$12&lt;F181,F181&lt;=AV!$T$12),AV!$P$12*((AV!$S$12-RASANTE!F181)/(AV!$N$12))^2,IF(AND(AV!$T$12&lt;RASANTE!F181,F181&lt;AV!$U$12),AV!$P$12*((AV!$U$12-RASANTE!F181)/(AV!$O$12))^2,IF(AND(AV!$S$14&lt;F181,F181&lt;=AV!$T$14),AV!$P$14*((AV!$S$14-RASANTE!F181)/(AV!$N$14))^2,IF(AND(AV!$T$14&lt;RASANTE!F181,F181&lt;AV!$U$14),AV!$P$14*((AV!$U$14-RASANTE!F181)/(AV!$O$14))^2,IF(AND(AV!$S$16&lt;F181,F181&lt;=AV!$T$16),AV!$P$16*((AV!$S$16-RASANTE!F181)/(AV!$N$16))^2,IF(AND(AV!$T$16&lt;RASANTE!F181,F181&lt;AV!$U$16),AV!$P$16*((AV!$U$16-RASANTE!F181)/(AV!$O$16))^2,IF(AND(AV!$S$18&lt;F181,F181&lt;=AV!$T$18),AV!$P$18*((AV!$S$18-RASANTE!F181)/(AV!$N$18))^2,IF(AND(AV!$T$18&lt;RASANTE!F181,F181&lt;AV!$U$18),AV!$P$18*((AV!$U$18-RASANTE!F181)/(AV!$O$18))^2,IF(AND(AV!$S$20&lt;F181,F181&lt;=AV!$T$20),AV!$P$20*((AV!$S$20-RASANTE!F181)/(AV!$N$20))^2,IF(AND(AV!$T$20&lt;RASANTE!F181,F181&lt;AV!$U$20),AV!$P$20*((AV!$U$20-RASANTE!F181)/(AV!$O$20))^2,IF(AND(AV!$S$22&lt;F181,F181&lt;=AV!$T$22),AV!$P$22*((AV!$S$22-RASANTE!F181)/(AV!$N$22))^2,IF(AND(AV!$T$22&lt;RASANTE!F181,F181&lt;AV!$U$22),AV!$P$22*((AV!$U$22-RASANTE!F181)/(AV!$O$22))^2,IF(AND(AV!$S$24&lt;F181,F181&lt;=AV!$T$24),AV!$P$24*((AV!$S$24-RASANTE!F181)/(AV!$N$24))^2,IF(AND(AV!$T$24&lt;RASANTE!F181,F181&lt;AV!$U$24),AV!$P$24*((AV!$U$24-RASANTE!F181)/(AV!$O$24))^2,0))))))))))))))))))))</f>
        <v>0</v>
      </c>
      <c r="L84" s="28">
        <f>+M84+H84%*PERALTE!$C$32</f>
        <v>1635.6804519401735</v>
      </c>
      <c r="M84" s="28">
        <f t="shared" si="3"/>
        <v>1635.4004519401735</v>
      </c>
      <c r="N84" s="28">
        <f>+M84+I84%*PERALTE!$C$32</f>
        <v>1635.1204519401736</v>
      </c>
      <c r="O84" s="92"/>
      <c r="P84" s="84"/>
      <c r="Q84" s="84"/>
      <c r="R84" s="84"/>
      <c r="S84" s="84"/>
      <c r="T84" s="84"/>
      <c r="U84" s="84"/>
      <c r="V84" s="84"/>
      <c r="W84" s="84"/>
      <c r="X84" s="84"/>
      <c r="Y84" s="84"/>
    </row>
    <row r="85" spans="1:25" ht="15.75" customHeight="1" x14ac:dyDescent="0.2">
      <c r="A85" s="90"/>
      <c r="B85" s="86"/>
      <c r="C85" s="86"/>
      <c r="D85" s="86"/>
      <c r="E85" s="91"/>
      <c r="F85" s="34">
        <v>550</v>
      </c>
      <c r="G85" s="88">
        <f>IF(F85&lt;=AV!$T$6,AV!$C$5,IF(RASANTE!F85&lt;=AV!$T$8,AV!$C$7,IF(RASANTE!F85&lt;=AV!$T$10,AV!$C$9,IF(RASANTE!F85&lt;=AV!$T$12,AV!#REF!,IF(RASANTE!F85&lt;=AV!$T$14,AV!$C$11,IF(RASANTE!F85&lt;=AV!$T$16,AV!$C$13, IF(RASANTE!F85&lt;=AV!$T$18,AV!$C$15,IF(RASANTE!F85&lt;=AV!$T$20,AV!$C$19,IF(RASANTE!F85&lt;=AV!$T$22,AV!$C$21,IF(RASANTE!F85&lt;=AV!$T$24,AV!$C$23,AV!$C$25))))))))))</f>
        <v>-3</v>
      </c>
      <c r="H85" s="28">
        <f>+IF(AND(AH!$H$8="Izquierda",RASANTE!F85&lt;=PERALTE!$AB$6),IF(RASANTE!F85&lt;=PERALTE!$S$6,-2,IF(RASANTE!F85&lt;=PERALTE!$U$6,(-6/(PERALTE!$U$6-PERALTE!$S$6)*(RASANTE!F85-PERALTE!$S$6)-2),IF(RASANTE!F85&lt;=PERALTE!$X$6,-8,IF(RASANTE!F85&lt;=PERALTE!$Z$6,(-6/(PERALTE!$X$6-PERALTE!$Z$6)*(RASANTE!F85-PERALTE!$Z$6)-2),IF(RASANTE!F85&lt;=PERALTE!$AB$6,-2))))),IF(AND(AH!$H$8="Derecha",RASANTE!F85&lt;=PERALTE!$AB$6),IF(RASANTE!F85&lt;=PERALTE!$Q$6,-2,IF(RASANTE!F85&lt;=PERALTE!$U$6,(10/(PERALTE!$U$6-PERALTE!$Q$6)*(RASANTE!F85-PERALTE!$Q$6)-2),IF(RASANTE!F85&lt;=PERALTE!$X$6,8,IF(RASANTE!F85&lt;=PERALTE!$AB$6,(10/(PERALTE!$X$6-PERALTE!$AB$6)*(RASANTE!F85-PERALTE!$AB$6)-2))))),IF(AND(AH!$H$10="Izquierda",RASANTE!F85&lt;=PERALTE!$AB$8),IF(RASANTE!F85&lt;=PERALTE!$S$8,-2,IF(RASANTE!F85&lt;=PERALTE!$U$8,(-6/(PERALTE!$U$8-PERALTE!$S$8)*(RASANTE!F85-PERALTE!$S$8)-2),IF(RASANTE!F85&lt;=PERALTE!$X$8,-8,IF(RASANTE!F85&lt;=PERALTE!$Z$8,(-6/(PERALTE!$X$8-PERALTE!$Z$8)*(RASANTE!F85-PERALTE!$Z$8)-2),IF(RASANTE!F85&lt;=PERALTE!$AB$8,-2))))),IF(AND(AH!$H$10="Derecha",RASANTE!F85&lt;=PERALTE!$AB$8),IF(RASANTE!F85&lt;=PERALTE!$Q$8,-2,IF(RASANTE!F85&lt;=PERALTE!$U$8,(10/(PERALTE!$U$8-PERALTE!$Q$8)*(RASANTE!F85-PERALTE!$Q$8)-2),IF(RASANTE!F85&lt;=PERALTE!$X$8,8,IF(RASANTE!F85&lt;=PERALTE!$AB$8,(10/(PERALTE!$X$8-PERALTE!$AB$8)*(RASANTE!F85-PERALTE!$AB$8)-2))))),IF(AND(AH!$H$12="Izquierda",RASANTE!F85&lt;=PERALTE!$AB$10),IF(RASANTE!F85&lt;=PERALTE!$S$10,-2,IF(RASANTE!F85&lt;=PERALTE!$U$10,(-6/(PERALTE!$U$10-PERALTE!$S$10)*(RASANTE!F85-PERALTE!$S$10)-2),IF(RASANTE!F85&lt;=PERALTE!$X$10,-8,IF(RASANTE!F85&lt;=PERALTE!$Z$10,(-6/(PERALTE!$X$10-PERALTE!$Z$10)*(RASANTE!F85-PERALTE!$Z$10)-2),IF(RASANTE!F85&lt;=PERALTE!$AB$10,-2))))),IF(AND(AH!$H$12="Derecha",RASANTE!F85&lt;=PERALTE!$AB$10),IF(RASANTE!F85&lt;=PERALTE!$Q$10,-2,IF(RASANTE!F85&lt;=PERALTE!$U$10,(10/(PERALTE!$U$10-PERALTE!$Q$10)*(RASANTE!F85-PERALTE!$Q$10)-2),IF(RASANTE!F85&lt;=PERALTE!$X$10,8,IF(RASANTE!F85&lt;=PERALTE!$AB$10,(10/(PERALTE!$X$10-PERALTE!$AB$10)*(RASANTE!F85-PERALTE!$AB$10)-2))))),IF(AND(AH!$H$14="Izquierda",RASANTE!F85&lt;=PERALTE!$AB$12),IF(RASANTE!F85&lt;=PERALTE!$S$12,-2,IF(RASANTE!F85&lt;=PERALTE!$U$12,(-6/(PERALTE!$U$12-PERALTE!$S$12)*(RASANTE!F85-PERALTE!$S$12)-2),IF(RASANTE!F85&lt;=PERALTE!$X$12,-8,IF(RASANTE!F85&lt;=PERALTE!$Z$12,(-6/(PERALTE!$X$12-PERALTE!$Z$12)*(RASANTE!F85-PERALTE!$Z$12)-2),IF(RASANTE!F85&lt;=PERALTE!$AB$12,-2))))),IF(AND(AH!$H$14="Derecha",RASANTE!F85&lt;=PERALTE!$AB$12),IF(RASANTE!F85&lt;=PERALTE!$Q$12,-2,IF(RASANTE!F85&lt;=PERALTE!$U$12,(10/(PERALTE!$U$12-PERALTE!$Q$12)*(RASANTE!F85-PERALTE!$Q$12)-2),IF(RASANTE!F85&lt;=PERALTE!$X$12,8,IF(RASANTE!F85&lt;=PERALTE!$AB$12,(10/(PERALTE!$X$12-PERALTE!$AB$12)*(RASANTE!F85-PERALTE!$AB$12)-2))))),IF(AND(AH!$H$16="Izquierda",RASANTE!F85&lt;=PERALTE!$AB$14),IF(RASANTE!F85&lt;=PERALTE!$S$14,-2,IF(RASANTE!F85&lt;=PERALTE!$U$14,(-6/(PERALTE!$U$14-PERALTE!$S$14)*(RASANTE!F85-PERALTE!$S$14)-2),IF(RASANTE!F85&lt;=PERALTE!$X$14,-8,IF(RASANTE!F85&lt;=PERALTE!$Z$14,(-6/(PERALTE!$X$14-PERALTE!$Z$14)*(RASANTE!F85-PERALTE!$Z$14)-2),IF(RASANTE!F85&lt;=PERALTE!$AB$14,-2))))),IF(AND(AH!$H$16="Derecha",RASANTE!F85&lt;=PERALTE!$AB$14),IF(RASANTE!F85&lt;=PERALTE!$Q$14,-2,IF(RASANTE!F85&lt;=PERALTE!$U$14,(10/(PERALTE!$U$14-PERALTE!$Q$14)*(RASANTE!F85-PERALTE!$Q$14)-2),IF(RASANTE!F85&lt;=PERALTE!$X$14,8,IF(RASANTE!F85&lt;=PERALTE!$AB$14,(10/(PERALTE!$X$14-PERALTE!$AB$14)*(RASANTE!F85-PERALTE!$AB$14)-2))))),IF(AND(AH!$H$18="Izquierda",RASANTE!F85&lt;=PERALTE!$AB$16),IF(RASANTE!F85&lt;=PERALTE!$S$16,-2,IF(RASANTE!F85&lt;=PERALTE!$U$16,(-6/(PERALTE!$U$16-PERALTE!$S$16)*(RASANTE!F85-PERALTE!$S$16)-2),IF(RASANTE!F85&lt;=PERALTE!$X$16,-8,IF(RASANTE!F85&lt;=PERALTE!$Z$16,(-6/(PERALTE!$X$16-PERALTE!$Z$16)*(RASANTE!F85-PERALTE!$Z$16)-2),IF(RASANTE!F85&lt;=PERALTE!$AB$16,-2))))),IF(AND(AH!$H$18="Derecha",RASANTE!F85&lt;=PERALTE!$AB$16),IF(RASANTE!F85&lt;=PERALTE!$Q$16,-2,IF(RASANTE!F85&lt;=PERALTE!$U$16,(10/(PERALTE!$U$16-PERALTE!$Q$16)*(RASANTE!F85-PERALTE!$Q$16)-2),IF(RASANTE!F85&lt;=PERALTE!$X$16,8,IF(RASANTE!F85&lt;=PERALTE!$AB$16,(10/(PERALTE!$X$16-PERALTE!$AB$16)*(RASANTE!F85-PERALTE!$AB$16)-2))))),IF(AND(AH!$H$20="Izquierda",RASANTE!F85&lt;=PERALTE!$AB$18),IF(RASANTE!F85&lt;=PERALTE!$S$18,-2,IF(RASANTE!F85&lt;=PERALTE!$U$18,(-6/(PERALTE!$U$18-PERALTE!$S$18)*(RASANTE!F85-PERALTE!$S$18)-2),IF(RASANTE!F85&lt;=PERALTE!$X$18,-8,IF(RASANTE!F85&lt;=PERALTE!$Z$18,(-6/(PERALTE!$X$18-PERALTE!$Z$18)*(RASANTE!F85-PERALTE!$Z$18)-2),IF(RASANTE!F85&lt;=PERALTE!$AB$18,-2))))),IF(AND(AH!$H$20="Derecha",RASANTE!F85&lt;=PERALTE!$AB$18),IF(RASANTE!F85&lt;=PERALTE!$Q$18,-2,IF(RASANTE!F85&lt;=PERALTE!$U$18,(10/(PERALTE!$U$18-PERALTE!$Q$18)*(RASANTE!F85-PERALTE!$Q$18)-2),IF(RASANTE!F85&lt;=PERALTE!$X$18,8,IF(RASANTE!F85&lt;=PERALTE!$AB$18,(10/(PERALTE!$X$18-PERALTE!$AB$18)*(RASANTE!F85-PERALTE!$AB$18)-2))))),IF(AND(AH!$H$24="Izquierda",RASANTE!F85&lt;=PERALTE!$AB$22),IF(RASANTE!F85&lt;=PERALTE!$S$22,-2,IF(RASANTE!F85&lt;=PERALTE!$U$22,(-6/(PERALTE!$U$22-PERALTE!$S$22)*(RASANTE!F85-PERALTE!$S$22)-2),IF(RASANTE!F85&lt;=PERALTE!$X$22,-8,IF(RASANTE!F85&lt;=PERALTE!$Z$22,(-6/(PERALTE!$X$22-PERALTE!$Z$22)*(RASANTE!F85-PERALTE!$Z$22)-2),IF(RASANTE!F85&lt;=PERALTE!$AB$22,-2))))),IF(AND(AH!$H$24="Derecha",RASANTE!F85&lt;=PERALTE!$AB$22),IF(RASANTE!F85&lt;=PERALTE!$Q$22,-2,IF(RASANTE!F85&lt;=PERALTE!$U$22,(10/(PERALTE!$U$22-PERALTE!$Q$22)*(RASANTE!F85-PERALTE!$Q$22)-2),IF(RASANTE!F85&lt;=PERALTE!$X$22,8,IF(RASANTE!F85&lt;=PERALTE!$AB$22,(10/(PERALTE!$X$22-PERALTE!$AB$22)*(RASANTE!F85-PERALTE!$AB$22)-2))))),IF(AND(AH!#REF!="Izquierda",RASANTE!F85&lt;=PERALTE!#REF!),IF(RASANTE!F85&lt;=PERALTE!#REF!,-2,IF(RASANTE!F85&lt;=PERALTE!#REF!,(-6/(PERALTE!#REF!-PERALTE!#REF!)*(RASANTE!F85-PERALTE!#REF!)-2),IF(RASANTE!F85&lt;=PERALTE!#REF!,-8,IF(RASANTE!F85&lt;=PERALTE!#REF!,(-6/(PERALTE!#REF!-PERALTE!#REF!)*(RASANTE!F85-PERALTE!#REF!)-2),IF(RASANTE!F85&lt;=PERALTE!#REF!,-2))))),IF(AND(AH!#REF!="Derecha",RASANTE!F85&lt;=PERALTE!#REF!),IF(RASANTE!F85&lt;=PERALTE!#REF!,-2,IF(RASANTE!F85&lt;=PERALTE!#REF!,(10/(PERALTE!#REF!-PERALTE!#REF!)*(RASANTE!F85-PERALTE!#REF!)-2),IF(RASANTE!F85&lt;=PERALTE!#REF!,8,IF(RASANTE!F85&lt;=PERALTE!#REF!,(10/(PERALTE!#REF!-PERALTE!#REF!)*(RASANTE!F85-PERALTE!#REF!)-2))))),IF(AND(AH!#REF!="Izquierda",RASANTE!F85&lt;=PERALTE!$AB$26),IF(RASANTE!F85&lt;=PERALTE!$S$26,-2,IF(RASANTE!F85&lt;=PERALTE!$U$26,(-6/(PERALTE!$U$26-PERALTE!$S$26)*(RASANTE!F85-PERALTE!$S$26)-2),IF(RASANTE!F85&lt;=PERALTE!$X$26,-8,IF(RASANTE!F85&lt;=PERALTE!$Z$26,(-6/(PERALTE!$X$26-PERALTE!$Z$26)*(RASANTE!F85-PERALTE!$Z$26)-2),IF(RASANTE!F85&lt;=PERALTE!$AB$26,-2))))),IF(AND(AH!#REF!="Derecha",RASANTE!F85&lt;=PERALTE!$AB$26),IF(RASANTE!F85&lt;=PERALTE!$Q$26,-2,IF(RASANTE!F85&lt;=PERALTE!$U$26,(10/(PERALTE!$U$26-PERALTE!$Q$26)*(RASANTE!F85-PERALTE!$Q$26)-2),IF(RASANTE!F85&lt;=PERALTE!$X$26,8,IF(RASANTE!F85&lt;=PERALTE!$AB$26,(10/(PERALTE!$X$26-PERALTE!$AB$26)*(RASANTE!F85-PERALTE!$AB$26)-2))))),IF(F85&lt;=PERALTE!#REF!,-2,"Abscisa fuera de la vía")))))))))))))))))))))</f>
        <v>7.1636191054015015</v>
      </c>
      <c r="I85" s="28">
        <f>+IF(AND(AH!$H$8="Derecha",RASANTE!F85&lt;=PERALTE!$AB$6),IF(RASANTE!F85&lt;=PERALTE!$S$6,-2,IF(RASANTE!F85&lt;=PERALTE!$U$6,(-6/(PERALTE!$U$6-PERALTE!$S$6)*(RASANTE!F85-PERALTE!$S$6)-2),IF(RASANTE!F85&lt;=PERALTE!$X$6,-8,IF(RASANTE!F85&lt;=PERALTE!$Z$6,(-6/(PERALTE!$X$6-PERALTE!$Z$6)*(RASANTE!F85-PERALTE!$Z$6)-2),IF(RASANTE!F85&lt;=PERALTE!$AB$6,-2))))),IF(AND(AH!$H$8="Izquierda",RASANTE!F85&lt;=PERALTE!$AB$6),IF(RASANTE!F85&lt;=PERALTE!$Q$6,-2,IF(RASANTE!F85&lt;=PERALTE!$U$6,(10/(PERALTE!$U$6-PERALTE!$Q$6)*(RASANTE!F85-PERALTE!$Q$6)-2),IF(RASANTE!F85&lt;=PERALTE!$X$6,8,IF(RASANTE!F85&lt;=PERALTE!$AB$6,(10/(PERALTE!$X$6-PERALTE!$AB$6)*(RASANTE!F85-PERALTE!$AB$6)-2))))),IF(AND(AH!$H$10="Derecha",RASANTE!F85&lt;=PERALTE!$AB$8),IF(RASANTE!F85&lt;=PERALTE!$S$8,-2,IF(RASANTE!F85&lt;=PERALTE!$U$8,(-6/(PERALTE!$U$8-PERALTE!$S$8)*(RASANTE!F85-PERALTE!$S$8)-2),IF(RASANTE!F85&lt;=PERALTE!$X$8,-8,IF(RASANTE!F85&lt;=PERALTE!$Z$8,(-6/(PERALTE!$X$8-PERALTE!$Z$8)*(RASANTE!F85-PERALTE!$Z$8)-2),IF(RASANTE!F85&lt;=PERALTE!$AB$8,-2))))),IF(AND(AH!$H$10="Izquierda",RASANTE!F85&lt;=PERALTE!$AB$8),IF(RASANTE!F85&lt;=PERALTE!$Q$8,-2,IF(RASANTE!F85&lt;=PERALTE!$U$8,(10/(PERALTE!$U$8-PERALTE!$Q$8)*(RASANTE!F85-PERALTE!$Q$8)-2),IF(RASANTE!F85&lt;=PERALTE!$X$8,8,IF(RASANTE!F85&lt;=PERALTE!$AB$8,(10/(PERALTE!$X$8-PERALTE!$AB$8)*(RASANTE!F85-PERALTE!$AB$8)-2))))),IF(AND(AH!$H$12="Derecha",RASANTE!F85&lt;=PERALTE!$AB$10),IF(RASANTE!F85&lt;=PERALTE!$S$10,-2,IF(RASANTE!F85&lt;=PERALTE!$U$10,(-6/(PERALTE!$U$10-PERALTE!$S$10)*(RASANTE!F85-PERALTE!$S$10)-2),IF(RASANTE!F85&lt;=PERALTE!$X$10,-8,IF(RASANTE!F85&lt;=PERALTE!$Z$10,(-6/(PERALTE!$X$10-PERALTE!$Z$10)*(RASANTE!F85-PERALTE!$Z$10)-2),IF(RASANTE!F85&lt;=PERALTE!$AB$10,-2))))),IF(AND(AH!$H$12="Izquierda",RASANTE!F85&lt;=PERALTE!$AB$10),IF(RASANTE!F85&lt;=PERALTE!$Q$10,-2,IF(RASANTE!F85&lt;=PERALTE!$U$10,(10/(PERALTE!$U$10-PERALTE!$Q$10)*(RASANTE!F85-PERALTE!$Q$10)-2),IF(RASANTE!F85&lt;=PERALTE!$X$10,8,IF(RASANTE!F85&lt;=PERALTE!$AB$10,(10/(PERALTE!$X$10-PERALTE!$AB$10)*(RASANTE!F85-PERALTE!$AB$10)-2))))),IF(AND(AH!$H$14="Derecha",RASANTE!F85&lt;=PERALTE!$AB$12),IF(RASANTE!F85&lt;=PERALTE!$S$12,-2,IF(RASANTE!F85&lt;=PERALTE!$U$12,(-6/(PERALTE!$U$12-PERALTE!$S$12)*(RASANTE!F85-PERALTE!$S$12)-2),IF(RASANTE!F85&lt;=PERALTE!$X$12,-8,IF(RASANTE!F85&lt;=PERALTE!$Z$12,(-6/(PERALTE!$X$12-PERALTE!$Z$12)*(RASANTE!F85-PERALTE!$Z$12)-2),IF(RASANTE!F85&lt;=PERALTE!$AB$12,-2))))),IF(AND(AH!$H$14="Izquierda",RASANTE!F85&lt;=PERALTE!$AB$12),IF(RASANTE!F85&lt;=PERALTE!$Q$12,-2,IF(RASANTE!F85&lt;=PERALTE!$U$12,(10/(PERALTE!$U$12-PERALTE!$Q$12)*(RASANTE!F85-PERALTE!$Q$12)-2),IF(RASANTE!F85&lt;=PERALTE!$X$12,8,IF(RASANTE!F85&lt;=PERALTE!$AB$12,(10/(PERALTE!$X$12-PERALTE!$AB$12)*(RASANTE!F85-PERALTE!$AB$12)-2))))),IF(AND(AH!$H$16="Derecha",RASANTE!F85&lt;=PERALTE!$AB$14),IF(RASANTE!F85&lt;=PERALTE!$S$14,-2,IF(RASANTE!F85&lt;=PERALTE!$U$14,(-6/(PERALTE!$U$14-PERALTE!$S$14)*(RASANTE!F85-PERALTE!$S$14)-2),IF(RASANTE!F85&lt;=PERALTE!$X$14,-8,IF(RASANTE!F85&lt;=PERALTE!$Z$14,(-6/(PERALTE!$X$14-PERALTE!$Z$14)*(RASANTE!F85-PERALTE!$Z$14)-2),IF(RASANTE!F85&lt;=PERALTE!$AB$14,-2))))),IF(AND(AH!$H$16="Izquierda",RASANTE!F85&lt;=PERALTE!$AB$14),IF(RASANTE!F85&lt;=PERALTE!$Q$14,-2,IF(RASANTE!F85&lt;=PERALTE!$U$14,(10/(PERALTE!$U$14-PERALTE!$Q$14)*(RASANTE!F85-PERALTE!$Q$14)-2),IF(RASANTE!F85&lt;=PERALTE!$X$14,8,IF(RASANTE!F85&lt;=PERALTE!$AB$14,(10/(PERALTE!$X$14-PERALTE!$AB$14)*(RASANTE!F85-PERALTE!$AB$14)-2))))),IF(AND(AH!$H$18="Derecha",RASANTE!F85&lt;=PERALTE!$AB$16),IF(RASANTE!F85&lt;=PERALTE!$S$16,-2,IF(RASANTE!F85&lt;=PERALTE!$U$16,(-6/(PERALTE!$U$16-PERALTE!$S$16)*(RASANTE!F85-PERALTE!$S$16)-2),IF(RASANTE!F85&lt;=PERALTE!$X$16,-8,IF(RASANTE!F85&lt;=PERALTE!$Z$16,(-6/(PERALTE!$X$16-PERALTE!$Z$16)*(RASANTE!F85-PERALTE!$Z$16)-2),IF(RASANTE!F85&lt;=PERALTE!$AB$16,-2))))),IF(AND(AH!$H$18="Izquierda",RASANTE!F85&lt;=PERALTE!$AB$16),IF(RASANTE!F85&lt;=PERALTE!$Q$16,-2,IF(RASANTE!F85&lt;=PERALTE!$U$16,(10/(PERALTE!$U$16-PERALTE!$Q$16)*(RASANTE!F85-PERALTE!$Q$16)-2),IF(RASANTE!F85&lt;=PERALTE!$X$16,8,IF(RASANTE!F85&lt;=PERALTE!$AB$16,(10/(PERALTE!$X$16-PERALTE!$AB$16)*(RASANTE!F85-PERALTE!$AB$16)-2))))),IF(AND(AH!$H$20="Derecha",RASANTE!F85&lt;=PERALTE!$AB$18),IF(RASANTE!F85&lt;=PERALTE!$S$18,-2,IF(RASANTE!F85&lt;=PERALTE!$U$18,(-6/(PERALTE!$U$18-PERALTE!$S$18)*(RASANTE!F85-PERALTE!$S$18)-2),IF(RASANTE!F85&lt;=PERALTE!$X$18,-8,IF(RASANTE!F85&lt;=PERALTE!$Z$18,(-6/(PERALTE!$X$18-PERALTE!$Z$18)*(RASANTE!F85-PERALTE!$Z$18)-2),IF(RASANTE!F85&lt;=PERALTE!$AB$18,-2))))),IF(AND(AH!$H$20="Izquierda",RASANTE!F85&lt;=PERALTE!$AB$18),IF(RASANTE!F85&lt;=PERALTE!$Q$18,-2,IF(RASANTE!F85&lt;=PERALTE!$U$18,(10/(PERALTE!$U$18-PERALTE!$Q$18)*(RASANTE!F85-PERALTE!$Q$18)-2),IF(RASANTE!F85&lt;=PERALTE!$X$18,8,IF(RASANTE!F85&lt;=PERALTE!$AB$18,(10/(PERALTE!$X$18-PERALTE!$AB$18)*(RASANTE!F85-PERALTE!$AB$18)-2))))),IF(AND(AH!$H$24="Derecha",RASANTE!F85&lt;=PERALTE!$AB$22),IF(RASANTE!F85&lt;=PERALTE!$S$22,-2,IF(RASANTE!F85&lt;=PERALTE!$U$22,(-6/(PERALTE!$U$22-PERALTE!$S$22)*(RASANTE!F85-PERALTE!$S$22)-2),IF(RASANTE!F85&lt;=PERALTE!$X$22,-8,IF(RASANTE!F85&lt;=PERALTE!$Z$22,(-6/(PERALTE!$X$22-PERALTE!$Z$22)*(RASANTE!F85-PERALTE!$Z$22)-2),IF(RASANTE!F85&lt;=PERALTE!$AB$22,-2))))),IF(AND(AH!$H$24="Izquierda",RASANTE!F85&lt;=PERALTE!$AB$22),IF(RASANTE!F85&lt;=PERALTE!$Q$22,-2,IF(RASANTE!F85&lt;=PERALTE!$U$22,(10/(PERALTE!$U$22-PERALTE!$Q$22)*(RASANTE!F85-PERALTE!$Q$22)-2),IF(RASANTE!F85&lt;=PERALTE!$X$22,8,IF(RASANTE!F85&lt;=PERALTE!$AB$22,(10/(PERALTE!$X$22-PERALTE!$AB$22)*(RASANTE!F85-PERALTE!$AB$22)-2))))),IF(AND(AH!#REF!="Derecha",RASANTE!F85&lt;=PERALTE!#REF!),IF(RASANTE!F85&lt;=PERALTE!#REF!,-2,IF(RASANTE!F85&lt;=PERALTE!#REF!,(-6/(PERALTE!#REF!-PERALTE!#REF!)*(RASANTE!F85-PERALTE!#REF!)-2),IF(RASANTE!F85&lt;=PERALTE!#REF!,-8,IF(RASANTE!F85&lt;=PERALTE!#REF!,(-6/(PERALTE!#REF!-PERALTE!#REF!)*(RASANTE!F85-PERALTE!#REF!)-2),IF(RASANTE!F85&lt;=PERALTE!#REF!,-2))))),IF(AND(AH!#REF!="Izquierda",RASANTE!F85&lt;=PERALTE!#REF!),IF(RASANTE!F85&lt;=PERALTE!#REF!,-2,IF(RASANTE!F85&lt;=PERALTE!#REF!,(10/(PERALTE!#REF!-PERALTE!#REF!)*(RASANTE!F85-PERALTE!#REF!)-2),IF(RASANTE!F85&lt;=PERALTE!#REF!,8,IF(RASANTE!F85&lt;=PERALTE!#REF!,(10/(PERALTE!#REF!-PERALTE!#REF!)*(RASANTE!F85-PERALTE!#REF!)-2))))),IF(AND(AH!#REF!="Derecha",RASANTE!F85&lt;=PERALTE!$AB$26),IF(RASANTE!F85&lt;=PERALTE!$S$26,-2,IF(RASANTE!F85&lt;=PERALTE!$U$26,(-6/(PERALTE!$U$26-PERALTE!$S$26)*(RASANTE!F85-PERALTE!$S$26)-2),IF(RASANTE!F85&lt;=PERALTE!$X$26,-8,IF(RASANTE!F85&lt;=PERALTE!$Z$26,(-6/(PERALTE!$X$26-PERALTE!$Z$26)*(RASANTE!F85-PERALTE!$Z$26)-2),IF(RASANTE!F85&lt;=PERALTE!$AB$26,-2))))),IF(AND(AH!#REF!="Izquierda",RASANTE!F85&lt;=PERALTE!$AB$26),IF(RASANTE!F85&lt;=PERALTE!$Q$26,-2,IF(RASANTE!F85&lt;=PERALTE!$U$26,(10/(PERALTE!$U$26-PERALTE!$Q$26)*(RASANTE!F85-PERALTE!$Q$26)-2),IF(RASANTE!F85&lt;=PERALTE!$X$26,8,IF(RASANTE!F85&lt;=PERALTE!$AB$26,(10/(PERALTE!$X$26-PERALTE!$AB$26)*(RASANTE!F85-PERALTE!$AB$26)-2))))),IF(F85&lt;=PERALTE!#REF!,-2,"Abscisa fuera de la vía")))))))))))))))))))))</f>
        <v>-7.1636191054015006</v>
      </c>
      <c r="J85" s="28">
        <f t="shared" si="4"/>
        <v>1635.2864000000011</v>
      </c>
      <c r="K85" s="28">
        <f>+IF(AND(AV!$S$6&lt;F182,F182&lt;=AV!$T$6),AV!$P$6*((AV!$S$6-RASANTE!F182)/(AV!$N$6))^2,IF(AND(AV!$T$6&lt;RASANTE!F182,F182&lt;AV!$U$6),AV!$P$6*((AV!$U$6-RASANTE!F182)/(AV!$O$6))^2,IF(AND(AV!$S$8&lt;F182,F182&lt;=AV!$T$8),AV!$P$8*((AV!$S$8-RASANTE!F182)/(AV!$N$8))^2,IF(AND(AV!$T$8&lt;RASANTE!F182,F182&lt;AV!$U$8),AV!$P$8*((AV!$U$8-RASANTE!F182)/(AV!$O$8))^2,IF(AND(AV!$S$10&lt;F182,F182&lt;=AV!$T$10),AV!$P$10*((AV!$S$10-RASANTE!F182)/(AV!$N$10))^2,IF(AND(AV!$T$10&lt;RASANTE!F182,F182&lt;AV!$U$10),AV!$P$10*((AV!$U$10-RASANTE!F182)/(AV!$O$10))^2,IF(AND(AV!$S$12&lt;F182,F182&lt;=AV!$T$12),AV!$P$12*((AV!$S$12-RASANTE!F182)/(AV!$N$12))^2,IF(AND(AV!$T$12&lt;RASANTE!F182,F182&lt;AV!$U$12),AV!$P$12*((AV!$U$12-RASANTE!F182)/(AV!$O$12))^2,IF(AND(AV!$S$14&lt;F182,F182&lt;=AV!$T$14),AV!$P$14*((AV!$S$14-RASANTE!F182)/(AV!$N$14))^2,IF(AND(AV!$T$14&lt;RASANTE!F182,F182&lt;AV!$U$14),AV!$P$14*((AV!$U$14-RASANTE!F182)/(AV!$O$14))^2,IF(AND(AV!$S$16&lt;F182,F182&lt;=AV!$T$16),AV!$P$16*((AV!$S$16-RASANTE!F182)/(AV!$N$16))^2,IF(AND(AV!$T$16&lt;RASANTE!F182,F182&lt;AV!$U$16),AV!$P$16*((AV!$U$16-RASANTE!F182)/(AV!$O$16))^2,IF(AND(AV!$S$18&lt;F182,F182&lt;=AV!$T$18),AV!$P$18*((AV!$S$18-RASANTE!F182)/(AV!$N$18))^2,IF(AND(AV!$T$18&lt;RASANTE!F182,F182&lt;AV!$U$18),AV!$P$18*((AV!$U$18-RASANTE!F182)/(AV!$O$18))^2,IF(AND(AV!$S$20&lt;F182,F182&lt;=AV!$T$20),AV!$P$20*((AV!$S$20-RASANTE!F182)/(AV!$N$20))^2,IF(AND(AV!$T$20&lt;RASANTE!F182,F182&lt;AV!$U$20),AV!$P$20*((AV!$U$20-RASANTE!F182)/(AV!$O$20))^2,IF(AND(AV!$S$22&lt;F182,F182&lt;=AV!$T$22),AV!$P$22*((AV!$S$22-RASANTE!F182)/(AV!$N$22))^2,IF(AND(AV!$T$22&lt;RASANTE!F182,F182&lt;AV!$U$22),AV!$P$22*((AV!$U$22-RASANTE!F182)/(AV!$O$22))^2,IF(AND(AV!$S$24&lt;F182,F182&lt;=AV!$T$24),AV!$P$24*((AV!$S$24-RASANTE!F182)/(AV!$N$24))^2,IF(AND(AV!$T$24&lt;RASANTE!F182,F182&lt;AV!$U$24),AV!$P$24*((AV!$U$24-RASANTE!F182)/(AV!$O$24))^2,0))))))))))))))))))))</f>
        <v>0</v>
      </c>
      <c r="L85" s="28">
        <f>+M85+H85%*PERALTE!$C$32</f>
        <v>1635.5371266686902</v>
      </c>
      <c r="M85" s="28">
        <f t="shared" si="3"/>
        <v>1635.2864000000011</v>
      </c>
      <c r="N85" s="28">
        <f>+M85+I85%*PERALTE!$C$32</f>
        <v>1635.035673331312</v>
      </c>
      <c r="O85" s="92"/>
      <c r="P85" s="84"/>
      <c r="Q85" s="84"/>
      <c r="R85" s="84"/>
      <c r="S85" s="84"/>
      <c r="T85" s="84"/>
      <c r="U85" s="84"/>
      <c r="V85" s="84"/>
      <c r="W85" s="84"/>
      <c r="X85" s="84"/>
      <c r="Y85" s="84"/>
    </row>
    <row r="86" spans="1:25" ht="15.75" customHeight="1" x14ac:dyDescent="0.2">
      <c r="A86" s="111"/>
      <c r="E86" s="115"/>
      <c r="F86" s="34">
        <v>560</v>
      </c>
      <c r="G86" s="88">
        <f>IF(F86&lt;=AV!$T$6,AV!$C$5,IF(RASANTE!F86&lt;=AV!$T$8,AV!$C$7,IF(RASANTE!F86&lt;=AV!$T$10,AV!$C$9,IF(RASANTE!F86&lt;=AV!$T$12,AV!#REF!,IF(RASANTE!F86&lt;=AV!$T$14,AV!$C$11,IF(RASANTE!F86&lt;=AV!$T$16,AV!$C$13, IF(RASANTE!F86&lt;=AV!$T$18,AV!$C$15,IF(RASANTE!F86&lt;=AV!$T$20,AV!$C$19,IF(RASANTE!F86&lt;=AV!$T$22,AV!$C$21,IF(RASANTE!F86&lt;=AV!$T$24,AV!$C$23,AV!$C$25))))))))))</f>
        <v>-3</v>
      </c>
      <c r="H86" s="28">
        <f>+IF(AND(AH!$H$8="Izquierda",RASANTE!F86&lt;=PERALTE!$AB$6),IF(RASANTE!F86&lt;=PERALTE!$S$6,-2,IF(RASANTE!F86&lt;=PERALTE!$U$6,(-6/(PERALTE!$U$6-PERALTE!$S$6)*(RASANTE!F86-PERALTE!$S$6)-2),IF(RASANTE!F86&lt;=PERALTE!$X$6,-8,IF(RASANTE!F86&lt;=PERALTE!$Z$6,(-6/(PERALTE!$X$6-PERALTE!$Z$6)*(RASANTE!F86-PERALTE!$Z$6)-2),IF(RASANTE!F86&lt;=PERALTE!$AB$6,-2))))),IF(AND(AH!$H$8="Derecha",RASANTE!F86&lt;=PERALTE!$AB$6),IF(RASANTE!F86&lt;=PERALTE!$Q$6,-2,IF(RASANTE!F86&lt;=PERALTE!$U$6,(10/(PERALTE!$U$6-PERALTE!$Q$6)*(RASANTE!F86-PERALTE!$Q$6)-2),IF(RASANTE!F86&lt;=PERALTE!$X$6,8,IF(RASANTE!F86&lt;=PERALTE!$AB$6,(10/(PERALTE!$X$6-PERALTE!$AB$6)*(RASANTE!F86-PERALTE!$AB$6)-2))))),IF(AND(AH!$H$10="Izquierda",RASANTE!F86&lt;=PERALTE!$AB$8),IF(RASANTE!F86&lt;=PERALTE!$S$8,-2,IF(RASANTE!F86&lt;=PERALTE!$U$8,(-6/(PERALTE!$U$8-PERALTE!$S$8)*(RASANTE!F86-PERALTE!$S$8)-2),IF(RASANTE!F86&lt;=PERALTE!$X$8,-8,IF(RASANTE!F86&lt;=PERALTE!$Z$8,(-6/(PERALTE!$X$8-PERALTE!$Z$8)*(RASANTE!F86-PERALTE!$Z$8)-2),IF(RASANTE!F86&lt;=PERALTE!$AB$8,-2))))),IF(AND(AH!$H$10="Derecha",RASANTE!F86&lt;=PERALTE!$AB$8),IF(RASANTE!F86&lt;=PERALTE!$Q$8,-2,IF(RASANTE!F86&lt;=PERALTE!$U$8,(10/(PERALTE!$U$8-PERALTE!$Q$8)*(RASANTE!F86-PERALTE!$Q$8)-2),IF(RASANTE!F86&lt;=PERALTE!$X$8,8,IF(RASANTE!F86&lt;=PERALTE!$AB$8,(10/(PERALTE!$X$8-PERALTE!$AB$8)*(RASANTE!F86-PERALTE!$AB$8)-2))))),IF(AND(AH!$H$12="Izquierda",RASANTE!F86&lt;=PERALTE!$AB$10),IF(RASANTE!F86&lt;=PERALTE!$S$10,-2,IF(RASANTE!F86&lt;=PERALTE!$U$10,(-6/(PERALTE!$U$10-PERALTE!$S$10)*(RASANTE!F86-PERALTE!$S$10)-2),IF(RASANTE!F86&lt;=PERALTE!$X$10,-8,IF(RASANTE!F86&lt;=PERALTE!$Z$10,(-6/(PERALTE!$X$10-PERALTE!$Z$10)*(RASANTE!F86-PERALTE!$Z$10)-2),IF(RASANTE!F86&lt;=PERALTE!$AB$10,-2))))),IF(AND(AH!$H$12="Derecha",RASANTE!F86&lt;=PERALTE!$AB$10),IF(RASANTE!F86&lt;=PERALTE!$Q$10,-2,IF(RASANTE!F86&lt;=PERALTE!$U$10,(10/(PERALTE!$U$10-PERALTE!$Q$10)*(RASANTE!F86-PERALTE!$Q$10)-2),IF(RASANTE!F86&lt;=PERALTE!$X$10,8,IF(RASANTE!F86&lt;=PERALTE!$AB$10,(10/(PERALTE!$X$10-PERALTE!$AB$10)*(RASANTE!F86-PERALTE!$AB$10)-2))))),IF(AND(AH!$H$14="Izquierda",RASANTE!F86&lt;=PERALTE!$AB$12),IF(RASANTE!F86&lt;=PERALTE!$S$12,-2,IF(RASANTE!F86&lt;=PERALTE!$U$12,(-6/(PERALTE!$U$12-PERALTE!$S$12)*(RASANTE!F86-PERALTE!$S$12)-2),IF(RASANTE!F86&lt;=PERALTE!$X$12,-8,IF(RASANTE!F86&lt;=PERALTE!$Z$12,(-6/(PERALTE!$X$12-PERALTE!$Z$12)*(RASANTE!F86-PERALTE!$Z$12)-2),IF(RASANTE!F86&lt;=PERALTE!$AB$12,-2))))),IF(AND(AH!$H$14="Derecha",RASANTE!F86&lt;=PERALTE!$AB$12),IF(RASANTE!F86&lt;=PERALTE!$Q$12,-2,IF(RASANTE!F86&lt;=PERALTE!$U$12,(10/(PERALTE!$U$12-PERALTE!$Q$12)*(RASANTE!F86-PERALTE!$Q$12)-2),IF(RASANTE!F86&lt;=PERALTE!$X$12,8,IF(RASANTE!F86&lt;=PERALTE!$AB$12,(10/(PERALTE!$X$12-PERALTE!$AB$12)*(RASANTE!F86-PERALTE!$AB$12)-2))))),IF(AND(AH!$H$16="Izquierda",RASANTE!F86&lt;=PERALTE!$AB$14),IF(RASANTE!F86&lt;=PERALTE!$S$14,-2,IF(RASANTE!F86&lt;=PERALTE!$U$14,(-6/(PERALTE!$U$14-PERALTE!$S$14)*(RASANTE!F86-PERALTE!$S$14)-2),IF(RASANTE!F86&lt;=PERALTE!$X$14,-8,IF(RASANTE!F86&lt;=PERALTE!$Z$14,(-6/(PERALTE!$X$14-PERALTE!$Z$14)*(RASANTE!F86-PERALTE!$Z$14)-2),IF(RASANTE!F86&lt;=PERALTE!$AB$14,-2))))),IF(AND(AH!$H$16="Derecha",RASANTE!F86&lt;=PERALTE!$AB$14),IF(RASANTE!F86&lt;=PERALTE!$Q$14,-2,IF(RASANTE!F86&lt;=PERALTE!$U$14,(10/(PERALTE!$U$14-PERALTE!$Q$14)*(RASANTE!F86-PERALTE!$Q$14)-2),IF(RASANTE!F86&lt;=PERALTE!$X$14,8,IF(RASANTE!F86&lt;=PERALTE!$AB$14,(10/(PERALTE!$X$14-PERALTE!$AB$14)*(RASANTE!F86-PERALTE!$AB$14)-2))))),IF(AND(AH!$H$18="Izquierda",RASANTE!F86&lt;=PERALTE!$AB$16),IF(RASANTE!F86&lt;=PERALTE!$S$16,-2,IF(RASANTE!F86&lt;=PERALTE!$U$16,(-6/(PERALTE!$U$16-PERALTE!$S$16)*(RASANTE!F86-PERALTE!$S$16)-2),IF(RASANTE!F86&lt;=PERALTE!$X$16,-8,IF(RASANTE!F86&lt;=PERALTE!$Z$16,(-6/(PERALTE!$X$16-PERALTE!$Z$16)*(RASANTE!F86-PERALTE!$Z$16)-2),IF(RASANTE!F86&lt;=PERALTE!$AB$16,-2))))),IF(AND(AH!$H$18="Derecha",RASANTE!F86&lt;=PERALTE!$AB$16),IF(RASANTE!F86&lt;=PERALTE!$Q$16,-2,IF(RASANTE!F86&lt;=PERALTE!$U$16,(10/(PERALTE!$U$16-PERALTE!$Q$16)*(RASANTE!F86-PERALTE!$Q$16)-2),IF(RASANTE!F86&lt;=PERALTE!$X$16,8,IF(RASANTE!F86&lt;=PERALTE!$AB$16,(10/(PERALTE!$X$16-PERALTE!$AB$16)*(RASANTE!F86-PERALTE!$AB$16)-2))))),IF(AND(AH!$H$20="Izquierda",RASANTE!F86&lt;=PERALTE!$AB$18),IF(RASANTE!F86&lt;=PERALTE!$S$18,-2,IF(RASANTE!F86&lt;=PERALTE!$U$18,(-6/(PERALTE!$U$18-PERALTE!$S$18)*(RASANTE!F86-PERALTE!$S$18)-2),IF(RASANTE!F86&lt;=PERALTE!$X$18,-8,IF(RASANTE!F86&lt;=PERALTE!$Z$18,(-6/(PERALTE!$X$18-PERALTE!$Z$18)*(RASANTE!F86-PERALTE!$Z$18)-2),IF(RASANTE!F86&lt;=PERALTE!$AB$18,-2))))),IF(AND(AH!$H$20="Derecha",RASANTE!F86&lt;=PERALTE!$AB$18),IF(RASANTE!F86&lt;=PERALTE!$Q$18,-2,IF(RASANTE!F86&lt;=PERALTE!$U$18,(10/(PERALTE!$U$18-PERALTE!$Q$18)*(RASANTE!F86-PERALTE!$Q$18)-2),IF(RASANTE!F86&lt;=PERALTE!$X$18,8,IF(RASANTE!F86&lt;=PERALTE!$AB$18,(10/(PERALTE!$X$18-PERALTE!$AB$18)*(RASANTE!F86-PERALTE!$AB$18)-2))))),IF(AND(AH!$H$24="Izquierda",RASANTE!F86&lt;=PERALTE!$AB$22),IF(RASANTE!F86&lt;=PERALTE!$S$22,-2,IF(RASANTE!F86&lt;=PERALTE!$U$22,(-6/(PERALTE!$U$22-PERALTE!$S$22)*(RASANTE!F86-PERALTE!$S$22)-2),IF(RASANTE!F86&lt;=PERALTE!$X$22,-8,IF(RASANTE!F86&lt;=PERALTE!$Z$22,(-6/(PERALTE!$X$22-PERALTE!$Z$22)*(RASANTE!F86-PERALTE!$Z$22)-2),IF(RASANTE!F86&lt;=PERALTE!$AB$22,-2))))),IF(AND(AH!$H$24="Derecha",RASANTE!F86&lt;=PERALTE!$AB$22),IF(RASANTE!F86&lt;=PERALTE!$Q$22,-2,IF(RASANTE!F86&lt;=PERALTE!$U$22,(10/(PERALTE!$U$22-PERALTE!$Q$22)*(RASANTE!F86-PERALTE!$Q$22)-2),IF(RASANTE!F86&lt;=PERALTE!$X$22,8,IF(RASANTE!F86&lt;=PERALTE!$AB$22,(10/(PERALTE!$X$22-PERALTE!$AB$22)*(RASANTE!F86-PERALTE!$AB$22)-2))))),IF(AND(AH!#REF!="Izquierda",RASANTE!F86&lt;=PERALTE!#REF!),IF(RASANTE!F86&lt;=PERALTE!#REF!,-2,IF(RASANTE!F86&lt;=PERALTE!#REF!,(-6/(PERALTE!#REF!-PERALTE!#REF!)*(RASANTE!F86-PERALTE!#REF!)-2),IF(RASANTE!F86&lt;=PERALTE!#REF!,-8,IF(RASANTE!F86&lt;=PERALTE!#REF!,(-6/(PERALTE!#REF!-PERALTE!#REF!)*(RASANTE!F86-PERALTE!#REF!)-2),IF(RASANTE!F86&lt;=PERALTE!#REF!,-2))))),IF(AND(AH!#REF!="Derecha",RASANTE!F86&lt;=PERALTE!#REF!),IF(RASANTE!F86&lt;=PERALTE!#REF!,-2,IF(RASANTE!F86&lt;=PERALTE!#REF!,(10/(PERALTE!#REF!-PERALTE!#REF!)*(RASANTE!F86-PERALTE!#REF!)-2),IF(RASANTE!F86&lt;=PERALTE!#REF!,8,IF(RASANTE!F86&lt;=PERALTE!#REF!,(10/(PERALTE!#REF!-PERALTE!#REF!)*(RASANTE!F86-PERALTE!#REF!)-2))))),IF(AND(AH!#REF!="Izquierda",RASANTE!F86&lt;=PERALTE!$AB$26),IF(RASANTE!F86&lt;=PERALTE!$S$26,-2,IF(RASANTE!F86&lt;=PERALTE!$U$26,(-6/(PERALTE!$U$26-PERALTE!$S$26)*(RASANTE!F86-PERALTE!$S$26)-2),IF(RASANTE!F86&lt;=PERALTE!$X$26,-8,IF(RASANTE!F86&lt;=PERALTE!$Z$26,(-6/(PERALTE!$X$26-PERALTE!$Z$26)*(RASANTE!F86-PERALTE!$Z$26)-2),IF(RASANTE!F86&lt;=PERALTE!$AB$26,-2))))),IF(AND(AH!#REF!="Derecha",RASANTE!F86&lt;=PERALTE!$AB$26),IF(RASANTE!F86&lt;=PERALTE!$Q$26,-2,IF(RASANTE!F86&lt;=PERALTE!$U$26,(10/(PERALTE!$U$26-PERALTE!$Q$26)*(RASANTE!F86-PERALTE!$Q$26)-2),IF(RASANTE!F86&lt;=PERALTE!$X$26,8,IF(RASANTE!F86&lt;=PERALTE!$AB$26,(10/(PERALTE!$X$26-PERALTE!$AB$26)*(RASANTE!F86-PERALTE!$AB$26)-2))))),IF(F86&lt;=PERALTE!#REF!,-2,"Abscisa fuera de la vía")))))))))))))))))))))</f>
        <v>4.963619105401504</v>
      </c>
      <c r="I86" s="28">
        <f>+IF(AND(AH!$H$8="Derecha",RASANTE!F86&lt;=PERALTE!$AB$6),IF(RASANTE!F86&lt;=PERALTE!$S$6,-2,IF(RASANTE!F86&lt;=PERALTE!$U$6,(-6/(PERALTE!$U$6-PERALTE!$S$6)*(RASANTE!F86-PERALTE!$S$6)-2),IF(RASANTE!F86&lt;=PERALTE!$X$6,-8,IF(RASANTE!F86&lt;=PERALTE!$Z$6,(-6/(PERALTE!$X$6-PERALTE!$Z$6)*(RASANTE!F86-PERALTE!$Z$6)-2),IF(RASANTE!F86&lt;=PERALTE!$AB$6,-2))))),IF(AND(AH!$H$8="Izquierda",RASANTE!F86&lt;=PERALTE!$AB$6),IF(RASANTE!F86&lt;=PERALTE!$Q$6,-2,IF(RASANTE!F86&lt;=PERALTE!$U$6,(10/(PERALTE!$U$6-PERALTE!$Q$6)*(RASANTE!F86-PERALTE!$Q$6)-2),IF(RASANTE!F86&lt;=PERALTE!$X$6,8,IF(RASANTE!F86&lt;=PERALTE!$AB$6,(10/(PERALTE!$X$6-PERALTE!$AB$6)*(RASANTE!F86-PERALTE!$AB$6)-2))))),IF(AND(AH!$H$10="Derecha",RASANTE!F86&lt;=PERALTE!$AB$8),IF(RASANTE!F86&lt;=PERALTE!$S$8,-2,IF(RASANTE!F86&lt;=PERALTE!$U$8,(-6/(PERALTE!$U$8-PERALTE!$S$8)*(RASANTE!F86-PERALTE!$S$8)-2),IF(RASANTE!F86&lt;=PERALTE!$X$8,-8,IF(RASANTE!F86&lt;=PERALTE!$Z$8,(-6/(PERALTE!$X$8-PERALTE!$Z$8)*(RASANTE!F86-PERALTE!$Z$8)-2),IF(RASANTE!F86&lt;=PERALTE!$AB$8,-2))))),IF(AND(AH!$H$10="Izquierda",RASANTE!F86&lt;=PERALTE!$AB$8),IF(RASANTE!F86&lt;=PERALTE!$Q$8,-2,IF(RASANTE!F86&lt;=PERALTE!$U$8,(10/(PERALTE!$U$8-PERALTE!$Q$8)*(RASANTE!F86-PERALTE!$Q$8)-2),IF(RASANTE!F86&lt;=PERALTE!$X$8,8,IF(RASANTE!F86&lt;=PERALTE!$AB$8,(10/(PERALTE!$X$8-PERALTE!$AB$8)*(RASANTE!F86-PERALTE!$AB$8)-2))))),IF(AND(AH!$H$12="Derecha",RASANTE!F86&lt;=PERALTE!$AB$10),IF(RASANTE!F86&lt;=PERALTE!$S$10,-2,IF(RASANTE!F86&lt;=PERALTE!$U$10,(-6/(PERALTE!$U$10-PERALTE!$S$10)*(RASANTE!F86-PERALTE!$S$10)-2),IF(RASANTE!F86&lt;=PERALTE!$X$10,-8,IF(RASANTE!F86&lt;=PERALTE!$Z$10,(-6/(PERALTE!$X$10-PERALTE!$Z$10)*(RASANTE!F86-PERALTE!$Z$10)-2),IF(RASANTE!F86&lt;=PERALTE!$AB$10,-2))))),IF(AND(AH!$H$12="Izquierda",RASANTE!F86&lt;=PERALTE!$AB$10),IF(RASANTE!F86&lt;=PERALTE!$Q$10,-2,IF(RASANTE!F86&lt;=PERALTE!$U$10,(10/(PERALTE!$U$10-PERALTE!$Q$10)*(RASANTE!F86-PERALTE!$Q$10)-2),IF(RASANTE!F86&lt;=PERALTE!$X$10,8,IF(RASANTE!F86&lt;=PERALTE!$AB$10,(10/(PERALTE!$X$10-PERALTE!$AB$10)*(RASANTE!F86-PERALTE!$AB$10)-2))))),IF(AND(AH!$H$14="Derecha",RASANTE!F86&lt;=PERALTE!$AB$12),IF(RASANTE!F86&lt;=PERALTE!$S$12,-2,IF(RASANTE!F86&lt;=PERALTE!$U$12,(-6/(PERALTE!$U$12-PERALTE!$S$12)*(RASANTE!F86-PERALTE!$S$12)-2),IF(RASANTE!F86&lt;=PERALTE!$X$12,-8,IF(RASANTE!F86&lt;=PERALTE!$Z$12,(-6/(PERALTE!$X$12-PERALTE!$Z$12)*(RASANTE!F86-PERALTE!$Z$12)-2),IF(RASANTE!F86&lt;=PERALTE!$AB$12,-2))))),IF(AND(AH!$H$14="Izquierda",RASANTE!F86&lt;=PERALTE!$AB$12),IF(RASANTE!F86&lt;=PERALTE!$Q$12,-2,IF(RASANTE!F86&lt;=PERALTE!$U$12,(10/(PERALTE!$U$12-PERALTE!$Q$12)*(RASANTE!F86-PERALTE!$Q$12)-2),IF(RASANTE!F86&lt;=PERALTE!$X$12,8,IF(RASANTE!F86&lt;=PERALTE!$AB$12,(10/(PERALTE!$X$12-PERALTE!$AB$12)*(RASANTE!F86-PERALTE!$AB$12)-2))))),IF(AND(AH!$H$16="Derecha",RASANTE!F86&lt;=PERALTE!$AB$14),IF(RASANTE!F86&lt;=PERALTE!$S$14,-2,IF(RASANTE!F86&lt;=PERALTE!$U$14,(-6/(PERALTE!$U$14-PERALTE!$S$14)*(RASANTE!F86-PERALTE!$S$14)-2),IF(RASANTE!F86&lt;=PERALTE!$X$14,-8,IF(RASANTE!F86&lt;=PERALTE!$Z$14,(-6/(PERALTE!$X$14-PERALTE!$Z$14)*(RASANTE!F86-PERALTE!$Z$14)-2),IF(RASANTE!F86&lt;=PERALTE!$AB$14,-2))))),IF(AND(AH!$H$16="Izquierda",RASANTE!F86&lt;=PERALTE!$AB$14),IF(RASANTE!F86&lt;=PERALTE!$Q$14,-2,IF(RASANTE!F86&lt;=PERALTE!$U$14,(10/(PERALTE!$U$14-PERALTE!$Q$14)*(RASANTE!F86-PERALTE!$Q$14)-2),IF(RASANTE!F86&lt;=PERALTE!$X$14,8,IF(RASANTE!F86&lt;=PERALTE!$AB$14,(10/(PERALTE!$X$14-PERALTE!$AB$14)*(RASANTE!F86-PERALTE!$AB$14)-2))))),IF(AND(AH!$H$18="Derecha",RASANTE!F86&lt;=PERALTE!$AB$16),IF(RASANTE!F86&lt;=PERALTE!$S$16,-2,IF(RASANTE!F86&lt;=PERALTE!$U$16,(-6/(PERALTE!$U$16-PERALTE!$S$16)*(RASANTE!F86-PERALTE!$S$16)-2),IF(RASANTE!F86&lt;=PERALTE!$X$16,-8,IF(RASANTE!F86&lt;=PERALTE!$Z$16,(-6/(PERALTE!$X$16-PERALTE!$Z$16)*(RASANTE!F86-PERALTE!$Z$16)-2),IF(RASANTE!F86&lt;=PERALTE!$AB$16,-2))))),IF(AND(AH!$H$18="Izquierda",RASANTE!F86&lt;=PERALTE!$AB$16),IF(RASANTE!F86&lt;=PERALTE!$Q$16,-2,IF(RASANTE!F86&lt;=PERALTE!$U$16,(10/(PERALTE!$U$16-PERALTE!$Q$16)*(RASANTE!F86-PERALTE!$Q$16)-2),IF(RASANTE!F86&lt;=PERALTE!$X$16,8,IF(RASANTE!F86&lt;=PERALTE!$AB$16,(10/(PERALTE!$X$16-PERALTE!$AB$16)*(RASANTE!F86-PERALTE!$AB$16)-2))))),IF(AND(AH!$H$20="Derecha",RASANTE!F86&lt;=PERALTE!$AB$18),IF(RASANTE!F86&lt;=PERALTE!$S$18,-2,IF(RASANTE!F86&lt;=PERALTE!$U$18,(-6/(PERALTE!$U$18-PERALTE!$S$18)*(RASANTE!F86-PERALTE!$S$18)-2),IF(RASANTE!F86&lt;=PERALTE!$X$18,-8,IF(RASANTE!F86&lt;=PERALTE!$Z$18,(-6/(PERALTE!$X$18-PERALTE!$Z$18)*(RASANTE!F86-PERALTE!$Z$18)-2),IF(RASANTE!F86&lt;=PERALTE!$AB$18,-2))))),IF(AND(AH!$H$20="Izquierda",RASANTE!F86&lt;=PERALTE!$AB$18),IF(RASANTE!F86&lt;=PERALTE!$Q$18,-2,IF(RASANTE!F86&lt;=PERALTE!$U$18,(10/(PERALTE!$U$18-PERALTE!$Q$18)*(RASANTE!F86-PERALTE!$Q$18)-2),IF(RASANTE!F86&lt;=PERALTE!$X$18,8,IF(RASANTE!F86&lt;=PERALTE!$AB$18,(10/(PERALTE!$X$18-PERALTE!$AB$18)*(RASANTE!F86-PERALTE!$AB$18)-2))))),IF(AND(AH!$H$24="Derecha",RASANTE!F86&lt;=PERALTE!$AB$22),IF(RASANTE!F86&lt;=PERALTE!$S$22,-2,IF(RASANTE!F86&lt;=PERALTE!$U$22,(-6/(PERALTE!$U$22-PERALTE!$S$22)*(RASANTE!F86-PERALTE!$S$22)-2),IF(RASANTE!F86&lt;=PERALTE!$X$22,-8,IF(RASANTE!F86&lt;=PERALTE!$Z$22,(-6/(PERALTE!$X$22-PERALTE!$Z$22)*(RASANTE!F86-PERALTE!$Z$22)-2),IF(RASANTE!F86&lt;=PERALTE!$AB$22,-2))))),IF(AND(AH!$H$24="Izquierda",RASANTE!F86&lt;=PERALTE!$AB$22),IF(RASANTE!F86&lt;=PERALTE!$Q$22,-2,IF(RASANTE!F86&lt;=PERALTE!$U$22,(10/(PERALTE!$U$22-PERALTE!$Q$22)*(RASANTE!F86-PERALTE!$Q$22)-2),IF(RASANTE!F86&lt;=PERALTE!$X$22,8,IF(RASANTE!F86&lt;=PERALTE!$AB$22,(10/(PERALTE!$X$22-PERALTE!$AB$22)*(RASANTE!F86-PERALTE!$AB$22)-2))))),IF(AND(AH!#REF!="Derecha",RASANTE!F86&lt;=PERALTE!#REF!),IF(RASANTE!F86&lt;=PERALTE!#REF!,-2,IF(RASANTE!F86&lt;=PERALTE!#REF!,(-6/(PERALTE!#REF!-PERALTE!#REF!)*(RASANTE!F86-PERALTE!#REF!)-2),IF(RASANTE!F86&lt;=PERALTE!#REF!,-8,IF(RASANTE!F86&lt;=PERALTE!#REF!,(-6/(PERALTE!#REF!-PERALTE!#REF!)*(RASANTE!F86-PERALTE!#REF!)-2),IF(RASANTE!F86&lt;=PERALTE!#REF!,-2))))),IF(AND(AH!#REF!="Izquierda",RASANTE!F86&lt;=PERALTE!#REF!),IF(RASANTE!F86&lt;=PERALTE!#REF!,-2,IF(RASANTE!F86&lt;=PERALTE!#REF!,(10/(PERALTE!#REF!-PERALTE!#REF!)*(RASANTE!F86-PERALTE!#REF!)-2),IF(RASANTE!F86&lt;=PERALTE!#REF!,8,IF(RASANTE!F86&lt;=PERALTE!#REF!,(10/(PERALTE!#REF!-PERALTE!#REF!)*(RASANTE!F86-PERALTE!#REF!)-2))))),IF(AND(AH!#REF!="Derecha",RASANTE!F86&lt;=PERALTE!$AB$26),IF(RASANTE!F86&lt;=PERALTE!$S$26,-2,IF(RASANTE!F86&lt;=PERALTE!$U$26,(-6/(PERALTE!$U$26-PERALTE!$S$26)*(RASANTE!F86-PERALTE!$S$26)-2),IF(RASANTE!F86&lt;=PERALTE!$X$26,-8,IF(RASANTE!F86&lt;=PERALTE!$Z$26,(-6/(PERALTE!$X$26-PERALTE!$Z$26)*(RASANTE!F86-PERALTE!$Z$26)-2),IF(RASANTE!F86&lt;=PERALTE!$AB$26,-2))))),IF(AND(AH!#REF!="Izquierda",RASANTE!F86&lt;=PERALTE!$AB$26),IF(RASANTE!F86&lt;=PERALTE!$Q$26,-2,IF(RASANTE!F86&lt;=PERALTE!$U$26,(10/(PERALTE!$U$26-PERALTE!$Q$26)*(RASANTE!F86-PERALTE!$Q$26)-2),IF(RASANTE!F86&lt;=PERALTE!$X$26,8,IF(RASANTE!F86&lt;=PERALTE!$AB$26,(10/(PERALTE!$X$26-PERALTE!$AB$26)*(RASANTE!F86-PERALTE!$AB$26)-2))))),IF(F86&lt;=PERALTE!#REF!,-2,"Abscisa fuera de la vía")))))))))))))))))))))</f>
        <v>-4.9636191054014986</v>
      </c>
      <c r="J86" s="28">
        <f t="shared" si="4"/>
        <v>1634.9864000000011</v>
      </c>
      <c r="K86" s="28">
        <f>+IF(AND(AV!$S$6&lt;F183,F183&lt;=AV!$T$6),AV!$P$6*((AV!$S$6-RASANTE!F183)/(AV!$N$6))^2,IF(AND(AV!$T$6&lt;RASANTE!F183,F183&lt;AV!$U$6),AV!$P$6*((AV!$U$6-RASANTE!F183)/(AV!$O$6))^2,IF(AND(AV!$S$8&lt;F183,F183&lt;=AV!$T$8),AV!$P$8*((AV!$S$8-RASANTE!F183)/(AV!$N$8))^2,IF(AND(AV!$T$8&lt;RASANTE!F183,F183&lt;AV!$U$8),AV!$P$8*((AV!$U$8-RASANTE!F183)/(AV!$O$8))^2,IF(AND(AV!$S$10&lt;F183,F183&lt;=AV!$T$10),AV!$P$10*((AV!$S$10-RASANTE!F183)/(AV!$N$10))^2,IF(AND(AV!$T$10&lt;RASANTE!F183,F183&lt;AV!$U$10),AV!$P$10*((AV!$U$10-RASANTE!F183)/(AV!$O$10))^2,IF(AND(AV!$S$12&lt;F183,F183&lt;=AV!$T$12),AV!$P$12*((AV!$S$12-RASANTE!F183)/(AV!$N$12))^2,IF(AND(AV!$T$12&lt;RASANTE!F183,F183&lt;AV!$U$12),AV!$P$12*((AV!$U$12-RASANTE!F183)/(AV!$O$12))^2,IF(AND(AV!$S$14&lt;F183,F183&lt;=AV!$T$14),AV!$P$14*((AV!$S$14-RASANTE!F183)/(AV!$N$14))^2,IF(AND(AV!$T$14&lt;RASANTE!F183,F183&lt;AV!$U$14),AV!$P$14*((AV!$U$14-RASANTE!F183)/(AV!$O$14))^2,IF(AND(AV!$S$16&lt;F183,F183&lt;=AV!$T$16),AV!$P$16*((AV!$S$16-RASANTE!F183)/(AV!$N$16))^2,IF(AND(AV!$T$16&lt;RASANTE!F183,F183&lt;AV!$U$16),AV!$P$16*((AV!$U$16-RASANTE!F183)/(AV!$O$16))^2,IF(AND(AV!$S$18&lt;F183,F183&lt;=AV!$T$18),AV!$P$18*((AV!$S$18-RASANTE!F183)/(AV!$N$18))^2,IF(AND(AV!$T$18&lt;RASANTE!F183,F183&lt;AV!$U$18),AV!$P$18*((AV!$U$18-RASANTE!F183)/(AV!$O$18))^2,IF(AND(AV!$S$20&lt;F183,F183&lt;=AV!$T$20),AV!$P$20*((AV!$S$20-RASANTE!F183)/(AV!$N$20))^2,IF(AND(AV!$T$20&lt;RASANTE!F183,F183&lt;AV!$U$20),AV!$P$20*((AV!$U$20-RASANTE!F183)/(AV!$O$20))^2,IF(AND(AV!$S$22&lt;F183,F183&lt;=AV!$T$22),AV!$P$22*((AV!$S$22-RASANTE!F183)/(AV!$N$22))^2,IF(AND(AV!$T$22&lt;RASANTE!F183,F183&lt;AV!$U$22),AV!$P$22*((AV!$U$22-RASANTE!F183)/(AV!$O$22))^2,IF(AND(AV!$S$24&lt;F183,F183&lt;=AV!$T$24),AV!$P$24*((AV!$S$24-RASANTE!F183)/(AV!$N$24))^2,IF(AND(AV!$T$24&lt;RASANTE!F183,F183&lt;AV!$U$24),AV!$P$24*((AV!$U$24-RASANTE!F183)/(AV!$O$24))^2,0))))))))))))))))))))</f>
        <v>0</v>
      </c>
      <c r="L86" s="28">
        <f>+M86+H86%*PERALTE!$C$32</f>
        <v>1635.1601266686903</v>
      </c>
      <c r="M86" s="28">
        <f t="shared" si="3"/>
        <v>1634.9864000000011</v>
      </c>
      <c r="N86" s="28">
        <f>+M86+I86%*PERALTE!$C$32</f>
        <v>1634.812673331312</v>
      </c>
      <c r="O86" s="92"/>
      <c r="P86" s="84"/>
      <c r="Q86" s="84"/>
      <c r="R86" s="84"/>
      <c r="S86" s="84"/>
      <c r="T86" s="84"/>
      <c r="U86" s="84"/>
      <c r="V86" s="84"/>
      <c r="W86" s="84"/>
      <c r="X86" s="84"/>
      <c r="Y86" s="84"/>
    </row>
    <row r="87" spans="1:25" ht="15.75" customHeight="1" x14ac:dyDescent="0.2">
      <c r="A87" s="90" t="s">
        <v>325</v>
      </c>
      <c r="B87" s="86"/>
      <c r="C87" s="86"/>
      <c r="D87" s="86"/>
      <c r="E87" s="91"/>
      <c r="F87" s="34">
        <f>PERALTE!Y8</f>
        <v>564.38008684273404</v>
      </c>
      <c r="G87" s="88">
        <f>IF(F87&lt;=AV!$T$6,AV!$C$5,IF(RASANTE!F87&lt;=AV!$T$8,AV!$C$7,IF(RASANTE!F87&lt;=AV!$T$10,AV!$C$9,IF(RASANTE!F87&lt;=AV!$T$12,AV!#REF!,IF(RASANTE!F87&lt;=AV!$T$14,AV!$C$11,IF(RASANTE!F87&lt;=AV!$T$16,AV!$C$13, IF(RASANTE!F87&lt;=AV!$T$18,AV!$C$15,IF(RASANTE!F87&lt;=AV!$T$20,AV!$C$19,IF(RASANTE!F87&lt;=AV!$T$22,AV!$C$21,IF(RASANTE!F87&lt;=AV!$T$24,AV!$C$23,AV!$C$25))))))))))</f>
        <v>-3</v>
      </c>
      <c r="H87" s="28">
        <f>+IF(AND(AH!$H$8="Izquierda",RASANTE!F87&lt;=PERALTE!$AB$6),IF(RASANTE!F87&lt;=PERALTE!$S$6,-2,IF(RASANTE!F87&lt;=PERALTE!$U$6,(-6/(PERALTE!$U$6-PERALTE!$S$6)*(RASANTE!F87-PERALTE!$S$6)-2),IF(RASANTE!F87&lt;=PERALTE!$X$6,-8,IF(RASANTE!F87&lt;=PERALTE!$Z$6,(-6/(PERALTE!$X$6-PERALTE!$Z$6)*(RASANTE!F87-PERALTE!$Z$6)-2),IF(RASANTE!F87&lt;=PERALTE!$AB$6,-2))))),IF(AND(AH!$H$8="Derecha",RASANTE!F87&lt;=PERALTE!$AB$6),IF(RASANTE!F87&lt;=PERALTE!$Q$6,-2,IF(RASANTE!F87&lt;=PERALTE!$U$6,(10/(PERALTE!$U$6-PERALTE!$Q$6)*(RASANTE!F87-PERALTE!$Q$6)-2),IF(RASANTE!F87&lt;=PERALTE!$X$6,8,IF(RASANTE!F87&lt;=PERALTE!$AB$6,(10/(PERALTE!$X$6-PERALTE!$AB$6)*(RASANTE!F87-PERALTE!$AB$6)-2))))),IF(AND(AH!$H$10="Izquierda",RASANTE!F87&lt;=PERALTE!$AB$8),IF(RASANTE!F87&lt;=PERALTE!$S$8,-2,IF(RASANTE!F87&lt;=PERALTE!$U$8,(-6/(PERALTE!$U$8-PERALTE!$S$8)*(RASANTE!F87-PERALTE!$S$8)-2),IF(RASANTE!F87&lt;=PERALTE!$X$8,-8,IF(RASANTE!F87&lt;=PERALTE!$Z$8,(-6/(PERALTE!$X$8-PERALTE!$Z$8)*(RASANTE!F87-PERALTE!$Z$8)-2),IF(RASANTE!F87&lt;=PERALTE!$AB$8,-2))))),IF(AND(AH!$H$10="Derecha",RASANTE!F87&lt;=PERALTE!$AB$8),IF(RASANTE!F87&lt;=PERALTE!$Q$8,-2,IF(RASANTE!F87&lt;=PERALTE!$U$8,(10/(PERALTE!$U$8-PERALTE!$Q$8)*(RASANTE!F87-PERALTE!$Q$8)-2),IF(RASANTE!F87&lt;=PERALTE!$X$8,8,IF(RASANTE!F87&lt;=PERALTE!$AB$8,(10/(PERALTE!$X$8-PERALTE!$AB$8)*(RASANTE!F87-PERALTE!$AB$8)-2))))),IF(AND(AH!$H$12="Izquierda",RASANTE!F87&lt;=PERALTE!$AB$10),IF(RASANTE!F87&lt;=PERALTE!$S$10,-2,IF(RASANTE!F87&lt;=PERALTE!$U$10,(-6/(PERALTE!$U$10-PERALTE!$S$10)*(RASANTE!F87-PERALTE!$S$10)-2),IF(RASANTE!F87&lt;=PERALTE!$X$10,-8,IF(RASANTE!F87&lt;=PERALTE!$Z$10,(-6/(PERALTE!$X$10-PERALTE!$Z$10)*(RASANTE!F87-PERALTE!$Z$10)-2),IF(RASANTE!F87&lt;=PERALTE!$AB$10,-2))))),IF(AND(AH!$H$12="Derecha",RASANTE!F87&lt;=PERALTE!$AB$10),IF(RASANTE!F87&lt;=PERALTE!$Q$10,-2,IF(RASANTE!F87&lt;=PERALTE!$U$10,(10/(PERALTE!$U$10-PERALTE!$Q$10)*(RASANTE!F87-PERALTE!$Q$10)-2),IF(RASANTE!F87&lt;=PERALTE!$X$10,8,IF(RASANTE!F87&lt;=PERALTE!$AB$10,(10/(PERALTE!$X$10-PERALTE!$AB$10)*(RASANTE!F87-PERALTE!$AB$10)-2))))),IF(AND(AH!$H$14="Izquierda",RASANTE!F87&lt;=PERALTE!$AB$12),IF(RASANTE!F87&lt;=PERALTE!$S$12,-2,IF(RASANTE!F87&lt;=PERALTE!$U$12,(-6/(PERALTE!$U$12-PERALTE!$S$12)*(RASANTE!F87-PERALTE!$S$12)-2),IF(RASANTE!F87&lt;=PERALTE!$X$12,-8,IF(RASANTE!F87&lt;=PERALTE!$Z$12,(-6/(PERALTE!$X$12-PERALTE!$Z$12)*(RASANTE!F87-PERALTE!$Z$12)-2),IF(RASANTE!F87&lt;=PERALTE!$AB$12,-2))))),IF(AND(AH!$H$14="Derecha",RASANTE!F87&lt;=PERALTE!$AB$12),IF(RASANTE!F87&lt;=PERALTE!$Q$12,-2,IF(RASANTE!F87&lt;=PERALTE!$U$12,(10/(PERALTE!$U$12-PERALTE!$Q$12)*(RASANTE!F87-PERALTE!$Q$12)-2),IF(RASANTE!F87&lt;=PERALTE!$X$12,8,IF(RASANTE!F87&lt;=PERALTE!$AB$12,(10/(PERALTE!$X$12-PERALTE!$AB$12)*(RASANTE!F87-PERALTE!$AB$12)-2))))),IF(AND(AH!$H$16="Izquierda",RASANTE!F87&lt;=PERALTE!$AB$14),IF(RASANTE!F87&lt;=PERALTE!$S$14,-2,IF(RASANTE!F87&lt;=PERALTE!$U$14,(-6/(PERALTE!$U$14-PERALTE!$S$14)*(RASANTE!F87-PERALTE!$S$14)-2),IF(RASANTE!F87&lt;=PERALTE!$X$14,-8,IF(RASANTE!F87&lt;=PERALTE!$Z$14,(-6/(PERALTE!$X$14-PERALTE!$Z$14)*(RASANTE!F87-PERALTE!$Z$14)-2),IF(RASANTE!F87&lt;=PERALTE!$AB$14,-2))))),IF(AND(AH!$H$16="Derecha",RASANTE!F87&lt;=PERALTE!$AB$14),IF(RASANTE!F87&lt;=PERALTE!$Q$14,-2,IF(RASANTE!F87&lt;=PERALTE!$U$14,(10/(PERALTE!$U$14-PERALTE!$Q$14)*(RASANTE!F87-PERALTE!$Q$14)-2),IF(RASANTE!F87&lt;=PERALTE!$X$14,8,IF(RASANTE!F87&lt;=PERALTE!$AB$14,(10/(PERALTE!$X$14-PERALTE!$AB$14)*(RASANTE!F87-PERALTE!$AB$14)-2))))),IF(AND(AH!$H$18="Izquierda",RASANTE!F87&lt;=PERALTE!$AB$16),IF(RASANTE!F87&lt;=PERALTE!$S$16,-2,IF(RASANTE!F87&lt;=PERALTE!$U$16,(-6/(PERALTE!$U$16-PERALTE!$S$16)*(RASANTE!F87-PERALTE!$S$16)-2),IF(RASANTE!F87&lt;=PERALTE!$X$16,-8,IF(RASANTE!F87&lt;=PERALTE!$Z$16,(-6/(PERALTE!$X$16-PERALTE!$Z$16)*(RASANTE!F87-PERALTE!$Z$16)-2),IF(RASANTE!F87&lt;=PERALTE!$AB$16,-2))))),IF(AND(AH!$H$18="Derecha",RASANTE!F87&lt;=PERALTE!$AB$16),IF(RASANTE!F87&lt;=PERALTE!$Q$16,-2,IF(RASANTE!F87&lt;=PERALTE!$U$16,(10/(PERALTE!$U$16-PERALTE!$Q$16)*(RASANTE!F87-PERALTE!$Q$16)-2),IF(RASANTE!F87&lt;=PERALTE!$X$16,8,IF(RASANTE!F87&lt;=PERALTE!$AB$16,(10/(PERALTE!$X$16-PERALTE!$AB$16)*(RASANTE!F87-PERALTE!$AB$16)-2))))),IF(AND(AH!$H$20="Izquierda",RASANTE!F87&lt;=PERALTE!$AB$18),IF(RASANTE!F87&lt;=PERALTE!$S$18,-2,IF(RASANTE!F87&lt;=PERALTE!$U$18,(-6/(PERALTE!$U$18-PERALTE!$S$18)*(RASANTE!F87-PERALTE!$S$18)-2),IF(RASANTE!F87&lt;=PERALTE!$X$18,-8,IF(RASANTE!F87&lt;=PERALTE!$Z$18,(-6/(PERALTE!$X$18-PERALTE!$Z$18)*(RASANTE!F87-PERALTE!$Z$18)-2),IF(RASANTE!F87&lt;=PERALTE!$AB$18,-2))))),IF(AND(AH!$H$20="Derecha",RASANTE!F87&lt;=PERALTE!$AB$18),IF(RASANTE!F87&lt;=PERALTE!$Q$18,-2,IF(RASANTE!F87&lt;=PERALTE!$U$18,(10/(PERALTE!$U$18-PERALTE!$Q$18)*(RASANTE!F87-PERALTE!$Q$18)-2),IF(RASANTE!F87&lt;=PERALTE!$X$18,8,IF(RASANTE!F87&lt;=PERALTE!$AB$18,(10/(PERALTE!$X$18-PERALTE!$AB$18)*(RASANTE!F87-PERALTE!$AB$18)-2))))),IF(AND(AH!$H$24="Izquierda",RASANTE!F87&lt;=PERALTE!$AB$22),IF(RASANTE!F87&lt;=PERALTE!$S$22,-2,IF(RASANTE!F87&lt;=PERALTE!$U$22,(-6/(PERALTE!$U$22-PERALTE!$S$22)*(RASANTE!F87-PERALTE!$S$22)-2),IF(RASANTE!F87&lt;=PERALTE!$X$22,-8,IF(RASANTE!F87&lt;=PERALTE!$Z$22,(-6/(PERALTE!$X$22-PERALTE!$Z$22)*(RASANTE!F87-PERALTE!$Z$22)-2),IF(RASANTE!F87&lt;=PERALTE!$AB$22,-2))))),IF(AND(AH!$H$24="Derecha",RASANTE!F87&lt;=PERALTE!$AB$22),IF(RASANTE!F87&lt;=PERALTE!$Q$22,-2,IF(RASANTE!F87&lt;=PERALTE!$U$22,(10/(PERALTE!$U$22-PERALTE!$Q$22)*(RASANTE!F87-PERALTE!$Q$22)-2),IF(RASANTE!F87&lt;=PERALTE!$X$22,8,IF(RASANTE!F87&lt;=PERALTE!$AB$22,(10/(PERALTE!$X$22-PERALTE!$AB$22)*(RASANTE!F87-PERALTE!$AB$22)-2))))),IF(AND(AH!#REF!="Izquierda",RASANTE!F87&lt;=PERALTE!#REF!),IF(RASANTE!F87&lt;=PERALTE!#REF!,-2,IF(RASANTE!F87&lt;=PERALTE!#REF!,(-6/(PERALTE!#REF!-PERALTE!#REF!)*(RASANTE!F87-PERALTE!#REF!)-2),IF(RASANTE!F87&lt;=PERALTE!#REF!,-8,IF(RASANTE!F87&lt;=PERALTE!#REF!,(-6/(PERALTE!#REF!-PERALTE!#REF!)*(RASANTE!F87-PERALTE!#REF!)-2),IF(RASANTE!F87&lt;=PERALTE!#REF!,-2))))),IF(AND(AH!#REF!="Derecha",RASANTE!F87&lt;=PERALTE!#REF!),IF(RASANTE!F87&lt;=PERALTE!#REF!,-2,IF(RASANTE!F87&lt;=PERALTE!#REF!,(10/(PERALTE!#REF!-PERALTE!#REF!)*(RASANTE!F87-PERALTE!#REF!)-2),IF(RASANTE!F87&lt;=PERALTE!#REF!,8,IF(RASANTE!F87&lt;=PERALTE!#REF!,(10/(PERALTE!#REF!-PERALTE!#REF!)*(RASANTE!F87-PERALTE!#REF!)-2))))),IF(AND(AH!#REF!="Izquierda",RASANTE!F87&lt;=PERALTE!$AB$26),IF(RASANTE!F87&lt;=PERALTE!$S$26,-2,IF(RASANTE!F87&lt;=PERALTE!$U$26,(-6/(PERALTE!$U$26-PERALTE!$S$26)*(RASANTE!F87-PERALTE!$S$26)-2),IF(RASANTE!F87&lt;=PERALTE!$X$26,-8,IF(RASANTE!F87&lt;=PERALTE!$Z$26,(-6/(PERALTE!$X$26-PERALTE!$Z$26)*(RASANTE!F87-PERALTE!$Z$26)-2),IF(RASANTE!F87&lt;=PERALTE!$AB$26,-2))))),IF(AND(AH!#REF!="Derecha",RASANTE!F87&lt;=PERALTE!$AB$26),IF(RASANTE!F87&lt;=PERALTE!$Q$26,-2,IF(RASANTE!F87&lt;=PERALTE!$U$26,(10/(PERALTE!$U$26-PERALTE!$Q$26)*(RASANTE!F87-PERALTE!$Q$26)-2),IF(RASANTE!F87&lt;=PERALTE!$X$26,8,IF(RASANTE!F87&lt;=PERALTE!$AB$26,(10/(PERALTE!$X$26-PERALTE!$AB$26)*(RASANTE!F87-PERALTE!$AB$26)-2))))),IF(F87&lt;=PERALTE!#REF!,-2,"Abscisa fuera de la vía")))))))))))))))))))))</f>
        <v>4.0000000000000151</v>
      </c>
      <c r="I87" s="28">
        <f>+IF(AND(AH!$H$8="Derecha",RASANTE!F87&lt;=PERALTE!$AB$6),IF(RASANTE!F87&lt;=PERALTE!$S$6,-2,IF(RASANTE!F87&lt;=PERALTE!$U$6,(-6/(PERALTE!$U$6-PERALTE!$S$6)*(RASANTE!F87-PERALTE!$S$6)-2),IF(RASANTE!F87&lt;=PERALTE!$X$6,-8,IF(RASANTE!F87&lt;=PERALTE!$Z$6,(-6/(PERALTE!$X$6-PERALTE!$Z$6)*(RASANTE!F87-PERALTE!$Z$6)-2),IF(RASANTE!F87&lt;=PERALTE!$AB$6,-2))))),IF(AND(AH!$H$8="Izquierda",RASANTE!F87&lt;=PERALTE!$AB$6),IF(RASANTE!F87&lt;=PERALTE!$Q$6,-2,IF(RASANTE!F87&lt;=PERALTE!$U$6,(10/(PERALTE!$U$6-PERALTE!$Q$6)*(RASANTE!F87-PERALTE!$Q$6)-2),IF(RASANTE!F87&lt;=PERALTE!$X$6,8,IF(RASANTE!F87&lt;=PERALTE!$AB$6,(10/(PERALTE!$X$6-PERALTE!$AB$6)*(RASANTE!F87-PERALTE!$AB$6)-2))))),IF(AND(AH!$H$10="Derecha",RASANTE!F87&lt;=PERALTE!$AB$8),IF(RASANTE!F87&lt;=PERALTE!$S$8,-2,IF(RASANTE!F87&lt;=PERALTE!$U$8,(-6/(PERALTE!$U$8-PERALTE!$S$8)*(RASANTE!F87-PERALTE!$S$8)-2),IF(RASANTE!F87&lt;=PERALTE!$X$8,-8,IF(RASANTE!F87&lt;=PERALTE!$Z$8,(-6/(PERALTE!$X$8-PERALTE!$Z$8)*(RASANTE!F87-PERALTE!$Z$8)-2),IF(RASANTE!F87&lt;=PERALTE!$AB$8,-2))))),IF(AND(AH!$H$10="Izquierda",RASANTE!F87&lt;=PERALTE!$AB$8),IF(RASANTE!F87&lt;=PERALTE!$Q$8,-2,IF(RASANTE!F87&lt;=PERALTE!$U$8,(10/(PERALTE!$U$8-PERALTE!$Q$8)*(RASANTE!F87-PERALTE!$Q$8)-2),IF(RASANTE!F87&lt;=PERALTE!$X$8,8,IF(RASANTE!F87&lt;=PERALTE!$AB$8,(10/(PERALTE!$X$8-PERALTE!$AB$8)*(RASANTE!F87-PERALTE!$AB$8)-2))))),IF(AND(AH!$H$12="Derecha",RASANTE!F87&lt;=PERALTE!$AB$10),IF(RASANTE!F87&lt;=PERALTE!$S$10,-2,IF(RASANTE!F87&lt;=PERALTE!$U$10,(-6/(PERALTE!$U$10-PERALTE!$S$10)*(RASANTE!F87-PERALTE!$S$10)-2),IF(RASANTE!F87&lt;=PERALTE!$X$10,-8,IF(RASANTE!F87&lt;=PERALTE!$Z$10,(-6/(PERALTE!$X$10-PERALTE!$Z$10)*(RASANTE!F87-PERALTE!$Z$10)-2),IF(RASANTE!F87&lt;=PERALTE!$AB$10,-2))))),IF(AND(AH!$H$12="Izquierda",RASANTE!F87&lt;=PERALTE!$AB$10),IF(RASANTE!F87&lt;=PERALTE!$Q$10,-2,IF(RASANTE!F87&lt;=PERALTE!$U$10,(10/(PERALTE!$U$10-PERALTE!$Q$10)*(RASANTE!F87-PERALTE!$Q$10)-2),IF(RASANTE!F87&lt;=PERALTE!$X$10,8,IF(RASANTE!F87&lt;=PERALTE!$AB$10,(10/(PERALTE!$X$10-PERALTE!$AB$10)*(RASANTE!F87-PERALTE!$AB$10)-2))))),IF(AND(AH!$H$14="Derecha",RASANTE!F87&lt;=PERALTE!$AB$12),IF(RASANTE!F87&lt;=PERALTE!$S$12,-2,IF(RASANTE!F87&lt;=PERALTE!$U$12,(-6/(PERALTE!$U$12-PERALTE!$S$12)*(RASANTE!F87-PERALTE!$S$12)-2),IF(RASANTE!F87&lt;=PERALTE!$X$12,-8,IF(RASANTE!F87&lt;=PERALTE!$Z$12,(-6/(PERALTE!$X$12-PERALTE!$Z$12)*(RASANTE!F87-PERALTE!$Z$12)-2),IF(RASANTE!F87&lt;=PERALTE!$AB$12,-2))))),IF(AND(AH!$H$14="Izquierda",RASANTE!F87&lt;=PERALTE!$AB$12),IF(RASANTE!F87&lt;=PERALTE!$Q$12,-2,IF(RASANTE!F87&lt;=PERALTE!$U$12,(10/(PERALTE!$U$12-PERALTE!$Q$12)*(RASANTE!F87-PERALTE!$Q$12)-2),IF(RASANTE!F87&lt;=PERALTE!$X$12,8,IF(RASANTE!F87&lt;=PERALTE!$AB$12,(10/(PERALTE!$X$12-PERALTE!$AB$12)*(RASANTE!F87-PERALTE!$AB$12)-2))))),IF(AND(AH!$H$16="Derecha",RASANTE!F87&lt;=PERALTE!$AB$14),IF(RASANTE!F87&lt;=PERALTE!$S$14,-2,IF(RASANTE!F87&lt;=PERALTE!$U$14,(-6/(PERALTE!$U$14-PERALTE!$S$14)*(RASANTE!F87-PERALTE!$S$14)-2),IF(RASANTE!F87&lt;=PERALTE!$X$14,-8,IF(RASANTE!F87&lt;=PERALTE!$Z$14,(-6/(PERALTE!$X$14-PERALTE!$Z$14)*(RASANTE!F87-PERALTE!$Z$14)-2),IF(RASANTE!F87&lt;=PERALTE!$AB$14,-2))))),IF(AND(AH!$H$16="Izquierda",RASANTE!F87&lt;=PERALTE!$AB$14),IF(RASANTE!F87&lt;=PERALTE!$Q$14,-2,IF(RASANTE!F87&lt;=PERALTE!$U$14,(10/(PERALTE!$U$14-PERALTE!$Q$14)*(RASANTE!F87-PERALTE!$Q$14)-2),IF(RASANTE!F87&lt;=PERALTE!$X$14,8,IF(RASANTE!F87&lt;=PERALTE!$AB$14,(10/(PERALTE!$X$14-PERALTE!$AB$14)*(RASANTE!F87-PERALTE!$AB$14)-2))))),IF(AND(AH!$H$18="Derecha",RASANTE!F87&lt;=PERALTE!$AB$16),IF(RASANTE!F87&lt;=PERALTE!$S$16,-2,IF(RASANTE!F87&lt;=PERALTE!$U$16,(-6/(PERALTE!$U$16-PERALTE!$S$16)*(RASANTE!F87-PERALTE!$S$16)-2),IF(RASANTE!F87&lt;=PERALTE!$X$16,-8,IF(RASANTE!F87&lt;=PERALTE!$Z$16,(-6/(PERALTE!$X$16-PERALTE!$Z$16)*(RASANTE!F87-PERALTE!$Z$16)-2),IF(RASANTE!F87&lt;=PERALTE!$AB$16,-2))))),IF(AND(AH!$H$18="Izquierda",RASANTE!F87&lt;=PERALTE!$AB$16),IF(RASANTE!F87&lt;=PERALTE!$Q$16,-2,IF(RASANTE!F87&lt;=PERALTE!$U$16,(10/(PERALTE!$U$16-PERALTE!$Q$16)*(RASANTE!F87-PERALTE!$Q$16)-2),IF(RASANTE!F87&lt;=PERALTE!$X$16,8,IF(RASANTE!F87&lt;=PERALTE!$AB$16,(10/(PERALTE!$X$16-PERALTE!$AB$16)*(RASANTE!F87-PERALTE!$AB$16)-2))))),IF(AND(AH!$H$20="Derecha",RASANTE!F87&lt;=PERALTE!$AB$18),IF(RASANTE!F87&lt;=PERALTE!$S$18,-2,IF(RASANTE!F87&lt;=PERALTE!$U$18,(-6/(PERALTE!$U$18-PERALTE!$S$18)*(RASANTE!F87-PERALTE!$S$18)-2),IF(RASANTE!F87&lt;=PERALTE!$X$18,-8,IF(RASANTE!F87&lt;=PERALTE!$Z$18,(-6/(PERALTE!$X$18-PERALTE!$Z$18)*(RASANTE!F87-PERALTE!$Z$18)-2),IF(RASANTE!F87&lt;=PERALTE!$AB$18,-2))))),IF(AND(AH!$H$20="Izquierda",RASANTE!F87&lt;=PERALTE!$AB$18),IF(RASANTE!F87&lt;=PERALTE!$Q$18,-2,IF(RASANTE!F87&lt;=PERALTE!$U$18,(10/(PERALTE!$U$18-PERALTE!$Q$18)*(RASANTE!F87-PERALTE!$Q$18)-2),IF(RASANTE!F87&lt;=PERALTE!$X$18,8,IF(RASANTE!F87&lt;=PERALTE!$AB$18,(10/(PERALTE!$X$18-PERALTE!$AB$18)*(RASANTE!F87-PERALTE!$AB$18)-2))))),IF(AND(AH!$H$24="Derecha",RASANTE!F87&lt;=PERALTE!$AB$22),IF(RASANTE!F87&lt;=PERALTE!$S$22,-2,IF(RASANTE!F87&lt;=PERALTE!$U$22,(-6/(PERALTE!$U$22-PERALTE!$S$22)*(RASANTE!F87-PERALTE!$S$22)-2),IF(RASANTE!F87&lt;=PERALTE!$X$22,-8,IF(RASANTE!F87&lt;=PERALTE!$Z$22,(-6/(PERALTE!$X$22-PERALTE!$Z$22)*(RASANTE!F87-PERALTE!$Z$22)-2),IF(RASANTE!F87&lt;=PERALTE!$AB$22,-2))))),IF(AND(AH!$H$24="Izquierda",RASANTE!F87&lt;=PERALTE!$AB$22),IF(RASANTE!F87&lt;=PERALTE!$Q$22,-2,IF(RASANTE!F87&lt;=PERALTE!$U$22,(10/(PERALTE!$U$22-PERALTE!$Q$22)*(RASANTE!F87-PERALTE!$Q$22)-2),IF(RASANTE!F87&lt;=PERALTE!$X$22,8,IF(RASANTE!F87&lt;=PERALTE!$AB$22,(10/(PERALTE!$X$22-PERALTE!$AB$22)*(RASANTE!F87-PERALTE!$AB$22)-2))))),IF(AND(AH!#REF!="Derecha",RASANTE!F87&lt;=PERALTE!#REF!),IF(RASANTE!F87&lt;=PERALTE!#REF!,-2,IF(RASANTE!F87&lt;=PERALTE!#REF!,(-6/(PERALTE!#REF!-PERALTE!#REF!)*(RASANTE!F87-PERALTE!#REF!)-2),IF(RASANTE!F87&lt;=PERALTE!#REF!,-8,IF(RASANTE!F87&lt;=PERALTE!#REF!,(-6/(PERALTE!#REF!-PERALTE!#REF!)*(RASANTE!F87-PERALTE!#REF!)-2),IF(RASANTE!F87&lt;=PERALTE!#REF!,-2))))),IF(AND(AH!#REF!="Izquierda",RASANTE!F87&lt;=PERALTE!#REF!),IF(RASANTE!F87&lt;=PERALTE!#REF!,-2,IF(RASANTE!F87&lt;=PERALTE!#REF!,(10/(PERALTE!#REF!-PERALTE!#REF!)*(RASANTE!F87-PERALTE!#REF!)-2),IF(RASANTE!F87&lt;=PERALTE!#REF!,8,IF(RASANTE!F87&lt;=PERALTE!#REF!,(10/(PERALTE!#REF!-PERALTE!#REF!)*(RASANTE!F87-PERALTE!#REF!)-2))))),IF(AND(AH!#REF!="Derecha",RASANTE!F87&lt;=PERALTE!$AB$26),IF(RASANTE!F87&lt;=PERALTE!$S$26,-2,IF(RASANTE!F87&lt;=PERALTE!$U$26,(-6/(PERALTE!$U$26-PERALTE!$S$26)*(RASANTE!F87-PERALTE!$S$26)-2),IF(RASANTE!F87&lt;=PERALTE!$X$26,-8,IF(RASANTE!F87&lt;=PERALTE!$Z$26,(-6/(PERALTE!$X$26-PERALTE!$Z$26)*(RASANTE!F87-PERALTE!$Z$26)-2),IF(RASANTE!F87&lt;=PERALTE!$AB$26,-2))))),IF(AND(AH!#REF!="Izquierda",RASANTE!F87&lt;=PERALTE!$AB$26),IF(RASANTE!F87&lt;=PERALTE!$Q$26,-2,IF(RASANTE!F87&lt;=PERALTE!$U$26,(10/(PERALTE!$U$26-PERALTE!$Q$26)*(RASANTE!F87-PERALTE!$Q$26)-2),IF(RASANTE!F87&lt;=PERALTE!$X$26,8,IF(RASANTE!F87&lt;=PERALTE!$AB$26,(10/(PERALTE!$X$26-PERALTE!$AB$26)*(RASANTE!F87-PERALTE!$AB$26)-2))))),IF(F87&lt;=PERALTE!#REF!,-2,"Abscisa fuera de la vía")))))))))))))))))))))</f>
        <v>-4.0000000000000089</v>
      </c>
      <c r="J87" s="28">
        <f t="shared" si="4"/>
        <v>1634.854997394719</v>
      </c>
      <c r="K87" s="28">
        <f>+IF(AND(AV!$S$6&lt;F184,F184&lt;=AV!$T$6),AV!$P$6*((AV!$S$6-RASANTE!F184)/(AV!$N$6))^2,IF(AND(AV!$T$6&lt;RASANTE!F184,F184&lt;AV!$U$6),AV!$P$6*((AV!$U$6-RASANTE!F184)/(AV!$O$6))^2,IF(AND(AV!$S$8&lt;F184,F184&lt;=AV!$T$8),AV!$P$8*((AV!$S$8-RASANTE!F184)/(AV!$N$8))^2,IF(AND(AV!$T$8&lt;RASANTE!F184,F184&lt;AV!$U$8),AV!$P$8*((AV!$U$8-RASANTE!F184)/(AV!$O$8))^2,IF(AND(AV!$S$10&lt;F184,F184&lt;=AV!$T$10),AV!$P$10*((AV!$S$10-RASANTE!F184)/(AV!$N$10))^2,IF(AND(AV!$T$10&lt;RASANTE!F184,F184&lt;AV!$U$10),AV!$P$10*((AV!$U$10-RASANTE!F184)/(AV!$O$10))^2,IF(AND(AV!$S$12&lt;F184,F184&lt;=AV!$T$12),AV!$P$12*((AV!$S$12-RASANTE!F184)/(AV!$N$12))^2,IF(AND(AV!$T$12&lt;RASANTE!F184,F184&lt;AV!$U$12),AV!$P$12*((AV!$U$12-RASANTE!F184)/(AV!$O$12))^2,IF(AND(AV!$S$14&lt;F184,F184&lt;=AV!$T$14),AV!$P$14*((AV!$S$14-RASANTE!F184)/(AV!$N$14))^2,IF(AND(AV!$T$14&lt;RASANTE!F184,F184&lt;AV!$U$14),AV!$P$14*((AV!$U$14-RASANTE!F184)/(AV!$O$14))^2,IF(AND(AV!$S$16&lt;F184,F184&lt;=AV!$T$16),AV!$P$16*((AV!$S$16-RASANTE!F184)/(AV!$N$16))^2,IF(AND(AV!$T$16&lt;RASANTE!F184,F184&lt;AV!$U$16),AV!$P$16*((AV!$U$16-RASANTE!F184)/(AV!$O$16))^2,IF(AND(AV!$S$18&lt;F184,F184&lt;=AV!$T$18),AV!$P$18*((AV!$S$18-RASANTE!F184)/(AV!$N$18))^2,IF(AND(AV!$T$18&lt;RASANTE!F184,F184&lt;AV!$U$18),AV!$P$18*((AV!$U$18-RASANTE!F184)/(AV!$O$18))^2,IF(AND(AV!$S$20&lt;F184,F184&lt;=AV!$T$20),AV!$P$20*((AV!$S$20-RASANTE!F184)/(AV!$N$20))^2,IF(AND(AV!$T$20&lt;RASANTE!F184,F184&lt;AV!$U$20),AV!$P$20*((AV!$U$20-RASANTE!F184)/(AV!$O$20))^2,IF(AND(AV!$S$22&lt;F184,F184&lt;=AV!$T$22),AV!$P$22*((AV!$S$22-RASANTE!F184)/(AV!$N$22))^2,IF(AND(AV!$T$22&lt;RASANTE!F184,F184&lt;AV!$U$22),AV!$P$22*((AV!$U$22-RASANTE!F184)/(AV!$O$22))^2,IF(AND(AV!$S$24&lt;F184,F184&lt;=AV!$T$24),AV!$P$24*((AV!$S$24-RASANTE!F184)/(AV!$N$24))^2,IF(AND(AV!$T$24&lt;RASANTE!F184,F184&lt;AV!$U$24),AV!$P$24*((AV!$U$24-RASANTE!F184)/(AV!$O$24))^2,0))))))))))))))))))))</f>
        <v>0</v>
      </c>
      <c r="L87" s="28">
        <f>+M87+H87%*PERALTE!$C$32</f>
        <v>1634.9949973947191</v>
      </c>
      <c r="M87" s="28">
        <f t="shared" si="3"/>
        <v>1634.854997394719</v>
      </c>
      <c r="N87" s="28">
        <f>+M87+I87%*PERALTE!$C$32</f>
        <v>1634.7149973947189</v>
      </c>
      <c r="O87" s="92"/>
      <c r="P87" s="84"/>
      <c r="Q87" s="84"/>
      <c r="R87" s="84"/>
      <c r="S87" s="84"/>
      <c r="T87" s="84"/>
      <c r="U87" s="84"/>
      <c r="V87" s="84"/>
      <c r="W87" s="84"/>
      <c r="X87" s="84"/>
      <c r="Y87" s="84"/>
    </row>
    <row r="88" spans="1:25" ht="15.75" customHeight="1" x14ac:dyDescent="0.2">
      <c r="A88" s="111"/>
      <c r="E88" s="115"/>
      <c r="F88" s="34">
        <v>570</v>
      </c>
      <c r="G88" s="88">
        <f>IF(F88&lt;=AV!$T$6,AV!$C$5,IF(RASANTE!F88&lt;=AV!$T$8,AV!$C$7,IF(RASANTE!F88&lt;=AV!$T$10,AV!$C$9,IF(RASANTE!F88&lt;=AV!$T$12,AV!#REF!,IF(RASANTE!F88&lt;=AV!$T$14,AV!$C$11,IF(RASANTE!F88&lt;=AV!$T$16,AV!$C$13, IF(RASANTE!F88&lt;=AV!$T$18,AV!$C$15,IF(RASANTE!F88&lt;=AV!$T$20,AV!$C$19,IF(RASANTE!F88&lt;=AV!$T$22,AV!$C$21,IF(RASANTE!F88&lt;=AV!$T$24,AV!$C$23,AV!$C$25))))))))))</f>
        <v>-3</v>
      </c>
      <c r="H88" s="28">
        <f>+IF(AND(AH!$H$8="Izquierda",RASANTE!F88&lt;=PERALTE!$AB$6),IF(RASANTE!F88&lt;=PERALTE!$S$6,-2,IF(RASANTE!F88&lt;=PERALTE!$U$6,(-6/(PERALTE!$U$6-PERALTE!$S$6)*(RASANTE!F88-PERALTE!$S$6)-2),IF(RASANTE!F88&lt;=PERALTE!$X$6,-8,IF(RASANTE!F88&lt;=PERALTE!$Z$6,(-6/(PERALTE!$X$6-PERALTE!$Z$6)*(RASANTE!F88-PERALTE!$Z$6)-2),IF(RASANTE!F88&lt;=PERALTE!$AB$6,-2))))),IF(AND(AH!$H$8="Derecha",RASANTE!F88&lt;=PERALTE!$AB$6),IF(RASANTE!F88&lt;=PERALTE!$Q$6,-2,IF(RASANTE!F88&lt;=PERALTE!$U$6,(10/(PERALTE!$U$6-PERALTE!$Q$6)*(RASANTE!F88-PERALTE!$Q$6)-2),IF(RASANTE!F88&lt;=PERALTE!$X$6,8,IF(RASANTE!F88&lt;=PERALTE!$AB$6,(10/(PERALTE!$X$6-PERALTE!$AB$6)*(RASANTE!F88-PERALTE!$AB$6)-2))))),IF(AND(AH!$H$10="Izquierda",RASANTE!F88&lt;=PERALTE!$AB$8),IF(RASANTE!F88&lt;=PERALTE!$S$8,-2,IF(RASANTE!F88&lt;=PERALTE!$U$8,(-6/(PERALTE!$U$8-PERALTE!$S$8)*(RASANTE!F88-PERALTE!$S$8)-2),IF(RASANTE!F88&lt;=PERALTE!$X$8,-8,IF(RASANTE!F88&lt;=PERALTE!$Z$8,(-6/(PERALTE!$X$8-PERALTE!$Z$8)*(RASANTE!F88-PERALTE!$Z$8)-2),IF(RASANTE!F88&lt;=PERALTE!$AB$8,-2))))),IF(AND(AH!$H$10="Derecha",RASANTE!F88&lt;=PERALTE!$AB$8),IF(RASANTE!F88&lt;=PERALTE!$Q$8,-2,IF(RASANTE!F88&lt;=PERALTE!$U$8,(10/(PERALTE!$U$8-PERALTE!$Q$8)*(RASANTE!F88-PERALTE!$Q$8)-2),IF(RASANTE!F88&lt;=PERALTE!$X$8,8,IF(RASANTE!F88&lt;=PERALTE!$AB$8,(10/(PERALTE!$X$8-PERALTE!$AB$8)*(RASANTE!F88-PERALTE!$AB$8)-2))))),IF(AND(AH!$H$12="Izquierda",RASANTE!F88&lt;=PERALTE!$AB$10),IF(RASANTE!F88&lt;=PERALTE!$S$10,-2,IF(RASANTE!F88&lt;=PERALTE!$U$10,(-6/(PERALTE!$U$10-PERALTE!$S$10)*(RASANTE!F88-PERALTE!$S$10)-2),IF(RASANTE!F88&lt;=PERALTE!$X$10,-8,IF(RASANTE!F88&lt;=PERALTE!$Z$10,(-6/(PERALTE!$X$10-PERALTE!$Z$10)*(RASANTE!F88-PERALTE!$Z$10)-2),IF(RASANTE!F88&lt;=PERALTE!$AB$10,-2))))),IF(AND(AH!$H$12="Derecha",RASANTE!F88&lt;=PERALTE!$AB$10),IF(RASANTE!F88&lt;=PERALTE!$Q$10,-2,IF(RASANTE!F88&lt;=PERALTE!$U$10,(10/(PERALTE!$U$10-PERALTE!$Q$10)*(RASANTE!F88-PERALTE!$Q$10)-2),IF(RASANTE!F88&lt;=PERALTE!$X$10,8,IF(RASANTE!F88&lt;=PERALTE!$AB$10,(10/(PERALTE!$X$10-PERALTE!$AB$10)*(RASANTE!F88-PERALTE!$AB$10)-2))))),IF(AND(AH!$H$14="Izquierda",RASANTE!F88&lt;=PERALTE!$AB$12),IF(RASANTE!F88&lt;=PERALTE!$S$12,-2,IF(RASANTE!F88&lt;=PERALTE!$U$12,(-6/(PERALTE!$U$12-PERALTE!$S$12)*(RASANTE!F88-PERALTE!$S$12)-2),IF(RASANTE!F88&lt;=PERALTE!$X$12,-8,IF(RASANTE!F88&lt;=PERALTE!$Z$12,(-6/(PERALTE!$X$12-PERALTE!$Z$12)*(RASANTE!F88-PERALTE!$Z$12)-2),IF(RASANTE!F88&lt;=PERALTE!$AB$12,-2))))),IF(AND(AH!$H$14="Derecha",RASANTE!F88&lt;=PERALTE!$AB$12),IF(RASANTE!F88&lt;=PERALTE!$Q$12,-2,IF(RASANTE!F88&lt;=PERALTE!$U$12,(10/(PERALTE!$U$12-PERALTE!$Q$12)*(RASANTE!F88-PERALTE!$Q$12)-2),IF(RASANTE!F88&lt;=PERALTE!$X$12,8,IF(RASANTE!F88&lt;=PERALTE!$AB$12,(10/(PERALTE!$X$12-PERALTE!$AB$12)*(RASANTE!F88-PERALTE!$AB$12)-2))))),IF(AND(AH!$H$16="Izquierda",RASANTE!F88&lt;=PERALTE!$AB$14),IF(RASANTE!F88&lt;=PERALTE!$S$14,-2,IF(RASANTE!F88&lt;=PERALTE!$U$14,(-6/(PERALTE!$U$14-PERALTE!$S$14)*(RASANTE!F88-PERALTE!$S$14)-2),IF(RASANTE!F88&lt;=PERALTE!$X$14,-8,IF(RASANTE!F88&lt;=PERALTE!$Z$14,(-6/(PERALTE!$X$14-PERALTE!$Z$14)*(RASANTE!F88-PERALTE!$Z$14)-2),IF(RASANTE!F88&lt;=PERALTE!$AB$14,-2))))),IF(AND(AH!$H$16="Derecha",RASANTE!F88&lt;=PERALTE!$AB$14),IF(RASANTE!F88&lt;=PERALTE!$Q$14,-2,IF(RASANTE!F88&lt;=PERALTE!$U$14,(10/(PERALTE!$U$14-PERALTE!$Q$14)*(RASANTE!F88-PERALTE!$Q$14)-2),IF(RASANTE!F88&lt;=PERALTE!$X$14,8,IF(RASANTE!F88&lt;=PERALTE!$AB$14,(10/(PERALTE!$X$14-PERALTE!$AB$14)*(RASANTE!F88-PERALTE!$AB$14)-2))))),IF(AND(AH!$H$18="Izquierda",RASANTE!F88&lt;=PERALTE!$AB$16),IF(RASANTE!F88&lt;=PERALTE!$S$16,-2,IF(RASANTE!F88&lt;=PERALTE!$U$16,(-6/(PERALTE!$U$16-PERALTE!$S$16)*(RASANTE!F88-PERALTE!$S$16)-2),IF(RASANTE!F88&lt;=PERALTE!$X$16,-8,IF(RASANTE!F88&lt;=PERALTE!$Z$16,(-6/(PERALTE!$X$16-PERALTE!$Z$16)*(RASANTE!F88-PERALTE!$Z$16)-2),IF(RASANTE!F88&lt;=PERALTE!$AB$16,-2))))),IF(AND(AH!$H$18="Derecha",RASANTE!F88&lt;=PERALTE!$AB$16),IF(RASANTE!F88&lt;=PERALTE!$Q$16,-2,IF(RASANTE!F88&lt;=PERALTE!$U$16,(10/(PERALTE!$U$16-PERALTE!$Q$16)*(RASANTE!F88-PERALTE!$Q$16)-2),IF(RASANTE!F88&lt;=PERALTE!$X$16,8,IF(RASANTE!F88&lt;=PERALTE!$AB$16,(10/(PERALTE!$X$16-PERALTE!$AB$16)*(RASANTE!F88-PERALTE!$AB$16)-2))))),IF(AND(AH!$H$20="Izquierda",RASANTE!F88&lt;=PERALTE!$AB$18),IF(RASANTE!F88&lt;=PERALTE!$S$18,-2,IF(RASANTE!F88&lt;=PERALTE!$U$18,(-6/(PERALTE!$U$18-PERALTE!$S$18)*(RASANTE!F88-PERALTE!$S$18)-2),IF(RASANTE!F88&lt;=PERALTE!$X$18,-8,IF(RASANTE!F88&lt;=PERALTE!$Z$18,(-6/(PERALTE!$X$18-PERALTE!$Z$18)*(RASANTE!F88-PERALTE!$Z$18)-2),IF(RASANTE!F88&lt;=PERALTE!$AB$18,-2))))),IF(AND(AH!$H$20="Derecha",RASANTE!F88&lt;=PERALTE!$AB$18),IF(RASANTE!F88&lt;=PERALTE!$Q$18,-2,IF(RASANTE!F88&lt;=PERALTE!$U$18,(10/(PERALTE!$U$18-PERALTE!$Q$18)*(RASANTE!F88-PERALTE!$Q$18)-2),IF(RASANTE!F88&lt;=PERALTE!$X$18,8,IF(RASANTE!F88&lt;=PERALTE!$AB$18,(10/(PERALTE!$X$18-PERALTE!$AB$18)*(RASANTE!F88-PERALTE!$AB$18)-2))))),IF(AND(AH!$H$24="Izquierda",RASANTE!F88&lt;=PERALTE!$AB$22),IF(RASANTE!F88&lt;=PERALTE!$S$22,-2,IF(RASANTE!F88&lt;=PERALTE!$U$22,(-6/(PERALTE!$U$22-PERALTE!$S$22)*(RASANTE!F88-PERALTE!$S$22)-2),IF(RASANTE!F88&lt;=PERALTE!$X$22,-8,IF(RASANTE!F88&lt;=PERALTE!$Z$22,(-6/(PERALTE!$X$22-PERALTE!$Z$22)*(RASANTE!F88-PERALTE!$Z$22)-2),IF(RASANTE!F88&lt;=PERALTE!$AB$22,-2))))),IF(AND(AH!$H$24="Derecha",RASANTE!F88&lt;=PERALTE!$AB$22),IF(RASANTE!F88&lt;=PERALTE!$Q$22,-2,IF(RASANTE!F88&lt;=PERALTE!$U$22,(10/(PERALTE!$U$22-PERALTE!$Q$22)*(RASANTE!F88-PERALTE!$Q$22)-2),IF(RASANTE!F88&lt;=PERALTE!$X$22,8,IF(RASANTE!F88&lt;=PERALTE!$AB$22,(10/(PERALTE!$X$22-PERALTE!$AB$22)*(RASANTE!F88-PERALTE!$AB$22)-2))))),IF(AND(AH!#REF!="Izquierda",RASANTE!F88&lt;=PERALTE!#REF!),IF(RASANTE!F88&lt;=PERALTE!#REF!,-2,IF(RASANTE!F88&lt;=PERALTE!#REF!,(-6/(PERALTE!#REF!-PERALTE!#REF!)*(RASANTE!F88-PERALTE!#REF!)-2),IF(RASANTE!F88&lt;=PERALTE!#REF!,-8,IF(RASANTE!F88&lt;=PERALTE!#REF!,(-6/(PERALTE!#REF!-PERALTE!#REF!)*(RASANTE!F88-PERALTE!#REF!)-2),IF(RASANTE!F88&lt;=PERALTE!#REF!,-2))))),IF(AND(AH!#REF!="Derecha",RASANTE!F88&lt;=PERALTE!#REF!),IF(RASANTE!F88&lt;=PERALTE!#REF!,-2,IF(RASANTE!F88&lt;=PERALTE!#REF!,(10/(PERALTE!#REF!-PERALTE!#REF!)*(RASANTE!F88-PERALTE!#REF!)-2),IF(RASANTE!F88&lt;=PERALTE!#REF!,8,IF(RASANTE!F88&lt;=PERALTE!#REF!,(10/(PERALTE!#REF!-PERALTE!#REF!)*(RASANTE!F88-PERALTE!#REF!)-2))))),IF(AND(AH!#REF!="Izquierda",RASANTE!F88&lt;=PERALTE!$AB$26),IF(RASANTE!F88&lt;=PERALTE!$S$26,-2,IF(RASANTE!F88&lt;=PERALTE!$U$26,(-6/(PERALTE!$U$26-PERALTE!$S$26)*(RASANTE!F88-PERALTE!$S$26)-2),IF(RASANTE!F88&lt;=PERALTE!$X$26,-8,IF(RASANTE!F88&lt;=PERALTE!$Z$26,(-6/(PERALTE!$X$26-PERALTE!$Z$26)*(RASANTE!F88-PERALTE!$Z$26)-2),IF(RASANTE!F88&lt;=PERALTE!$AB$26,-2))))),IF(AND(AH!#REF!="Derecha",RASANTE!F88&lt;=PERALTE!$AB$26),IF(RASANTE!F88&lt;=PERALTE!$Q$26,-2,IF(RASANTE!F88&lt;=PERALTE!$U$26,(10/(PERALTE!$U$26-PERALTE!$Q$26)*(RASANTE!F88-PERALTE!$Q$26)-2),IF(RASANTE!F88&lt;=PERALTE!$X$26,8,IF(RASANTE!F88&lt;=PERALTE!$AB$26,(10/(PERALTE!$X$26-PERALTE!$AB$26)*(RASANTE!F88-PERALTE!$AB$26)-2))))),IF(F88&lt;=PERALTE!#REF!,-2,"Abscisa fuera de la vía")))))))))))))))))))))</f>
        <v>2.7636191054015065</v>
      </c>
      <c r="I88" s="28">
        <f>+IF(AND(AH!$H$8="Derecha",RASANTE!F88&lt;=PERALTE!$AB$6),IF(RASANTE!F88&lt;=PERALTE!$S$6,-2,IF(RASANTE!F88&lt;=PERALTE!$U$6,(-6/(PERALTE!$U$6-PERALTE!$S$6)*(RASANTE!F88-PERALTE!$S$6)-2),IF(RASANTE!F88&lt;=PERALTE!$X$6,-8,IF(RASANTE!F88&lt;=PERALTE!$Z$6,(-6/(PERALTE!$X$6-PERALTE!$Z$6)*(RASANTE!F88-PERALTE!$Z$6)-2),IF(RASANTE!F88&lt;=PERALTE!$AB$6,-2))))),IF(AND(AH!$H$8="Izquierda",RASANTE!F88&lt;=PERALTE!$AB$6),IF(RASANTE!F88&lt;=PERALTE!$Q$6,-2,IF(RASANTE!F88&lt;=PERALTE!$U$6,(10/(PERALTE!$U$6-PERALTE!$Q$6)*(RASANTE!F88-PERALTE!$Q$6)-2),IF(RASANTE!F88&lt;=PERALTE!$X$6,8,IF(RASANTE!F88&lt;=PERALTE!$AB$6,(10/(PERALTE!$X$6-PERALTE!$AB$6)*(RASANTE!F88-PERALTE!$AB$6)-2))))),IF(AND(AH!$H$10="Derecha",RASANTE!F88&lt;=PERALTE!$AB$8),IF(RASANTE!F88&lt;=PERALTE!$S$8,-2,IF(RASANTE!F88&lt;=PERALTE!$U$8,(-6/(PERALTE!$U$8-PERALTE!$S$8)*(RASANTE!F88-PERALTE!$S$8)-2),IF(RASANTE!F88&lt;=PERALTE!$X$8,-8,IF(RASANTE!F88&lt;=PERALTE!$Z$8,(-6/(PERALTE!$X$8-PERALTE!$Z$8)*(RASANTE!F88-PERALTE!$Z$8)-2),IF(RASANTE!F88&lt;=PERALTE!$AB$8,-2))))),IF(AND(AH!$H$10="Izquierda",RASANTE!F88&lt;=PERALTE!$AB$8),IF(RASANTE!F88&lt;=PERALTE!$Q$8,-2,IF(RASANTE!F88&lt;=PERALTE!$U$8,(10/(PERALTE!$U$8-PERALTE!$Q$8)*(RASANTE!F88-PERALTE!$Q$8)-2),IF(RASANTE!F88&lt;=PERALTE!$X$8,8,IF(RASANTE!F88&lt;=PERALTE!$AB$8,(10/(PERALTE!$X$8-PERALTE!$AB$8)*(RASANTE!F88-PERALTE!$AB$8)-2))))),IF(AND(AH!$H$12="Derecha",RASANTE!F88&lt;=PERALTE!$AB$10),IF(RASANTE!F88&lt;=PERALTE!$S$10,-2,IF(RASANTE!F88&lt;=PERALTE!$U$10,(-6/(PERALTE!$U$10-PERALTE!$S$10)*(RASANTE!F88-PERALTE!$S$10)-2),IF(RASANTE!F88&lt;=PERALTE!$X$10,-8,IF(RASANTE!F88&lt;=PERALTE!$Z$10,(-6/(PERALTE!$X$10-PERALTE!$Z$10)*(RASANTE!F88-PERALTE!$Z$10)-2),IF(RASANTE!F88&lt;=PERALTE!$AB$10,-2))))),IF(AND(AH!$H$12="Izquierda",RASANTE!F88&lt;=PERALTE!$AB$10),IF(RASANTE!F88&lt;=PERALTE!$Q$10,-2,IF(RASANTE!F88&lt;=PERALTE!$U$10,(10/(PERALTE!$U$10-PERALTE!$Q$10)*(RASANTE!F88-PERALTE!$Q$10)-2),IF(RASANTE!F88&lt;=PERALTE!$X$10,8,IF(RASANTE!F88&lt;=PERALTE!$AB$10,(10/(PERALTE!$X$10-PERALTE!$AB$10)*(RASANTE!F88-PERALTE!$AB$10)-2))))),IF(AND(AH!$H$14="Derecha",RASANTE!F88&lt;=PERALTE!$AB$12),IF(RASANTE!F88&lt;=PERALTE!$S$12,-2,IF(RASANTE!F88&lt;=PERALTE!$U$12,(-6/(PERALTE!$U$12-PERALTE!$S$12)*(RASANTE!F88-PERALTE!$S$12)-2),IF(RASANTE!F88&lt;=PERALTE!$X$12,-8,IF(RASANTE!F88&lt;=PERALTE!$Z$12,(-6/(PERALTE!$X$12-PERALTE!$Z$12)*(RASANTE!F88-PERALTE!$Z$12)-2),IF(RASANTE!F88&lt;=PERALTE!$AB$12,-2))))),IF(AND(AH!$H$14="Izquierda",RASANTE!F88&lt;=PERALTE!$AB$12),IF(RASANTE!F88&lt;=PERALTE!$Q$12,-2,IF(RASANTE!F88&lt;=PERALTE!$U$12,(10/(PERALTE!$U$12-PERALTE!$Q$12)*(RASANTE!F88-PERALTE!$Q$12)-2),IF(RASANTE!F88&lt;=PERALTE!$X$12,8,IF(RASANTE!F88&lt;=PERALTE!$AB$12,(10/(PERALTE!$X$12-PERALTE!$AB$12)*(RASANTE!F88-PERALTE!$AB$12)-2))))),IF(AND(AH!$H$16="Derecha",RASANTE!F88&lt;=PERALTE!$AB$14),IF(RASANTE!F88&lt;=PERALTE!$S$14,-2,IF(RASANTE!F88&lt;=PERALTE!$U$14,(-6/(PERALTE!$U$14-PERALTE!$S$14)*(RASANTE!F88-PERALTE!$S$14)-2),IF(RASANTE!F88&lt;=PERALTE!$X$14,-8,IF(RASANTE!F88&lt;=PERALTE!$Z$14,(-6/(PERALTE!$X$14-PERALTE!$Z$14)*(RASANTE!F88-PERALTE!$Z$14)-2),IF(RASANTE!F88&lt;=PERALTE!$AB$14,-2))))),IF(AND(AH!$H$16="Izquierda",RASANTE!F88&lt;=PERALTE!$AB$14),IF(RASANTE!F88&lt;=PERALTE!$Q$14,-2,IF(RASANTE!F88&lt;=PERALTE!$U$14,(10/(PERALTE!$U$14-PERALTE!$Q$14)*(RASANTE!F88-PERALTE!$Q$14)-2),IF(RASANTE!F88&lt;=PERALTE!$X$14,8,IF(RASANTE!F88&lt;=PERALTE!$AB$14,(10/(PERALTE!$X$14-PERALTE!$AB$14)*(RASANTE!F88-PERALTE!$AB$14)-2))))),IF(AND(AH!$H$18="Derecha",RASANTE!F88&lt;=PERALTE!$AB$16),IF(RASANTE!F88&lt;=PERALTE!$S$16,-2,IF(RASANTE!F88&lt;=PERALTE!$U$16,(-6/(PERALTE!$U$16-PERALTE!$S$16)*(RASANTE!F88-PERALTE!$S$16)-2),IF(RASANTE!F88&lt;=PERALTE!$X$16,-8,IF(RASANTE!F88&lt;=PERALTE!$Z$16,(-6/(PERALTE!$X$16-PERALTE!$Z$16)*(RASANTE!F88-PERALTE!$Z$16)-2),IF(RASANTE!F88&lt;=PERALTE!$AB$16,-2))))),IF(AND(AH!$H$18="Izquierda",RASANTE!F88&lt;=PERALTE!$AB$16),IF(RASANTE!F88&lt;=PERALTE!$Q$16,-2,IF(RASANTE!F88&lt;=PERALTE!$U$16,(10/(PERALTE!$U$16-PERALTE!$Q$16)*(RASANTE!F88-PERALTE!$Q$16)-2),IF(RASANTE!F88&lt;=PERALTE!$X$16,8,IF(RASANTE!F88&lt;=PERALTE!$AB$16,(10/(PERALTE!$X$16-PERALTE!$AB$16)*(RASANTE!F88-PERALTE!$AB$16)-2))))),IF(AND(AH!$H$20="Derecha",RASANTE!F88&lt;=PERALTE!$AB$18),IF(RASANTE!F88&lt;=PERALTE!$S$18,-2,IF(RASANTE!F88&lt;=PERALTE!$U$18,(-6/(PERALTE!$U$18-PERALTE!$S$18)*(RASANTE!F88-PERALTE!$S$18)-2),IF(RASANTE!F88&lt;=PERALTE!$X$18,-8,IF(RASANTE!F88&lt;=PERALTE!$Z$18,(-6/(PERALTE!$X$18-PERALTE!$Z$18)*(RASANTE!F88-PERALTE!$Z$18)-2),IF(RASANTE!F88&lt;=PERALTE!$AB$18,-2))))),IF(AND(AH!$H$20="Izquierda",RASANTE!F88&lt;=PERALTE!$AB$18),IF(RASANTE!F88&lt;=PERALTE!$Q$18,-2,IF(RASANTE!F88&lt;=PERALTE!$U$18,(10/(PERALTE!$U$18-PERALTE!$Q$18)*(RASANTE!F88-PERALTE!$Q$18)-2),IF(RASANTE!F88&lt;=PERALTE!$X$18,8,IF(RASANTE!F88&lt;=PERALTE!$AB$18,(10/(PERALTE!$X$18-PERALTE!$AB$18)*(RASANTE!F88-PERALTE!$AB$18)-2))))),IF(AND(AH!$H$24="Derecha",RASANTE!F88&lt;=PERALTE!$AB$22),IF(RASANTE!F88&lt;=PERALTE!$S$22,-2,IF(RASANTE!F88&lt;=PERALTE!$U$22,(-6/(PERALTE!$U$22-PERALTE!$S$22)*(RASANTE!F88-PERALTE!$S$22)-2),IF(RASANTE!F88&lt;=PERALTE!$X$22,-8,IF(RASANTE!F88&lt;=PERALTE!$Z$22,(-6/(PERALTE!$X$22-PERALTE!$Z$22)*(RASANTE!F88-PERALTE!$Z$22)-2),IF(RASANTE!F88&lt;=PERALTE!$AB$22,-2))))),IF(AND(AH!$H$24="Izquierda",RASANTE!F88&lt;=PERALTE!$AB$22),IF(RASANTE!F88&lt;=PERALTE!$Q$22,-2,IF(RASANTE!F88&lt;=PERALTE!$U$22,(10/(PERALTE!$U$22-PERALTE!$Q$22)*(RASANTE!F88-PERALTE!$Q$22)-2),IF(RASANTE!F88&lt;=PERALTE!$X$22,8,IF(RASANTE!F88&lt;=PERALTE!$AB$22,(10/(PERALTE!$X$22-PERALTE!$AB$22)*(RASANTE!F88-PERALTE!$AB$22)-2))))),IF(AND(AH!#REF!="Derecha",RASANTE!F88&lt;=PERALTE!#REF!),IF(RASANTE!F88&lt;=PERALTE!#REF!,-2,IF(RASANTE!F88&lt;=PERALTE!#REF!,(-6/(PERALTE!#REF!-PERALTE!#REF!)*(RASANTE!F88-PERALTE!#REF!)-2),IF(RASANTE!F88&lt;=PERALTE!#REF!,-8,IF(RASANTE!F88&lt;=PERALTE!#REF!,(-6/(PERALTE!#REF!-PERALTE!#REF!)*(RASANTE!F88-PERALTE!#REF!)-2),IF(RASANTE!F88&lt;=PERALTE!#REF!,-2))))),IF(AND(AH!#REF!="Izquierda",RASANTE!F88&lt;=PERALTE!#REF!),IF(RASANTE!F88&lt;=PERALTE!#REF!,-2,IF(RASANTE!F88&lt;=PERALTE!#REF!,(10/(PERALTE!#REF!-PERALTE!#REF!)*(RASANTE!F88-PERALTE!#REF!)-2),IF(RASANTE!F88&lt;=PERALTE!#REF!,8,IF(RASANTE!F88&lt;=PERALTE!#REF!,(10/(PERALTE!#REF!-PERALTE!#REF!)*(RASANTE!F88-PERALTE!#REF!)-2))))),IF(AND(AH!#REF!="Derecha",RASANTE!F88&lt;=PERALTE!$AB$26),IF(RASANTE!F88&lt;=PERALTE!$S$26,-2,IF(RASANTE!F88&lt;=PERALTE!$U$26,(-6/(PERALTE!$U$26-PERALTE!$S$26)*(RASANTE!F88-PERALTE!$S$26)-2),IF(RASANTE!F88&lt;=PERALTE!$X$26,-8,IF(RASANTE!F88&lt;=PERALTE!$Z$26,(-6/(PERALTE!$X$26-PERALTE!$Z$26)*(RASANTE!F88-PERALTE!$Z$26)-2),IF(RASANTE!F88&lt;=PERALTE!$AB$26,-2))))),IF(AND(AH!#REF!="Izquierda",RASANTE!F88&lt;=PERALTE!$AB$26),IF(RASANTE!F88&lt;=PERALTE!$Q$26,-2,IF(RASANTE!F88&lt;=PERALTE!$U$26,(10/(PERALTE!$U$26-PERALTE!$Q$26)*(RASANTE!F88-PERALTE!$Q$26)-2),IF(RASANTE!F88&lt;=PERALTE!$X$26,8,IF(RASANTE!F88&lt;=PERALTE!$AB$26,(10/(PERALTE!$X$26-PERALTE!$AB$26)*(RASANTE!F88-PERALTE!$AB$26)-2))))),IF(F88&lt;=PERALTE!#REF!,-2,"Abscisa fuera de la vía")))))))))))))))))))))</f>
        <v>-2.7636191054014971</v>
      </c>
      <c r="J88" s="28">
        <f t="shared" si="4"/>
        <v>1634.686400000001</v>
      </c>
      <c r="K88" s="28">
        <f>+IF(AND(AV!$S$6&lt;F185,F185&lt;=AV!$T$6),AV!$P$6*((AV!$S$6-RASANTE!F185)/(AV!$N$6))^2,IF(AND(AV!$T$6&lt;RASANTE!F185,F185&lt;AV!$U$6),AV!$P$6*((AV!$U$6-RASANTE!F185)/(AV!$O$6))^2,IF(AND(AV!$S$8&lt;F185,F185&lt;=AV!$T$8),AV!$P$8*((AV!$S$8-RASANTE!F185)/(AV!$N$8))^2,IF(AND(AV!$T$8&lt;RASANTE!F185,F185&lt;AV!$U$8),AV!$P$8*((AV!$U$8-RASANTE!F185)/(AV!$O$8))^2,IF(AND(AV!$S$10&lt;F185,F185&lt;=AV!$T$10),AV!$P$10*((AV!$S$10-RASANTE!F185)/(AV!$N$10))^2,IF(AND(AV!$T$10&lt;RASANTE!F185,F185&lt;AV!$U$10),AV!$P$10*((AV!$U$10-RASANTE!F185)/(AV!$O$10))^2,IF(AND(AV!$S$12&lt;F185,F185&lt;=AV!$T$12),AV!$P$12*((AV!$S$12-RASANTE!F185)/(AV!$N$12))^2,IF(AND(AV!$T$12&lt;RASANTE!F185,F185&lt;AV!$U$12),AV!$P$12*((AV!$U$12-RASANTE!F185)/(AV!$O$12))^2,IF(AND(AV!$S$14&lt;F185,F185&lt;=AV!$T$14),AV!$P$14*((AV!$S$14-RASANTE!F185)/(AV!$N$14))^2,IF(AND(AV!$T$14&lt;RASANTE!F185,F185&lt;AV!$U$14),AV!$P$14*((AV!$U$14-RASANTE!F185)/(AV!$O$14))^2,IF(AND(AV!$S$16&lt;F185,F185&lt;=AV!$T$16),AV!$P$16*((AV!$S$16-RASANTE!F185)/(AV!$N$16))^2,IF(AND(AV!$T$16&lt;RASANTE!F185,F185&lt;AV!$U$16),AV!$P$16*((AV!$U$16-RASANTE!F185)/(AV!$O$16))^2,IF(AND(AV!$S$18&lt;F185,F185&lt;=AV!$T$18),AV!$P$18*((AV!$S$18-RASANTE!F185)/(AV!$N$18))^2,IF(AND(AV!$T$18&lt;RASANTE!F185,F185&lt;AV!$U$18),AV!$P$18*((AV!$U$18-RASANTE!F185)/(AV!$O$18))^2,IF(AND(AV!$S$20&lt;F185,F185&lt;=AV!$T$20),AV!$P$20*((AV!$S$20-RASANTE!F185)/(AV!$N$20))^2,IF(AND(AV!$T$20&lt;RASANTE!F185,F185&lt;AV!$U$20),AV!$P$20*((AV!$U$20-RASANTE!F185)/(AV!$O$20))^2,IF(AND(AV!$S$22&lt;F185,F185&lt;=AV!$T$22),AV!$P$22*((AV!$S$22-RASANTE!F185)/(AV!$N$22))^2,IF(AND(AV!$T$22&lt;RASANTE!F185,F185&lt;AV!$U$22),AV!$P$22*((AV!$U$22-RASANTE!F185)/(AV!$O$22))^2,IF(AND(AV!$S$24&lt;F185,F185&lt;=AV!$T$24),AV!$P$24*((AV!$S$24-RASANTE!F185)/(AV!$N$24))^2,IF(AND(AV!$T$24&lt;RASANTE!F185,F185&lt;AV!$U$24),AV!$P$24*((AV!$U$24-RASANTE!F185)/(AV!$O$24))^2,0))))))))))))))))))))</f>
        <v>0</v>
      </c>
      <c r="L88" s="28">
        <f>+M88+H88%*PERALTE!$C$32</f>
        <v>1634.7831266686901</v>
      </c>
      <c r="M88" s="28">
        <f t="shared" si="3"/>
        <v>1634.686400000001</v>
      </c>
      <c r="N88" s="28">
        <f>+M88+I88%*PERALTE!$C$32</f>
        <v>1634.5896733313118</v>
      </c>
      <c r="O88" s="92"/>
      <c r="P88" s="84"/>
      <c r="Q88" s="84"/>
      <c r="R88" s="84"/>
      <c r="S88" s="84"/>
      <c r="T88" s="84"/>
      <c r="U88" s="84"/>
      <c r="V88" s="84"/>
      <c r="W88" s="84"/>
      <c r="X88" s="84"/>
      <c r="Y88" s="84"/>
    </row>
    <row r="89" spans="1:25" ht="15.75" customHeight="1" x14ac:dyDescent="0.2">
      <c r="A89" s="90" t="s">
        <v>326</v>
      </c>
      <c r="B89" s="86"/>
      <c r="C89" s="86"/>
      <c r="D89" s="86"/>
      <c r="E89" s="91"/>
      <c r="F89" s="34">
        <f>PERALTE!Z8</f>
        <v>573.47099593364317</v>
      </c>
      <c r="G89" s="88">
        <f>IF(F89&lt;=AV!$T$6,AV!$C$5,IF(RASANTE!F89&lt;=AV!$T$8,AV!$C$7,IF(RASANTE!F89&lt;=AV!$T$10,AV!$C$9,IF(RASANTE!F89&lt;=AV!$T$12,AV!#REF!,IF(RASANTE!F89&lt;=AV!$T$14,AV!$C$11,IF(RASANTE!F89&lt;=AV!$T$16,AV!$C$13, IF(RASANTE!F89&lt;=AV!$T$18,AV!$C$15,IF(RASANTE!F89&lt;=AV!$T$20,AV!$C$19,IF(RASANTE!F89&lt;=AV!$T$22,AV!$C$21,IF(RASANTE!F89&lt;=AV!$T$24,AV!$C$23,AV!$C$25))))))))))</f>
        <v>-3</v>
      </c>
      <c r="H89" s="28">
        <f>+IF(AND(AH!$H$8="Izquierda",RASANTE!F89&lt;=PERALTE!$AB$6),IF(RASANTE!F89&lt;=PERALTE!$S$6,-2,IF(RASANTE!F89&lt;=PERALTE!$U$6,(-6/(PERALTE!$U$6-PERALTE!$S$6)*(RASANTE!F89-PERALTE!$S$6)-2),IF(RASANTE!F89&lt;=PERALTE!$X$6,-8,IF(RASANTE!F89&lt;=PERALTE!$Z$6,(-6/(PERALTE!$X$6-PERALTE!$Z$6)*(RASANTE!F89-PERALTE!$Z$6)-2),IF(RASANTE!F89&lt;=PERALTE!$AB$6,-2))))),IF(AND(AH!$H$8="Derecha",RASANTE!F89&lt;=PERALTE!$AB$6),IF(RASANTE!F89&lt;=PERALTE!$Q$6,-2,IF(RASANTE!F89&lt;=PERALTE!$U$6,(10/(PERALTE!$U$6-PERALTE!$Q$6)*(RASANTE!F89-PERALTE!$Q$6)-2),IF(RASANTE!F89&lt;=PERALTE!$X$6,8,IF(RASANTE!F89&lt;=PERALTE!$AB$6,(10/(PERALTE!$X$6-PERALTE!$AB$6)*(RASANTE!F89-PERALTE!$AB$6)-2))))),IF(AND(AH!$H$10="Izquierda",RASANTE!F89&lt;=PERALTE!$AB$8),IF(RASANTE!F89&lt;=PERALTE!$S$8,-2,IF(RASANTE!F89&lt;=PERALTE!$U$8,(-6/(PERALTE!$U$8-PERALTE!$S$8)*(RASANTE!F89-PERALTE!$S$8)-2),IF(RASANTE!F89&lt;=PERALTE!$X$8,-8,IF(RASANTE!F89&lt;=PERALTE!$Z$8,(-6/(PERALTE!$X$8-PERALTE!$Z$8)*(RASANTE!F89-PERALTE!$Z$8)-2),IF(RASANTE!F89&lt;=PERALTE!$AB$8,-2))))),IF(AND(AH!$H$10="Derecha",RASANTE!F89&lt;=PERALTE!$AB$8),IF(RASANTE!F89&lt;=PERALTE!$Q$8,-2,IF(RASANTE!F89&lt;=PERALTE!$U$8,(10/(PERALTE!$U$8-PERALTE!$Q$8)*(RASANTE!F89-PERALTE!$Q$8)-2),IF(RASANTE!F89&lt;=PERALTE!$X$8,8,IF(RASANTE!F89&lt;=PERALTE!$AB$8,(10/(PERALTE!$X$8-PERALTE!$AB$8)*(RASANTE!F89-PERALTE!$AB$8)-2))))),IF(AND(AH!$H$12="Izquierda",RASANTE!F89&lt;=PERALTE!$AB$10),IF(RASANTE!F89&lt;=PERALTE!$S$10,-2,IF(RASANTE!F89&lt;=PERALTE!$U$10,(-6/(PERALTE!$U$10-PERALTE!$S$10)*(RASANTE!F89-PERALTE!$S$10)-2),IF(RASANTE!F89&lt;=PERALTE!$X$10,-8,IF(RASANTE!F89&lt;=PERALTE!$Z$10,(-6/(PERALTE!$X$10-PERALTE!$Z$10)*(RASANTE!F89-PERALTE!$Z$10)-2),IF(RASANTE!F89&lt;=PERALTE!$AB$10,-2))))),IF(AND(AH!$H$12="Derecha",RASANTE!F89&lt;=PERALTE!$AB$10),IF(RASANTE!F89&lt;=PERALTE!$Q$10,-2,IF(RASANTE!F89&lt;=PERALTE!$U$10,(10/(PERALTE!$U$10-PERALTE!$Q$10)*(RASANTE!F89-PERALTE!$Q$10)-2),IF(RASANTE!F89&lt;=PERALTE!$X$10,8,IF(RASANTE!F89&lt;=PERALTE!$AB$10,(10/(PERALTE!$X$10-PERALTE!$AB$10)*(RASANTE!F89-PERALTE!$AB$10)-2))))),IF(AND(AH!$H$14="Izquierda",RASANTE!F89&lt;=PERALTE!$AB$12),IF(RASANTE!F89&lt;=PERALTE!$S$12,-2,IF(RASANTE!F89&lt;=PERALTE!$U$12,(-6/(PERALTE!$U$12-PERALTE!$S$12)*(RASANTE!F89-PERALTE!$S$12)-2),IF(RASANTE!F89&lt;=PERALTE!$X$12,-8,IF(RASANTE!F89&lt;=PERALTE!$Z$12,(-6/(PERALTE!$X$12-PERALTE!$Z$12)*(RASANTE!F89-PERALTE!$Z$12)-2),IF(RASANTE!F89&lt;=PERALTE!$AB$12,-2))))),IF(AND(AH!$H$14="Derecha",RASANTE!F89&lt;=PERALTE!$AB$12),IF(RASANTE!F89&lt;=PERALTE!$Q$12,-2,IF(RASANTE!F89&lt;=PERALTE!$U$12,(10/(PERALTE!$U$12-PERALTE!$Q$12)*(RASANTE!F89-PERALTE!$Q$12)-2),IF(RASANTE!F89&lt;=PERALTE!$X$12,8,IF(RASANTE!F89&lt;=PERALTE!$AB$12,(10/(PERALTE!$X$12-PERALTE!$AB$12)*(RASANTE!F89-PERALTE!$AB$12)-2))))),IF(AND(AH!$H$16="Izquierda",RASANTE!F89&lt;=PERALTE!$AB$14),IF(RASANTE!F89&lt;=PERALTE!$S$14,-2,IF(RASANTE!F89&lt;=PERALTE!$U$14,(-6/(PERALTE!$U$14-PERALTE!$S$14)*(RASANTE!F89-PERALTE!$S$14)-2),IF(RASANTE!F89&lt;=PERALTE!$X$14,-8,IF(RASANTE!F89&lt;=PERALTE!$Z$14,(-6/(PERALTE!$X$14-PERALTE!$Z$14)*(RASANTE!F89-PERALTE!$Z$14)-2),IF(RASANTE!F89&lt;=PERALTE!$AB$14,-2))))),IF(AND(AH!$H$16="Derecha",RASANTE!F89&lt;=PERALTE!$AB$14),IF(RASANTE!F89&lt;=PERALTE!$Q$14,-2,IF(RASANTE!F89&lt;=PERALTE!$U$14,(10/(PERALTE!$U$14-PERALTE!$Q$14)*(RASANTE!F89-PERALTE!$Q$14)-2),IF(RASANTE!F89&lt;=PERALTE!$X$14,8,IF(RASANTE!F89&lt;=PERALTE!$AB$14,(10/(PERALTE!$X$14-PERALTE!$AB$14)*(RASANTE!F89-PERALTE!$AB$14)-2))))),IF(AND(AH!$H$18="Izquierda",RASANTE!F89&lt;=PERALTE!$AB$16),IF(RASANTE!F89&lt;=PERALTE!$S$16,-2,IF(RASANTE!F89&lt;=PERALTE!$U$16,(-6/(PERALTE!$U$16-PERALTE!$S$16)*(RASANTE!F89-PERALTE!$S$16)-2),IF(RASANTE!F89&lt;=PERALTE!$X$16,-8,IF(RASANTE!F89&lt;=PERALTE!$Z$16,(-6/(PERALTE!$X$16-PERALTE!$Z$16)*(RASANTE!F89-PERALTE!$Z$16)-2),IF(RASANTE!F89&lt;=PERALTE!$AB$16,-2))))),IF(AND(AH!$H$18="Derecha",RASANTE!F89&lt;=PERALTE!$AB$16),IF(RASANTE!F89&lt;=PERALTE!$Q$16,-2,IF(RASANTE!F89&lt;=PERALTE!$U$16,(10/(PERALTE!$U$16-PERALTE!$Q$16)*(RASANTE!F89-PERALTE!$Q$16)-2),IF(RASANTE!F89&lt;=PERALTE!$X$16,8,IF(RASANTE!F89&lt;=PERALTE!$AB$16,(10/(PERALTE!$X$16-PERALTE!$AB$16)*(RASANTE!F89-PERALTE!$AB$16)-2))))),IF(AND(AH!$H$20="Izquierda",RASANTE!F89&lt;=PERALTE!$AB$18),IF(RASANTE!F89&lt;=PERALTE!$S$18,-2,IF(RASANTE!F89&lt;=PERALTE!$U$18,(-6/(PERALTE!$U$18-PERALTE!$S$18)*(RASANTE!F89-PERALTE!$S$18)-2),IF(RASANTE!F89&lt;=PERALTE!$X$18,-8,IF(RASANTE!F89&lt;=PERALTE!$Z$18,(-6/(PERALTE!$X$18-PERALTE!$Z$18)*(RASANTE!F89-PERALTE!$Z$18)-2),IF(RASANTE!F89&lt;=PERALTE!$AB$18,-2))))),IF(AND(AH!$H$20="Derecha",RASANTE!F89&lt;=PERALTE!$AB$18),IF(RASANTE!F89&lt;=PERALTE!$Q$18,-2,IF(RASANTE!F89&lt;=PERALTE!$U$18,(10/(PERALTE!$U$18-PERALTE!$Q$18)*(RASANTE!F89-PERALTE!$Q$18)-2),IF(RASANTE!F89&lt;=PERALTE!$X$18,8,IF(RASANTE!F89&lt;=PERALTE!$AB$18,(10/(PERALTE!$X$18-PERALTE!$AB$18)*(RASANTE!F89-PERALTE!$AB$18)-2))))),IF(AND(AH!$H$24="Izquierda",RASANTE!F89&lt;=PERALTE!$AB$22),IF(RASANTE!F89&lt;=PERALTE!$S$22,-2,IF(RASANTE!F89&lt;=PERALTE!$U$22,(-6/(PERALTE!$U$22-PERALTE!$S$22)*(RASANTE!F89-PERALTE!$S$22)-2),IF(RASANTE!F89&lt;=PERALTE!$X$22,-8,IF(RASANTE!F89&lt;=PERALTE!$Z$22,(-6/(PERALTE!$X$22-PERALTE!$Z$22)*(RASANTE!F89-PERALTE!$Z$22)-2),IF(RASANTE!F89&lt;=PERALTE!$AB$22,-2))))),IF(AND(AH!$H$24="Derecha",RASANTE!F89&lt;=PERALTE!$AB$22),IF(RASANTE!F89&lt;=PERALTE!$Q$22,-2,IF(RASANTE!F89&lt;=PERALTE!$U$22,(10/(PERALTE!$U$22-PERALTE!$Q$22)*(RASANTE!F89-PERALTE!$Q$22)-2),IF(RASANTE!F89&lt;=PERALTE!$X$22,8,IF(RASANTE!F89&lt;=PERALTE!$AB$22,(10/(PERALTE!$X$22-PERALTE!$AB$22)*(RASANTE!F89-PERALTE!$AB$22)-2))))),IF(AND(AH!#REF!="Izquierda",RASANTE!F89&lt;=PERALTE!#REF!),IF(RASANTE!F89&lt;=PERALTE!#REF!,-2,IF(RASANTE!F89&lt;=PERALTE!#REF!,(-6/(PERALTE!#REF!-PERALTE!#REF!)*(RASANTE!F89-PERALTE!#REF!)-2),IF(RASANTE!F89&lt;=PERALTE!#REF!,-8,IF(RASANTE!F89&lt;=PERALTE!#REF!,(-6/(PERALTE!#REF!-PERALTE!#REF!)*(RASANTE!F89-PERALTE!#REF!)-2),IF(RASANTE!F89&lt;=PERALTE!#REF!,-2))))),IF(AND(AH!#REF!="Derecha",RASANTE!F89&lt;=PERALTE!#REF!),IF(RASANTE!F89&lt;=PERALTE!#REF!,-2,IF(RASANTE!F89&lt;=PERALTE!#REF!,(10/(PERALTE!#REF!-PERALTE!#REF!)*(RASANTE!F89-PERALTE!#REF!)-2),IF(RASANTE!F89&lt;=PERALTE!#REF!,8,IF(RASANTE!F89&lt;=PERALTE!#REF!,(10/(PERALTE!#REF!-PERALTE!#REF!)*(RASANTE!F89-PERALTE!#REF!)-2))))),IF(AND(AH!#REF!="Izquierda",RASANTE!F89&lt;=PERALTE!$AB$26),IF(RASANTE!F89&lt;=PERALTE!$S$26,-2,IF(RASANTE!F89&lt;=PERALTE!$U$26,(-6/(PERALTE!$U$26-PERALTE!$S$26)*(RASANTE!F89-PERALTE!$S$26)-2),IF(RASANTE!F89&lt;=PERALTE!$X$26,-8,IF(RASANTE!F89&lt;=PERALTE!$Z$26,(-6/(PERALTE!$X$26-PERALTE!$Z$26)*(RASANTE!F89-PERALTE!$Z$26)-2),IF(RASANTE!F89&lt;=PERALTE!$AB$26,-2))))),IF(AND(AH!#REF!="Derecha",RASANTE!F89&lt;=PERALTE!$AB$26),IF(RASANTE!F89&lt;=PERALTE!$Q$26,-2,IF(RASANTE!F89&lt;=PERALTE!$U$26,(10/(PERALTE!$U$26-PERALTE!$Q$26)*(RASANTE!F89-PERALTE!$Q$26)-2),IF(RASANTE!F89&lt;=PERALTE!$X$26,8,IF(RASANTE!F89&lt;=PERALTE!$AB$26,(10/(PERALTE!$X$26-PERALTE!$AB$26)*(RASANTE!F89-PERALTE!$AB$26)-2))))),IF(F89&lt;=PERALTE!#REF!,-2,"Abscisa fuera de la vía")))))))))))))))))))))</f>
        <v>2.0000000000000098</v>
      </c>
      <c r="I89" s="28">
        <f>+IF(AND(AH!$H$8="Derecha",RASANTE!F89&lt;=PERALTE!$AB$6),IF(RASANTE!F89&lt;=PERALTE!$S$6,-2,IF(RASANTE!F89&lt;=PERALTE!$U$6,(-6/(PERALTE!$U$6-PERALTE!$S$6)*(RASANTE!F89-PERALTE!$S$6)-2),IF(RASANTE!F89&lt;=PERALTE!$X$6,-8,IF(RASANTE!F89&lt;=PERALTE!$Z$6,(-6/(PERALTE!$X$6-PERALTE!$Z$6)*(RASANTE!F89-PERALTE!$Z$6)-2),IF(RASANTE!F89&lt;=PERALTE!$AB$6,-2))))),IF(AND(AH!$H$8="Izquierda",RASANTE!F89&lt;=PERALTE!$AB$6),IF(RASANTE!F89&lt;=PERALTE!$Q$6,-2,IF(RASANTE!F89&lt;=PERALTE!$U$6,(10/(PERALTE!$U$6-PERALTE!$Q$6)*(RASANTE!F89-PERALTE!$Q$6)-2),IF(RASANTE!F89&lt;=PERALTE!$X$6,8,IF(RASANTE!F89&lt;=PERALTE!$AB$6,(10/(PERALTE!$X$6-PERALTE!$AB$6)*(RASANTE!F89-PERALTE!$AB$6)-2))))),IF(AND(AH!$H$10="Derecha",RASANTE!F89&lt;=PERALTE!$AB$8),IF(RASANTE!F89&lt;=PERALTE!$S$8,-2,IF(RASANTE!F89&lt;=PERALTE!$U$8,(-6/(PERALTE!$U$8-PERALTE!$S$8)*(RASANTE!F89-PERALTE!$S$8)-2),IF(RASANTE!F89&lt;=PERALTE!$X$8,-8,IF(RASANTE!F89&lt;=PERALTE!$Z$8,(-6/(PERALTE!$X$8-PERALTE!$Z$8)*(RASANTE!F89-PERALTE!$Z$8)-2),IF(RASANTE!F89&lt;=PERALTE!$AB$8,-2))))),IF(AND(AH!$H$10="Izquierda",RASANTE!F89&lt;=PERALTE!$AB$8),IF(RASANTE!F89&lt;=PERALTE!$Q$8,-2,IF(RASANTE!F89&lt;=PERALTE!$U$8,(10/(PERALTE!$U$8-PERALTE!$Q$8)*(RASANTE!F89-PERALTE!$Q$8)-2),IF(RASANTE!F89&lt;=PERALTE!$X$8,8,IF(RASANTE!F89&lt;=PERALTE!$AB$8,(10/(PERALTE!$X$8-PERALTE!$AB$8)*(RASANTE!F89-PERALTE!$AB$8)-2))))),IF(AND(AH!$H$12="Derecha",RASANTE!F89&lt;=PERALTE!$AB$10),IF(RASANTE!F89&lt;=PERALTE!$S$10,-2,IF(RASANTE!F89&lt;=PERALTE!$U$10,(-6/(PERALTE!$U$10-PERALTE!$S$10)*(RASANTE!F89-PERALTE!$S$10)-2),IF(RASANTE!F89&lt;=PERALTE!$X$10,-8,IF(RASANTE!F89&lt;=PERALTE!$Z$10,(-6/(PERALTE!$X$10-PERALTE!$Z$10)*(RASANTE!F89-PERALTE!$Z$10)-2),IF(RASANTE!F89&lt;=PERALTE!$AB$10,-2))))),IF(AND(AH!$H$12="Izquierda",RASANTE!F89&lt;=PERALTE!$AB$10),IF(RASANTE!F89&lt;=PERALTE!$Q$10,-2,IF(RASANTE!F89&lt;=PERALTE!$U$10,(10/(PERALTE!$U$10-PERALTE!$Q$10)*(RASANTE!F89-PERALTE!$Q$10)-2),IF(RASANTE!F89&lt;=PERALTE!$X$10,8,IF(RASANTE!F89&lt;=PERALTE!$AB$10,(10/(PERALTE!$X$10-PERALTE!$AB$10)*(RASANTE!F89-PERALTE!$AB$10)-2))))),IF(AND(AH!$H$14="Derecha",RASANTE!F89&lt;=PERALTE!$AB$12),IF(RASANTE!F89&lt;=PERALTE!$S$12,-2,IF(RASANTE!F89&lt;=PERALTE!$U$12,(-6/(PERALTE!$U$12-PERALTE!$S$12)*(RASANTE!F89-PERALTE!$S$12)-2),IF(RASANTE!F89&lt;=PERALTE!$X$12,-8,IF(RASANTE!F89&lt;=PERALTE!$Z$12,(-6/(PERALTE!$X$12-PERALTE!$Z$12)*(RASANTE!F89-PERALTE!$Z$12)-2),IF(RASANTE!F89&lt;=PERALTE!$AB$12,-2))))),IF(AND(AH!$H$14="Izquierda",RASANTE!F89&lt;=PERALTE!$AB$12),IF(RASANTE!F89&lt;=PERALTE!$Q$12,-2,IF(RASANTE!F89&lt;=PERALTE!$U$12,(10/(PERALTE!$U$12-PERALTE!$Q$12)*(RASANTE!F89-PERALTE!$Q$12)-2),IF(RASANTE!F89&lt;=PERALTE!$X$12,8,IF(RASANTE!F89&lt;=PERALTE!$AB$12,(10/(PERALTE!$X$12-PERALTE!$AB$12)*(RASANTE!F89-PERALTE!$AB$12)-2))))),IF(AND(AH!$H$16="Derecha",RASANTE!F89&lt;=PERALTE!$AB$14),IF(RASANTE!F89&lt;=PERALTE!$S$14,-2,IF(RASANTE!F89&lt;=PERALTE!$U$14,(-6/(PERALTE!$U$14-PERALTE!$S$14)*(RASANTE!F89-PERALTE!$S$14)-2),IF(RASANTE!F89&lt;=PERALTE!$X$14,-8,IF(RASANTE!F89&lt;=PERALTE!$Z$14,(-6/(PERALTE!$X$14-PERALTE!$Z$14)*(RASANTE!F89-PERALTE!$Z$14)-2),IF(RASANTE!F89&lt;=PERALTE!$AB$14,-2))))),IF(AND(AH!$H$16="Izquierda",RASANTE!F89&lt;=PERALTE!$AB$14),IF(RASANTE!F89&lt;=PERALTE!$Q$14,-2,IF(RASANTE!F89&lt;=PERALTE!$U$14,(10/(PERALTE!$U$14-PERALTE!$Q$14)*(RASANTE!F89-PERALTE!$Q$14)-2),IF(RASANTE!F89&lt;=PERALTE!$X$14,8,IF(RASANTE!F89&lt;=PERALTE!$AB$14,(10/(PERALTE!$X$14-PERALTE!$AB$14)*(RASANTE!F89-PERALTE!$AB$14)-2))))),IF(AND(AH!$H$18="Derecha",RASANTE!F89&lt;=PERALTE!$AB$16),IF(RASANTE!F89&lt;=PERALTE!$S$16,-2,IF(RASANTE!F89&lt;=PERALTE!$U$16,(-6/(PERALTE!$U$16-PERALTE!$S$16)*(RASANTE!F89-PERALTE!$S$16)-2),IF(RASANTE!F89&lt;=PERALTE!$X$16,-8,IF(RASANTE!F89&lt;=PERALTE!$Z$16,(-6/(PERALTE!$X$16-PERALTE!$Z$16)*(RASANTE!F89-PERALTE!$Z$16)-2),IF(RASANTE!F89&lt;=PERALTE!$AB$16,-2))))),IF(AND(AH!$H$18="Izquierda",RASANTE!F89&lt;=PERALTE!$AB$16),IF(RASANTE!F89&lt;=PERALTE!$Q$16,-2,IF(RASANTE!F89&lt;=PERALTE!$U$16,(10/(PERALTE!$U$16-PERALTE!$Q$16)*(RASANTE!F89-PERALTE!$Q$16)-2),IF(RASANTE!F89&lt;=PERALTE!$X$16,8,IF(RASANTE!F89&lt;=PERALTE!$AB$16,(10/(PERALTE!$X$16-PERALTE!$AB$16)*(RASANTE!F89-PERALTE!$AB$16)-2))))),IF(AND(AH!$H$20="Derecha",RASANTE!F89&lt;=PERALTE!$AB$18),IF(RASANTE!F89&lt;=PERALTE!$S$18,-2,IF(RASANTE!F89&lt;=PERALTE!$U$18,(-6/(PERALTE!$U$18-PERALTE!$S$18)*(RASANTE!F89-PERALTE!$S$18)-2),IF(RASANTE!F89&lt;=PERALTE!$X$18,-8,IF(RASANTE!F89&lt;=PERALTE!$Z$18,(-6/(PERALTE!$X$18-PERALTE!$Z$18)*(RASANTE!F89-PERALTE!$Z$18)-2),IF(RASANTE!F89&lt;=PERALTE!$AB$18,-2))))),IF(AND(AH!$H$20="Izquierda",RASANTE!F89&lt;=PERALTE!$AB$18),IF(RASANTE!F89&lt;=PERALTE!$Q$18,-2,IF(RASANTE!F89&lt;=PERALTE!$U$18,(10/(PERALTE!$U$18-PERALTE!$Q$18)*(RASANTE!F89-PERALTE!$Q$18)-2),IF(RASANTE!F89&lt;=PERALTE!$X$18,8,IF(RASANTE!F89&lt;=PERALTE!$AB$18,(10/(PERALTE!$X$18-PERALTE!$AB$18)*(RASANTE!F89-PERALTE!$AB$18)-2))))),IF(AND(AH!$H$24="Derecha",RASANTE!F89&lt;=PERALTE!$AB$22),IF(RASANTE!F89&lt;=PERALTE!$S$22,-2,IF(RASANTE!F89&lt;=PERALTE!$U$22,(-6/(PERALTE!$U$22-PERALTE!$S$22)*(RASANTE!F89-PERALTE!$S$22)-2),IF(RASANTE!F89&lt;=PERALTE!$X$22,-8,IF(RASANTE!F89&lt;=PERALTE!$Z$22,(-6/(PERALTE!$X$22-PERALTE!$Z$22)*(RASANTE!F89-PERALTE!$Z$22)-2),IF(RASANTE!F89&lt;=PERALTE!$AB$22,-2))))),IF(AND(AH!$H$24="Izquierda",RASANTE!F89&lt;=PERALTE!$AB$22),IF(RASANTE!F89&lt;=PERALTE!$Q$22,-2,IF(RASANTE!F89&lt;=PERALTE!$U$22,(10/(PERALTE!$U$22-PERALTE!$Q$22)*(RASANTE!F89-PERALTE!$Q$22)-2),IF(RASANTE!F89&lt;=PERALTE!$X$22,8,IF(RASANTE!F89&lt;=PERALTE!$AB$22,(10/(PERALTE!$X$22-PERALTE!$AB$22)*(RASANTE!F89-PERALTE!$AB$22)-2))))),IF(AND(AH!#REF!="Derecha",RASANTE!F89&lt;=PERALTE!#REF!),IF(RASANTE!F89&lt;=PERALTE!#REF!,-2,IF(RASANTE!F89&lt;=PERALTE!#REF!,(-6/(PERALTE!#REF!-PERALTE!#REF!)*(RASANTE!F89-PERALTE!#REF!)-2),IF(RASANTE!F89&lt;=PERALTE!#REF!,-8,IF(RASANTE!F89&lt;=PERALTE!#REF!,(-6/(PERALTE!#REF!-PERALTE!#REF!)*(RASANTE!F89-PERALTE!#REF!)-2),IF(RASANTE!F89&lt;=PERALTE!#REF!,-2))))),IF(AND(AH!#REF!="Izquierda",RASANTE!F89&lt;=PERALTE!#REF!),IF(RASANTE!F89&lt;=PERALTE!#REF!,-2,IF(RASANTE!F89&lt;=PERALTE!#REF!,(10/(PERALTE!#REF!-PERALTE!#REF!)*(RASANTE!F89-PERALTE!#REF!)-2),IF(RASANTE!F89&lt;=PERALTE!#REF!,8,IF(RASANTE!F89&lt;=PERALTE!#REF!,(10/(PERALTE!#REF!-PERALTE!#REF!)*(RASANTE!F89-PERALTE!#REF!)-2))))),IF(AND(AH!#REF!="Derecha",RASANTE!F89&lt;=PERALTE!$AB$26),IF(RASANTE!F89&lt;=PERALTE!$S$26,-2,IF(RASANTE!F89&lt;=PERALTE!$U$26,(-6/(PERALTE!$U$26-PERALTE!$S$26)*(RASANTE!F89-PERALTE!$S$26)-2),IF(RASANTE!F89&lt;=PERALTE!$X$26,-8,IF(RASANTE!F89&lt;=PERALTE!$Z$26,(-6/(PERALTE!$X$26-PERALTE!$Z$26)*(RASANTE!F89-PERALTE!$Z$26)-2),IF(RASANTE!F89&lt;=PERALTE!$AB$26,-2))))),IF(AND(AH!#REF!="Izquierda",RASANTE!F89&lt;=PERALTE!$AB$26),IF(RASANTE!F89&lt;=PERALTE!$Q$26,-2,IF(RASANTE!F89&lt;=PERALTE!$U$26,(10/(PERALTE!$U$26-PERALTE!$Q$26)*(RASANTE!F89-PERALTE!$Q$26)-2),IF(RASANTE!F89&lt;=PERALTE!$X$26,8,IF(RASANTE!F89&lt;=PERALTE!$AB$26,(10/(PERALTE!$X$26-PERALTE!$AB$26)*(RASANTE!F89-PERALTE!$AB$26)-2))))),IF(F89&lt;=PERALTE!#REF!,-2,"Abscisa fuera de la vía")))))))))))))))))))))</f>
        <v>-2</v>
      </c>
      <c r="J89" s="28">
        <f t="shared" si="4"/>
        <v>1634.5822701219918</v>
      </c>
      <c r="K89" s="28">
        <f>+IF(AND(AV!$S$6&lt;F186,F186&lt;=AV!$T$6),AV!$P$6*((AV!$S$6-RASANTE!F186)/(AV!$N$6))^2,IF(AND(AV!$T$6&lt;RASANTE!F186,F186&lt;AV!$U$6),AV!$P$6*((AV!$U$6-RASANTE!F186)/(AV!$O$6))^2,IF(AND(AV!$S$8&lt;F186,F186&lt;=AV!$T$8),AV!$P$8*((AV!$S$8-RASANTE!F186)/(AV!$N$8))^2,IF(AND(AV!$T$8&lt;RASANTE!F186,F186&lt;AV!$U$8),AV!$P$8*((AV!$U$8-RASANTE!F186)/(AV!$O$8))^2,IF(AND(AV!$S$10&lt;F186,F186&lt;=AV!$T$10),AV!$P$10*((AV!$S$10-RASANTE!F186)/(AV!$N$10))^2,IF(AND(AV!$T$10&lt;RASANTE!F186,F186&lt;AV!$U$10),AV!$P$10*((AV!$U$10-RASANTE!F186)/(AV!$O$10))^2,IF(AND(AV!$S$12&lt;F186,F186&lt;=AV!$T$12),AV!$P$12*((AV!$S$12-RASANTE!F186)/(AV!$N$12))^2,IF(AND(AV!$T$12&lt;RASANTE!F186,F186&lt;AV!$U$12),AV!$P$12*((AV!$U$12-RASANTE!F186)/(AV!$O$12))^2,IF(AND(AV!$S$14&lt;F186,F186&lt;=AV!$T$14),AV!$P$14*((AV!$S$14-RASANTE!F186)/(AV!$N$14))^2,IF(AND(AV!$T$14&lt;RASANTE!F186,F186&lt;AV!$U$14),AV!$P$14*((AV!$U$14-RASANTE!F186)/(AV!$O$14))^2,IF(AND(AV!$S$16&lt;F186,F186&lt;=AV!$T$16),AV!$P$16*((AV!$S$16-RASANTE!F186)/(AV!$N$16))^2,IF(AND(AV!$T$16&lt;RASANTE!F186,F186&lt;AV!$U$16),AV!$P$16*((AV!$U$16-RASANTE!F186)/(AV!$O$16))^2,IF(AND(AV!$S$18&lt;F186,F186&lt;=AV!$T$18),AV!$P$18*((AV!$S$18-RASANTE!F186)/(AV!$N$18))^2,IF(AND(AV!$T$18&lt;RASANTE!F186,F186&lt;AV!$U$18),AV!$P$18*((AV!$U$18-RASANTE!F186)/(AV!$O$18))^2,IF(AND(AV!$S$20&lt;F186,F186&lt;=AV!$T$20),AV!$P$20*((AV!$S$20-RASANTE!F186)/(AV!$N$20))^2,IF(AND(AV!$T$20&lt;RASANTE!F186,F186&lt;AV!$U$20),AV!$P$20*((AV!$U$20-RASANTE!F186)/(AV!$O$20))^2,IF(AND(AV!$S$22&lt;F186,F186&lt;=AV!$T$22),AV!$P$22*((AV!$S$22-RASANTE!F186)/(AV!$N$22))^2,IF(AND(AV!$T$22&lt;RASANTE!F186,F186&lt;AV!$U$22),AV!$P$22*((AV!$U$22-RASANTE!F186)/(AV!$O$22))^2,IF(AND(AV!$S$24&lt;F186,F186&lt;=AV!$T$24),AV!$P$24*((AV!$S$24-RASANTE!F186)/(AV!$N$24))^2,IF(AND(AV!$T$24&lt;RASANTE!F186,F186&lt;AV!$U$24),AV!$P$24*((AV!$U$24-RASANTE!F186)/(AV!$O$24))^2,0))))))))))))))))))))</f>
        <v>0</v>
      </c>
      <c r="L89" s="28">
        <f>+M89+H89%*PERALTE!$C$32</f>
        <v>1634.6522701219917</v>
      </c>
      <c r="M89" s="28">
        <f t="shared" si="3"/>
        <v>1634.5822701219918</v>
      </c>
      <c r="N89" s="28">
        <f>+M89+I89%*PERALTE!$C$32</f>
        <v>1634.5122701219918</v>
      </c>
      <c r="O89" s="92"/>
      <c r="P89" s="84"/>
      <c r="Q89" s="84"/>
      <c r="R89" s="84"/>
      <c r="S89" s="84"/>
      <c r="T89" s="84"/>
      <c r="U89" s="84"/>
      <c r="V89" s="84"/>
      <c r="W89" s="84"/>
      <c r="X89" s="84"/>
      <c r="Y89" s="84"/>
    </row>
    <row r="90" spans="1:25" ht="15.75" customHeight="1" x14ac:dyDescent="0.2">
      <c r="A90" s="111"/>
      <c r="E90" s="115"/>
      <c r="F90" s="34">
        <v>580</v>
      </c>
      <c r="G90" s="88">
        <f>IF(F90&lt;=AV!$T$6,AV!$C$5,IF(RASANTE!F90&lt;=AV!$T$8,AV!$C$7,IF(RASANTE!F90&lt;=AV!$T$10,AV!$C$9,IF(RASANTE!F90&lt;=AV!$T$12,AV!#REF!,IF(RASANTE!F90&lt;=AV!$T$14,AV!$C$11,IF(RASANTE!F90&lt;=AV!$T$16,AV!$C$13, IF(RASANTE!F90&lt;=AV!$T$18,AV!$C$15,IF(RASANTE!F90&lt;=AV!$T$20,AV!$C$19,IF(RASANTE!F90&lt;=AV!$T$22,AV!$C$21,IF(RASANTE!F90&lt;=AV!$T$24,AV!$C$23,AV!$C$25))))))))))</f>
        <v>-3</v>
      </c>
      <c r="H90" s="28">
        <f>+IF(AND(AH!$H$8="Izquierda",RASANTE!F90&lt;=PERALTE!$AB$6),IF(RASANTE!F90&lt;=PERALTE!$S$6,-2,IF(RASANTE!F90&lt;=PERALTE!$U$6,(-6/(PERALTE!$U$6-PERALTE!$S$6)*(RASANTE!F90-PERALTE!$S$6)-2),IF(RASANTE!F90&lt;=PERALTE!$X$6,-8,IF(RASANTE!F90&lt;=PERALTE!$Z$6,(-6/(PERALTE!$X$6-PERALTE!$Z$6)*(RASANTE!F90-PERALTE!$Z$6)-2),IF(RASANTE!F90&lt;=PERALTE!$AB$6,-2))))),IF(AND(AH!$H$8="Derecha",RASANTE!F90&lt;=PERALTE!$AB$6),IF(RASANTE!F90&lt;=PERALTE!$Q$6,-2,IF(RASANTE!F90&lt;=PERALTE!$U$6,(10/(PERALTE!$U$6-PERALTE!$Q$6)*(RASANTE!F90-PERALTE!$Q$6)-2),IF(RASANTE!F90&lt;=PERALTE!$X$6,8,IF(RASANTE!F90&lt;=PERALTE!$AB$6,(10/(PERALTE!$X$6-PERALTE!$AB$6)*(RASANTE!F90-PERALTE!$AB$6)-2))))),IF(AND(AH!$H$10="Izquierda",RASANTE!F90&lt;=PERALTE!$AB$8),IF(RASANTE!F90&lt;=PERALTE!$S$8,-2,IF(RASANTE!F90&lt;=PERALTE!$U$8,(-6/(PERALTE!$U$8-PERALTE!$S$8)*(RASANTE!F90-PERALTE!$S$8)-2),IF(RASANTE!F90&lt;=PERALTE!$X$8,-8,IF(RASANTE!F90&lt;=PERALTE!$Z$8,(-6/(PERALTE!$X$8-PERALTE!$Z$8)*(RASANTE!F90-PERALTE!$Z$8)-2),IF(RASANTE!F90&lt;=PERALTE!$AB$8,-2))))),IF(AND(AH!$H$10="Derecha",RASANTE!F90&lt;=PERALTE!$AB$8),IF(RASANTE!F90&lt;=PERALTE!$Q$8,-2,IF(RASANTE!F90&lt;=PERALTE!$U$8,(10/(PERALTE!$U$8-PERALTE!$Q$8)*(RASANTE!F90-PERALTE!$Q$8)-2),IF(RASANTE!F90&lt;=PERALTE!$X$8,8,IF(RASANTE!F90&lt;=PERALTE!$AB$8,(10/(PERALTE!$X$8-PERALTE!$AB$8)*(RASANTE!F90-PERALTE!$AB$8)-2))))),IF(AND(AH!$H$12="Izquierda",RASANTE!F90&lt;=PERALTE!$AB$10),IF(RASANTE!F90&lt;=PERALTE!$S$10,-2,IF(RASANTE!F90&lt;=PERALTE!$U$10,(-6/(PERALTE!$U$10-PERALTE!$S$10)*(RASANTE!F90-PERALTE!$S$10)-2),IF(RASANTE!F90&lt;=PERALTE!$X$10,-8,IF(RASANTE!F90&lt;=PERALTE!$Z$10,(-6/(PERALTE!$X$10-PERALTE!$Z$10)*(RASANTE!F90-PERALTE!$Z$10)-2),IF(RASANTE!F90&lt;=PERALTE!$AB$10,-2))))),IF(AND(AH!$H$12="Derecha",RASANTE!F90&lt;=PERALTE!$AB$10),IF(RASANTE!F90&lt;=PERALTE!$Q$10,-2,IF(RASANTE!F90&lt;=PERALTE!$U$10,(10/(PERALTE!$U$10-PERALTE!$Q$10)*(RASANTE!F90-PERALTE!$Q$10)-2),IF(RASANTE!F90&lt;=PERALTE!$X$10,8,IF(RASANTE!F90&lt;=PERALTE!$AB$10,(10/(PERALTE!$X$10-PERALTE!$AB$10)*(RASANTE!F90-PERALTE!$AB$10)-2))))),IF(AND(AH!$H$14="Izquierda",RASANTE!F90&lt;=PERALTE!$AB$12),IF(RASANTE!F90&lt;=PERALTE!$S$12,-2,IF(RASANTE!F90&lt;=PERALTE!$U$12,(-6/(PERALTE!$U$12-PERALTE!$S$12)*(RASANTE!F90-PERALTE!$S$12)-2),IF(RASANTE!F90&lt;=PERALTE!$X$12,-8,IF(RASANTE!F90&lt;=PERALTE!$Z$12,(-6/(PERALTE!$X$12-PERALTE!$Z$12)*(RASANTE!F90-PERALTE!$Z$12)-2),IF(RASANTE!F90&lt;=PERALTE!$AB$12,-2))))),IF(AND(AH!$H$14="Derecha",RASANTE!F90&lt;=PERALTE!$AB$12),IF(RASANTE!F90&lt;=PERALTE!$Q$12,-2,IF(RASANTE!F90&lt;=PERALTE!$U$12,(10/(PERALTE!$U$12-PERALTE!$Q$12)*(RASANTE!F90-PERALTE!$Q$12)-2),IF(RASANTE!F90&lt;=PERALTE!$X$12,8,IF(RASANTE!F90&lt;=PERALTE!$AB$12,(10/(PERALTE!$X$12-PERALTE!$AB$12)*(RASANTE!F90-PERALTE!$AB$12)-2))))),IF(AND(AH!$H$16="Izquierda",RASANTE!F90&lt;=PERALTE!$AB$14),IF(RASANTE!F90&lt;=PERALTE!$S$14,-2,IF(RASANTE!F90&lt;=PERALTE!$U$14,(-6/(PERALTE!$U$14-PERALTE!$S$14)*(RASANTE!F90-PERALTE!$S$14)-2),IF(RASANTE!F90&lt;=PERALTE!$X$14,-8,IF(RASANTE!F90&lt;=PERALTE!$Z$14,(-6/(PERALTE!$X$14-PERALTE!$Z$14)*(RASANTE!F90-PERALTE!$Z$14)-2),IF(RASANTE!F90&lt;=PERALTE!$AB$14,-2))))),IF(AND(AH!$H$16="Derecha",RASANTE!F90&lt;=PERALTE!$AB$14),IF(RASANTE!F90&lt;=PERALTE!$Q$14,-2,IF(RASANTE!F90&lt;=PERALTE!$U$14,(10/(PERALTE!$U$14-PERALTE!$Q$14)*(RASANTE!F90-PERALTE!$Q$14)-2),IF(RASANTE!F90&lt;=PERALTE!$X$14,8,IF(RASANTE!F90&lt;=PERALTE!$AB$14,(10/(PERALTE!$X$14-PERALTE!$AB$14)*(RASANTE!F90-PERALTE!$AB$14)-2))))),IF(AND(AH!$H$18="Izquierda",RASANTE!F90&lt;=PERALTE!$AB$16),IF(RASANTE!F90&lt;=PERALTE!$S$16,-2,IF(RASANTE!F90&lt;=PERALTE!$U$16,(-6/(PERALTE!$U$16-PERALTE!$S$16)*(RASANTE!F90-PERALTE!$S$16)-2),IF(RASANTE!F90&lt;=PERALTE!$X$16,-8,IF(RASANTE!F90&lt;=PERALTE!$Z$16,(-6/(PERALTE!$X$16-PERALTE!$Z$16)*(RASANTE!F90-PERALTE!$Z$16)-2),IF(RASANTE!F90&lt;=PERALTE!$AB$16,-2))))),IF(AND(AH!$H$18="Derecha",RASANTE!F90&lt;=PERALTE!$AB$16),IF(RASANTE!F90&lt;=PERALTE!$Q$16,-2,IF(RASANTE!F90&lt;=PERALTE!$U$16,(10/(PERALTE!$U$16-PERALTE!$Q$16)*(RASANTE!F90-PERALTE!$Q$16)-2),IF(RASANTE!F90&lt;=PERALTE!$X$16,8,IF(RASANTE!F90&lt;=PERALTE!$AB$16,(10/(PERALTE!$X$16-PERALTE!$AB$16)*(RASANTE!F90-PERALTE!$AB$16)-2))))),IF(AND(AH!$H$20="Izquierda",RASANTE!F90&lt;=PERALTE!$AB$18),IF(RASANTE!F90&lt;=PERALTE!$S$18,-2,IF(RASANTE!F90&lt;=PERALTE!$U$18,(-6/(PERALTE!$U$18-PERALTE!$S$18)*(RASANTE!F90-PERALTE!$S$18)-2),IF(RASANTE!F90&lt;=PERALTE!$X$18,-8,IF(RASANTE!F90&lt;=PERALTE!$Z$18,(-6/(PERALTE!$X$18-PERALTE!$Z$18)*(RASANTE!F90-PERALTE!$Z$18)-2),IF(RASANTE!F90&lt;=PERALTE!$AB$18,-2))))),IF(AND(AH!$H$20="Derecha",RASANTE!F90&lt;=PERALTE!$AB$18),IF(RASANTE!F90&lt;=PERALTE!$Q$18,-2,IF(RASANTE!F90&lt;=PERALTE!$U$18,(10/(PERALTE!$U$18-PERALTE!$Q$18)*(RASANTE!F90-PERALTE!$Q$18)-2),IF(RASANTE!F90&lt;=PERALTE!$X$18,8,IF(RASANTE!F90&lt;=PERALTE!$AB$18,(10/(PERALTE!$X$18-PERALTE!$AB$18)*(RASANTE!F90-PERALTE!$AB$18)-2))))),IF(AND(AH!$H$24="Izquierda",RASANTE!F90&lt;=PERALTE!$AB$22),IF(RASANTE!F90&lt;=PERALTE!$S$22,-2,IF(RASANTE!F90&lt;=PERALTE!$U$22,(-6/(PERALTE!$U$22-PERALTE!$S$22)*(RASANTE!F90-PERALTE!$S$22)-2),IF(RASANTE!F90&lt;=PERALTE!$X$22,-8,IF(RASANTE!F90&lt;=PERALTE!$Z$22,(-6/(PERALTE!$X$22-PERALTE!$Z$22)*(RASANTE!F90-PERALTE!$Z$22)-2),IF(RASANTE!F90&lt;=PERALTE!$AB$22,-2))))),IF(AND(AH!$H$24="Derecha",RASANTE!F90&lt;=PERALTE!$AB$22),IF(RASANTE!F90&lt;=PERALTE!$Q$22,-2,IF(RASANTE!F90&lt;=PERALTE!$U$22,(10/(PERALTE!$U$22-PERALTE!$Q$22)*(RASANTE!F90-PERALTE!$Q$22)-2),IF(RASANTE!F90&lt;=PERALTE!$X$22,8,IF(RASANTE!F90&lt;=PERALTE!$AB$22,(10/(PERALTE!$X$22-PERALTE!$AB$22)*(RASANTE!F90-PERALTE!$AB$22)-2))))),IF(AND(AH!#REF!="Izquierda",RASANTE!F90&lt;=PERALTE!#REF!),IF(RASANTE!F90&lt;=PERALTE!#REF!,-2,IF(RASANTE!F90&lt;=PERALTE!#REF!,(-6/(PERALTE!#REF!-PERALTE!#REF!)*(RASANTE!F90-PERALTE!#REF!)-2),IF(RASANTE!F90&lt;=PERALTE!#REF!,-8,IF(RASANTE!F90&lt;=PERALTE!#REF!,(-6/(PERALTE!#REF!-PERALTE!#REF!)*(RASANTE!F90-PERALTE!#REF!)-2),IF(RASANTE!F90&lt;=PERALTE!#REF!,-2))))),IF(AND(AH!#REF!="Derecha",RASANTE!F90&lt;=PERALTE!#REF!),IF(RASANTE!F90&lt;=PERALTE!#REF!,-2,IF(RASANTE!F90&lt;=PERALTE!#REF!,(10/(PERALTE!#REF!-PERALTE!#REF!)*(RASANTE!F90-PERALTE!#REF!)-2),IF(RASANTE!F90&lt;=PERALTE!#REF!,8,IF(RASANTE!F90&lt;=PERALTE!#REF!,(10/(PERALTE!#REF!-PERALTE!#REF!)*(RASANTE!F90-PERALTE!#REF!)-2))))),IF(AND(AH!#REF!="Izquierda",RASANTE!F90&lt;=PERALTE!$AB$26),IF(RASANTE!F90&lt;=PERALTE!$S$26,-2,IF(RASANTE!F90&lt;=PERALTE!$U$26,(-6/(PERALTE!$U$26-PERALTE!$S$26)*(RASANTE!F90-PERALTE!$S$26)-2),IF(RASANTE!F90&lt;=PERALTE!$X$26,-8,IF(RASANTE!F90&lt;=PERALTE!$Z$26,(-6/(PERALTE!$X$26-PERALTE!$Z$26)*(RASANTE!F90-PERALTE!$Z$26)-2),IF(RASANTE!F90&lt;=PERALTE!$AB$26,-2))))),IF(AND(AH!#REF!="Derecha",RASANTE!F90&lt;=PERALTE!$AB$26),IF(RASANTE!F90&lt;=PERALTE!$Q$26,-2,IF(RASANTE!F90&lt;=PERALTE!$U$26,(10/(PERALTE!$U$26-PERALTE!$Q$26)*(RASANTE!F90-PERALTE!$Q$26)-2),IF(RASANTE!F90&lt;=PERALTE!$X$26,8,IF(RASANTE!F90&lt;=PERALTE!$AB$26,(10/(PERALTE!$X$26-PERALTE!$AB$26)*(RASANTE!F90-PERALTE!$AB$26)-2))))),IF(F90&lt;=PERALTE!#REF!,-2,"Abscisa fuera de la vía")))))))))))))))))))))</f>
        <v>0.56361910540150806</v>
      </c>
      <c r="I90" s="28">
        <f>+IF(AND(AH!$H$8="Derecha",RASANTE!F90&lt;=PERALTE!$AB$6),IF(RASANTE!F90&lt;=PERALTE!$S$6,-2,IF(RASANTE!F90&lt;=PERALTE!$U$6,(-6/(PERALTE!$U$6-PERALTE!$S$6)*(RASANTE!F90-PERALTE!$S$6)-2),IF(RASANTE!F90&lt;=PERALTE!$X$6,-8,IF(RASANTE!F90&lt;=PERALTE!$Z$6,(-6/(PERALTE!$X$6-PERALTE!$Z$6)*(RASANTE!F90-PERALTE!$Z$6)-2),IF(RASANTE!F90&lt;=PERALTE!$AB$6,-2))))),IF(AND(AH!$H$8="Izquierda",RASANTE!F90&lt;=PERALTE!$AB$6),IF(RASANTE!F90&lt;=PERALTE!$Q$6,-2,IF(RASANTE!F90&lt;=PERALTE!$U$6,(10/(PERALTE!$U$6-PERALTE!$Q$6)*(RASANTE!F90-PERALTE!$Q$6)-2),IF(RASANTE!F90&lt;=PERALTE!$X$6,8,IF(RASANTE!F90&lt;=PERALTE!$AB$6,(10/(PERALTE!$X$6-PERALTE!$AB$6)*(RASANTE!F90-PERALTE!$AB$6)-2))))),IF(AND(AH!$H$10="Derecha",RASANTE!F90&lt;=PERALTE!$AB$8),IF(RASANTE!F90&lt;=PERALTE!$S$8,-2,IF(RASANTE!F90&lt;=PERALTE!$U$8,(-6/(PERALTE!$U$8-PERALTE!$S$8)*(RASANTE!F90-PERALTE!$S$8)-2),IF(RASANTE!F90&lt;=PERALTE!$X$8,-8,IF(RASANTE!F90&lt;=PERALTE!$Z$8,(-6/(PERALTE!$X$8-PERALTE!$Z$8)*(RASANTE!F90-PERALTE!$Z$8)-2),IF(RASANTE!F90&lt;=PERALTE!$AB$8,-2))))),IF(AND(AH!$H$10="Izquierda",RASANTE!F90&lt;=PERALTE!$AB$8),IF(RASANTE!F90&lt;=PERALTE!$Q$8,-2,IF(RASANTE!F90&lt;=PERALTE!$U$8,(10/(PERALTE!$U$8-PERALTE!$Q$8)*(RASANTE!F90-PERALTE!$Q$8)-2),IF(RASANTE!F90&lt;=PERALTE!$X$8,8,IF(RASANTE!F90&lt;=PERALTE!$AB$8,(10/(PERALTE!$X$8-PERALTE!$AB$8)*(RASANTE!F90-PERALTE!$AB$8)-2))))),IF(AND(AH!$H$12="Derecha",RASANTE!F90&lt;=PERALTE!$AB$10),IF(RASANTE!F90&lt;=PERALTE!$S$10,-2,IF(RASANTE!F90&lt;=PERALTE!$U$10,(-6/(PERALTE!$U$10-PERALTE!$S$10)*(RASANTE!F90-PERALTE!$S$10)-2),IF(RASANTE!F90&lt;=PERALTE!$X$10,-8,IF(RASANTE!F90&lt;=PERALTE!$Z$10,(-6/(PERALTE!$X$10-PERALTE!$Z$10)*(RASANTE!F90-PERALTE!$Z$10)-2),IF(RASANTE!F90&lt;=PERALTE!$AB$10,-2))))),IF(AND(AH!$H$12="Izquierda",RASANTE!F90&lt;=PERALTE!$AB$10),IF(RASANTE!F90&lt;=PERALTE!$Q$10,-2,IF(RASANTE!F90&lt;=PERALTE!$U$10,(10/(PERALTE!$U$10-PERALTE!$Q$10)*(RASANTE!F90-PERALTE!$Q$10)-2),IF(RASANTE!F90&lt;=PERALTE!$X$10,8,IF(RASANTE!F90&lt;=PERALTE!$AB$10,(10/(PERALTE!$X$10-PERALTE!$AB$10)*(RASANTE!F90-PERALTE!$AB$10)-2))))),IF(AND(AH!$H$14="Derecha",RASANTE!F90&lt;=PERALTE!$AB$12),IF(RASANTE!F90&lt;=PERALTE!$S$12,-2,IF(RASANTE!F90&lt;=PERALTE!$U$12,(-6/(PERALTE!$U$12-PERALTE!$S$12)*(RASANTE!F90-PERALTE!$S$12)-2),IF(RASANTE!F90&lt;=PERALTE!$X$12,-8,IF(RASANTE!F90&lt;=PERALTE!$Z$12,(-6/(PERALTE!$X$12-PERALTE!$Z$12)*(RASANTE!F90-PERALTE!$Z$12)-2),IF(RASANTE!F90&lt;=PERALTE!$AB$12,-2))))),IF(AND(AH!$H$14="Izquierda",RASANTE!F90&lt;=PERALTE!$AB$12),IF(RASANTE!F90&lt;=PERALTE!$Q$12,-2,IF(RASANTE!F90&lt;=PERALTE!$U$12,(10/(PERALTE!$U$12-PERALTE!$Q$12)*(RASANTE!F90-PERALTE!$Q$12)-2),IF(RASANTE!F90&lt;=PERALTE!$X$12,8,IF(RASANTE!F90&lt;=PERALTE!$AB$12,(10/(PERALTE!$X$12-PERALTE!$AB$12)*(RASANTE!F90-PERALTE!$AB$12)-2))))),IF(AND(AH!$H$16="Derecha",RASANTE!F90&lt;=PERALTE!$AB$14),IF(RASANTE!F90&lt;=PERALTE!$S$14,-2,IF(RASANTE!F90&lt;=PERALTE!$U$14,(-6/(PERALTE!$U$14-PERALTE!$S$14)*(RASANTE!F90-PERALTE!$S$14)-2),IF(RASANTE!F90&lt;=PERALTE!$X$14,-8,IF(RASANTE!F90&lt;=PERALTE!$Z$14,(-6/(PERALTE!$X$14-PERALTE!$Z$14)*(RASANTE!F90-PERALTE!$Z$14)-2),IF(RASANTE!F90&lt;=PERALTE!$AB$14,-2))))),IF(AND(AH!$H$16="Izquierda",RASANTE!F90&lt;=PERALTE!$AB$14),IF(RASANTE!F90&lt;=PERALTE!$Q$14,-2,IF(RASANTE!F90&lt;=PERALTE!$U$14,(10/(PERALTE!$U$14-PERALTE!$Q$14)*(RASANTE!F90-PERALTE!$Q$14)-2),IF(RASANTE!F90&lt;=PERALTE!$X$14,8,IF(RASANTE!F90&lt;=PERALTE!$AB$14,(10/(PERALTE!$X$14-PERALTE!$AB$14)*(RASANTE!F90-PERALTE!$AB$14)-2))))),IF(AND(AH!$H$18="Derecha",RASANTE!F90&lt;=PERALTE!$AB$16),IF(RASANTE!F90&lt;=PERALTE!$S$16,-2,IF(RASANTE!F90&lt;=PERALTE!$U$16,(-6/(PERALTE!$U$16-PERALTE!$S$16)*(RASANTE!F90-PERALTE!$S$16)-2),IF(RASANTE!F90&lt;=PERALTE!$X$16,-8,IF(RASANTE!F90&lt;=PERALTE!$Z$16,(-6/(PERALTE!$X$16-PERALTE!$Z$16)*(RASANTE!F90-PERALTE!$Z$16)-2),IF(RASANTE!F90&lt;=PERALTE!$AB$16,-2))))),IF(AND(AH!$H$18="Izquierda",RASANTE!F90&lt;=PERALTE!$AB$16),IF(RASANTE!F90&lt;=PERALTE!$Q$16,-2,IF(RASANTE!F90&lt;=PERALTE!$U$16,(10/(PERALTE!$U$16-PERALTE!$Q$16)*(RASANTE!F90-PERALTE!$Q$16)-2),IF(RASANTE!F90&lt;=PERALTE!$X$16,8,IF(RASANTE!F90&lt;=PERALTE!$AB$16,(10/(PERALTE!$X$16-PERALTE!$AB$16)*(RASANTE!F90-PERALTE!$AB$16)-2))))),IF(AND(AH!$H$20="Derecha",RASANTE!F90&lt;=PERALTE!$AB$18),IF(RASANTE!F90&lt;=PERALTE!$S$18,-2,IF(RASANTE!F90&lt;=PERALTE!$U$18,(-6/(PERALTE!$U$18-PERALTE!$S$18)*(RASANTE!F90-PERALTE!$S$18)-2),IF(RASANTE!F90&lt;=PERALTE!$X$18,-8,IF(RASANTE!F90&lt;=PERALTE!$Z$18,(-6/(PERALTE!$X$18-PERALTE!$Z$18)*(RASANTE!F90-PERALTE!$Z$18)-2),IF(RASANTE!F90&lt;=PERALTE!$AB$18,-2))))),IF(AND(AH!$H$20="Izquierda",RASANTE!F90&lt;=PERALTE!$AB$18),IF(RASANTE!F90&lt;=PERALTE!$Q$18,-2,IF(RASANTE!F90&lt;=PERALTE!$U$18,(10/(PERALTE!$U$18-PERALTE!$Q$18)*(RASANTE!F90-PERALTE!$Q$18)-2),IF(RASANTE!F90&lt;=PERALTE!$X$18,8,IF(RASANTE!F90&lt;=PERALTE!$AB$18,(10/(PERALTE!$X$18-PERALTE!$AB$18)*(RASANTE!F90-PERALTE!$AB$18)-2))))),IF(AND(AH!$H$24="Derecha",RASANTE!F90&lt;=PERALTE!$AB$22),IF(RASANTE!F90&lt;=PERALTE!$S$22,-2,IF(RASANTE!F90&lt;=PERALTE!$U$22,(-6/(PERALTE!$U$22-PERALTE!$S$22)*(RASANTE!F90-PERALTE!$S$22)-2),IF(RASANTE!F90&lt;=PERALTE!$X$22,-8,IF(RASANTE!F90&lt;=PERALTE!$Z$22,(-6/(PERALTE!$X$22-PERALTE!$Z$22)*(RASANTE!F90-PERALTE!$Z$22)-2),IF(RASANTE!F90&lt;=PERALTE!$AB$22,-2))))),IF(AND(AH!$H$24="Izquierda",RASANTE!F90&lt;=PERALTE!$AB$22),IF(RASANTE!F90&lt;=PERALTE!$Q$22,-2,IF(RASANTE!F90&lt;=PERALTE!$U$22,(10/(PERALTE!$U$22-PERALTE!$Q$22)*(RASANTE!F90-PERALTE!$Q$22)-2),IF(RASANTE!F90&lt;=PERALTE!$X$22,8,IF(RASANTE!F90&lt;=PERALTE!$AB$22,(10/(PERALTE!$X$22-PERALTE!$AB$22)*(RASANTE!F90-PERALTE!$AB$22)-2))))),IF(AND(AH!#REF!="Derecha",RASANTE!F90&lt;=PERALTE!#REF!),IF(RASANTE!F90&lt;=PERALTE!#REF!,-2,IF(RASANTE!F90&lt;=PERALTE!#REF!,(-6/(PERALTE!#REF!-PERALTE!#REF!)*(RASANTE!F90-PERALTE!#REF!)-2),IF(RASANTE!F90&lt;=PERALTE!#REF!,-8,IF(RASANTE!F90&lt;=PERALTE!#REF!,(-6/(PERALTE!#REF!-PERALTE!#REF!)*(RASANTE!F90-PERALTE!#REF!)-2),IF(RASANTE!F90&lt;=PERALTE!#REF!,-2))))),IF(AND(AH!#REF!="Izquierda",RASANTE!F90&lt;=PERALTE!#REF!),IF(RASANTE!F90&lt;=PERALTE!#REF!,-2,IF(RASANTE!F90&lt;=PERALTE!#REF!,(10/(PERALTE!#REF!-PERALTE!#REF!)*(RASANTE!F90-PERALTE!#REF!)-2),IF(RASANTE!F90&lt;=PERALTE!#REF!,8,IF(RASANTE!F90&lt;=PERALTE!#REF!,(10/(PERALTE!#REF!-PERALTE!#REF!)*(RASANTE!F90-PERALTE!#REF!)-2))))),IF(AND(AH!#REF!="Derecha",RASANTE!F90&lt;=PERALTE!$AB$26),IF(RASANTE!F90&lt;=PERALTE!$S$26,-2,IF(RASANTE!F90&lt;=PERALTE!$U$26,(-6/(PERALTE!$U$26-PERALTE!$S$26)*(RASANTE!F90-PERALTE!$S$26)-2),IF(RASANTE!F90&lt;=PERALTE!$X$26,-8,IF(RASANTE!F90&lt;=PERALTE!$Z$26,(-6/(PERALTE!$X$26-PERALTE!$Z$26)*(RASANTE!F90-PERALTE!$Z$26)-2),IF(RASANTE!F90&lt;=PERALTE!$AB$26,-2))))),IF(AND(AH!#REF!="Izquierda",RASANTE!F90&lt;=PERALTE!$AB$26),IF(RASANTE!F90&lt;=PERALTE!$Q$26,-2,IF(RASANTE!F90&lt;=PERALTE!$U$26,(10/(PERALTE!$U$26-PERALTE!$Q$26)*(RASANTE!F90-PERALTE!$Q$26)-2),IF(RASANTE!F90&lt;=PERALTE!$X$26,8,IF(RASANTE!F90&lt;=PERALTE!$AB$26,(10/(PERALTE!$X$26-PERALTE!$AB$26)*(RASANTE!F90-PERALTE!$AB$26)-2))))),IF(F90&lt;=PERALTE!#REF!,-2,"Abscisa fuera de la vía")))))))))))))))))))))</f>
        <v>-2</v>
      </c>
      <c r="J90" s="28">
        <f t="shared" si="4"/>
        <v>1634.386400000001</v>
      </c>
      <c r="K90" s="28">
        <f>+IF(AND(AV!$S$6&lt;F187,F187&lt;=AV!$T$6),AV!$P$6*((AV!$S$6-RASANTE!F187)/(AV!$N$6))^2,IF(AND(AV!$T$6&lt;RASANTE!F187,F187&lt;AV!$U$6),AV!$P$6*((AV!$U$6-RASANTE!F187)/(AV!$O$6))^2,IF(AND(AV!$S$8&lt;F187,F187&lt;=AV!$T$8),AV!$P$8*((AV!$S$8-RASANTE!F187)/(AV!$N$8))^2,IF(AND(AV!$T$8&lt;RASANTE!F187,F187&lt;AV!$U$8),AV!$P$8*((AV!$U$8-RASANTE!F187)/(AV!$O$8))^2,IF(AND(AV!$S$10&lt;F187,F187&lt;=AV!$T$10),AV!$P$10*((AV!$S$10-RASANTE!F187)/(AV!$N$10))^2,IF(AND(AV!$T$10&lt;RASANTE!F187,F187&lt;AV!$U$10),AV!$P$10*((AV!$U$10-RASANTE!F187)/(AV!$O$10))^2,IF(AND(AV!$S$12&lt;F187,F187&lt;=AV!$T$12),AV!$P$12*((AV!$S$12-RASANTE!F187)/(AV!$N$12))^2,IF(AND(AV!$T$12&lt;RASANTE!F187,F187&lt;AV!$U$12),AV!$P$12*((AV!$U$12-RASANTE!F187)/(AV!$O$12))^2,IF(AND(AV!$S$14&lt;F187,F187&lt;=AV!$T$14),AV!$P$14*((AV!$S$14-RASANTE!F187)/(AV!$N$14))^2,IF(AND(AV!$T$14&lt;RASANTE!F187,F187&lt;AV!$U$14),AV!$P$14*((AV!$U$14-RASANTE!F187)/(AV!$O$14))^2,IF(AND(AV!$S$16&lt;F187,F187&lt;=AV!$T$16),AV!$P$16*((AV!$S$16-RASANTE!F187)/(AV!$N$16))^2,IF(AND(AV!$T$16&lt;RASANTE!F187,F187&lt;AV!$U$16),AV!$P$16*((AV!$U$16-RASANTE!F187)/(AV!$O$16))^2,IF(AND(AV!$S$18&lt;F187,F187&lt;=AV!$T$18),AV!$P$18*((AV!$S$18-RASANTE!F187)/(AV!$N$18))^2,IF(AND(AV!$T$18&lt;RASANTE!F187,F187&lt;AV!$U$18),AV!$P$18*((AV!$U$18-RASANTE!F187)/(AV!$O$18))^2,IF(AND(AV!$S$20&lt;F187,F187&lt;=AV!$T$20),AV!$P$20*((AV!$S$20-RASANTE!F187)/(AV!$N$20))^2,IF(AND(AV!$T$20&lt;RASANTE!F187,F187&lt;AV!$U$20),AV!$P$20*((AV!$U$20-RASANTE!F187)/(AV!$O$20))^2,IF(AND(AV!$S$22&lt;F187,F187&lt;=AV!$T$22),AV!$P$22*((AV!$S$22-RASANTE!F187)/(AV!$N$22))^2,IF(AND(AV!$T$22&lt;RASANTE!F187,F187&lt;AV!$U$22),AV!$P$22*((AV!$U$22-RASANTE!F187)/(AV!$O$22))^2,IF(AND(AV!$S$24&lt;F187,F187&lt;=AV!$T$24),AV!$P$24*((AV!$S$24-RASANTE!F187)/(AV!$N$24))^2,IF(AND(AV!$T$24&lt;RASANTE!F187,F187&lt;AV!$U$24),AV!$P$24*((AV!$U$24-RASANTE!F187)/(AV!$O$24))^2,0))))))))))))))))))))</f>
        <v>0</v>
      </c>
      <c r="L90" s="28">
        <f>+M90+H90%*PERALTE!$C$32</f>
        <v>1634.4061266686901</v>
      </c>
      <c r="M90" s="28">
        <f t="shared" si="3"/>
        <v>1634.386400000001</v>
      </c>
      <c r="N90" s="28">
        <f>+M90+I90%*PERALTE!$C$32</f>
        <v>1634.3164000000011</v>
      </c>
      <c r="O90" s="92"/>
      <c r="P90" s="84"/>
      <c r="Q90" s="84"/>
      <c r="R90" s="84"/>
      <c r="S90" s="84"/>
      <c r="T90" s="84"/>
      <c r="U90" s="84"/>
      <c r="V90" s="84"/>
      <c r="W90" s="84"/>
      <c r="X90" s="84"/>
      <c r="Y90" s="84"/>
    </row>
    <row r="91" spans="1:25" ht="15.75" customHeight="1" x14ac:dyDescent="0.2">
      <c r="A91" s="90" t="s">
        <v>327</v>
      </c>
      <c r="B91" s="86"/>
      <c r="C91" s="86"/>
      <c r="D91" s="86"/>
      <c r="E91" s="91"/>
      <c r="F91" s="34">
        <f>PERALTE!AA8</f>
        <v>582.56190502455229</v>
      </c>
      <c r="G91" s="88">
        <f>IF(F91&lt;=AV!$T$6,AV!$C$5,IF(RASANTE!F91&lt;=AV!$T$8,AV!$C$7,IF(RASANTE!F91&lt;=AV!$T$10,AV!$C$9,IF(RASANTE!F91&lt;=AV!$T$12,AV!#REF!,IF(RASANTE!F91&lt;=AV!$T$14,AV!$C$11,IF(RASANTE!F91&lt;=AV!$T$16,AV!$C$13, IF(RASANTE!F91&lt;=AV!$T$18,AV!$C$15,IF(RASANTE!F91&lt;=AV!$T$20,AV!$C$19,IF(RASANTE!F91&lt;=AV!$T$22,AV!$C$21,IF(RASANTE!F91&lt;=AV!$T$24,AV!$C$23,AV!$C$25))))))))))</f>
        <v>-3</v>
      </c>
      <c r="H91" s="28">
        <f>+IF(AND(AH!$H$8="Izquierda",RASANTE!F91&lt;=PERALTE!$AB$6),IF(RASANTE!F91&lt;=PERALTE!$S$6,-2,IF(RASANTE!F91&lt;=PERALTE!$U$6,(-6/(PERALTE!$U$6-PERALTE!$S$6)*(RASANTE!F91-PERALTE!$S$6)-2),IF(RASANTE!F91&lt;=PERALTE!$X$6,-8,IF(RASANTE!F91&lt;=PERALTE!$Z$6,(-6/(PERALTE!$X$6-PERALTE!$Z$6)*(RASANTE!F91-PERALTE!$Z$6)-2),IF(RASANTE!F91&lt;=PERALTE!$AB$6,-2))))),IF(AND(AH!$H$8="Derecha",RASANTE!F91&lt;=PERALTE!$AB$6),IF(RASANTE!F91&lt;=PERALTE!$Q$6,-2,IF(RASANTE!F91&lt;=PERALTE!$U$6,(10/(PERALTE!$U$6-PERALTE!$Q$6)*(RASANTE!F91-PERALTE!$Q$6)-2),IF(RASANTE!F91&lt;=PERALTE!$X$6,8,IF(RASANTE!F91&lt;=PERALTE!$AB$6,(10/(PERALTE!$X$6-PERALTE!$AB$6)*(RASANTE!F91-PERALTE!$AB$6)-2))))),IF(AND(AH!$H$10="Izquierda",RASANTE!F91&lt;=PERALTE!$AB$8),IF(RASANTE!F91&lt;=PERALTE!$S$8,-2,IF(RASANTE!F91&lt;=PERALTE!$U$8,(-6/(PERALTE!$U$8-PERALTE!$S$8)*(RASANTE!F91-PERALTE!$S$8)-2),IF(RASANTE!F91&lt;=PERALTE!$X$8,-8,IF(RASANTE!F91&lt;=PERALTE!$Z$8,(-6/(PERALTE!$X$8-PERALTE!$Z$8)*(RASANTE!F91-PERALTE!$Z$8)-2),IF(RASANTE!F91&lt;=PERALTE!$AB$8,-2))))),IF(AND(AH!$H$10="Derecha",RASANTE!F91&lt;=PERALTE!$AB$8),IF(RASANTE!F91&lt;=PERALTE!$Q$8,-2,IF(RASANTE!F91&lt;=PERALTE!$U$8,(10/(PERALTE!$U$8-PERALTE!$Q$8)*(RASANTE!F91-PERALTE!$Q$8)-2),IF(RASANTE!F91&lt;=PERALTE!$X$8,8,IF(RASANTE!F91&lt;=PERALTE!$AB$8,(10/(PERALTE!$X$8-PERALTE!$AB$8)*(RASANTE!F91-PERALTE!$AB$8)-2))))),IF(AND(AH!$H$12="Izquierda",RASANTE!F91&lt;=PERALTE!$AB$10),IF(RASANTE!F91&lt;=PERALTE!$S$10,-2,IF(RASANTE!F91&lt;=PERALTE!$U$10,(-6/(PERALTE!$U$10-PERALTE!$S$10)*(RASANTE!F91-PERALTE!$S$10)-2),IF(RASANTE!F91&lt;=PERALTE!$X$10,-8,IF(RASANTE!F91&lt;=PERALTE!$Z$10,(-6/(PERALTE!$X$10-PERALTE!$Z$10)*(RASANTE!F91-PERALTE!$Z$10)-2),IF(RASANTE!F91&lt;=PERALTE!$AB$10,-2))))),IF(AND(AH!$H$12="Derecha",RASANTE!F91&lt;=PERALTE!$AB$10),IF(RASANTE!F91&lt;=PERALTE!$Q$10,-2,IF(RASANTE!F91&lt;=PERALTE!$U$10,(10/(PERALTE!$U$10-PERALTE!$Q$10)*(RASANTE!F91-PERALTE!$Q$10)-2),IF(RASANTE!F91&lt;=PERALTE!$X$10,8,IF(RASANTE!F91&lt;=PERALTE!$AB$10,(10/(PERALTE!$X$10-PERALTE!$AB$10)*(RASANTE!F91-PERALTE!$AB$10)-2))))),IF(AND(AH!$H$14="Izquierda",RASANTE!F91&lt;=PERALTE!$AB$12),IF(RASANTE!F91&lt;=PERALTE!$S$12,-2,IF(RASANTE!F91&lt;=PERALTE!$U$12,(-6/(PERALTE!$U$12-PERALTE!$S$12)*(RASANTE!F91-PERALTE!$S$12)-2),IF(RASANTE!F91&lt;=PERALTE!$X$12,-8,IF(RASANTE!F91&lt;=PERALTE!$Z$12,(-6/(PERALTE!$X$12-PERALTE!$Z$12)*(RASANTE!F91-PERALTE!$Z$12)-2),IF(RASANTE!F91&lt;=PERALTE!$AB$12,-2))))),IF(AND(AH!$H$14="Derecha",RASANTE!F91&lt;=PERALTE!$AB$12),IF(RASANTE!F91&lt;=PERALTE!$Q$12,-2,IF(RASANTE!F91&lt;=PERALTE!$U$12,(10/(PERALTE!$U$12-PERALTE!$Q$12)*(RASANTE!F91-PERALTE!$Q$12)-2),IF(RASANTE!F91&lt;=PERALTE!$X$12,8,IF(RASANTE!F91&lt;=PERALTE!$AB$12,(10/(PERALTE!$X$12-PERALTE!$AB$12)*(RASANTE!F91-PERALTE!$AB$12)-2))))),IF(AND(AH!$H$16="Izquierda",RASANTE!F91&lt;=PERALTE!$AB$14),IF(RASANTE!F91&lt;=PERALTE!$S$14,-2,IF(RASANTE!F91&lt;=PERALTE!$U$14,(-6/(PERALTE!$U$14-PERALTE!$S$14)*(RASANTE!F91-PERALTE!$S$14)-2),IF(RASANTE!F91&lt;=PERALTE!$X$14,-8,IF(RASANTE!F91&lt;=PERALTE!$Z$14,(-6/(PERALTE!$X$14-PERALTE!$Z$14)*(RASANTE!F91-PERALTE!$Z$14)-2),IF(RASANTE!F91&lt;=PERALTE!$AB$14,-2))))),IF(AND(AH!$H$16="Derecha",RASANTE!F91&lt;=PERALTE!$AB$14),IF(RASANTE!F91&lt;=PERALTE!$Q$14,-2,IF(RASANTE!F91&lt;=PERALTE!$U$14,(10/(PERALTE!$U$14-PERALTE!$Q$14)*(RASANTE!F91-PERALTE!$Q$14)-2),IF(RASANTE!F91&lt;=PERALTE!$X$14,8,IF(RASANTE!F91&lt;=PERALTE!$AB$14,(10/(PERALTE!$X$14-PERALTE!$AB$14)*(RASANTE!F91-PERALTE!$AB$14)-2))))),IF(AND(AH!$H$18="Izquierda",RASANTE!F91&lt;=PERALTE!$AB$16),IF(RASANTE!F91&lt;=PERALTE!$S$16,-2,IF(RASANTE!F91&lt;=PERALTE!$U$16,(-6/(PERALTE!$U$16-PERALTE!$S$16)*(RASANTE!F91-PERALTE!$S$16)-2),IF(RASANTE!F91&lt;=PERALTE!$X$16,-8,IF(RASANTE!F91&lt;=PERALTE!$Z$16,(-6/(PERALTE!$X$16-PERALTE!$Z$16)*(RASANTE!F91-PERALTE!$Z$16)-2),IF(RASANTE!F91&lt;=PERALTE!$AB$16,-2))))),IF(AND(AH!$H$18="Derecha",RASANTE!F91&lt;=PERALTE!$AB$16),IF(RASANTE!F91&lt;=PERALTE!$Q$16,-2,IF(RASANTE!F91&lt;=PERALTE!$U$16,(10/(PERALTE!$U$16-PERALTE!$Q$16)*(RASANTE!F91-PERALTE!$Q$16)-2),IF(RASANTE!F91&lt;=PERALTE!$X$16,8,IF(RASANTE!F91&lt;=PERALTE!$AB$16,(10/(PERALTE!$X$16-PERALTE!$AB$16)*(RASANTE!F91-PERALTE!$AB$16)-2))))),IF(AND(AH!$H$20="Izquierda",RASANTE!F91&lt;=PERALTE!$AB$18),IF(RASANTE!F91&lt;=PERALTE!$S$18,-2,IF(RASANTE!F91&lt;=PERALTE!$U$18,(-6/(PERALTE!$U$18-PERALTE!$S$18)*(RASANTE!F91-PERALTE!$S$18)-2),IF(RASANTE!F91&lt;=PERALTE!$X$18,-8,IF(RASANTE!F91&lt;=PERALTE!$Z$18,(-6/(PERALTE!$X$18-PERALTE!$Z$18)*(RASANTE!F91-PERALTE!$Z$18)-2),IF(RASANTE!F91&lt;=PERALTE!$AB$18,-2))))),IF(AND(AH!$H$20="Derecha",RASANTE!F91&lt;=PERALTE!$AB$18),IF(RASANTE!F91&lt;=PERALTE!$Q$18,-2,IF(RASANTE!F91&lt;=PERALTE!$U$18,(10/(PERALTE!$U$18-PERALTE!$Q$18)*(RASANTE!F91-PERALTE!$Q$18)-2),IF(RASANTE!F91&lt;=PERALTE!$X$18,8,IF(RASANTE!F91&lt;=PERALTE!$AB$18,(10/(PERALTE!$X$18-PERALTE!$AB$18)*(RASANTE!F91-PERALTE!$AB$18)-2))))),IF(AND(AH!$H$24="Izquierda",RASANTE!F91&lt;=PERALTE!$AB$22),IF(RASANTE!F91&lt;=PERALTE!$S$22,-2,IF(RASANTE!F91&lt;=PERALTE!$U$22,(-6/(PERALTE!$U$22-PERALTE!$S$22)*(RASANTE!F91-PERALTE!$S$22)-2),IF(RASANTE!F91&lt;=PERALTE!$X$22,-8,IF(RASANTE!F91&lt;=PERALTE!$Z$22,(-6/(PERALTE!$X$22-PERALTE!$Z$22)*(RASANTE!F91-PERALTE!$Z$22)-2),IF(RASANTE!F91&lt;=PERALTE!$AB$22,-2))))),IF(AND(AH!$H$24="Derecha",RASANTE!F91&lt;=PERALTE!$AB$22),IF(RASANTE!F91&lt;=PERALTE!$Q$22,-2,IF(RASANTE!F91&lt;=PERALTE!$U$22,(10/(PERALTE!$U$22-PERALTE!$Q$22)*(RASANTE!F91-PERALTE!$Q$22)-2),IF(RASANTE!F91&lt;=PERALTE!$X$22,8,IF(RASANTE!F91&lt;=PERALTE!$AB$22,(10/(PERALTE!$X$22-PERALTE!$AB$22)*(RASANTE!F91-PERALTE!$AB$22)-2))))),IF(AND(AH!#REF!="Izquierda",RASANTE!F91&lt;=PERALTE!#REF!),IF(RASANTE!F91&lt;=PERALTE!#REF!,-2,IF(RASANTE!F91&lt;=PERALTE!#REF!,(-6/(PERALTE!#REF!-PERALTE!#REF!)*(RASANTE!F91-PERALTE!#REF!)-2),IF(RASANTE!F91&lt;=PERALTE!#REF!,-8,IF(RASANTE!F91&lt;=PERALTE!#REF!,(-6/(PERALTE!#REF!-PERALTE!#REF!)*(RASANTE!F91-PERALTE!#REF!)-2),IF(RASANTE!F91&lt;=PERALTE!#REF!,-2))))),IF(AND(AH!#REF!="Derecha",RASANTE!F91&lt;=PERALTE!#REF!),IF(RASANTE!F91&lt;=PERALTE!#REF!,-2,IF(RASANTE!F91&lt;=PERALTE!#REF!,(10/(PERALTE!#REF!-PERALTE!#REF!)*(RASANTE!F91-PERALTE!#REF!)-2),IF(RASANTE!F91&lt;=PERALTE!#REF!,8,IF(RASANTE!F91&lt;=PERALTE!#REF!,(10/(PERALTE!#REF!-PERALTE!#REF!)*(RASANTE!F91-PERALTE!#REF!)-2))))),IF(AND(AH!#REF!="Izquierda",RASANTE!F91&lt;=PERALTE!$AB$26),IF(RASANTE!F91&lt;=PERALTE!$S$26,-2,IF(RASANTE!F91&lt;=PERALTE!$U$26,(-6/(PERALTE!$U$26-PERALTE!$S$26)*(RASANTE!F91-PERALTE!$S$26)-2),IF(RASANTE!F91&lt;=PERALTE!$X$26,-8,IF(RASANTE!F91&lt;=PERALTE!$Z$26,(-6/(PERALTE!$X$26-PERALTE!$Z$26)*(RASANTE!F91-PERALTE!$Z$26)-2),IF(RASANTE!F91&lt;=PERALTE!$AB$26,-2))))),IF(AND(AH!#REF!="Derecha",RASANTE!F91&lt;=PERALTE!$AB$26),IF(RASANTE!F91&lt;=PERALTE!$Q$26,-2,IF(RASANTE!F91&lt;=PERALTE!$U$26,(10/(PERALTE!$U$26-PERALTE!$Q$26)*(RASANTE!F91-PERALTE!$Q$26)-2),IF(RASANTE!F91&lt;=PERALTE!$X$26,8,IF(RASANTE!F91&lt;=PERALTE!$AB$26,(10/(PERALTE!$X$26-PERALTE!$AB$26)*(RASANTE!F91-PERALTE!$AB$26)-2))))),IF(F91&lt;=PERALTE!#REF!,-2,"Abscisa fuera de la vía")))))))))))))))))))))</f>
        <v>4.8849813083506888E-15</v>
      </c>
      <c r="I91" s="28">
        <f>+IF(AND(AH!$H$8="Derecha",RASANTE!F91&lt;=PERALTE!$AB$6),IF(RASANTE!F91&lt;=PERALTE!$S$6,-2,IF(RASANTE!F91&lt;=PERALTE!$U$6,(-6/(PERALTE!$U$6-PERALTE!$S$6)*(RASANTE!F91-PERALTE!$S$6)-2),IF(RASANTE!F91&lt;=PERALTE!$X$6,-8,IF(RASANTE!F91&lt;=PERALTE!$Z$6,(-6/(PERALTE!$X$6-PERALTE!$Z$6)*(RASANTE!F91-PERALTE!$Z$6)-2),IF(RASANTE!F91&lt;=PERALTE!$AB$6,-2))))),IF(AND(AH!$H$8="Izquierda",RASANTE!F91&lt;=PERALTE!$AB$6),IF(RASANTE!F91&lt;=PERALTE!$Q$6,-2,IF(RASANTE!F91&lt;=PERALTE!$U$6,(10/(PERALTE!$U$6-PERALTE!$Q$6)*(RASANTE!F91-PERALTE!$Q$6)-2),IF(RASANTE!F91&lt;=PERALTE!$X$6,8,IF(RASANTE!F91&lt;=PERALTE!$AB$6,(10/(PERALTE!$X$6-PERALTE!$AB$6)*(RASANTE!F91-PERALTE!$AB$6)-2))))),IF(AND(AH!$H$10="Derecha",RASANTE!F91&lt;=PERALTE!$AB$8),IF(RASANTE!F91&lt;=PERALTE!$S$8,-2,IF(RASANTE!F91&lt;=PERALTE!$U$8,(-6/(PERALTE!$U$8-PERALTE!$S$8)*(RASANTE!F91-PERALTE!$S$8)-2),IF(RASANTE!F91&lt;=PERALTE!$X$8,-8,IF(RASANTE!F91&lt;=PERALTE!$Z$8,(-6/(PERALTE!$X$8-PERALTE!$Z$8)*(RASANTE!F91-PERALTE!$Z$8)-2),IF(RASANTE!F91&lt;=PERALTE!$AB$8,-2))))),IF(AND(AH!$H$10="Izquierda",RASANTE!F91&lt;=PERALTE!$AB$8),IF(RASANTE!F91&lt;=PERALTE!$Q$8,-2,IF(RASANTE!F91&lt;=PERALTE!$U$8,(10/(PERALTE!$U$8-PERALTE!$Q$8)*(RASANTE!F91-PERALTE!$Q$8)-2),IF(RASANTE!F91&lt;=PERALTE!$X$8,8,IF(RASANTE!F91&lt;=PERALTE!$AB$8,(10/(PERALTE!$X$8-PERALTE!$AB$8)*(RASANTE!F91-PERALTE!$AB$8)-2))))),IF(AND(AH!$H$12="Derecha",RASANTE!F91&lt;=PERALTE!$AB$10),IF(RASANTE!F91&lt;=PERALTE!$S$10,-2,IF(RASANTE!F91&lt;=PERALTE!$U$10,(-6/(PERALTE!$U$10-PERALTE!$S$10)*(RASANTE!F91-PERALTE!$S$10)-2),IF(RASANTE!F91&lt;=PERALTE!$X$10,-8,IF(RASANTE!F91&lt;=PERALTE!$Z$10,(-6/(PERALTE!$X$10-PERALTE!$Z$10)*(RASANTE!F91-PERALTE!$Z$10)-2),IF(RASANTE!F91&lt;=PERALTE!$AB$10,-2))))),IF(AND(AH!$H$12="Izquierda",RASANTE!F91&lt;=PERALTE!$AB$10),IF(RASANTE!F91&lt;=PERALTE!$Q$10,-2,IF(RASANTE!F91&lt;=PERALTE!$U$10,(10/(PERALTE!$U$10-PERALTE!$Q$10)*(RASANTE!F91-PERALTE!$Q$10)-2),IF(RASANTE!F91&lt;=PERALTE!$X$10,8,IF(RASANTE!F91&lt;=PERALTE!$AB$10,(10/(PERALTE!$X$10-PERALTE!$AB$10)*(RASANTE!F91-PERALTE!$AB$10)-2))))),IF(AND(AH!$H$14="Derecha",RASANTE!F91&lt;=PERALTE!$AB$12),IF(RASANTE!F91&lt;=PERALTE!$S$12,-2,IF(RASANTE!F91&lt;=PERALTE!$U$12,(-6/(PERALTE!$U$12-PERALTE!$S$12)*(RASANTE!F91-PERALTE!$S$12)-2),IF(RASANTE!F91&lt;=PERALTE!$X$12,-8,IF(RASANTE!F91&lt;=PERALTE!$Z$12,(-6/(PERALTE!$X$12-PERALTE!$Z$12)*(RASANTE!F91-PERALTE!$Z$12)-2),IF(RASANTE!F91&lt;=PERALTE!$AB$12,-2))))),IF(AND(AH!$H$14="Izquierda",RASANTE!F91&lt;=PERALTE!$AB$12),IF(RASANTE!F91&lt;=PERALTE!$Q$12,-2,IF(RASANTE!F91&lt;=PERALTE!$U$12,(10/(PERALTE!$U$12-PERALTE!$Q$12)*(RASANTE!F91-PERALTE!$Q$12)-2),IF(RASANTE!F91&lt;=PERALTE!$X$12,8,IF(RASANTE!F91&lt;=PERALTE!$AB$12,(10/(PERALTE!$X$12-PERALTE!$AB$12)*(RASANTE!F91-PERALTE!$AB$12)-2))))),IF(AND(AH!$H$16="Derecha",RASANTE!F91&lt;=PERALTE!$AB$14),IF(RASANTE!F91&lt;=PERALTE!$S$14,-2,IF(RASANTE!F91&lt;=PERALTE!$U$14,(-6/(PERALTE!$U$14-PERALTE!$S$14)*(RASANTE!F91-PERALTE!$S$14)-2),IF(RASANTE!F91&lt;=PERALTE!$X$14,-8,IF(RASANTE!F91&lt;=PERALTE!$Z$14,(-6/(PERALTE!$X$14-PERALTE!$Z$14)*(RASANTE!F91-PERALTE!$Z$14)-2),IF(RASANTE!F91&lt;=PERALTE!$AB$14,-2))))),IF(AND(AH!$H$16="Izquierda",RASANTE!F91&lt;=PERALTE!$AB$14),IF(RASANTE!F91&lt;=PERALTE!$Q$14,-2,IF(RASANTE!F91&lt;=PERALTE!$U$14,(10/(PERALTE!$U$14-PERALTE!$Q$14)*(RASANTE!F91-PERALTE!$Q$14)-2),IF(RASANTE!F91&lt;=PERALTE!$X$14,8,IF(RASANTE!F91&lt;=PERALTE!$AB$14,(10/(PERALTE!$X$14-PERALTE!$AB$14)*(RASANTE!F91-PERALTE!$AB$14)-2))))),IF(AND(AH!$H$18="Derecha",RASANTE!F91&lt;=PERALTE!$AB$16),IF(RASANTE!F91&lt;=PERALTE!$S$16,-2,IF(RASANTE!F91&lt;=PERALTE!$U$16,(-6/(PERALTE!$U$16-PERALTE!$S$16)*(RASANTE!F91-PERALTE!$S$16)-2),IF(RASANTE!F91&lt;=PERALTE!$X$16,-8,IF(RASANTE!F91&lt;=PERALTE!$Z$16,(-6/(PERALTE!$X$16-PERALTE!$Z$16)*(RASANTE!F91-PERALTE!$Z$16)-2),IF(RASANTE!F91&lt;=PERALTE!$AB$16,-2))))),IF(AND(AH!$H$18="Izquierda",RASANTE!F91&lt;=PERALTE!$AB$16),IF(RASANTE!F91&lt;=PERALTE!$Q$16,-2,IF(RASANTE!F91&lt;=PERALTE!$U$16,(10/(PERALTE!$U$16-PERALTE!$Q$16)*(RASANTE!F91-PERALTE!$Q$16)-2),IF(RASANTE!F91&lt;=PERALTE!$X$16,8,IF(RASANTE!F91&lt;=PERALTE!$AB$16,(10/(PERALTE!$X$16-PERALTE!$AB$16)*(RASANTE!F91-PERALTE!$AB$16)-2))))),IF(AND(AH!$H$20="Derecha",RASANTE!F91&lt;=PERALTE!$AB$18),IF(RASANTE!F91&lt;=PERALTE!$S$18,-2,IF(RASANTE!F91&lt;=PERALTE!$U$18,(-6/(PERALTE!$U$18-PERALTE!$S$18)*(RASANTE!F91-PERALTE!$S$18)-2),IF(RASANTE!F91&lt;=PERALTE!$X$18,-8,IF(RASANTE!F91&lt;=PERALTE!$Z$18,(-6/(PERALTE!$X$18-PERALTE!$Z$18)*(RASANTE!F91-PERALTE!$Z$18)-2),IF(RASANTE!F91&lt;=PERALTE!$AB$18,-2))))),IF(AND(AH!$H$20="Izquierda",RASANTE!F91&lt;=PERALTE!$AB$18),IF(RASANTE!F91&lt;=PERALTE!$Q$18,-2,IF(RASANTE!F91&lt;=PERALTE!$U$18,(10/(PERALTE!$U$18-PERALTE!$Q$18)*(RASANTE!F91-PERALTE!$Q$18)-2),IF(RASANTE!F91&lt;=PERALTE!$X$18,8,IF(RASANTE!F91&lt;=PERALTE!$AB$18,(10/(PERALTE!$X$18-PERALTE!$AB$18)*(RASANTE!F91-PERALTE!$AB$18)-2))))),IF(AND(AH!$H$24="Derecha",RASANTE!F91&lt;=PERALTE!$AB$22),IF(RASANTE!F91&lt;=PERALTE!$S$22,-2,IF(RASANTE!F91&lt;=PERALTE!$U$22,(-6/(PERALTE!$U$22-PERALTE!$S$22)*(RASANTE!F91-PERALTE!$S$22)-2),IF(RASANTE!F91&lt;=PERALTE!$X$22,-8,IF(RASANTE!F91&lt;=PERALTE!$Z$22,(-6/(PERALTE!$X$22-PERALTE!$Z$22)*(RASANTE!F91-PERALTE!$Z$22)-2),IF(RASANTE!F91&lt;=PERALTE!$AB$22,-2))))),IF(AND(AH!$H$24="Izquierda",RASANTE!F91&lt;=PERALTE!$AB$22),IF(RASANTE!F91&lt;=PERALTE!$Q$22,-2,IF(RASANTE!F91&lt;=PERALTE!$U$22,(10/(PERALTE!$U$22-PERALTE!$Q$22)*(RASANTE!F91-PERALTE!$Q$22)-2),IF(RASANTE!F91&lt;=PERALTE!$X$22,8,IF(RASANTE!F91&lt;=PERALTE!$AB$22,(10/(PERALTE!$X$22-PERALTE!$AB$22)*(RASANTE!F91-PERALTE!$AB$22)-2))))),IF(AND(AH!#REF!="Derecha",RASANTE!F91&lt;=PERALTE!#REF!),IF(RASANTE!F91&lt;=PERALTE!#REF!,-2,IF(RASANTE!F91&lt;=PERALTE!#REF!,(-6/(PERALTE!#REF!-PERALTE!#REF!)*(RASANTE!F91-PERALTE!#REF!)-2),IF(RASANTE!F91&lt;=PERALTE!#REF!,-8,IF(RASANTE!F91&lt;=PERALTE!#REF!,(-6/(PERALTE!#REF!-PERALTE!#REF!)*(RASANTE!F91-PERALTE!#REF!)-2),IF(RASANTE!F91&lt;=PERALTE!#REF!,-2))))),IF(AND(AH!#REF!="Izquierda",RASANTE!F91&lt;=PERALTE!#REF!),IF(RASANTE!F91&lt;=PERALTE!#REF!,-2,IF(RASANTE!F91&lt;=PERALTE!#REF!,(10/(PERALTE!#REF!-PERALTE!#REF!)*(RASANTE!F91-PERALTE!#REF!)-2),IF(RASANTE!F91&lt;=PERALTE!#REF!,8,IF(RASANTE!F91&lt;=PERALTE!#REF!,(10/(PERALTE!#REF!-PERALTE!#REF!)*(RASANTE!F91-PERALTE!#REF!)-2))))),IF(AND(AH!#REF!="Derecha",RASANTE!F91&lt;=PERALTE!$AB$26),IF(RASANTE!F91&lt;=PERALTE!$S$26,-2,IF(RASANTE!F91&lt;=PERALTE!$U$26,(-6/(PERALTE!$U$26-PERALTE!$S$26)*(RASANTE!F91-PERALTE!$S$26)-2),IF(RASANTE!F91&lt;=PERALTE!$X$26,-8,IF(RASANTE!F91&lt;=PERALTE!$Z$26,(-6/(PERALTE!$X$26-PERALTE!$Z$26)*(RASANTE!F91-PERALTE!$Z$26)-2),IF(RASANTE!F91&lt;=PERALTE!$AB$26,-2))))),IF(AND(AH!#REF!="Izquierda",RASANTE!F91&lt;=PERALTE!$AB$26),IF(RASANTE!F91&lt;=PERALTE!$Q$26,-2,IF(RASANTE!F91&lt;=PERALTE!$U$26,(10/(PERALTE!$U$26-PERALTE!$Q$26)*(RASANTE!F91-PERALTE!$Q$26)-2),IF(RASANTE!F91&lt;=PERALTE!$X$26,8,IF(RASANTE!F91&lt;=PERALTE!$AB$26,(10/(PERALTE!$X$26-PERALTE!$AB$26)*(RASANTE!F91-PERALTE!$AB$26)-2))))),IF(F91&lt;=PERALTE!#REF!,-2,"Abscisa fuera de la vía")))))))))))))))))))))</f>
        <v>-2</v>
      </c>
      <c r="J91" s="28">
        <f t="shared" si="4"/>
        <v>1634.3095428492645</v>
      </c>
      <c r="K91" s="28">
        <f>+IF(AND(AV!$S$6&lt;F188,F188&lt;=AV!$T$6),AV!$P$6*((AV!$S$6-RASANTE!F188)/(AV!$N$6))^2,IF(AND(AV!$T$6&lt;RASANTE!F188,F188&lt;AV!$U$6),AV!$P$6*((AV!$U$6-RASANTE!F188)/(AV!$O$6))^2,IF(AND(AV!$S$8&lt;F188,F188&lt;=AV!$T$8),AV!$P$8*((AV!$S$8-RASANTE!F188)/(AV!$N$8))^2,IF(AND(AV!$T$8&lt;RASANTE!F188,F188&lt;AV!$U$8),AV!$P$8*((AV!$U$8-RASANTE!F188)/(AV!$O$8))^2,IF(AND(AV!$S$10&lt;F188,F188&lt;=AV!$T$10),AV!$P$10*((AV!$S$10-RASANTE!F188)/(AV!$N$10))^2,IF(AND(AV!$T$10&lt;RASANTE!F188,F188&lt;AV!$U$10),AV!$P$10*((AV!$U$10-RASANTE!F188)/(AV!$O$10))^2,IF(AND(AV!$S$12&lt;F188,F188&lt;=AV!$T$12),AV!$P$12*((AV!$S$12-RASANTE!F188)/(AV!$N$12))^2,IF(AND(AV!$T$12&lt;RASANTE!F188,F188&lt;AV!$U$12),AV!$P$12*((AV!$U$12-RASANTE!F188)/(AV!$O$12))^2,IF(AND(AV!$S$14&lt;F188,F188&lt;=AV!$T$14),AV!$P$14*((AV!$S$14-RASANTE!F188)/(AV!$N$14))^2,IF(AND(AV!$T$14&lt;RASANTE!F188,F188&lt;AV!$U$14),AV!$P$14*((AV!$U$14-RASANTE!F188)/(AV!$O$14))^2,IF(AND(AV!$S$16&lt;F188,F188&lt;=AV!$T$16),AV!$P$16*((AV!$S$16-RASANTE!F188)/(AV!$N$16))^2,IF(AND(AV!$T$16&lt;RASANTE!F188,F188&lt;AV!$U$16),AV!$P$16*((AV!$U$16-RASANTE!F188)/(AV!$O$16))^2,IF(AND(AV!$S$18&lt;F188,F188&lt;=AV!$T$18),AV!$P$18*((AV!$S$18-RASANTE!F188)/(AV!$N$18))^2,IF(AND(AV!$T$18&lt;RASANTE!F188,F188&lt;AV!$U$18),AV!$P$18*((AV!$U$18-RASANTE!F188)/(AV!$O$18))^2,IF(AND(AV!$S$20&lt;F188,F188&lt;=AV!$T$20),AV!$P$20*((AV!$S$20-RASANTE!F188)/(AV!$N$20))^2,IF(AND(AV!$T$20&lt;RASANTE!F188,F188&lt;AV!$U$20),AV!$P$20*((AV!$U$20-RASANTE!F188)/(AV!$O$20))^2,IF(AND(AV!$S$22&lt;F188,F188&lt;=AV!$T$22),AV!$P$22*((AV!$S$22-RASANTE!F188)/(AV!$N$22))^2,IF(AND(AV!$T$22&lt;RASANTE!F188,F188&lt;AV!$U$22),AV!$P$22*((AV!$U$22-RASANTE!F188)/(AV!$O$22))^2,IF(AND(AV!$S$24&lt;F188,F188&lt;=AV!$T$24),AV!$P$24*((AV!$S$24-RASANTE!F188)/(AV!$N$24))^2,IF(AND(AV!$T$24&lt;RASANTE!F188,F188&lt;AV!$U$24),AV!$P$24*((AV!$U$24-RASANTE!F188)/(AV!$O$24))^2,0))))))))))))))))))))</f>
        <v>0</v>
      </c>
      <c r="L91" s="28">
        <f>+M91+H91%*PERALTE!$C$32</f>
        <v>1634.3095428492645</v>
      </c>
      <c r="M91" s="28">
        <f t="shared" si="3"/>
        <v>1634.3095428492645</v>
      </c>
      <c r="N91" s="28">
        <f>+M91+I91%*PERALTE!$C$32</f>
        <v>1634.2395428492646</v>
      </c>
      <c r="O91" s="92"/>
      <c r="P91" s="84"/>
      <c r="Q91" s="84"/>
      <c r="R91" s="84"/>
      <c r="S91" s="84"/>
      <c r="T91" s="84"/>
      <c r="U91" s="84"/>
      <c r="V91" s="84"/>
      <c r="W91" s="84"/>
      <c r="X91" s="84"/>
      <c r="Y91" s="84"/>
    </row>
    <row r="92" spans="1:25" ht="15.75" customHeight="1" x14ac:dyDescent="0.2">
      <c r="A92" s="111"/>
      <c r="E92" s="115"/>
      <c r="F92" s="34">
        <v>590</v>
      </c>
      <c r="G92" s="88">
        <f>IF(F92&lt;=AV!$T$6,AV!$C$5,IF(RASANTE!F92&lt;=AV!$T$8,AV!$C$7,IF(RASANTE!F92&lt;=AV!$T$10,AV!$C$9,IF(RASANTE!F92&lt;=AV!$T$12,AV!#REF!,IF(RASANTE!F92&lt;=AV!$T$14,AV!$C$11,IF(RASANTE!F92&lt;=AV!$T$16,AV!$C$13, IF(RASANTE!F92&lt;=AV!$T$18,AV!$C$15,IF(RASANTE!F92&lt;=AV!$T$20,AV!$C$19,IF(RASANTE!F92&lt;=AV!$T$22,AV!$C$21,IF(RASANTE!F92&lt;=AV!$T$24,AV!$C$23,AV!$C$25))))))))))</f>
        <v>-3</v>
      </c>
      <c r="H92" s="28">
        <f>+IF(AND(AH!$H$8="Izquierda",RASANTE!F92&lt;=PERALTE!$AB$6),IF(RASANTE!F92&lt;=PERALTE!$S$6,-2,IF(RASANTE!F92&lt;=PERALTE!$U$6,(-6/(PERALTE!$U$6-PERALTE!$S$6)*(RASANTE!F92-PERALTE!$S$6)-2),IF(RASANTE!F92&lt;=PERALTE!$X$6,-8,IF(RASANTE!F92&lt;=PERALTE!$Z$6,(-6/(PERALTE!$X$6-PERALTE!$Z$6)*(RASANTE!F92-PERALTE!$Z$6)-2),IF(RASANTE!F92&lt;=PERALTE!$AB$6,-2))))),IF(AND(AH!$H$8="Derecha",RASANTE!F92&lt;=PERALTE!$AB$6),IF(RASANTE!F92&lt;=PERALTE!$Q$6,-2,IF(RASANTE!F92&lt;=PERALTE!$U$6,(10/(PERALTE!$U$6-PERALTE!$Q$6)*(RASANTE!F92-PERALTE!$Q$6)-2),IF(RASANTE!F92&lt;=PERALTE!$X$6,8,IF(RASANTE!F92&lt;=PERALTE!$AB$6,(10/(PERALTE!$X$6-PERALTE!$AB$6)*(RASANTE!F92-PERALTE!$AB$6)-2))))),IF(AND(AH!$H$10="Izquierda",RASANTE!F92&lt;=PERALTE!$AB$8),IF(RASANTE!F92&lt;=PERALTE!$S$8,-2,IF(RASANTE!F92&lt;=PERALTE!$U$8,(-6/(PERALTE!$U$8-PERALTE!$S$8)*(RASANTE!F92-PERALTE!$S$8)-2),IF(RASANTE!F92&lt;=PERALTE!$X$8,-8,IF(RASANTE!F92&lt;=PERALTE!$Z$8,(-6/(PERALTE!$X$8-PERALTE!$Z$8)*(RASANTE!F92-PERALTE!$Z$8)-2),IF(RASANTE!F92&lt;=PERALTE!$AB$8,-2))))),IF(AND(AH!$H$10="Derecha",RASANTE!F92&lt;=PERALTE!$AB$8),IF(RASANTE!F92&lt;=PERALTE!$Q$8,-2,IF(RASANTE!F92&lt;=PERALTE!$U$8,(10/(PERALTE!$U$8-PERALTE!$Q$8)*(RASANTE!F92-PERALTE!$Q$8)-2),IF(RASANTE!F92&lt;=PERALTE!$X$8,8,IF(RASANTE!F92&lt;=PERALTE!$AB$8,(10/(PERALTE!$X$8-PERALTE!$AB$8)*(RASANTE!F92-PERALTE!$AB$8)-2))))),IF(AND(AH!$H$12="Izquierda",RASANTE!F92&lt;=PERALTE!$AB$10),IF(RASANTE!F92&lt;=PERALTE!$S$10,-2,IF(RASANTE!F92&lt;=PERALTE!$U$10,(-6/(PERALTE!$U$10-PERALTE!$S$10)*(RASANTE!F92-PERALTE!$S$10)-2),IF(RASANTE!F92&lt;=PERALTE!$X$10,-8,IF(RASANTE!F92&lt;=PERALTE!$Z$10,(-6/(PERALTE!$X$10-PERALTE!$Z$10)*(RASANTE!F92-PERALTE!$Z$10)-2),IF(RASANTE!F92&lt;=PERALTE!$AB$10,-2))))),IF(AND(AH!$H$12="Derecha",RASANTE!F92&lt;=PERALTE!$AB$10),IF(RASANTE!F92&lt;=PERALTE!$Q$10,-2,IF(RASANTE!F92&lt;=PERALTE!$U$10,(10/(PERALTE!$U$10-PERALTE!$Q$10)*(RASANTE!F92-PERALTE!$Q$10)-2),IF(RASANTE!F92&lt;=PERALTE!$X$10,8,IF(RASANTE!F92&lt;=PERALTE!$AB$10,(10/(PERALTE!$X$10-PERALTE!$AB$10)*(RASANTE!F92-PERALTE!$AB$10)-2))))),IF(AND(AH!$H$14="Izquierda",RASANTE!F92&lt;=PERALTE!$AB$12),IF(RASANTE!F92&lt;=PERALTE!$S$12,-2,IF(RASANTE!F92&lt;=PERALTE!$U$12,(-6/(PERALTE!$U$12-PERALTE!$S$12)*(RASANTE!F92-PERALTE!$S$12)-2),IF(RASANTE!F92&lt;=PERALTE!$X$12,-8,IF(RASANTE!F92&lt;=PERALTE!$Z$12,(-6/(PERALTE!$X$12-PERALTE!$Z$12)*(RASANTE!F92-PERALTE!$Z$12)-2),IF(RASANTE!F92&lt;=PERALTE!$AB$12,-2))))),IF(AND(AH!$H$14="Derecha",RASANTE!F92&lt;=PERALTE!$AB$12),IF(RASANTE!F92&lt;=PERALTE!$Q$12,-2,IF(RASANTE!F92&lt;=PERALTE!$U$12,(10/(PERALTE!$U$12-PERALTE!$Q$12)*(RASANTE!F92-PERALTE!$Q$12)-2),IF(RASANTE!F92&lt;=PERALTE!$X$12,8,IF(RASANTE!F92&lt;=PERALTE!$AB$12,(10/(PERALTE!$X$12-PERALTE!$AB$12)*(RASANTE!F92-PERALTE!$AB$12)-2))))),IF(AND(AH!$H$16="Izquierda",RASANTE!F92&lt;=PERALTE!$AB$14),IF(RASANTE!F92&lt;=PERALTE!$S$14,-2,IF(RASANTE!F92&lt;=PERALTE!$U$14,(-6/(PERALTE!$U$14-PERALTE!$S$14)*(RASANTE!F92-PERALTE!$S$14)-2),IF(RASANTE!F92&lt;=PERALTE!$X$14,-8,IF(RASANTE!F92&lt;=PERALTE!$Z$14,(-6/(PERALTE!$X$14-PERALTE!$Z$14)*(RASANTE!F92-PERALTE!$Z$14)-2),IF(RASANTE!F92&lt;=PERALTE!$AB$14,-2))))),IF(AND(AH!$H$16="Derecha",RASANTE!F92&lt;=PERALTE!$AB$14),IF(RASANTE!F92&lt;=PERALTE!$Q$14,-2,IF(RASANTE!F92&lt;=PERALTE!$U$14,(10/(PERALTE!$U$14-PERALTE!$Q$14)*(RASANTE!F92-PERALTE!$Q$14)-2),IF(RASANTE!F92&lt;=PERALTE!$X$14,8,IF(RASANTE!F92&lt;=PERALTE!$AB$14,(10/(PERALTE!$X$14-PERALTE!$AB$14)*(RASANTE!F92-PERALTE!$AB$14)-2))))),IF(AND(AH!$H$18="Izquierda",RASANTE!F92&lt;=PERALTE!$AB$16),IF(RASANTE!F92&lt;=PERALTE!$S$16,-2,IF(RASANTE!F92&lt;=PERALTE!$U$16,(-6/(PERALTE!$U$16-PERALTE!$S$16)*(RASANTE!F92-PERALTE!$S$16)-2),IF(RASANTE!F92&lt;=PERALTE!$X$16,-8,IF(RASANTE!F92&lt;=PERALTE!$Z$16,(-6/(PERALTE!$X$16-PERALTE!$Z$16)*(RASANTE!F92-PERALTE!$Z$16)-2),IF(RASANTE!F92&lt;=PERALTE!$AB$16,-2))))),IF(AND(AH!$H$18="Derecha",RASANTE!F92&lt;=PERALTE!$AB$16),IF(RASANTE!F92&lt;=PERALTE!$Q$16,-2,IF(RASANTE!F92&lt;=PERALTE!$U$16,(10/(PERALTE!$U$16-PERALTE!$Q$16)*(RASANTE!F92-PERALTE!$Q$16)-2),IF(RASANTE!F92&lt;=PERALTE!$X$16,8,IF(RASANTE!F92&lt;=PERALTE!$AB$16,(10/(PERALTE!$X$16-PERALTE!$AB$16)*(RASANTE!F92-PERALTE!$AB$16)-2))))),IF(AND(AH!$H$20="Izquierda",RASANTE!F92&lt;=PERALTE!$AB$18),IF(RASANTE!F92&lt;=PERALTE!$S$18,-2,IF(RASANTE!F92&lt;=PERALTE!$U$18,(-6/(PERALTE!$U$18-PERALTE!$S$18)*(RASANTE!F92-PERALTE!$S$18)-2),IF(RASANTE!F92&lt;=PERALTE!$X$18,-8,IF(RASANTE!F92&lt;=PERALTE!$Z$18,(-6/(PERALTE!$X$18-PERALTE!$Z$18)*(RASANTE!F92-PERALTE!$Z$18)-2),IF(RASANTE!F92&lt;=PERALTE!$AB$18,-2))))),IF(AND(AH!$H$20="Derecha",RASANTE!F92&lt;=PERALTE!$AB$18),IF(RASANTE!F92&lt;=PERALTE!$Q$18,-2,IF(RASANTE!F92&lt;=PERALTE!$U$18,(10/(PERALTE!$U$18-PERALTE!$Q$18)*(RASANTE!F92-PERALTE!$Q$18)-2),IF(RASANTE!F92&lt;=PERALTE!$X$18,8,IF(RASANTE!F92&lt;=PERALTE!$AB$18,(10/(PERALTE!$X$18-PERALTE!$AB$18)*(RASANTE!F92-PERALTE!$AB$18)-2))))),IF(AND(AH!$H$24="Izquierda",RASANTE!F92&lt;=PERALTE!$AB$22),IF(RASANTE!F92&lt;=PERALTE!$S$22,-2,IF(RASANTE!F92&lt;=PERALTE!$U$22,(-6/(PERALTE!$U$22-PERALTE!$S$22)*(RASANTE!F92-PERALTE!$S$22)-2),IF(RASANTE!F92&lt;=PERALTE!$X$22,-8,IF(RASANTE!F92&lt;=PERALTE!$Z$22,(-6/(PERALTE!$X$22-PERALTE!$Z$22)*(RASANTE!F92-PERALTE!$Z$22)-2),IF(RASANTE!F92&lt;=PERALTE!$AB$22,-2))))),IF(AND(AH!$H$24="Derecha",RASANTE!F92&lt;=PERALTE!$AB$22),IF(RASANTE!F92&lt;=PERALTE!$Q$22,-2,IF(RASANTE!F92&lt;=PERALTE!$U$22,(10/(PERALTE!$U$22-PERALTE!$Q$22)*(RASANTE!F92-PERALTE!$Q$22)-2),IF(RASANTE!F92&lt;=PERALTE!$X$22,8,IF(RASANTE!F92&lt;=PERALTE!$AB$22,(10/(PERALTE!$X$22-PERALTE!$AB$22)*(RASANTE!F92-PERALTE!$AB$22)-2))))),IF(AND(AH!#REF!="Izquierda",RASANTE!F92&lt;=PERALTE!#REF!),IF(RASANTE!F92&lt;=PERALTE!#REF!,-2,IF(RASANTE!F92&lt;=PERALTE!#REF!,(-6/(PERALTE!#REF!-PERALTE!#REF!)*(RASANTE!F92-PERALTE!#REF!)-2),IF(RASANTE!F92&lt;=PERALTE!#REF!,-8,IF(RASANTE!F92&lt;=PERALTE!#REF!,(-6/(PERALTE!#REF!-PERALTE!#REF!)*(RASANTE!F92-PERALTE!#REF!)-2),IF(RASANTE!F92&lt;=PERALTE!#REF!,-2))))),IF(AND(AH!#REF!="Derecha",RASANTE!F92&lt;=PERALTE!#REF!),IF(RASANTE!F92&lt;=PERALTE!#REF!,-2,IF(RASANTE!F92&lt;=PERALTE!#REF!,(10/(PERALTE!#REF!-PERALTE!#REF!)*(RASANTE!F92-PERALTE!#REF!)-2),IF(RASANTE!F92&lt;=PERALTE!#REF!,8,IF(RASANTE!F92&lt;=PERALTE!#REF!,(10/(PERALTE!#REF!-PERALTE!#REF!)*(RASANTE!F92-PERALTE!#REF!)-2))))),IF(AND(AH!#REF!="Izquierda",RASANTE!F92&lt;=PERALTE!$AB$26),IF(RASANTE!F92&lt;=PERALTE!$S$26,-2,IF(RASANTE!F92&lt;=PERALTE!$U$26,(-6/(PERALTE!$U$26-PERALTE!$S$26)*(RASANTE!F92-PERALTE!$S$26)-2),IF(RASANTE!F92&lt;=PERALTE!$X$26,-8,IF(RASANTE!F92&lt;=PERALTE!$Z$26,(-6/(PERALTE!$X$26-PERALTE!$Z$26)*(RASANTE!F92-PERALTE!$Z$26)-2),IF(RASANTE!F92&lt;=PERALTE!$AB$26,-2))))),IF(AND(AH!#REF!="Derecha",RASANTE!F92&lt;=PERALTE!$AB$26),IF(RASANTE!F92&lt;=PERALTE!$Q$26,-2,IF(RASANTE!F92&lt;=PERALTE!$U$26,(10/(PERALTE!$U$26-PERALTE!$Q$26)*(RASANTE!F92-PERALTE!$Q$26)-2),IF(RASANTE!F92&lt;=PERALTE!$X$26,8,IF(RASANTE!F92&lt;=PERALTE!$AB$26,(10/(PERALTE!$X$26-PERALTE!$AB$26)*(RASANTE!F92-PERALTE!$AB$26)-2))))),IF(F92&lt;=PERALTE!#REF!,-2,"Abscisa fuera de la vía")))))))))))))))))))))</f>
        <v>-1.6363808945984899</v>
      </c>
      <c r="I92" s="28">
        <f>+IF(AND(AH!$H$8="Derecha",RASANTE!F92&lt;=PERALTE!$AB$6),IF(RASANTE!F92&lt;=PERALTE!$S$6,-2,IF(RASANTE!F92&lt;=PERALTE!$U$6,(-6/(PERALTE!$U$6-PERALTE!$S$6)*(RASANTE!F92-PERALTE!$S$6)-2),IF(RASANTE!F92&lt;=PERALTE!$X$6,-8,IF(RASANTE!F92&lt;=PERALTE!$Z$6,(-6/(PERALTE!$X$6-PERALTE!$Z$6)*(RASANTE!F92-PERALTE!$Z$6)-2),IF(RASANTE!F92&lt;=PERALTE!$AB$6,-2))))),IF(AND(AH!$H$8="Izquierda",RASANTE!F92&lt;=PERALTE!$AB$6),IF(RASANTE!F92&lt;=PERALTE!$Q$6,-2,IF(RASANTE!F92&lt;=PERALTE!$U$6,(10/(PERALTE!$U$6-PERALTE!$Q$6)*(RASANTE!F92-PERALTE!$Q$6)-2),IF(RASANTE!F92&lt;=PERALTE!$X$6,8,IF(RASANTE!F92&lt;=PERALTE!$AB$6,(10/(PERALTE!$X$6-PERALTE!$AB$6)*(RASANTE!F92-PERALTE!$AB$6)-2))))),IF(AND(AH!$H$10="Derecha",RASANTE!F92&lt;=PERALTE!$AB$8),IF(RASANTE!F92&lt;=PERALTE!$S$8,-2,IF(RASANTE!F92&lt;=PERALTE!$U$8,(-6/(PERALTE!$U$8-PERALTE!$S$8)*(RASANTE!F92-PERALTE!$S$8)-2),IF(RASANTE!F92&lt;=PERALTE!$X$8,-8,IF(RASANTE!F92&lt;=PERALTE!$Z$8,(-6/(PERALTE!$X$8-PERALTE!$Z$8)*(RASANTE!F92-PERALTE!$Z$8)-2),IF(RASANTE!F92&lt;=PERALTE!$AB$8,-2))))),IF(AND(AH!$H$10="Izquierda",RASANTE!F92&lt;=PERALTE!$AB$8),IF(RASANTE!F92&lt;=PERALTE!$Q$8,-2,IF(RASANTE!F92&lt;=PERALTE!$U$8,(10/(PERALTE!$U$8-PERALTE!$Q$8)*(RASANTE!F92-PERALTE!$Q$8)-2),IF(RASANTE!F92&lt;=PERALTE!$X$8,8,IF(RASANTE!F92&lt;=PERALTE!$AB$8,(10/(PERALTE!$X$8-PERALTE!$AB$8)*(RASANTE!F92-PERALTE!$AB$8)-2))))),IF(AND(AH!$H$12="Derecha",RASANTE!F92&lt;=PERALTE!$AB$10),IF(RASANTE!F92&lt;=PERALTE!$S$10,-2,IF(RASANTE!F92&lt;=PERALTE!$U$10,(-6/(PERALTE!$U$10-PERALTE!$S$10)*(RASANTE!F92-PERALTE!$S$10)-2),IF(RASANTE!F92&lt;=PERALTE!$X$10,-8,IF(RASANTE!F92&lt;=PERALTE!$Z$10,(-6/(PERALTE!$X$10-PERALTE!$Z$10)*(RASANTE!F92-PERALTE!$Z$10)-2),IF(RASANTE!F92&lt;=PERALTE!$AB$10,-2))))),IF(AND(AH!$H$12="Izquierda",RASANTE!F92&lt;=PERALTE!$AB$10),IF(RASANTE!F92&lt;=PERALTE!$Q$10,-2,IF(RASANTE!F92&lt;=PERALTE!$U$10,(10/(PERALTE!$U$10-PERALTE!$Q$10)*(RASANTE!F92-PERALTE!$Q$10)-2),IF(RASANTE!F92&lt;=PERALTE!$X$10,8,IF(RASANTE!F92&lt;=PERALTE!$AB$10,(10/(PERALTE!$X$10-PERALTE!$AB$10)*(RASANTE!F92-PERALTE!$AB$10)-2))))),IF(AND(AH!$H$14="Derecha",RASANTE!F92&lt;=PERALTE!$AB$12),IF(RASANTE!F92&lt;=PERALTE!$S$12,-2,IF(RASANTE!F92&lt;=PERALTE!$U$12,(-6/(PERALTE!$U$12-PERALTE!$S$12)*(RASANTE!F92-PERALTE!$S$12)-2),IF(RASANTE!F92&lt;=PERALTE!$X$12,-8,IF(RASANTE!F92&lt;=PERALTE!$Z$12,(-6/(PERALTE!$X$12-PERALTE!$Z$12)*(RASANTE!F92-PERALTE!$Z$12)-2),IF(RASANTE!F92&lt;=PERALTE!$AB$12,-2))))),IF(AND(AH!$H$14="Izquierda",RASANTE!F92&lt;=PERALTE!$AB$12),IF(RASANTE!F92&lt;=PERALTE!$Q$12,-2,IF(RASANTE!F92&lt;=PERALTE!$U$12,(10/(PERALTE!$U$12-PERALTE!$Q$12)*(RASANTE!F92-PERALTE!$Q$12)-2),IF(RASANTE!F92&lt;=PERALTE!$X$12,8,IF(RASANTE!F92&lt;=PERALTE!$AB$12,(10/(PERALTE!$X$12-PERALTE!$AB$12)*(RASANTE!F92-PERALTE!$AB$12)-2))))),IF(AND(AH!$H$16="Derecha",RASANTE!F92&lt;=PERALTE!$AB$14),IF(RASANTE!F92&lt;=PERALTE!$S$14,-2,IF(RASANTE!F92&lt;=PERALTE!$U$14,(-6/(PERALTE!$U$14-PERALTE!$S$14)*(RASANTE!F92-PERALTE!$S$14)-2),IF(RASANTE!F92&lt;=PERALTE!$X$14,-8,IF(RASANTE!F92&lt;=PERALTE!$Z$14,(-6/(PERALTE!$X$14-PERALTE!$Z$14)*(RASANTE!F92-PERALTE!$Z$14)-2),IF(RASANTE!F92&lt;=PERALTE!$AB$14,-2))))),IF(AND(AH!$H$16="Izquierda",RASANTE!F92&lt;=PERALTE!$AB$14),IF(RASANTE!F92&lt;=PERALTE!$Q$14,-2,IF(RASANTE!F92&lt;=PERALTE!$U$14,(10/(PERALTE!$U$14-PERALTE!$Q$14)*(RASANTE!F92-PERALTE!$Q$14)-2),IF(RASANTE!F92&lt;=PERALTE!$X$14,8,IF(RASANTE!F92&lt;=PERALTE!$AB$14,(10/(PERALTE!$X$14-PERALTE!$AB$14)*(RASANTE!F92-PERALTE!$AB$14)-2))))),IF(AND(AH!$H$18="Derecha",RASANTE!F92&lt;=PERALTE!$AB$16),IF(RASANTE!F92&lt;=PERALTE!$S$16,-2,IF(RASANTE!F92&lt;=PERALTE!$U$16,(-6/(PERALTE!$U$16-PERALTE!$S$16)*(RASANTE!F92-PERALTE!$S$16)-2),IF(RASANTE!F92&lt;=PERALTE!$X$16,-8,IF(RASANTE!F92&lt;=PERALTE!$Z$16,(-6/(PERALTE!$X$16-PERALTE!$Z$16)*(RASANTE!F92-PERALTE!$Z$16)-2),IF(RASANTE!F92&lt;=PERALTE!$AB$16,-2))))),IF(AND(AH!$H$18="Izquierda",RASANTE!F92&lt;=PERALTE!$AB$16),IF(RASANTE!F92&lt;=PERALTE!$Q$16,-2,IF(RASANTE!F92&lt;=PERALTE!$U$16,(10/(PERALTE!$U$16-PERALTE!$Q$16)*(RASANTE!F92-PERALTE!$Q$16)-2),IF(RASANTE!F92&lt;=PERALTE!$X$16,8,IF(RASANTE!F92&lt;=PERALTE!$AB$16,(10/(PERALTE!$X$16-PERALTE!$AB$16)*(RASANTE!F92-PERALTE!$AB$16)-2))))),IF(AND(AH!$H$20="Derecha",RASANTE!F92&lt;=PERALTE!$AB$18),IF(RASANTE!F92&lt;=PERALTE!$S$18,-2,IF(RASANTE!F92&lt;=PERALTE!$U$18,(-6/(PERALTE!$U$18-PERALTE!$S$18)*(RASANTE!F92-PERALTE!$S$18)-2),IF(RASANTE!F92&lt;=PERALTE!$X$18,-8,IF(RASANTE!F92&lt;=PERALTE!$Z$18,(-6/(PERALTE!$X$18-PERALTE!$Z$18)*(RASANTE!F92-PERALTE!$Z$18)-2),IF(RASANTE!F92&lt;=PERALTE!$AB$18,-2))))),IF(AND(AH!$H$20="Izquierda",RASANTE!F92&lt;=PERALTE!$AB$18),IF(RASANTE!F92&lt;=PERALTE!$Q$18,-2,IF(RASANTE!F92&lt;=PERALTE!$U$18,(10/(PERALTE!$U$18-PERALTE!$Q$18)*(RASANTE!F92-PERALTE!$Q$18)-2),IF(RASANTE!F92&lt;=PERALTE!$X$18,8,IF(RASANTE!F92&lt;=PERALTE!$AB$18,(10/(PERALTE!$X$18-PERALTE!$AB$18)*(RASANTE!F92-PERALTE!$AB$18)-2))))),IF(AND(AH!$H$24="Derecha",RASANTE!F92&lt;=PERALTE!$AB$22),IF(RASANTE!F92&lt;=PERALTE!$S$22,-2,IF(RASANTE!F92&lt;=PERALTE!$U$22,(-6/(PERALTE!$U$22-PERALTE!$S$22)*(RASANTE!F92-PERALTE!$S$22)-2),IF(RASANTE!F92&lt;=PERALTE!$X$22,-8,IF(RASANTE!F92&lt;=PERALTE!$Z$22,(-6/(PERALTE!$X$22-PERALTE!$Z$22)*(RASANTE!F92-PERALTE!$Z$22)-2),IF(RASANTE!F92&lt;=PERALTE!$AB$22,-2))))),IF(AND(AH!$H$24="Izquierda",RASANTE!F92&lt;=PERALTE!$AB$22),IF(RASANTE!F92&lt;=PERALTE!$Q$22,-2,IF(RASANTE!F92&lt;=PERALTE!$U$22,(10/(PERALTE!$U$22-PERALTE!$Q$22)*(RASANTE!F92-PERALTE!$Q$22)-2),IF(RASANTE!F92&lt;=PERALTE!$X$22,8,IF(RASANTE!F92&lt;=PERALTE!$AB$22,(10/(PERALTE!$X$22-PERALTE!$AB$22)*(RASANTE!F92-PERALTE!$AB$22)-2))))),IF(AND(AH!#REF!="Derecha",RASANTE!F92&lt;=PERALTE!#REF!),IF(RASANTE!F92&lt;=PERALTE!#REF!,-2,IF(RASANTE!F92&lt;=PERALTE!#REF!,(-6/(PERALTE!#REF!-PERALTE!#REF!)*(RASANTE!F92-PERALTE!#REF!)-2),IF(RASANTE!F92&lt;=PERALTE!#REF!,-8,IF(RASANTE!F92&lt;=PERALTE!#REF!,(-6/(PERALTE!#REF!-PERALTE!#REF!)*(RASANTE!F92-PERALTE!#REF!)-2),IF(RASANTE!F92&lt;=PERALTE!#REF!,-2))))),IF(AND(AH!#REF!="Izquierda",RASANTE!F92&lt;=PERALTE!#REF!),IF(RASANTE!F92&lt;=PERALTE!#REF!,-2,IF(RASANTE!F92&lt;=PERALTE!#REF!,(10/(PERALTE!#REF!-PERALTE!#REF!)*(RASANTE!F92-PERALTE!#REF!)-2),IF(RASANTE!F92&lt;=PERALTE!#REF!,8,IF(RASANTE!F92&lt;=PERALTE!#REF!,(10/(PERALTE!#REF!-PERALTE!#REF!)*(RASANTE!F92-PERALTE!#REF!)-2))))),IF(AND(AH!#REF!="Derecha",RASANTE!F92&lt;=PERALTE!$AB$26),IF(RASANTE!F92&lt;=PERALTE!$S$26,-2,IF(RASANTE!F92&lt;=PERALTE!$U$26,(-6/(PERALTE!$U$26-PERALTE!$S$26)*(RASANTE!F92-PERALTE!$S$26)-2),IF(RASANTE!F92&lt;=PERALTE!$X$26,-8,IF(RASANTE!F92&lt;=PERALTE!$Z$26,(-6/(PERALTE!$X$26-PERALTE!$Z$26)*(RASANTE!F92-PERALTE!$Z$26)-2),IF(RASANTE!F92&lt;=PERALTE!$AB$26,-2))))),IF(AND(AH!#REF!="Izquierda",RASANTE!F92&lt;=PERALTE!$AB$26),IF(RASANTE!F92&lt;=PERALTE!$Q$26,-2,IF(RASANTE!F92&lt;=PERALTE!$U$26,(10/(PERALTE!$U$26-PERALTE!$Q$26)*(RASANTE!F92-PERALTE!$Q$26)-2),IF(RASANTE!F92&lt;=PERALTE!$X$26,8,IF(RASANTE!F92&lt;=PERALTE!$AB$26,(10/(PERALTE!$X$26-PERALTE!$AB$26)*(RASANTE!F92-PERALTE!$AB$26)-2))))),IF(F92&lt;=PERALTE!#REF!,-2,"Abscisa fuera de la vía")))))))))))))))))))))</f>
        <v>-2</v>
      </c>
      <c r="J92" s="28">
        <f t="shared" si="4"/>
        <v>1634.086400000001</v>
      </c>
      <c r="K92" s="28">
        <f>+IF(AND(AV!$S$6&lt;F189,F189&lt;=AV!$T$6),AV!$P$6*((AV!$S$6-RASANTE!F189)/(AV!$N$6))^2,IF(AND(AV!$T$6&lt;RASANTE!F189,F189&lt;AV!$U$6),AV!$P$6*((AV!$U$6-RASANTE!F189)/(AV!$O$6))^2,IF(AND(AV!$S$8&lt;F189,F189&lt;=AV!$T$8),AV!$P$8*((AV!$S$8-RASANTE!F189)/(AV!$N$8))^2,IF(AND(AV!$T$8&lt;RASANTE!F189,F189&lt;AV!$U$8),AV!$P$8*((AV!$U$8-RASANTE!F189)/(AV!$O$8))^2,IF(AND(AV!$S$10&lt;F189,F189&lt;=AV!$T$10),AV!$P$10*((AV!$S$10-RASANTE!F189)/(AV!$N$10))^2,IF(AND(AV!$T$10&lt;RASANTE!F189,F189&lt;AV!$U$10),AV!$P$10*((AV!$U$10-RASANTE!F189)/(AV!$O$10))^2,IF(AND(AV!$S$12&lt;F189,F189&lt;=AV!$T$12),AV!$P$12*((AV!$S$12-RASANTE!F189)/(AV!$N$12))^2,IF(AND(AV!$T$12&lt;RASANTE!F189,F189&lt;AV!$U$12),AV!$P$12*((AV!$U$12-RASANTE!F189)/(AV!$O$12))^2,IF(AND(AV!$S$14&lt;F189,F189&lt;=AV!$T$14),AV!$P$14*((AV!$S$14-RASANTE!F189)/(AV!$N$14))^2,IF(AND(AV!$T$14&lt;RASANTE!F189,F189&lt;AV!$U$14),AV!$P$14*((AV!$U$14-RASANTE!F189)/(AV!$O$14))^2,IF(AND(AV!$S$16&lt;F189,F189&lt;=AV!$T$16),AV!$P$16*((AV!$S$16-RASANTE!F189)/(AV!$N$16))^2,IF(AND(AV!$T$16&lt;RASANTE!F189,F189&lt;AV!$U$16),AV!$P$16*((AV!$U$16-RASANTE!F189)/(AV!$O$16))^2,IF(AND(AV!$S$18&lt;F189,F189&lt;=AV!$T$18),AV!$P$18*((AV!$S$18-RASANTE!F189)/(AV!$N$18))^2,IF(AND(AV!$T$18&lt;RASANTE!F189,F189&lt;AV!$U$18),AV!$P$18*((AV!$U$18-RASANTE!F189)/(AV!$O$18))^2,IF(AND(AV!$S$20&lt;F189,F189&lt;=AV!$T$20),AV!$P$20*((AV!$S$20-RASANTE!F189)/(AV!$N$20))^2,IF(AND(AV!$T$20&lt;RASANTE!F189,F189&lt;AV!$U$20),AV!$P$20*((AV!$U$20-RASANTE!F189)/(AV!$O$20))^2,IF(AND(AV!$S$22&lt;F189,F189&lt;=AV!$T$22),AV!$P$22*((AV!$S$22-RASANTE!F189)/(AV!$N$22))^2,IF(AND(AV!$T$22&lt;RASANTE!F189,F189&lt;AV!$U$22),AV!$P$22*((AV!$U$22-RASANTE!F189)/(AV!$O$22))^2,IF(AND(AV!$S$24&lt;F189,F189&lt;=AV!$T$24),AV!$P$24*((AV!$S$24-RASANTE!F189)/(AV!$N$24))^2,IF(AND(AV!$T$24&lt;RASANTE!F189,F189&lt;AV!$U$24),AV!$P$24*((AV!$U$24-RASANTE!F189)/(AV!$O$24))^2,0))))))))))))))))))))</f>
        <v>0</v>
      </c>
      <c r="L92" s="28">
        <f>+M92+H92%*PERALTE!$C$32</f>
        <v>1634.0291266686902</v>
      </c>
      <c r="M92" s="28">
        <f t="shared" si="3"/>
        <v>1634.086400000001</v>
      </c>
      <c r="N92" s="28">
        <f>+M92+I92%*PERALTE!$C$32</f>
        <v>1634.0164000000011</v>
      </c>
      <c r="O92" s="92"/>
      <c r="P92" s="84"/>
      <c r="Q92" s="84"/>
      <c r="R92" s="84"/>
      <c r="S92" s="84"/>
      <c r="T92" s="84"/>
      <c r="U92" s="84"/>
      <c r="V92" s="84"/>
      <c r="W92" s="84"/>
      <c r="X92" s="84"/>
      <c r="Y92" s="84"/>
    </row>
    <row r="93" spans="1:25" ht="15.75" customHeight="1" x14ac:dyDescent="0.2">
      <c r="A93" s="90" t="s">
        <v>328</v>
      </c>
      <c r="B93" s="86"/>
      <c r="C93" s="86"/>
      <c r="D93" s="86"/>
      <c r="E93" s="91"/>
      <c r="F93" s="34">
        <f>PERALTE!AB8</f>
        <v>591.65281411546141</v>
      </c>
      <c r="G93" s="88">
        <f>IF(F93&lt;=AV!$T$6,AV!$C$5,IF(RASANTE!F93&lt;=AV!$T$8,AV!$C$7,IF(RASANTE!F93&lt;=AV!$T$10,AV!$C$9,IF(RASANTE!F93&lt;=AV!$T$12,AV!#REF!,IF(RASANTE!F93&lt;=AV!$T$14,AV!$C$11,IF(RASANTE!F93&lt;=AV!$T$16,AV!$C$13, IF(RASANTE!F93&lt;=AV!$T$18,AV!$C$15,IF(RASANTE!F93&lt;=AV!$T$20,AV!$C$19,IF(RASANTE!F93&lt;=AV!$T$22,AV!$C$21,IF(RASANTE!F93&lt;=AV!$T$24,AV!$C$23,AV!$C$25))))))))))</f>
        <v>-3</v>
      </c>
      <c r="H93" s="28">
        <f>+IF(AND(AH!$H$8="Izquierda",RASANTE!F93&lt;=PERALTE!$AB$6),IF(RASANTE!F93&lt;=PERALTE!$S$6,-2,IF(RASANTE!F93&lt;=PERALTE!$U$6,(-6/(PERALTE!$U$6-PERALTE!$S$6)*(RASANTE!F93-PERALTE!$S$6)-2),IF(RASANTE!F93&lt;=PERALTE!$X$6,-8,IF(RASANTE!F93&lt;=PERALTE!$Z$6,(-6/(PERALTE!$X$6-PERALTE!$Z$6)*(RASANTE!F93-PERALTE!$Z$6)-2),IF(RASANTE!F93&lt;=PERALTE!$AB$6,-2))))),IF(AND(AH!$H$8="Derecha",RASANTE!F93&lt;=PERALTE!$AB$6),IF(RASANTE!F93&lt;=PERALTE!$Q$6,-2,IF(RASANTE!F93&lt;=PERALTE!$U$6,(10/(PERALTE!$U$6-PERALTE!$Q$6)*(RASANTE!F93-PERALTE!$Q$6)-2),IF(RASANTE!F93&lt;=PERALTE!$X$6,8,IF(RASANTE!F93&lt;=PERALTE!$AB$6,(10/(PERALTE!$X$6-PERALTE!$AB$6)*(RASANTE!F93-PERALTE!$AB$6)-2))))),IF(AND(AH!$H$10="Izquierda",RASANTE!F93&lt;=PERALTE!$AB$8),IF(RASANTE!F93&lt;=PERALTE!$S$8,-2,IF(RASANTE!F93&lt;=PERALTE!$U$8,(-6/(PERALTE!$U$8-PERALTE!$S$8)*(RASANTE!F93-PERALTE!$S$8)-2),IF(RASANTE!F93&lt;=PERALTE!$X$8,-8,IF(RASANTE!F93&lt;=PERALTE!$Z$8,(-6/(PERALTE!$X$8-PERALTE!$Z$8)*(RASANTE!F93-PERALTE!$Z$8)-2),IF(RASANTE!F93&lt;=PERALTE!$AB$8,-2))))),IF(AND(AH!$H$10="Derecha",RASANTE!F93&lt;=PERALTE!$AB$8),IF(RASANTE!F93&lt;=PERALTE!$Q$8,-2,IF(RASANTE!F93&lt;=PERALTE!$U$8,(10/(PERALTE!$U$8-PERALTE!$Q$8)*(RASANTE!F93-PERALTE!$Q$8)-2),IF(RASANTE!F93&lt;=PERALTE!$X$8,8,IF(RASANTE!F93&lt;=PERALTE!$AB$8,(10/(PERALTE!$X$8-PERALTE!$AB$8)*(RASANTE!F93-PERALTE!$AB$8)-2))))),IF(AND(AH!$H$12="Izquierda",RASANTE!F93&lt;=PERALTE!$AB$10),IF(RASANTE!F93&lt;=PERALTE!$S$10,-2,IF(RASANTE!F93&lt;=PERALTE!$U$10,(-6/(PERALTE!$U$10-PERALTE!$S$10)*(RASANTE!F93-PERALTE!$S$10)-2),IF(RASANTE!F93&lt;=PERALTE!$X$10,-8,IF(RASANTE!F93&lt;=PERALTE!$Z$10,(-6/(PERALTE!$X$10-PERALTE!$Z$10)*(RASANTE!F93-PERALTE!$Z$10)-2),IF(RASANTE!F93&lt;=PERALTE!$AB$10,-2))))),IF(AND(AH!$H$12="Derecha",RASANTE!F93&lt;=PERALTE!$AB$10),IF(RASANTE!F93&lt;=PERALTE!$Q$10,-2,IF(RASANTE!F93&lt;=PERALTE!$U$10,(10/(PERALTE!$U$10-PERALTE!$Q$10)*(RASANTE!F93-PERALTE!$Q$10)-2),IF(RASANTE!F93&lt;=PERALTE!$X$10,8,IF(RASANTE!F93&lt;=PERALTE!$AB$10,(10/(PERALTE!$X$10-PERALTE!$AB$10)*(RASANTE!F93-PERALTE!$AB$10)-2))))),IF(AND(AH!$H$14="Izquierda",RASANTE!F93&lt;=PERALTE!$AB$12),IF(RASANTE!F93&lt;=PERALTE!$S$12,-2,IF(RASANTE!F93&lt;=PERALTE!$U$12,(-6/(PERALTE!$U$12-PERALTE!$S$12)*(RASANTE!F93-PERALTE!$S$12)-2),IF(RASANTE!F93&lt;=PERALTE!$X$12,-8,IF(RASANTE!F93&lt;=PERALTE!$Z$12,(-6/(PERALTE!$X$12-PERALTE!$Z$12)*(RASANTE!F93-PERALTE!$Z$12)-2),IF(RASANTE!F93&lt;=PERALTE!$AB$12,-2))))),IF(AND(AH!$H$14="Derecha",RASANTE!F93&lt;=PERALTE!$AB$12),IF(RASANTE!F93&lt;=PERALTE!$Q$12,-2,IF(RASANTE!F93&lt;=PERALTE!$U$12,(10/(PERALTE!$U$12-PERALTE!$Q$12)*(RASANTE!F93-PERALTE!$Q$12)-2),IF(RASANTE!F93&lt;=PERALTE!$X$12,8,IF(RASANTE!F93&lt;=PERALTE!$AB$12,(10/(PERALTE!$X$12-PERALTE!$AB$12)*(RASANTE!F93-PERALTE!$AB$12)-2))))),IF(AND(AH!$H$16="Izquierda",RASANTE!F93&lt;=PERALTE!$AB$14),IF(RASANTE!F93&lt;=PERALTE!$S$14,-2,IF(RASANTE!F93&lt;=PERALTE!$U$14,(-6/(PERALTE!$U$14-PERALTE!$S$14)*(RASANTE!F93-PERALTE!$S$14)-2),IF(RASANTE!F93&lt;=PERALTE!$X$14,-8,IF(RASANTE!F93&lt;=PERALTE!$Z$14,(-6/(PERALTE!$X$14-PERALTE!$Z$14)*(RASANTE!F93-PERALTE!$Z$14)-2),IF(RASANTE!F93&lt;=PERALTE!$AB$14,-2))))),IF(AND(AH!$H$16="Derecha",RASANTE!F93&lt;=PERALTE!$AB$14),IF(RASANTE!F93&lt;=PERALTE!$Q$14,-2,IF(RASANTE!F93&lt;=PERALTE!$U$14,(10/(PERALTE!$U$14-PERALTE!$Q$14)*(RASANTE!F93-PERALTE!$Q$14)-2),IF(RASANTE!F93&lt;=PERALTE!$X$14,8,IF(RASANTE!F93&lt;=PERALTE!$AB$14,(10/(PERALTE!$X$14-PERALTE!$AB$14)*(RASANTE!F93-PERALTE!$AB$14)-2))))),IF(AND(AH!$H$18="Izquierda",RASANTE!F93&lt;=PERALTE!$AB$16),IF(RASANTE!F93&lt;=PERALTE!$S$16,-2,IF(RASANTE!F93&lt;=PERALTE!$U$16,(-6/(PERALTE!$U$16-PERALTE!$S$16)*(RASANTE!F93-PERALTE!$S$16)-2),IF(RASANTE!F93&lt;=PERALTE!$X$16,-8,IF(RASANTE!F93&lt;=PERALTE!$Z$16,(-6/(PERALTE!$X$16-PERALTE!$Z$16)*(RASANTE!F93-PERALTE!$Z$16)-2),IF(RASANTE!F93&lt;=PERALTE!$AB$16,-2))))),IF(AND(AH!$H$18="Derecha",RASANTE!F93&lt;=PERALTE!$AB$16),IF(RASANTE!F93&lt;=PERALTE!$Q$16,-2,IF(RASANTE!F93&lt;=PERALTE!$U$16,(10/(PERALTE!$U$16-PERALTE!$Q$16)*(RASANTE!F93-PERALTE!$Q$16)-2),IF(RASANTE!F93&lt;=PERALTE!$X$16,8,IF(RASANTE!F93&lt;=PERALTE!$AB$16,(10/(PERALTE!$X$16-PERALTE!$AB$16)*(RASANTE!F93-PERALTE!$AB$16)-2))))),IF(AND(AH!$H$20="Izquierda",RASANTE!F93&lt;=PERALTE!$AB$18),IF(RASANTE!F93&lt;=PERALTE!$S$18,-2,IF(RASANTE!F93&lt;=PERALTE!$U$18,(-6/(PERALTE!$U$18-PERALTE!$S$18)*(RASANTE!F93-PERALTE!$S$18)-2),IF(RASANTE!F93&lt;=PERALTE!$X$18,-8,IF(RASANTE!F93&lt;=PERALTE!$Z$18,(-6/(PERALTE!$X$18-PERALTE!$Z$18)*(RASANTE!F93-PERALTE!$Z$18)-2),IF(RASANTE!F93&lt;=PERALTE!$AB$18,-2))))),IF(AND(AH!$H$20="Derecha",RASANTE!F93&lt;=PERALTE!$AB$18),IF(RASANTE!F93&lt;=PERALTE!$Q$18,-2,IF(RASANTE!F93&lt;=PERALTE!$U$18,(10/(PERALTE!$U$18-PERALTE!$Q$18)*(RASANTE!F93-PERALTE!$Q$18)-2),IF(RASANTE!F93&lt;=PERALTE!$X$18,8,IF(RASANTE!F93&lt;=PERALTE!$AB$18,(10/(PERALTE!$X$18-PERALTE!$AB$18)*(RASANTE!F93-PERALTE!$AB$18)-2))))),IF(AND(AH!$H$24="Izquierda",RASANTE!F93&lt;=PERALTE!$AB$22),IF(RASANTE!F93&lt;=PERALTE!$S$22,-2,IF(RASANTE!F93&lt;=PERALTE!$U$22,(-6/(PERALTE!$U$22-PERALTE!$S$22)*(RASANTE!F93-PERALTE!$S$22)-2),IF(RASANTE!F93&lt;=PERALTE!$X$22,-8,IF(RASANTE!F93&lt;=PERALTE!$Z$22,(-6/(PERALTE!$X$22-PERALTE!$Z$22)*(RASANTE!F93-PERALTE!$Z$22)-2),IF(RASANTE!F93&lt;=PERALTE!$AB$22,-2))))),IF(AND(AH!$H$24="Derecha",RASANTE!F93&lt;=PERALTE!$AB$22),IF(RASANTE!F93&lt;=PERALTE!$Q$22,-2,IF(RASANTE!F93&lt;=PERALTE!$U$22,(10/(PERALTE!$U$22-PERALTE!$Q$22)*(RASANTE!F93-PERALTE!$Q$22)-2),IF(RASANTE!F93&lt;=PERALTE!$X$22,8,IF(RASANTE!F93&lt;=PERALTE!$AB$22,(10/(PERALTE!$X$22-PERALTE!$AB$22)*(RASANTE!F93-PERALTE!$AB$22)-2))))),IF(AND(AH!#REF!="Izquierda",RASANTE!F93&lt;=PERALTE!#REF!),IF(RASANTE!F93&lt;=PERALTE!#REF!,-2,IF(RASANTE!F93&lt;=PERALTE!#REF!,(-6/(PERALTE!#REF!-PERALTE!#REF!)*(RASANTE!F93-PERALTE!#REF!)-2),IF(RASANTE!F93&lt;=PERALTE!#REF!,-8,IF(RASANTE!F93&lt;=PERALTE!#REF!,(-6/(PERALTE!#REF!-PERALTE!#REF!)*(RASANTE!F93-PERALTE!#REF!)-2),IF(RASANTE!F93&lt;=PERALTE!#REF!,-2))))),IF(AND(AH!#REF!="Derecha",RASANTE!F93&lt;=PERALTE!#REF!),IF(RASANTE!F93&lt;=PERALTE!#REF!,-2,IF(RASANTE!F93&lt;=PERALTE!#REF!,(10/(PERALTE!#REF!-PERALTE!#REF!)*(RASANTE!F93-PERALTE!#REF!)-2),IF(RASANTE!F93&lt;=PERALTE!#REF!,8,IF(RASANTE!F93&lt;=PERALTE!#REF!,(10/(PERALTE!#REF!-PERALTE!#REF!)*(RASANTE!F93-PERALTE!#REF!)-2))))),IF(AND(AH!#REF!="Izquierda",RASANTE!F93&lt;=PERALTE!$AB$26),IF(RASANTE!F93&lt;=PERALTE!$S$26,-2,IF(RASANTE!F93&lt;=PERALTE!$U$26,(-6/(PERALTE!$U$26-PERALTE!$S$26)*(RASANTE!F93-PERALTE!$S$26)-2),IF(RASANTE!F93&lt;=PERALTE!$X$26,-8,IF(RASANTE!F93&lt;=PERALTE!$Z$26,(-6/(PERALTE!$X$26-PERALTE!$Z$26)*(RASANTE!F93-PERALTE!$Z$26)-2),IF(RASANTE!F93&lt;=PERALTE!$AB$26,-2))))),IF(AND(AH!#REF!="Derecha",RASANTE!F93&lt;=PERALTE!$AB$26),IF(RASANTE!F93&lt;=PERALTE!$Q$26,-2,IF(RASANTE!F93&lt;=PERALTE!$U$26,(10/(PERALTE!$U$26-PERALTE!$Q$26)*(RASANTE!F93-PERALTE!$Q$26)-2),IF(RASANTE!F93&lt;=PERALTE!$X$26,8,IF(RASANTE!F93&lt;=PERALTE!$AB$26,(10/(PERALTE!$X$26-PERALTE!$AB$26)*(RASANTE!F93-PERALTE!$AB$26)-2))))),IF(F93&lt;=PERALTE!#REF!,-2,"Abscisa fuera de la vía")))))))))))))))))))))</f>
        <v>-2</v>
      </c>
      <c r="I93" s="28">
        <f>+IF(AND(AH!$H$8="Derecha",RASANTE!F93&lt;=PERALTE!$AB$6),IF(RASANTE!F93&lt;=PERALTE!$S$6,-2,IF(RASANTE!F93&lt;=PERALTE!$U$6,(-6/(PERALTE!$U$6-PERALTE!$S$6)*(RASANTE!F93-PERALTE!$S$6)-2),IF(RASANTE!F93&lt;=PERALTE!$X$6,-8,IF(RASANTE!F93&lt;=PERALTE!$Z$6,(-6/(PERALTE!$X$6-PERALTE!$Z$6)*(RASANTE!F93-PERALTE!$Z$6)-2),IF(RASANTE!F93&lt;=PERALTE!$AB$6,-2))))),IF(AND(AH!$H$8="Izquierda",RASANTE!F93&lt;=PERALTE!$AB$6),IF(RASANTE!F93&lt;=PERALTE!$Q$6,-2,IF(RASANTE!F93&lt;=PERALTE!$U$6,(10/(PERALTE!$U$6-PERALTE!$Q$6)*(RASANTE!F93-PERALTE!$Q$6)-2),IF(RASANTE!F93&lt;=PERALTE!$X$6,8,IF(RASANTE!F93&lt;=PERALTE!$AB$6,(10/(PERALTE!$X$6-PERALTE!$AB$6)*(RASANTE!F93-PERALTE!$AB$6)-2))))),IF(AND(AH!$H$10="Derecha",RASANTE!F93&lt;=PERALTE!$AB$8),IF(RASANTE!F93&lt;=PERALTE!$S$8,-2,IF(RASANTE!F93&lt;=PERALTE!$U$8,(-6/(PERALTE!$U$8-PERALTE!$S$8)*(RASANTE!F93-PERALTE!$S$8)-2),IF(RASANTE!F93&lt;=PERALTE!$X$8,-8,IF(RASANTE!F93&lt;=PERALTE!$Z$8,(-6/(PERALTE!$X$8-PERALTE!$Z$8)*(RASANTE!F93-PERALTE!$Z$8)-2),IF(RASANTE!F93&lt;=PERALTE!$AB$8,-2))))),IF(AND(AH!$H$10="Izquierda",RASANTE!F93&lt;=PERALTE!$AB$8),IF(RASANTE!F93&lt;=PERALTE!$Q$8,-2,IF(RASANTE!F93&lt;=PERALTE!$U$8,(10/(PERALTE!$U$8-PERALTE!$Q$8)*(RASANTE!F93-PERALTE!$Q$8)-2),IF(RASANTE!F93&lt;=PERALTE!$X$8,8,IF(RASANTE!F93&lt;=PERALTE!$AB$8,(10/(PERALTE!$X$8-PERALTE!$AB$8)*(RASANTE!F93-PERALTE!$AB$8)-2))))),IF(AND(AH!$H$12="Derecha",RASANTE!F93&lt;=PERALTE!$AB$10),IF(RASANTE!F93&lt;=PERALTE!$S$10,-2,IF(RASANTE!F93&lt;=PERALTE!$U$10,(-6/(PERALTE!$U$10-PERALTE!$S$10)*(RASANTE!F93-PERALTE!$S$10)-2),IF(RASANTE!F93&lt;=PERALTE!$X$10,-8,IF(RASANTE!F93&lt;=PERALTE!$Z$10,(-6/(PERALTE!$X$10-PERALTE!$Z$10)*(RASANTE!F93-PERALTE!$Z$10)-2),IF(RASANTE!F93&lt;=PERALTE!$AB$10,-2))))),IF(AND(AH!$H$12="Izquierda",RASANTE!F93&lt;=PERALTE!$AB$10),IF(RASANTE!F93&lt;=PERALTE!$Q$10,-2,IF(RASANTE!F93&lt;=PERALTE!$U$10,(10/(PERALTE!$U$10-PERALTE!$Q$10)*(RASANTE!F93-PERALTE!$Q$10)-2),IF(RASANTE!F93&lt;=PERALTE!$X$10,8,IF(RASANTE!F93&lt;=PERALTE!$AB$10,(10/(PERALTE!$X$10-PERALTE!$AB$10)*(RASANTE!F93-PERALTE!$AB$10)-2))))),IF(AND(AH!$H$14="Derecha",RASANTE!F93&lt;=PERALTE!$AB$12),IF(RASANTE!F93&lt;=PERALTE!$S$12,-2,IF(RASANTE!F93&lt;=PERALTE!$U$12,(-6/(PERALTE!$U$12-PERALTE!$S$12)*(RASANTE!F93-PERALTE!$S$12)-2),IF(RASANTE!F93&lt;=PERALTE!$X$12,-8,IF(RASANTE!F93&lt;=PERALTE!$Z$12,(-6/(PERALTE!$X$12-PERALTE!$Z$12)*(RASANTE!F93-PERALTE!$Z$12)-2),IF(RASANTE!F93&lt;=PERALTE!$AB$12,-2))))),IF(AND(AH!$H$14="Izquierda",RASANTE!F93&lt;=PERALTE!$AB$12),IF(RASANTE!F93&lt;=PERALTE!$Q$12,-2,IF(RASANTE!F93&lt;=PERALTE!$U$12,(10/(PERALTE!$U$12-PERALTE!$Q$12)*(RASANTE!F93-PERALTE!$Q$12)-2),IF(RASANTE!F93&lt;=PERALTE!$X$12,8,IF(RASANTE!F93&lt;=PERALTE!$AB$12,(10/(PERALTE!$X$12-PERALTE!$AB$12)*(RASANTE!F93-PERALTE!$AB$12)-2))))),IF(AND(AH!$H$16="Derecha",RASANTE!F93&lt;=PERALTE!$AB$14),IF(RASANTE!F93&lt;=PERALTE!$S$14,-2,IF(RASANTE!F93&lt;=PERALTE!$U$14,(-6/(PERALTE!$U$14-PERALTE!$S$14)*(RASANTE!F93-PERALTE!$S$14)-2),IF(RASANTE!F93&lt;=PERALTE!$X$14,-8,IF(RASANTE!F93&lt;=PERALTE!$Z$14,(-6/(PERALTE!$X$14-PERALTE!$Z$14)*(RASANTE!F93-PERALTE!$Z$14)-2),IF(RASANTE!F93&lt;=PERALTE!$AB$14,-2))))),IF(AND(AH!$H$16="Izquierda",RASANTE!F93&lt;=PERALTE!$AB$14),IF(RASANTE!F93&lt;=PERALTE!$Q$14,-2,IF(RASANTE!F93&lt;=PERALTE!$U$14,(10/(PERALTE!$U$14-PERALTE!$Q$14)*(RASANTE!F93-PERALTE!$Q$14)-2),IF(RASANTE!F93&lt;=PERALTE!$X$14,8,IF(RASANTE!F93&lt;=PERALTE!$AB$14,(10/(PERALTE!$X$14-PERALTE!$AB$14)*(RASANTE!F93-PERALTE!$AB$14)-2))))),IF(AND(AH!$H$18="Derecha",RASANTE!F93&lt;=PERALTE!$AB$16),IF(RASANTE!F93&lt;=PERALTE!$S$16,-2,IF(RASANTE!F93&lt;=PERALTE!$U$16,(-6/(PERALTE!$U$16-PERALTE!$S$16)*(RASANTE!F93-PERALTE!$S$16)-2),IF(RASANTE!F93&lt;=PERALTE!$X$16,-8,IF(RASANTE!F93&lt;=PERALTE!$Z$16,(-6/(PERALTE!$X$16-PERALTE!$Z$16)*(RASANTE!F93-PERALTE!$Z$16)-2),IF(RASANTE!F93&lt;=PERALTE!$AB$16,-2))))),IF(AND(AH!$H$18="Izquierda",RASANTE!F93&lt;=PERALTE!$AB$16),IF(RASANTE!F93&lt;=PERALTE!$Q$16,-2,IF(RASANTE!F93&lt;=PERALTE!$U$16,(10/(PERALTE!$U$16-PERALTE!$Q$16)*(RASANTE!F93-PERALTE!$Q$16)-2),IF(RASANTE!F93&lt;=PERALTE!$X$16,8,IF(RASANTE!F93&lt;=PERALTE!$AB$16,(10/(PERALTE!$X$16-PERALTE!$AB$16)*(RASANTE!F93-PERALTE!$AB$16)-2))))),IF(AND(AH!$H$20="Derecha",RASANTE!F93&lt;=PERALTE!$AB$18),IF(RASANTE!F93&lt;=PERALTE!$S$18,-2,IF(RASANTE!F93&lt;=PERALTE!$U$18,(-6/(PERALTE!$U$18-PERALTE!$S$18)*(RASANTE!F93-PERALTE!$S$18)-2),IF(RASANTE!F93&lt;=PERALTE!$X$18,-8,IF(RASANTE!F93&lt;=PERALTE!$Z$18,(-6/(PERALTE!$X$18-PERALTE!$Z$18)*(RASANTE!F93-PERALTE!$Z$18)-2),IF(RASANTE!F93&lt;=PERALTE!$AB$18,-2))))),IF(AND(AH!$H$20="Izquierda",RASANTE!F93&lt;=PERALTE!$AB$18),IF(RASANTE!F93&lt;=PERALTE!$Q$18,-2,IF(RASANTE!F93&lt;=PERALTE!$U$18,(10/(PERALTE!$U$18-PERALTE!$Q$18)*(RASANTE!F93-PERALTE!$Q$18)-2),IF(RASANTE!F93&lt;=PERALTE!$X$18,8,IF(RASANTE!F93&lt;=PERALTE!$AB$18,(10/(PERALTE!$X$18-PERALTE!$AB$18)*(RASANTE!F93-PERALTE!$AB$18)-2))))),IF(AND(AH!$H$24="Derecha",RASANTE!F93&lt;=PERALTE!$AB$22),IF(RASANTE!F93&lt;=PERALTE!$S$22,-2,IF(RASANTE!F93&lt;=PERALTE!$U$22,(-6/(PERALTE!$U$22-PERALTE!$S$22)*(RASANTE!F93-PERALTE!$S$22)-2),IF(RASANTE!F93&lt;=PERALTE!$X$22,-8,IF(RASANTE!F93&lt;=PERALTE!$Z$22,(-6/(PERALTE!$X$22-PERALTE!$Z$22)*(RASANTE!F93-PERALTE!$Z$22)-2),IF(RASANTE!F93&lt;=PERALTE!$AB$22,-2))))),IF(AND(AH!$H$24="Izquierda",RASANTE!F93&lt;=PERALTE!$AB$22),IF(RASANTE!F93&lt;=PERALTE!$Q$22,-2,IF(RASANTE!F93&lt;=PERALTE!$U$22,(10/(PERALTE!$U$22-PERALTE!$Q$22)*(RASANTE!F93-PERALTE!$Q$22)-2),IF(RASANTE!F93&lt;=PERALTE!$X$22,8,IF(RASANTE!F93&lt;=PERALTE!$AB$22,(10/(PERALTE!$X$22-PERALTE!$AB$22)*(RASANTE!F93-PERALTE!$AB$22)-2))))),IF(AND(AH!#REF!="Derecha",RASANTE!F93&lt;=PERALTE!#REF!),IF(RASANTE!F93&lt;=PERALTE!#REF!,-2,IF(RASANTE!F93&lt;=PERALTE!#REF!,(-6/(PERALTE!#REF!-PERALTE!#REF!)*(RASANTE!F93-PERALTE!#REF!)-2),IF(RASANTE!F93&lt;=PERALTE!#REF!,-8,IF(RASANTE!F93&lt;=PERALTE!#REF!,(-6/(PERALTE!#REF!-PERALTE!#REF!)*(RASANTE!F93-PERALTE!#REF!)-2),IF(RASANTE!F93&lt;=PERALTE!#REF!,-2))))),IF(AND(AH!#REF!="Izquierda",RASANTE!F93&lt;=PERALTE!#REF!),IF(RASANTE!F93&lt;=PERALTE!#REF!,-2,IF(RASANTE!F93&lt;=PERALTE!#REF!,(10/(PERALTE!#REF!-PERALTE!#REF!)*(RASANTE!F93-PERALTE!#REF!)-2),IF(RASANTE!F93&lt;=PERALTE!#REF!,8,IF(RASANTE!F93&lt;=PERALTE!#REF!,(10/(PERALTE!#REF!-PERALTE!#REF!)*(RASANTE!F93-PERALTE!#REF!)-2))))),IF(AND(AH!#REF!="Derecha",RASANTE!F93&lt;=PERALTE!$AB$26),IF(RASANTE!F93&lt;=PERALTE!$S$26,-2,IF(RASANTE!F93&lt;=PERALTE!$U$26,(-6/(PERALTE!$U$26-PERALTE!$S$26)*(RASANTE!F93-PERALTE!$S$26)-2),IF(RASANTE!F93&lt;=PERALTE!$X$26,-8,IF(RASANTE!F93&lt;=PERALTE!$Z$26,(-6/(PERALTE!$X$26-PERALTE!$Z$26)*(RASANTE!F93-PERALTE!$Z$26)-2),IF(RASANTE!F93&lt;=PERALTE!$AB$26,-2))))),IF(AND(AH!#REF!="Izquierda",RASANTE!F93&lt;=PERALTE!$AB$26),IF(RASANTE!F93&lt;=PERALTE!$Q$26,-2,IF(RASANTE!F93&lt;=PERALTE!$U$26,(10/(PERALTE!$U$26-PERALTE!$Q$26)*(RASANTE!F93-PERALTE!$Q$26)-2),IF(RASANTE!F93&lt;=PERALTE!$X$26,8,IF(RASANTE!F93&lt;=PERALTE!$AB$26,(10/(PERALTE!$X$26-PERALTE!$AB$26)*(RASANTE!F93-PERALTE!$AB$26)-2))))),IF(F93&lt;=PERALTE!#REF!,-2,"Abscisa fuera de la vía")))))))))))))))))))))</f>
        <v>-2</v>
      </c>
      <c r="J93" s="28">
        <f t="shared" si="4"/>
        <v>1634.0368155765373</v>
      </c>
      <c r="K93" s="28">
        <f>+IF(AND(AV!$S$6&lt;F190,F190&lt;=AV!$T$6),AV!$P$6*((AV!$S$6-RASANTE!F190)/(AV!$N$6))^2,IF(AND(AV!$T$6&lt;RASANTE!F190,F190&lt;AV!$U$6),AV!$P$6*((AV!$U$6-RASANTE!F190)/(AV!$O$6))^2,IF(AND(AV!$S$8&lt;F190,F190&lt;=AV!$T$8),AV!$P$8*((AV!$S$8-RASANTE!F190)/(AV!$N$8))^2,IF(AND(AV!$T$8&lt;RASANTE!F190,F190&lt;AV!$U$8),AV!$P$8*((AV!$U$8-RASANTE!F190)/(AV!$O$8))^2,IF(AND(AV!$S$10&lt;F190,F190&lt;=AV!$T$10),AV!$P$10*((AV!$S$10-RASANTE!F190)/(AV!$N$10))^2,IF(AND(AV!$T$10&lt;RASANTE!F190,F190&lt;AV!$U$10),AV!$P$10*((AV!$U$10-RASANTE!F190)/(AV!$O$10))^2,IF(AND(AV!$S$12&lt;F190,F190&lt;=AV!$T$12),AV!$P$12*((AV!$S$12-RASANTE!F190)/(AV!$N$12))^2,IF(AND(AV!$T$12&lt;RASANTE!F190,F190&lt;AV!$U$12),AV!$P$12*((AV!$U$12-RASANTE!F190)/(AV!$O$12))^2,IF(AND(AV!$S$14&lt;F190,F190&lt;=AV!$T$14),AV!$P$14*((AV!$S$14-RASANTE!F190)/(AV!$N$14))^2,IF(AND(AV!$T$14&lt;RASANTE!F190,F190&lt;AV!$U$14),AV!$P$14*((AV!$U$14-RASANTE!F190)/(AV!$O$14))^2,IF(AND(AV!$S$16&lt;F190,F190&lt;=AV!$T$16),AV!$P$16*((AV!$S$16-RASANTE!F190)/(AV!$N$16))^2,IF(AND(AV!$T$16&lt;RASANTE!F190,F190&lt;AV!$U$16),AV!$P$16*((AV!$U$16-RASANTE!F190)/(AV!$O$16))^2,IF(AND(AV!$S$18&lt;F190,F190&lt;=AV!$T$18),AV!$P$18*((AV!$S$18-RASANTE!F190)/(AV!$N$18))^2,IF(AND(AV!$T$18&lt;RASANTE!F190,F190&lt;AV!$U$18),AV!$P$18*((AV!$U$18-RASANTE!F190)/(AV!$O$18))^2,IF(AND(AV!$S$20&lt;F190,F190&lt;=AV!$T$20),AV!$P$20*((AV!$S$20-RASANTE!F190)/(AV!$N$20))^2,IF(AND(AV!$T$20&lt;RASANTE!F190,F190&lt;AV!$U$20),AV!$P$20*((AV!$U$20-RASANTE!F190)/(AV!$O$20))^2,IF(AND(AV!$S$22&lt;F190,F190&lt;=AV!$T$22),AV!$P$22*((AV!$S$22-RASANTE!F190)/(AV!$N$22))^2,IF(AND(AV!$T$22&lt;RASANTE!F190,F190&lt;AV!$U$22),AV!$P$22*((AV!$U$22-RASANTE!F190)/(AV!$O$22))^2,IF(AND(AV!$S$24&lt;F190,F190&lt;=AV!$T$24),AV!$P$24*((AV!$S$24-RASANTE!F190)/(AV!$N$24))^2,IF(AND(AV!$T$24&lt;RASANTE!F190,F190&lt;AV!$U$24),AV!$P$24*((AV!$U$24-RASANTE!F190)/(AV!$O$24))^2,0))))))))))))))))))))</f>
        <v>0</v>
      </c>
      <c r="L93" s="28">
        <f>+M93+H93%*PERALTE!$C$32</f>
        <v>1633.9668155765373</v>
      </c>
      <c r="M93" s="28">
        <f t="shared" si="3"/>
        <v>1634.0368155765373</v>
      </c>
      <c r="N93" s="28">
        <f>+M93+I93%*PERALTE!$C$32</f>
        <v>1633.9668155765373</v>
      </c>
      <c r="O93" s="92"/>
      <c r="P93" s="84"/>
      <c r="Q93" s="84"/>
      <c r="R93" s="84"/>
      <c r="S93" s="84"/>
      <c r="T93" s="84"/>
      <c r="U93" s="84"/>
      <c r="V93" s="84"/>
      <c r="W93" s="84"/>
      <c r="X93" s="84"/>
      <c r="Y93" s="84"/>
    </row>
    <row r="94" spans="1:25" ht="15.75" customHeight="1" x14ac:dyDescent="0.2">
      <c r="A94" s="90"/>
      <c r="B94" s="102"/>
      <c r="C94" s="102"/>
      <c r="D94" s="102"/>
      <c r="E94" s="91"/>
      <c r="F94" s="34">
        <v>600</v>
      </c>
      <c r="G94" s="88">
        <f>IF(F94&lt;=AV!$T$6,AV!$C$5,IF(RASANTE!F94&lt;=AV!$T$8,AV!$C$7,IF(RASANTE!F94&lt;=AV!$T$10,AV!$C$9,IF(RASANTE!F94&lt;=AV!$T$12,AV!#REF!,IF(RASANTE!F94&lt;=AV!$T$14,AV!$C$11,IF(RASANTE!F94&lt;=AV!$T$16,AV!$C$13, IF(RASANTE!F94&lt;=AV!$T$18,AV!$C$15,IF(RASANTE!F94&lt;=AV!$T$20,AV!$C$19,IF(RASANTE!F94&lt;=AV!$T$22,AV!$C$21,IF(RASANTE!F94&lt;=AV!$T$24,AV!$C$23,AV!$C$25))))))))))</f>
        <v>-3</v>
      </c>
      <c r="H94" s="28">
        <f>+IF(AND(AH!$H$8="Izquierda",RASANTE!F94&lt;=PERALTE!$AB$6),IF(RASANTE!F94&lt;=PERALTE!$S$6,-2,IF(RASANTE!F94&lt;=PERALTE!$U$6,(-6/(PERALTE!$U$6-PERALTE!$S$6)*(RASANTE!F94-PERALTE!$S$6)-2),IF(RASANTE!F94&lt;=PERALTE!$X$6,-8,IF(RASANTE!F94&lt;=PERALTE!$Z$6,(-6/(PERALTE!$X$6-PERALTE!$Z$6)*(RASANTE!F94-PERALTE!$Z$6)-2),IF(RASANTE!F94&lt;=PERALTE!$AB$6,-2))))),IF(AND(AH!$H$8="Derecha",RASANTE!F94&lt;=PERALTE!$AB$6),IF(RASANTE!F94&lt;=PERALTE!$Q$6,-2,IF(RASANTE!F94&lt;=PERALTE!$U$6,(10/(PERALTE!$U$6-PERALTE!$Q$6)*(RASANTE!F94-PERALTE!$Q$6)-2),IF(RASANTE!F94&lt;=PERALTE!$X$6,8,IF(RASANTE!F94&lt;=PERALTE!$AB$6,(10/(PERALTE!$X$6-PERALTE!$AB$6)*(RASANTE!F94-PERALTE!$AB$6)-2))))),IF(AND(AH!$H$10="Izquierda",RASANTE!F94&lt;=PERALTE!$AB$8),IF(RASANTE!F94&lt;=PERALTE!$S$8,-2,IF(RASANTE!F94&lt;=PERALTE!$U$8,(-6/(PERALTE!$U$8-PERALTE!$S$8)*(RASANTE!F94-PERALTE!$S$8)-2),IF(RASANTE!F94&lt;=PERALTE!$X$8,-8,IF(RASANTE!F94&lt;=PERALTE!$Z$8,(-6/(PERALTE!$X$8-PERALTE!$Z$8)*(RASANTE!F94-PERALTE!$Z$8)-2),IF(RASANTE!F94&lt;=PERALTE!$AB$8,-2))))),IF(AND(AH!$H$10="Derecha",RASANTE!F94&lt;=PERALTE!$AB$8),IF(RASANTE!F94&lt;=PERALTE!$Q$8,-2,IF(RASANTE!F94&lt;=PERALTE!$U$8,(10/(PERALTE!$U$8-PERALTE!$Q$8)*(RASANTE!F94-PERALTE!$Q$8)-2),IF(RASANTE!F94&lt;=PERALTE!$X$8,8,IF(RASANTE!F94&lt;=PERALTE!$AB$8,(10/(PERALTE!$X$8-PERALTE!$AB$8)*(RASANTE!F94-PERALTE!$AB$8)-2))))),IF(AND(AH!$H$12="Izquierda",RASANTE!F94&lt;=PERALTE!$AB$10),IF(RASANTE!F94&lt;=PERALTE!$S$10,-2,IF(RASANTE!F94&lt;=PERALTE!$U$10,(-6/(PERALTE!$U$10-PERALTE!$S$10)*(RASANTE!F94-PERALTE!$S$10)-2),IF(RASANTE!F94&lt;=PERALTE!$X$10,-8,IF(RASANTE!F94&lt;=PERALTE!$Z$10,(-6/(PERALTE!$X$10-PERALTE!$Z$10)*(RASANTE!F94-PERALTE!$Z$10)-2),IF(RASANTE!F94&lt;=PERALTE!$AB$10,-2))))),IF(AND(AH!$H$12="Derecha",RASANTE!F94&lt;=PERALTE!$AB$10),IF(RASANTE!F94&lt;=PERALTE!$Q$10,-2,IF(RASANTE!F94&lt;=PERALTE!$U$10,(10/(PERALTE!$U$10-PERALTE!$Q$10)*(RASANTE!F94-PERALTE!$Q$10)-2),IF(RASANTE!F94&lt;=PERALTE!$X$10,8,IF(RASANTE!F94&lt;=PERALTE!$AB$10,(10/(PERALTE!$X$10-PERALTE!$AB$10)*(RASANTE!F94-PERALTE!$AB$10)-2))))),IF(AND(AH!$H$14="Izquierda",RASANTE!F94&lt;=PERALTE!$AB$12),IF(RASANTE!F94&lt;=PERALTE!$S$12,-2,IF(RASANTE!F94&lt;=PERALTE!$U$12,(-6/(PERALTE!$U$12-PERALTE!$S$12)*(RASANTE!F94-PERALTE!$S$12)-2),IF(RASANTE!F94&lt;=PERALTE!$X$12,-8,IF(RASANTE!F94&lt;=PERALTE!$Z$12,(-6/(PERALTE!$X$12-PERALTE!$Z$12)*(RASANTE!F94-PERALTE!$Z$12)-2),IF(RASANTE!F94&lt;=PERALTE!$AB$12,-2))))),IF(AND(AH!$H$14="Derecha",RASANTE!F94&lt;=PERALTE!$AB$12),IF(RASANTE!F94&lt;=PERALTE!$Q$12,-2,IF(RASANTE!F94&lt;=PERALTE!$U$12,(10/(PERALTE!$U$12-PERALTE!$Q$12)*(RASANTE!F94-PERALTE!$Q$12)-2),IF(RASANTE!F94&lt;=PERALTE!$X$12,8,IF(RASANTE!F94&lt;=PERALTE!$AB$12,(10/(PERALTE!$X$12-PERALTE!$AB$12)*(RASANTE!F94-PERALTE!$AB$12)-2))))),IF(AND(AH!$H$16="Izquierda",RASANTE!F94&lt;=PERALTE!$AB$14),IF(RASANTE!F94&lt;=PERALTE!$S$14,-2,IF(RASANTE!F94&lt;=PERALTE!$U$14,(-6/(PERALTE!$U$14-PERALTE!$S$14)*(RASANTE!F94-PERALTE!$S$14)-2),IF(RASANTE!F94&lt;=PERALTE!$X$14,-8,IF(RASANTE!F94&lt;=PERALTE!$Z$14,(-6/(PERALTE!$X$14-PERALTE!$Z$14)*(RASANTE!F94-PERALTE!$Z$14)-2),IF(RASANTE!F94&lt;=PERALTE!$AB$14,-2))))),IF(AND(AH!$H$16="Derecha",RASANTE!F94&lt;=PERALTE!$AB$14),IF(RASANTE!F94&lt;=PERALTE!$Q$14,-2,IF(RASANTE!F94&lt;=PERALTE!$U$14,(10/(PERALTE!$U$14-PERALTE!$Q$14)*(RASANTE!F94-PERALTE!$Q$14)-2),IF(RASANTE!F94&lt;=PERALTE!$X$14,8,IF(RASANTE!F94&lt;=PERALTE!$AB$14,(10/(PERALTE!$X$14-PERALTE!$AB$14)*(RASANTE!F94-PERALTE!$AB$14)-2))))),IF(AND(AH!$H$18="Izquierda",RASANTE!F94&lt;=PERALTE!$AB$16),IF(RASANTE!F94&lt;=PERALTE!$S$16,-2,IF(RASANTE!F94&lt;=PERALTE!$U$16,(-6/(PERALTE!$U$16-PERALTE!$S$16)*(RASANTE!F94-PERALTE!$S$16)-2),IF(RASANTE!F94&lt;=PERALTE!$X$16,-8,IF(RASANTE!F94&lt;=PERALTE!$Z$16,(-6/(PERALTE!$X$16-PERALTE!$Z$16)*(RASANTE!F94-PERALTE!$Z$16)-2),IF(RASANTE!F94&lt;=PERALTE!$AB$16,-2))))),IF(AND(AH!$H$18="Derecha",RASANTE!F94&lt;=PERALTE!$AB$16),IF(RASANTE!F94&lt;=PERALTE!$Q$16,-2,IF(RASANTE!F94&lt;=PERALTE!$U$16,(10/(PERALTE!$U$16-PERALTE!$Q$16)*(RASANTE!F94-PERALTE!$Q$16)-2),IF(RASANTE!F94&lt;=PERALTE!$X$16,8,IF(RASANTE!F94&lt;=PERALTE!$AB$16,(10/(PERALTE!$X$16-PERALTE!$AB$16)*(RASANTE!F94-PERALTE!$AB$16)-2))))),IF(AND(AH!$H$20="Izquierda",RASANTE!F94&lt;=PERALTE!$AB$18),IF(RASANTE!F94&lt;=PERALTE!$S$18,-2,IF(RASANTE!F94&lt;=PERALTE!$U$18,(-6/(PERALTE!$U$18-PERALTE!$S$18)*(RASANTE!F94-PERALTE!$S$18)-2),IF(RASANTE!F94&lt;=PERALTE!$X$18,-8,IF(RASANTE!F94&lt;=PERALTE!$Z$18,(-6/(PERALTE!$X$18-PERALTE!$Z$18)*(RASANTE!F94-PERALTE!$Z$18)-2),IF(RASANTE!F94&lt;=PERALTE!$AB$18,-2))))),IF(AND(AH!$H$20="Derecha",RASANTE!F94&lt;=PERALTE!$AB$18),IF(RASANTE!F94&lt;=PERALTE!$Q$18,-2,IF(RASANTE!F94&lt;=PERALTE!$U$18,(10/(PERALTE!$U$18-PERALTE!$Q$18)*(RASANTE!F94-PERALTE!$Q$18)-2),IF(RASANTE!F94&lt;=PERALTE!$X$18,8,IF(RASANTE!F94&lt;=PERALTE!$AB$18,(10/(PERALTE!$X$18-PERALTE!$AB$18)*(RASANTE!F94-PERALTE!$AB$18)-2))))),IF(AND(AH!$H$24="Izquierda",RASANTE!F94&lt;=PERALTE!$AB$22),IF(RASANTE!F94&lt;=PERALTE!$S$22,-2,IF(RASANTE!F94&lt;=PERALTE!$U$22,(-6/(PERALTE!$U$22-PERALTE!$S$22)*(RASANTE!F94-PERALTE!$S$22)-2),IF(RASANTE!F94&lt;=PERALTE!$X$22,-8,IF(RASANTE!F94&lt;=PERALTE!$Z$22,(-6/(PERALTE!$X$22-PERALTE!$Z$22)*(RASANTE!F94-PERALTE!$Z$22)-2),IF(RASANTE!F94&lt;=PERALTE!$AB$22,-2))))),IF(AND(AH!$H$24="Derecha",RASANTE!F94&lt;=PERALTE!$AB$22),IF(RASANTE!F94&lt;=PERALTE!$Q$22,-2,IF(RASANTE!F94&lt;=PERALTE!$U$22,(10/(PERALTE!$U$22-PERALTE!$Q$22)*(RASANTE!F94-PERALTE!$Q$22)-2),IF(RASANTE!F94&lt;=PERALTE!$X$22,8,IF(RASANTE!F94&lt;=PERALTE!$AB$22,(10/(PERALTE!$X$22-PERALTE!$AB$22)*(RASANTE!F94-PERALTE!$AB$22)-2))))),IF(AND(AH!#REF!="Izquierda",RASANTE!F94&lt;=PERALTE!#REF!),IF(RASANTE!F94&lt;=PERALTE!#REF!,-2,IF(RASANTE!F94&lt;=PERALTE!#REF!,(-6/(PERALTE!#REF!-PERALTE!#REF!)*(RASANTE!F94-PERALTE!#REF!)-2),IF(RASANTE!F94&lt;=PERALTE!#REF!,-8,IF(RASANTE!F94&lt;=PERALTE!#REF!,(-6/(PERALTE!#REF!-PERALTE!#REF!)*(RASANTE!F94-PERALTE!#REF!)-2),IF(RASANTE!F94&lt;=PERALTE!#REF!,-2))))),IF(AND(AH!#REF!="Derecha",RASANTE!F94&lt;=PERALTE!#REF!),IF(RASANTE!F94&lt;=PERALTE!#REF!,-2,IF(RASANTE!F94&lt;=PERALTE!#REF!,(10/(PERALTE!#REF!-PERALTE!#REF!)*(RASANTE!F94-PERALTE!#REF!)-2),IF(RASANTE!F94&lt;=PERALTE!#REF!,8,IF(RASANTE!F94&lt;=PERALTE!#REF!,(10/(PERALTE!#REF!-PERALTE!#REF!)*(RASANTE!F94-PERALTE!#REF!)-2))))),IF(AND(AH!#REF!="Izquierda",RASANTE!F94&lt;=PERALTE!$AB$26),IF(RASANTE!F94&lt;=PERALTE!$S$26,-2,IF(RASANTE!F94&lt;=PERALTE!$U$26,(-6/(PERALTE!$U$26-PERALTE!$S$26)*(RASANTE!F94-PERALTE!$S$26)-2),IF(RASANTE!F94&lt;=PERALTE!$X$26,-8,IF(RASANTE!F94&lt;=PERALTE!$Z$26,(-6/(PERALTE!$X$26-PERALTE!$Z$26)*(RASANTE!F94-PERALTE!$Z$26)-2),IF(RASANTE!F94&lt;=PERALTE!$AB$26,-2))))),IF(AND(AH!#REF!="Derecha",RASANTE!F94&lt;=PERALTE!$AB$26),IF(RASANTE!F94&lt;=PERALTE!$Q$26,-2,IF(RASANTE!F94&lt;=PERALTE!$U$26,(10/(PERALTE!$U$26-PERALTE!$Q$26)*(RASANTE!F94-PERALTE!$Q$26)-2),IF(RASANTE!F94&lt;=PERALTE!$X$26,8,IF(RASANTE!F94&lt;=PERALTE!$AB$26,(10/(PERALTE!$X$26-PERALTE!$AB$26)*(RASANTE!F94-PERALTE!$AB$26)-2))))),IF(F94&lt;=PERALTE!#REF!,-2,"Abscisa fuera de la vía")))))))))))))))))))))</f>
        <v>-2</v>
      </c>
      <c r="I94" s="28">
        <f>+IF(AND(AH!$H$8="Derecha",RASANTE!F94&lt;=PERALTE!$AB$6),IF(RASANTE!F94&lt;=PERALTE!$S$6,-2,IF(RASANTE!F94&lt;=PERALTE!$U$6,(-6/(PERALTE!$U$6-PERALTE!$S$6)*(RASANTE!F94-PERALTE!$S$6)-2),IF(RASANTE!F94&lt;=PERALTE!$X$6,-8,IF(RASANTE!F94&lt;=PERALTE!$Z$6,(-6/(PERALTE!$X$6-PERALTE!$Z$6)*(RASANTE!F94-PERALTE!$Z$6)-2),IF(RASANTE!F94&lt;=PERALTE!$AB$6,-2))))),IF(AND(AH!$H$8="Izquierda",RASANTE!F94&lt;=PERALTE!$AB$6),IF(RASANTE!F94&lt;=PERALTE!$Q$6,-2,IF(RASANTE!F94&lt;=PERALTE!$U$6,(10/(PERALTE!$U$6-PERALTE!$Q$6)*(RASANTE!F94-PERALTE!$Q$6)-2),IF(RASANTE!F94&lt;=PERALTE!$X$6,8,IF(RASANTE!F94&lt;=PERALTE!$AB$6,(10/(PERALTE!$X$6-PERALTE!$AB$6)*(RASANTE!F94-PERALTE!$AB$6)-2))))),IF(AND(AH!$H$10="Derecha",RASANTE!F94&lt;=PERALTE!$AB$8),IF(RASANTE!F94&lt;=PERALTE!$S$8,-2,IF(RASANTE!F94&lt;=PERALTE!$U$8,(-6/(PERALTE!$U$8-PERALTE!$S$8)*(RASANTE!F94-PERALTE!$S$8)-2),IF(RASANTE!F94&lt;=PERALTE!$X$8,-8,IF(RASANTE!F94&lt;=PERALTE!$Z$8,(-6/(PERALTE!$X$8-PERALTE!$Z$8)*(RASANTE!F94-PERALTE!$Z$8)-2),IF(RASANTE!F94&lt;=PERALTE!$AB$8,-2))))),IF(AND(AH!$H$10="Izquierda",RASANTE!F94&lt;=PERALTE!$AB$8),IF(RASANTE!F94&lt;=PERALTE!$Q$8,-2,IF(RASANTE!F94&lt;=PERALTE!$U$8,(10/(PERALTE!$U$8-PERALTE!$Q$8)*(RASANTE!F94-PERALTE!$Q$8)-2),IF(RASANTE!F94&lt;=PERALTE!$X$8,8,IF(RASANTE!F94&lt;=PERALTE!$AB$8,(10/(PERALTE!$X$8-PERALTE!$AB$8)*(RASANTE!F94-PERALTE!$AB$8)-2))))),IF(AND(AH!$H$12="Derecha",RASANTE!F94&lt;=PERALTE!$AB$10),IF(RASANTE!F94&lt;=PERALTE!$S$10,-2,IF(RASANTE!F94&lt;=PERALTE!$U$10,(-6/(PERALTE!$U$10-PERALTE!$S$10)*(RASANTE!F94-PERALTE!$S$10)-2),IF(RASANTE!F94&lt;=PERALTE!$X$10,-8,IF(RASANTE!F94&lt;=PERALTE!$Z$10,(-6/(PERALTE!$X$10-PERALTE!$Z$10)*(RASANTE!F94-PERALTE!$Z$10)-2),IF(RASANTE!F94&lt;=PERALTE!$AB$10,-2))))),IF(AND(AH!$H$12="Izquierda",RASANTE!F94&lt;=PERALTE!$AB$10),IF(RASANTE!F94&lt;=PERALTE!$Q$10,-2,IF(RASANTE!F94&lt;=PERALTE!$U$10,(10/(PERALTE!$U$10-PERALTE!$Q$10)*(RASANTE!F94-PERALTE!$Q$10)-2),IF(RASANTE!F94&lt;=PERALTE!$X$10,8,IF(RASANTE!F94&lt;=PERALTE!$AB$10,(10/(PERALTE!$X$10-PERALTE!$AB$10)*(RASANTE!F94-PERALTE!$AB$10)-2))))),IF(AND(AH!$H$14="Derecha",RASANTE!F94&lt;=PERALTE!$AB$12),IF(RASANTE!F94&lt;=PERALTE!$S$12,-2,IF(RASANTE!F94&lt;=PERALTE!$U$12,(-6/(PERALTE!$U$12-PERALTE!$S$12)*(RASANTE!F94-PERALTE!$S$12)-2),IF(RASANTE!F94&lt;=PERALTE!$X$12,-8,IF(RASANTE!F94&lt;=PERALTE!$Z$12,(-6/(PERALTE!$X$12-PERALTE!$Z$12)*(RASANTE!F94-PERALTE!$Z$12)-2),IF(RASANTE!F94&lt;=PERALTE!$AB$12,-2))))),IF(AND(AH!$H$14="Izquierda",RASANTE!F94&lt;=PERALTE!$AB$12),IF(RASANTE!F94&lt;=PERALTE!$Q$12,-2,IF(RASANTE!F94&lt;=PERALTE!$U$12,(10/(PERALTE!$U$12-PERALTE!$Q$12)*(RASANTE!F94-PERALTE!$Q$12)-2),IF(RASANTE!F94&lt;=PERALTE!$X$12,8,IF(RASANTE!F94&lt;=PERALTE!$AB$12,(10/(PERALTE!$X$12-PERALTE!$AB$12)*(RASANTE!F94-PERALTE!$AB$12)-2))))),IF(AND(AH!$H$16="Derecha",RASANTE!F94&lt;=PERALTE!$AB$14),IF(RASANTE!F94&lt;=PERALTE!$S$14,-2,IF(RASANTE!F94&lt;=PERALTE!$U$14,(-6/(PERALTE!$U$14-PERALTE!$S$14)*(RASANTE!F94-PERALTE!$S$14)-2),IF(RASANTE!F94&lt;=PERALTE!$X$14,-8,IF(RASANTE!F94&lt;=PERALTE!$Z$14,(-6/(PERALTE!$X$14-PERALTE!$Z$14)*(RASANTE!F94-PERALTE!$Z$14)-2),IF(RASANTE!F94&lt;=PERALTE!$AB$14,-2))))),IF(AND(AH!$H$16="Izquierda",RASANTE!F94&lt;=PERALTE!$AB$14),IF(RASANTE!F94&lt;=PERALTE!$Q$14,-2,IF(RASANTE!F94&lt;=PERALTE!$U$14,(10/(PERALTE!$U$14-PERALTE!$Q$14)*(RASANTE!F94-PERALTE!$Q$14)-2),IF(RASANTE!F94&lt;=PERALTE!$X$14,8,IF(RASANTE!F94&lt;=PERALTE!$AB$14,(10/(PERALTE!$X$14-PERALTE!$AB$14)*(RASANTE!F94-PERALTE!$AB$14)-2))))),IF(AND(AH!$H$18="Derecha",RASANTE!F94&lt;=PERALTE!$AB$16),IF(RASANTE!F94&lt;=PERALTE!$S$16,-2,IF(RASANTE!F94&lt;=PERALTE!$U$16,(-6/(PERALTE!$U$16-PERALTE!$S$16)*(RASANTE!F94-PERALTE!$S$16)-2),IF(RASANTE!F94&lt;=PERALTE!$X$16,-8,IF(RASANTE!F94&lt;=PERALTE!$Z$16,(-6/(PERALTE!$X$16-PERALTE!$Z$16)*(RASANTE!F94-PERALTE!$Z$16)-2),IF(RASANTE!F94&lt;=PERALTE!$AB$16,-2))))),IF(AND(AH!$H$18="Izquierda",RASANTE!F94&lt;=PERALTE!$AB$16),IF(RASANTE!F94&lt;=PERALTE!$Q$16,-2,IF(RASANTE!F94&lt;=PERALTE!$U$16,(10/(PERALTE!$U$16-PERALTE!$Q$16)*(RASANTE!F94-PERALTE!$Q$16)-2),IF(RASANTE!F94&lt;=PERALTE!$X$16,8,IF(RASANTE!F94&lt;=PERALTE!$AB$16,(10/(PERALTE!$X$16-PERALTE!$AB$16)*(RASANTE!F94-PERALTE!$AB$16)-2))))),IF(AND(AH!$H$20="Derecha",RASANTE!F94&lt;=PERALTE!$AB$18),IF(RASANTE!F94&lt;=PERALTE!$S$18,-2,IF(RASANTE!F94&lt;=PERALTE!$U$18,(-6/(PERALTE!$U$18-PERALTE!$S$18)*(RASANTE!F94-PERALTE!$S$18)-2),IF(RASANTE!F94&lt;=PERALTE!$X$18,-8,IF(RASANTE!F94&lt;=PERALTE!$Z$18,(-6/(PERALTE!$X$18-PERALTE!$Z$18)*(RASANTE!F94-PERALTE!$Z$18)-2),IF(RASANTE!F94&lt;=PERALTE!$AB$18,-2))))),IF(AND(AH!$H$20="Izquierda",RASANTE!F94&lt;=PERALTE!$AB$18),IF(RASANTE!F94&lt;=PERALTE!$Q$18,-2,IF(RASANTE!F94&lt;=PERALTE!$U$18,(10/(PERALTE!$U$18-PERALTE!$Q$18)*(RASANTE!F94-PERALTE!$Q$18)-2),IF(RASANTE!F94&lt;=PERALTE!$X$18,8,IF(RASANTE!F94&lt;=PERALTE!$AB$18,(10/(PERALTE!$X$18-PERALTE!$AB$18)*(RASANTE!F94-PERALTE!$AB$18)-2))))),IF(AND(AH!$H$24="Derecha",RASANTE!F94&lt;=PERALTE!$AB$22),IF(RASANTE!F94&lt;=PERALTE!$S$22,-2,IF(RASANTE!F94&lt;=PERALTE!$U$22,(-6/(PERALTE!$U$22-PERALTE!$S$22)*(RASANTE!F94-PERALTE!$S$22)-2),IF(RASANTE!F94&lt;=PERALTE!$X$22,-8,IF(RASANTE!F94&lt;=PERALTE!$Z$22,(-6/(PERALTE!$X$22-PERALTE!$Z$22)*(RASANTE!F94-PERALTE!$Z$22)-2),IF(RASANTE!F94&lt;=PERALTE!$AB$22,-2))))),IF(AND(AH!$H$24="Izquierda",RASANTE!F94&lt;=PERALTE!$AB$22),IF(RASANTE!F94&lt;=PERALTE!$Q$22,-2,IF(RASANTE!F94&lt;=PERALTE!$U$22,(10/(PERALTE!$U$22-PERALTE!$Q$22)*(RASANTE!F94-PERALTE!$Q$22)-2),IF(RASANTE!F94&lt;=PERALTE!$X$22,8,IF(RASANTE!F94&lt;=PERALTE!$AB$22,(10/(PERALTE!$X$22-PERALTE!$AB$22)*(RASANTE!F94-PERALTE!$AB$22)-2))))),IF(AND(AH!#REF!="Derecha",RASANTE!F94&lt;=PERALTE!#REF!),IF(RASANTE!F94&lt;=PERALTE!#REF!,-2,IF(RASANTE!F94&lt;=PERALTE!#REF!,(-6/(PERALTE!#REF!-PERALTE!#REF!)*(RASANTE!F94-PERALTE!#REF!)-2),IF(RASANTE!F94&lt;=PERALTE!#REF!,-8,IF(RASANTE!F94&lt;=PERALTE!#REF!,(-6/(PERALTE!#REF!-PERALTE!#REF!)*(RASANTE!F94-PERALTE!#REF!)-2),IF(RASANTE!F94&lt;=PERALTE!#REF!,-2))))),IF(AND(AH!#REF!="Izquierda",RASANTE!F94&lt;=PERALTE!#REF!),IF(RASANTE!F94&lt;=PERALTE!#REF!,-2,IF(RASANTE!F94&lt;=PERALTE!#REF!,(10/(PERALTE!#REF!-PERALTE!#REF!)*(RASANTE!F94-PERALTE!#REF!)-2),IF(RASANTE!F94&lt;=PERALTE!#REF!,8,IF(RASANTE!F94&lt;=PERALTE!#REF!,(10/(PERALTE!#REF!-PERALTE!#REF!)*(RASANTE!F94-PERALTE!#REF!)-2))))),IF(AND(AH!#REF!="Derecha",RASANTE!F94&lt;=PERALTE!$AB$26),IF(RASANTE!F94&lt;=PERALTE!$S$26,-2,IF(RASANTE!F94&lt;=PERALTE!$U$26,(-6/(PERALTE!$U$26-PERALTE!$S$26)*(RASANTE!F94-PERALTE!$S$26)-2),IF(RASANTE!F94&lt;=PERALTE!$X$26,-8,IF(RASANTE!F94&lt;=PERALTE!$Z$26,(-6/(PERALTE!$X$26-PERALTE!$Z$26)*(RASANTE!F94-PERALTE!$Z$26)-2),IF(RASANTE!F94&lt;=PERALTE!$AB$26,-2))))),IF(AND(AH!#REF!="Izquierda",RASANTE!F94&lt;=PERALTE!$AB$26),IF(RASANTE!F94&lt;=PERALTE!$Q$26,-2,IF(RASANTE!F94&lt;=PERALTE!$U$26,(10/(PERALTE!$U$26-PERALTE!$Q$26)*(RASANTE!F94-PERALTE!$Q$26)-2),IF(RASANTE!F94&lt;=PERALTE!$X$26,8,IF(RASANTE!F94&lt;=PERALTE!$AB$26,(10/(PERALTE!$X$26-PERALTE!$AB$26)*(RASANTE!F94-PERALTE!$AB$26)-2))))),IF(F94&lt;=PERALTE!#REF!,-2,"Abscisa fuera de la vía")))))))))))))))))))))</f>
        <v>-2</v>
      </c>
      <c r="J94" s="28">
        <f t="shared" si="4"/>
        <v>1633.7864000000011</v>
      </c>
      <c r="K94" s="28">
        <f>+IF(AND(AV!$S$6&lt;F191,F191&lt;=AV!$T$6),AV!$P$6*((AV!$S$6-RASANTE!F191)/(AV!$N$6))^2,IF(AND(AV!$T$6&lt;RASANTE!F191,F191&lt;AV!$U$6),AV!$P$6*((AV!$U$6-RASANTE!F191)/(AV!$O$6))^2,IF(AND(AV!$S$8&lt;F191,F191&lt;=AV!$T$8),AV!$P$8*((AV!$S$8-RASANTE!F191)/(AV!$N$8))^2,IF(AND(AV!$T$8&lt;RASANTE!F191,F191&lt;AV!$U$8),AV!$P$8*((AV!$U$8-RASANTE!F191)/(AV!$O$8))^2,IF(AND(AV!$S$10&lt;F191,F191&lt;=AV!$T$10),AV!$P$10*((AV!$S$10-RASANTE!F191)/(AV!$N$10))^2,IF(AND(AV!$T$10&lt;RASANTE!F191,F191&lt;AV!$U$10),AV!$P$10*((AV!$U$10-RASANTE!F191)/(AV!$O$10))^2,IF(AND(AV!$S$12&lt;F191,F191&lt;=AV!$T$12),AV!$P$12*((AV!$S$12-RASANTE!F191)/(AV!$N$12))^2,IF(AND(AV!$T$12&lt;RASANTE!F191,F191&lt;AV!$U$12),AV!$P$12*((AV!$U$12-RASANTE!F191)/(AV!$O$12))^2,IF(AND(AV!$S$14&lt;F191,F191&lt;=AV!$T$14),AV!$P$14*((AV!$S$14-RASANTE!F191)/(AV!$N$14))^2,IF(AND(AV!$T$14&lt;RASANTE!F191,F191&lt;AV!$U$14),AV!$P$14*((AV!$U$14-RASANTE!F191)/(AV!$O$14))^2,IF(AND(AV!$S$16&lt;F191,F191&lt;=AV!$T$16),AV!$P$16*((AV!$S$16-RASANTE!F191)/(AV!$N$16))^2,IF(AND(AV!$T$16&lt;RASANTE!F191,F191&lt;AV!$U$16),AV!$P$16*((AV!$U$16-RASANTE!F191)/(AV!$O$16))^2,IF(AND(AV!$S$18&lt;F191,F191&lt;=AV!$T$18),AV!$P$18*((AV!$S$18-RASANTE!F191)/(AV!$N$18))^2,IF(AND(AV!$T$18&lt;RASANTE!F191,F191&lt;AV!$U$18),AV!$P$18*((AV!$U$18-RASANTE!F191)/(AV!$O$18))^2,IF(AND(AV!$S$20&lt;F191,F191&lt;=AV!$T$20),AV!$P$20*((AV!$S$20-RASANTE!F191)/(AV!$N$20))^2,IF(AND(AV!$T$20&lt;RASANTE!F191,F191&lt;AV!$U$20),AV!$P$20*((AV!$U$20-RASANTE!F191)/(AV!$O$20))^2,IF(AND(AV!$S$22&lt;F191,F191&lt;=AV!$T$22),AV!$P$22*((AV!$S$22-RASANTE!F191)/(AV!$N$22))^2,IF(AND(AV!$T$22&lt;RASANTE!F191,F191&lt;AV!$U$22),AV!$P$22*((AV!$U$22-RASANTE!F191)/(AV!$O$22))^2,IF(AND(AV!$S$24&lt;F191,F191&lt;=AV!$T$24),AV!$P$24*((AV!$S$24-RASANTE!F191)/(AV!$N$24))^2,IF(AND(AV!$T$24&lt;RASANTE!F191,F191&lt;AV!$U$24),AV!$P$24*((AV!$U$24-RASANTE!F191)/(AV!$O$24))^2,0))))))))))))))))))))</f>
        <v>0</v>
      </c>
      <c r="L94" s="28">
        <f>+M94+H94%*PERALTE!$C$32</f>
        <v>1633.7164000000012</v>
      </c>
      <c r="M94" s="28">
        <f t="shared" si="3"/>
        <v>1633.7864000000011</v>
      </c>
      <c r="N94" s="28">
        <f>+M94+I94%*PERALTE!$C$32</f>
        <v>1633.7164000000012</v>
      </c>
      <c r="O94" s="92"/>
      <c r="P94" s="84"/>
      <c r="Q94" s="84"/>
      <c r="R94" s="84"/>
      <c r="S94" s="84"/>
      <c r="T94" s="84"/>
      <c r="U94" s="84"/>
      <c r="V94" s="84"/>
      <c r="W94" s="84"/>
      <c r="X94" s="84"/>
      <c r="Y94" s="84"/>
    </row>
    <row r="95" spans="1:25" ht="15.75" customHeight="1" x14ac:dyDescent="0.2">
      <c r="A95" s="90"/>
      <c r="B95" s="104"/>
      <c r="C95" s="104"/>
      <c r="D95" s="104"/>
      <c r="F95" s="34">
        <v>610</v>
      </c>
      <c r="G95" s="88">
        <f>IF(F95&lt;=AV!$T$6,AV!$C$5,IF(RASANTE!F95&lt;=AV!$T$8,AV!$C$7,IF(RASANTE!F95&lt;=AV!$T$10,AV!$C$9,IF(RASANTE!F95&lt;=AV!$T$12,AV!#REF!,IF(RASANTE!F95&lt;=AV!$T$14,AV!$C$11,IF(RASANTE!F95&lt;=AV!$T$16,AV!$C$13, IF(RASANTE!F95&lt;=AV!$T$18,AV!$C$15,IF(RASANTE!F95&lt;=AV!$T$20,AV!$C$19,IF(RASANTE!F95&lt;=AV!$T$22,AV!$C$21,IF(RASANTE!F95&lt;=AV!$T$24,AV!$C$23,AV!$C$25))))))))))</f>
        <v>-3</v>
      </c>
      <c r="H95" s="28">
        <f>+IF(AND(AH!$H$8="Izquierda",RASANTE!F95&lt;=PERALTE!$AB$6),IF(RASANTE!F95&lt;=PERALTE!$S$6,-2,IF(RASANTE!F95&lt;=PERALTE!$U$6,(-6/(PERALTE!$U$6-PERALTE!$S$6)*(RASANTE!F95-PERALTE!$S$6)-2),IF(RASANTE!F95&lt;=PERALTE!$X$6,-8,IF(RASANTE!F95&lt;=PERALTE!$Z$6,(-6/(PERALTE!$X$6-PERALTE!$Z$6)*(RASANTE!F95-PERALTE!$Z$6)-2),IF(RASANTE!F95&lt;=PERALTE!$AB$6,-2))))),IF(AND(AH!$H$8="Derecha",RASANTE!F95&lt;=PERALTE!$AB$6),IF(RASANTE!F95&lt;=PERALTE!$Q$6,-2,IF(RASANTE!F95&lt;=PERALTE!$U$6,(10/(PERALTE!$U$6-PERALTE!$Q$6)*(RASANTE!F95-PERALTE!$Q$6)-2),IF(RASANTE!F95&lt;=PERALTE!$X$6,8,IF(RASANTE!F95&lt;=PERALTE!$AB$6,(10/(PERALTE!$X$6-PERALTE!$AB$6)*(RASANTE!F95-PERALTE!$AB$6)-2))))),IF(AND(AH!$H$10="Izquierda",RASANTE!F95&lt;=PERALTE!$AB$8),IF(RASANTE!F95&lt;=PERALTE!$S$8,-2,IF(RASANTE!F95&lt;=PERALTE!$U$8,(-6/(PERALTE!$U$8-PERALTE!$S$8)*(RASANTE!F95-PERALTE!$S$8)-2),IF(RASANTE!F95&lt;=PERALTE!$X$8,-8,IF(RASANTE!F95&lt;=PERALTE!$Z$8,(-6/(PERALTE!$X$8-PERALTE!$Z$8)*(RASANTE!F95-PERALTE!$Z$8)-2),IF(RASANTE!F95&lt;=PERALTE!$AB$8,-2))))),IF(AND(AH!$H$10="Derecha",RASANTE!F95&lt;=PERALTE!$AB$8),IF(RASANTE!F95&lt;=PERALTE!$Q$8,-2,IF(RASANTE!F95&lt;=PERALTE!$U$8,(10/(PERALTE!$U$8-PERALTE!$Q$8)*(RASANTE!F95-PERALTE!$Q$8)-2),IF(RASANTE!F95&lt;=PERALTE!$X$8,8,IF(RASANTE!F95&lt;=PERALTE!$AB$8,(10/(PERALTE!$X$8-PERALTE!$AB$8)*(RASANTE!F95-PERALTE!$AB$8)-2))))),IF(AND(AH!$H$12="Izquierda",RASANTE!F95&lt;=PERALTE!$AB$10),IF(RASANTE!F95&lt;=PERALTE!$S$10,-2,IF(RASANTE!F95&lt;=PERALTE!$U$10,(-6/(PERALTE!$U$10-PERALTE!$S$10)*(RASANTE!F95-PERALTE!$S$10)-2),IF(RASANTE!F95&lt;=PERALTE!$X$10,-8,IF(RASANTE!F95&lt;=PERALTE!$Z$10,(-6/(PERALTE!$X$10-PERALTE!$Z$10)*(RASANTE!F95-PERALTE!$Z$10)-2),IF(RASANTE!F95&lt;=PERALTE!$AB$10,-2))))),IF(AND(AH!$H$12="Derecha",RASANTE!F95&lt;=PERALTE!$AB$10),IF(RASANTE!F95&lt;=PERALTE!$Q$10,-2,IF(RASANTE!F95&lt;=PERALTE!$U$10,(10/(PERALTE!$U$10-PERALTE!$Q$10)*(RASANTE!F95-PERALTE!$Q$10)-2),IF(RASANTE!F95&lt;=PERALTE!$X$10,8,IF(RASANTE!F95&lt;=PERALTE!$AB$10,(10/(PERALTE!$X$10-PERALTE!$AB$10)*(RASANTE!F95-PERALTE!$AB$10)-2))))),IF(AND(AH!$H$14="Izquierda",RASANTE!F95&lt;=PERALTE!$AB$12),IF(RASANTE!F95&lt;=PERALTE!$S$12,-2,IF(RASANTE!F95&lt;=PERALTE!$U$12,(-6/(PERALTE!$U$12-PERALTE!$S$12)*(RASANTE!F95-PERALTE!$S$12)-2),IF(RASANTE!F95&lt;=PERALTE!$X$12,-8,IF(RASANTE!F95&lt;=PERALTE!$Z$12,(-6/(PERALTE!$X$12-PERALTE!$Z$12)*(RASANTE!F95-PERALTE!$Z$12)-2),IF(RASANTE!F95&lt;=PERALTE!$AB$12,-2))))),IF(AND(AH!$H$14="Derecha",RASANTE!F95&lt;=PERALTE!$AB$12),IF(RASANTE!F95&lt;=PERALTE!$Q$12,-2,IF(RASANTE!F95&lt;=PERALTE!$U$12,(10/(PERALTE!$U$12-PERALTE!$Q$12)*(RASANTE!F95-PERALTE!$Q$12)-2),IF(RASANTE!F95&lt;=PERALTE!$X$12,8,IF(RASANTE!F95&lt;=PERALTE!$AB$12,(10/(PERALTE!$X$12-PERALTE!$AB$12)*(RASANTE!F95-PERALTE!$AB$12)-2))))),IF(AND(AH!$H$16="Izquierda",RASANTE!F95&lt;=PERALTE!$AB$14),IF(RASANTE!F95&lt;=PERALTE!$S$14,-2,IF(RASANTE!F95&lt;=PERALTE!$U$14,(-6/(PERALTE!$U$14-PERALTE!$S$14)*(RASANTE!F95-PERALTE!$S$14)-2),IF(RASANTE!F95&lt;=PERALTE!$X$14,-8,IF(RASANTE!F95&lt;=PERALTE!$Z$14,(-6/(PERALTE!$X$14-PERALTE!$Z$14)*(RASANTE!F95-PERALTE!$Z$14)-2),IF(RASANTE!F95&lt;=PERALTE!$AB$14,-2))))),IF(AND(AH!$H$16="Derecha",RASANTE!F95&lt;=PERALTE!$AB$14),IF(RASANTE!F95&lt;=PERALTE!$Q$14,-2,IF(RASANTE!F95&lt;=PERALTE!$U$14,(10/(PERALTE!$U$14-PERALTE!$Q$14)*(RASANTE!F95-PERALTE!$Q$14)-2),IF(RASANTE!F95&lt;=PERALTE!$X$14,8,IF(RASANTE!F95&lt;=PERALTE!$AB$14,(10/(PERALTE!$X$14-PERALTE!$AB$14)*(RASANTE!F95-PERALTE!$AB$14)-2))))),IF(AND(AH!$H$18="Izquierda",RASANTE!F95&lt;=PERALTE!$AB$16),IF(RASANTE!F95&lt;=PERALTE!$S$16,-2,IF(RASANTE!F95&lt;=PERALTE!$U$16,(-6/(PERALTE!$U$16-PERALTE!$S$16)*(RASANTE!F95-PERALTE!$S$16)-2),IF(RASANTE!F95&lt;=PERALTE!$X$16,-8,IF(RASANTE!F95&lt;=PERALTE!$Z$16,(-6/(PERALTE!$X$16-PERALTE!$Z$16)*(RASANTE!F95-PERALTE!$Z$16)-2),IF(RASANTE!F95&lt;=PERALTE!$AB$16,-2))))),IF(AND(AH!$H$18="Derecha",RASANTE!F95&lt;=PERALTE!$AB$16),IF(RASANTE!F95&lt;=PERALTE!$Q$16,-2,IF(RASANTE!F95&lt;=PERALTE!$U$16,(10/(PERALTE!$U$16-PERALTE!$Q$16)*(RASANTE!F95-PERALTE!$Q$16)-2),IF(RASANTE!F95&lt;=PERALTE!$X$16,8,IF(RASANTE!F95&lt;=PERALTE!$AB$16,(10/(PERALTE!$X$16-PERALTE!$AB$16)*(RASANTE!F95-PERALTE!$AB$16)-2))))),IF(AND(AH!$H$20="Izquierda",RASANTE!F95&lt;=PERALTE!$AB$18),IF(RASANTE!F95&lt;=PERALTE!$S$18,-2,IF(RASANTE!F95&lt;=PERALTE!$U$18,(-6/(PERALTE!$U$18-PERALTE!$S$18)*(RASANTE!F95-PERALTE!$S$18)-2),IF(RASANTE!F95&lt;=PERALTE!$X$18,-8,IF(RASANTE!F95&lt;=PERALTE!$Z$18,(-6/(PERALTE!$X$18-PERALTE!$Z$18)*(RASANTE!F95-PERALTE!$Z$18)-2),IF(RASANTE!F95&lt;=PERALTE!$AB$18,-2))))),IF(AND(AH!$H$20="Derecha",RASANTE!F95&lt;=PERALTE!$AB$18),IF(RASANTE!F95&lt;=PERALTE!$Q$18,-2,IF(RASANTE!F95&lt;=PERALTE!$U$18,(10/(PERALTE!$U$18-PERALTE!$Q$18)*(RASANTE!F95-PERALTE!$Q$18)-2),IF(RASANTE!F95&lt;=PERALTE!$X$18,8,IF(RASANTE!F95&lt;=PERALTE!$AB$18,(10/(PERALTE!$X$18-PERALTE!$AB$18)*(RASANTE!F95-PERALTE!$AB$18)-2))))),IF(AND(AH!$H$24="Izquierda",RASANTE!F95&lt;=PERALTE!$AB$22),IF(RASANTE!F95&lt;=PERALTE!$S$22,-2,IF(RASANTE!F95&lt;=PERALTE!$U$22,(-6/(PERALTE!$U$22-PERALTE!$S$22)*(RASANTE!F95-PERALTE!$S$22)-2),IF(RASANTE!F95&lt;=PERALTE!$X$22,-8,IF(RASANTE!F95&lt;=PERALTE!$Z$22,(-6/(PERALTE!$X$22-PERALTE!$Z$22)*(RASANTE!F95-PERALTE!$Z$22)-2),IF(RASANTE!F95&lt;=PERALTE!$AB$22,-2))))),IF(AND(AH!$H$24="Derecha",RASANTE!F95&lt;=PERALTE!$AB$22),IF(RASANTE!F95&lt;=PERALTE!$Q$22,-2,IF(RASANTE!F95&lt;=PERALTE!$U$22,(10/(PERALTE!$U$22-PERALTE!$Q$22)*(RASANTE!F95-PERALTE!$Q$22)-2),IF(RASANTE!F95&lt;=PERALTE!$X$22,8,IF(RASANTE!F95&lt;=PERALTE!$AB$22,(10/(PERALTE!$X$22-PERALTE!$AB$22)*(RASANTE!F95-PERALTE!$AB$22)-2))))),IF(AND(AH!#REF!="Izquierda",RASANTE!F95&lt;=PERALTE!#REF!),IF(RASANTE!F95&lt;=PERALTE!#REF!,-2,IF(RASANTE!F95&lt;=PERALTE!#REF!,(-6/(PERALTE!#REF!-PERALTE!#REF!)*(RASANTE!F95-PERALTE!#REF!)-2),IF(RASANTE!F95&lt;=PERALTE!#REF!,-8,IF(RASANTE!F95&lt;=PERALTE!#REF!,(-6/(PERALTE!#REF!-PERALTE!#REF!)*(RASANTE!F95-PERALTE!#REF!)-2),IF(RASANTE!F95&lt;=PERALTE!#REF!,-2))))),IF(AND(AH!#REF!="Derecha",RASANTE!F95&lt;=PERALTE!#REF!),IF(RASANTE!F95&lt;=PERALTE!#REF!,-2,IF(RASANTE!F95&lt;=PERALTE!#REF!,(10/(PERALTE!#REF!-PERALTE!#REF!)*(RASANTE!F95-PERALTE!#REF!)-2),IF(RASANTE!F95&lt;=PERALTE!#REF!,8,IF(RASANTE!F95&lt;=PERALTE!#REF!,(10/(PERALTE!#REF!-PERALTE!#REF!)*(RASANTE!F95-PERALTE!#REF!)-2))))),IF(AND(AH!#REF!="Izquierda",RASANTE!F95&lt;=PERALTE!$AB$26),IF(RASANTE!F95&lt;=PERALTE!$S$26,-2,IF(RASANTE!F95&lt;=PERALTE!$U$26,(-6/(PERALTE!$U$26-PERALTE!$S$26)*(RASANTE!F95-PERALTE!$S$26)-2),IF(RASANTE!F95&lt;=PERALTE!$X$26,-8,IF(RASANTE!F95&lt;=PERALTE!$Z$26,(-6/(PERALTE!$X$26-PERALTE!$Z$26)*(RASANTE!F95-PERALTE!$Z$26)-2),IF(RASANTE!F95&lt;=PERALTE!$AB$26,-2))))),IF(AND(AH!#REF!="Derecha",RASANTE!F95&lt;=PERALTE!$AB$26),IF(RASANTE!F95&lt;=PERALTE!$Q$26,-2,IF(RASANTE!F95&lt;=PERALTE!$U$26,(10/(PERALTE!$U$26-PERALTE!$Q$26)*(RASANTE!F95-PERALTE!$Q$26)-2),IF(RASANTE!F95&lt;=PERALTE!$X$26,8,IF(RASANTE!F95&lt;=PERALTE!$AB$26,(10/(PERALTE!$X$26-PERALTE!$AB$26)*(RASANTE!F95-PERALTE!$AB$26)-2))))),IF(F95&lt;=PERALTE!#REF!,-2,"Abscisa fuera de la vía")))))))))))))))))))))</f>
        <v>-2</v>
      </c>
      <c r="I95" s="28">
        <f>+IF(AND(AH!$H$8="Derecha",RASANTE!F95&lt;=PERALTE!$AB$6),IF(RASANTE!F95&lt;=PERALTE!$S$6,-2,IF(RASANTE!F95&lt;=PERALTE!$U$6,(-6/(PERALTE!$U$6-PERALTE!$S$6)*(RASANTE!F95-PERALTE!$S$6)-2),IF(RASANTE!F95&lt;=PERALTE!$X$6,-8,IF(RASANTE!F95&lt;=PERALTE!$Z$6,(-6/(PERALTE!$X$6-PERALTE!$Z$6)*(RASANTE!F95-PERALTE!$Z$6)-2),IF(RASANTE!F95&lt;=PERALTE!$AB$6,-2))))),IF(AND(AH!$H$8="Izquierda",RASANTE!F95&lt;=PERALTE!$AB$6),IF(RASANTE!F95&lt;=PERALTE!$Q$6,-2,IF(RASANTE!F95&lt;=PERALTE!$U$6,(10/(PERALTE!$U$6-PERALTE!$Q$6)*(RASANTE!F95-PERALTE!$Q$6)-2),IF(RASANTE!F95&lt;=PERALTE!$X$6,8,IF(RASANTE!F95&lt;=PERALTE!$AB$6,(10/(PERALTE!$X$6-PERALTE!$AB$6)*(RASANTE!F95-PERALTE!$AB$6)-2))))),IF(AND(AH!$H$10="Derecha",RASANTE!F95&lt;=PERALTE!$AB$8),IF(RASANTE!F95&lt;=PERALTE!$S$8,-2,IF(RASANTE!F95&lt;=PERALTE!$U$8,(-6/(PERALTE!$U$8-PERALTE!$S$8)*(RASANTE!F95-PERALTE!$S$8)-2),IF(RASANTE!F95&lt;=PERALTE!$X$8,-8,IF(RASANTE!F95&lt;=PERALTE!$Z$8,(-6/(PERALTE!$X$8-PERALTE!$Z$8)*(RASANTE!F95-PERALTE!$Z$8)-2),IF(RASANTE!F95&lt;=PERALTE!$AB$8,-2))))),IF(AND(AH!$H$10="Izquierda",RASANTE!F95&lt;=PERALTE!$AB$8),IF(RASANTE!F95&lt;=PERALTE!$Q$8,-2,IF(RASANTE!F95&lt;=PERALTE!$U$8,(10/(PERALTE!$U$8-PERALTE!$Q$8)*(RASANTE!F95-PERALTE!$Q$8)-2),IF(RASANTE!F95&lt;=PERALTE!$X$8,8,IF(RASANTE!F95&lt;=PERALTE!$AB$8,(10/(PERALTE!$X$8-PERALTE!$AB$8)*(RASANTE!F95-PERALTE!$AB$8)-2))))),IF(AND(AH!$H$12="Derecha",RASANTE!F95&lt;=PERALTE!$AB$10),IF(RASANTE!F95&lt;=PERALTE!$S$10,-2,IF(RASANTE!F95&lt;=PERALTE!$U$10,(-6/(PERALTE!$U$10-PERALTE!$S$10)*(RASANTE!F95-PERALTE!$S$10)-2),IF(RASANTE!F95&lt;=PERALTE!$X$10,-8,IF(RASANTE!F95&lt;=PERALTE!$Z$10,(-6/(PERALTE!$X$10-PERALTE!$Z$10)*(RASANTE!F95-PERALTE!$Z$10)-2),IF(RASANTE!F95&lt;=PERALTE!$AB$10,-2))))),IF(AND(AH!$H$12="Izquierda",RASANTE!F95&lt;=PERALTE!$AB$10),IF(RASANTE!F95&lt;=PERALTE!$Q$10,-2,IF(RASANTE!F95&lt;=PERALTE!$U$10,(10/(PERALTE!$U$10-PERALTE!$Q$10)*(RASANTE!F95-PERALTE!$Q$10)-2),IF(RASANTE!F95&lt;=PERALTE!$X$10,8,IF(RASANTE!F95&lt;=PERALTE!$AB$10,(10/(PERALTE!$X$10-PERALTE!$AB$10)*(RASANTE!F95-PERALTE!$AB$10)-2))))),IF(AND(AH!$H$14="Derecha",RASANTE!F95&lt;=PERALTE!$AB$12),IF(RASANTE!F95&lt;=PERALTE!$S$12,-2,IF(RASANTE!F95&lt;=PERALTE!$U$12,(-6/(PERALTE!$U$12-PERALTE!$S$12)*(RASANTE!F95-PERALTE!$S$12)-2),IF(RASANTE!F95&lt;=PERALTE!$X$12,-8,IF(RASANTE!F95&lt;=PERALTE!$Z$12,(-6/(PERALTE!$X$12-PERALTE!$Z$12)*(RASANTE!F95-PERALTE!$Z$12)-2),IF(RASANTE!F95&lt;=PERALTE!$AB$12,-2))))),IF(AND(AH!$H$14="Izquierda",RASANTE!F95&lt;=PERALTE!$AB$12),IF(RASANTE!F95&lt;=PERALTE!$Q$12,-2,IF(RASANTE!F95&lt;=PERALTE!$U$12,(10/(PERALTE!$U$12-PERALTE!$Q$12)*(RASANTE!F95-PERALTE!$Q$12)-2),IF(RASANTE!F95&lt;=PERALTE!$X$12,8,IF(RASANTE!F95&lt;=PERALTE!$AB$12,(10/(PERALTE!$X$12-PERALTE!$AB$12)*(RASANTE!F95-PERALTE!$AB$12)-2))))),IF(AND(AH!$H$16="Derecha",RASANTE!F95&lt;=PERALTE!$AB$14),IF(RASANTE!F95&lt;=PERALTE!$S$14,-2,IF(RASANTE!F95&lt;=PERALTE!$U$14,(-6/(PERALTE!$U$14-PERALTE!$S$14)*(RASANTE!F95-PERALTE!$S$14)-2),IF(RASANTE!F95&lt;=PERALTE!$X$14,-8,IF(RASANTE!F95&lt;=PERALTE!$Z$14,(-6/(PERALTE!$X$14-PERALTE!$Z$14)*(RASANTE!F95-PERALTE!$Z$14)-2),IF(RASANTE!F95&lt;=PERALTE!$AB$14,-2))))),IF(AND(AH!$H$16="Izquierda",RASANTE!F95&lt;=PERALTE!$AB$14),IF(RASANTE!F95&lt;=PERALTE!$Q$14,-2,IF(RASANTE!F95&lt;=PERALTE!$U$14,(10/(PERALTE!$U$14-PERALTE!$Q$14)*(RASANTE!F95-PERALTE!$Q$14)-2),IF(RASANTE!F95&lt;=PERALTE!$X$14,8,IF(RASANTE!F95&lt;=PERALTE!$AB$14,(10/(PERALTE!$X$14-PERALTE!$AB$14)*(RASANTE!F95-PERALTE!$AB$14)-2))))),IF(AND(AH!$H$18="Derecha",RASANTE!F95&lt;=PERALTE!$AB$16),IF(RASANTE!F95&lt;=PERALTE!$S$16,-2,IF(RASANTE!F95&lt;=PERALTE!$U$16,(-6/(PERALTE!$U$16-PERALTE!$S$16)*(RASANTE!F95-PERALTE!$S$16)-2),IF(RASANTE!F95&lt;=PERALTE!$X$16,-8,IF(RASANTE!F95&lt;=PERALTE!$Z$16,(-6/(PERALTE!$X$16-PERALTE!$Z$16)*(RASANTE!F95-PERALTE!$Z$16)-2),IF(RASANTE!F95&lt;=PERALTE!$AB$16,-2))))),IF(AND(AH!$H$18="Izquierda",RASANTE!F95&lt;=PERALTE!$AB$16),IF(RASANTE!F95&lt;=PERALTE!$Q$16,-2,IF(RASANTE!F95&lt;=PERALTE!$U$16,(10/(PERALTE!$U$16-PERALTE!$Q$16)*(RASANTE!F95-PERALTE!$Q$16)-2),IF(RASANTE!F95&lt;=PERALTE!$X$16,8,IF(RASANTE!F95&lt;=PERALTE!$AB$16,(10/(PERALTE!$X$16-PERALTE!$AB$16)*(RASANTE!F95-PERALTE!$AB$16)-2))))),IF(AND(AH!$H$20="Derecha",RASANTE!F95&lt;=PERALTE!$AB$18),IF(RASANTE!F95&lt;=PERALTE!$S$18,-2,IF(RASANTE!F95&lt;=PERALTE!$U$18,(-6/(PERALTE!$U$18-PERALTE!$S$18)*(RASANTE!F95-PERALTE!$S$18)-2),IF(RASANTE!F95&lt;=PERALTE!$X$18,-8,IF(RASANTE!F95&lt;=PERALTE!$Z$18,(-6/(PERALTE!$X$18-PERALTE!$Z$18)*(RASANTE!F95-PERALTE!$Z$18)-2),IF(RASANTE!F95&lt;=PERALTE!$AB$18,-2))))),IF(AND(AH!$H$20="Izquierda",RASANTE!F95&lt;=PERALTE!$AB$18),IF(RASANTE!F95&lt;=PERALTE!$Q$18,-2,IF(RASANTE!F95&lt;=PERALTE!$U$18,(10/(PERALTE!$U$18-PERALTE!$Q$18)*(RASANTE!F95-PERALTE!$Q$18)-2),IF(RASANTE!F95&lt;=PERALTE!$X$18,8,IF(RASANTE!F95&lt;=PERALTE!$AB$18,(10/(PERALTE!$X$18-PERALTE!$AB$18)*(RASANTE!F95-PERALTE!$AB$18)-2))))),IF(AND(AH!$H$24="Derecha",RASANTE!F95&lt;=PERALTE!$AB$22),IF(RASANTE!F95&lt;=PERALTE!$S$22,-2,IF(RASANTE!F95&lt;=PERALTE!$U$22,(-6/(PERALTE!$U$22-PERALTE!$S$22)*(RASANTE!F95-PERALTE!$S$22)-2),IF(RASANTE!F95&lt;=PERALTE!$X$22,-8,IF(RASANTE!F95&lt;=PERALTE!$Z$22,(-6/(PERALTE!$X$22-PERALTE!$Z$22)*(RASANTE!F95-PERALTE!$Z$22)-2),IF(RASANTE!F95&lt;=PERALTE!$AB$22,-2))))),IF(AND(AH!$H$24="Izquierda",RASANTE!F95&lt;=PERALTE!$AB$22),IF(RASANTE!F95&lt;=PERALTE!$Q$22,-2,IF(RASANTE!F95&lt;=PERALTE!$U$22,(10/(PERALTE!$U$22-PERALTE!$Q$22)*(RASANTE!F95-PERALTE!$Q$22)-2),IF(RASANTE!F95&lt;=PERALTE!$X$22,8,IF(RASANTE!F95&lt;=PERALTE!$AB$22,(10/(PERALTE!$X$22-PERALTE!$AB$22)*(RASANTE!F95-PERALTE!$AB$22)-2))))),IF(AND(AH!#REF!="Derecha",RASANTE!F95&lt;=PERALTE!#REF!),IF(RASANTE!F95&lt;=PERALTE!#REF!,-2,IF(RASANTE!F95&lt;=PERALTE!#REF!,(-6/(PERALTE!#REF!-PERALTE!#REF!)*(RASANTE!F95-PERALTE!#REF!)-2),IF(RASANTE!F95&lt;=PERALTE!#REF!,-8,IF(RASANTE!F95&lt;=PERALTE!#REF!,(-6/(PERALTE!#REF!-PERALTE!#REF!)*(RASANTE!F95-PERALTE!#REF!)-2),IF(RASANTE!F95&lt;=PERALTE!#REF!,-2))))),IF(AND(AH!#REF!="Izquierda",RASANTE!F95&lt;=PERALTE!#REF!),IF(RASANTE!F95&lt;=PERALTE!#REF!,-2,IF(RASANTE!F95&lt;=PERALTE!#REF!,(10/(PERALTE!#REF!-PERALTE!#REF!)*(RASANTE!F95-PERALTE!#REF!)-2),IF(RASANTE!F95&lt;=PERALTE!#REF!,8,IF(RASANTE!F95&lt;=PERALTE!#REF!,(10/(PERALTE!#REF!-PERALTE!#REF!)*(RASANTE!F95-PERALTE!#REF!)-2))))),IF(AND(AH!#REF!="Derecha",RASANTE!F95&lt;=PERALTE!$AB$26),IF(RASANTE!F95&lt;=PERALTE!$S$26,-2,IF(RASANTE!F95&lt;=PERALTE!$U$26,(-6/(PERALTE!$U$26-PERALTE!$S$26)*(RASANTE!F95-PERALTE!$S$26)-2),IF(RASANTE!F95&lt;=PERALTE!$X$26,-8,IF(RASANTE!F95&lt;=PERALTE!$Z$26,(-6/(PERALTE!$X$26-PERALTE!$Z$26)*(RASANTE!F95-PERALTE!$Z$26)-2),IF(RASANTE!F95&lt;=PERALTE!$AB$26,-2))))),IF(AND(AH!#REF!="Izquierda",RASANTE!F95&lt;=PERALTE!$AB$26),IF(RASANTE!F95&lt;=PERALTE!$Q$26,-2,IF(RASANTE!F95&lt;=PERALTE!$U$26,(10/(PERALTE!$U$26-PERALTE!$Q$26)*(RASANTE!F95-PERALTE!$Q$26)-2),IF(RASANTE!F95&lt;=PERALTE!$X$26,8,IF(RASANTE!F95&lt;=PERALTE!$AB$26,(10/(PERALTE!$X$26-PERALTE!$AB$26)*(RASANTE!F95-PERALTE!$AB$26)-2))))),IF(F95&lt;=PERALTE!#REF!,-2,"Abscisa fuera de la vía")))))))))))))))))))))</f>
        <v>-2</v>
      </c>
      <c r="J95" s="28">
        <f t="shared" si="4"/>
        <v>1633.4864000000011</v>
      </c>
      <c r="K95" s="28">
        <f>+IF(AND(AV!$S$6&lt;F192,F192&lt;=AV!$T$6),AV!$P$6*((AV!$S$6-RASANTE!F192)/(AV!$N$6))^2,IF(AND(AV!$T$6&lt;RASANTE!F192,F192&lt;AV!$U$6),AV!$P$6*((AV!$U$6-RASANTE!F192)/(AV!$O$6))^2,IF(AND(AV!$S$8&lt;F192,F192&lt;=AV!$T$8),AV!$P$8*((AV!$S$8-RASANTE!F192)/(AV!$N$8))^2,IF(AND(AV!$T$8&lt;RASANTE!F192,F192&lt;AV!$U$8),AV!$P$8*((AV!$U$8-RASANTE!F192)/(AV!$O$8))^2,IF(AND(AV!$S$10&lt;F192,F192&lt;=AV!$T$10),AV!$P$10*((AV!$S$10-RASANTE!F192)/(AV!$N$10))^2,IF(AND(AV!$T$10&lt;RASANTE!F192,F192&lt;AV!$U$10),AV!$P$10*((AV!$U$10-RASANTE!F192)/(AV!$O$10))^2,IF(AND(AV!$S$12&lt;F192,F192&lt;=AV!$T$12),AV!$P$12*((AV!$S$12-RASANTE!F192)/(AV!$N$12))^2,IF(AND(AV!$T$12&lt;RASANTE!F192,F192&lt;AV!$U$12),AV!$P$12*((AV!$U$12-RASANTE!F192)/(AV!$O$12))^2,IF(AND(AV!$S$14&lt;F192,F192&lt;=AV!$T$14),AV!$P$14*((AV!$S$14-RASANTE!F192)/(AV!$N$14))^2,IF(AND(AV!$T$14&lt;RASANTE!F192,F192&lt;AV!$U$14),AV!$P$14*((AV!$U$14-RASANTE!F192)/(AV!$O$14))^2,IF(AND(AV!$S$16&lt;F192,F192&lt;=AV!$T$16),AV!$P$16*((AV!$S$16-RASANTE!F192)/(AV!$N$16))^2,IF(AND(AV!$T$16&lt;RASANTE!F192,F192&lt;AV!$U$16),AV!$P$16*((AV!$U$16-RASANTE!F192)/(AV!$O$16))^2,IF(AND(AV!$S$18&lt;F192,F192&lt;=AV!$T$18),AV!$P$18*((AV!$S$18-RASANTE!F192)/(AV!$N$18))^2,IF(AND(AV!$T$18&lt;RASANTE!F192,F192&lt;AV!$U$18),AV!$P$18*((AV!$U$18-RASANTE!F192)/(AV!$O$18))^2,IF(AND(AV!$S$20&lt;F192,F192&lt;=AV!$T$20),AV!$P$20*((AV!$S$20-RASANTE!F192)/(AV!$N$20))^2,IF(AND(AV!$T$20&lt;RASANTE!F192,F192&lt;AV!$U$20),AV!$P$20*((AV!$U$20-RASANTE!F192)/(AV!$O$20))^2,IF(AND(AV!$S$22&lt;F192,F192&lt;=AV!$T$22),AV!$P$22*((AV!$S$22-RASANTE!F192)/(AV!$N$22))^2,IF(AND(AV!$T$22&lt;RASANTE!F192,F192&lt;AV!$U$22),AV!$P$22*((AV!$U$22-RASANTE!F192)/(AV!$O$22))^2,IF(AND(AV!$S$24&lt;F192,F192&lt;=AV!$T$24),AV!$P$24*((AV!$S$24-RASANTE!F192)/(AV!$N$24))^2,IF(AND(AV!$T$24&lt;RASANTE!F192,F192&lt;AV!$U$24),AV!$P$24*((AV!$U$24-RASANTE!F192)/(AV!$O$24))^2,0))))))))))))))))))))</f>
        <v>0</v>
      </c>
      <c r="L95" s="28">
        <f>+M95+H95%*PERALTE!$C$32</f>
        <v>1633.4164000000012</v>
      </c>
      <c r="M95" s="28">
        <f t="shared" si="3"/>
        <v>1633.4864000000011</v>
      </c>
      <c r="N95" s="28">
        <f>+M95+I95%*PERALTE!$C$32</f>
        <v>1633.4164000000012</v>
      </c>
      <c r="O95" s="92"/>
      <c r="P95" s="84"/>
      <c r="Q95" s="84"/>
      <c r="R95" s="84"/>
      <c r="S95" s="84"/>
      <c r="T95" s="84"/>
      <c r="U95" s="84"/>
      <c r="V95" s="84"/>
      <c r="W95" s="84"/>
      <c r="X95" s="84"/>
      <c r="Y95" s="84"/>
    </row>
    <row r="96" spans="1:25" ht="15.75" customHeight="1" x14ac:dyDescent="0.2">
      <c r="A96" s="90" t="s">
        <v>329</v>
      </c>
      <c r="B96" s="102"/>
      <c r="C96" s="102"/>
      <c r="D96" s="102"/>
      <c r="E96" s="91"/>
      <c r="F96" s="34">
        <f>PERALTE!Q10</f>
        <v>612.43029652659891</v>
      </c>
      <c r="G96" s="88">
        <f>IF(F96&lt;=AV!$T$6,AV!$C$5,IF(RASANTE!F96&lt;=AV!$T$8,AV!$C$7,IF(RASANTE!F96&lt;=AV!$T$10,AV!$C$9,IF(RASANTE!F96&lt;=AV!$T$12,AV!#REF!,IF(RASANTE!F96&lt;=AV!$T$14,AV!$C$11,IF(RASANTE!F96&lt;=AV!$T$16,AV!$C$13, IF(RASANTE!F96&lt;=AV!$T$18,AV!$C$15,IF(RASANTE!F96&lt;=AV!$T$20,AV!$C$19,IF(RASANTE!F96&lt;=AV!$T$22,AV!$C$21,IF(RASANTE!F96&lt;=AV!$T$24,AV!$C$23,AV!$C$25))))))))))</f>
        <v>-3</v>
      </c>
      <c r="H96" s="28">
        <f>+IF(AND(AH!$H$8="Izquierda",RASANTE!F96&lt;=PERALTE!$AB$6),IF(RASANTE!F96&lt;=PERALTE!$S$6,-2,IF(RASANTE!F96&lt;=PERALTE!$U$6,(-6/(PERALTE!$U$6-PERALTE!$S$6)*(RASANTE!F96-PERALTE!$S$6)-2),IF(RASANTE!F96&lt;=PERALTE!$X$6,-8,IF(RASANTE!F96&lt;=PERALTE!$Z$6,(-6/(PERALTE!$X$6-PERALTE!$Z$6)*(RASANTE!F96-PERALTE!$Z$6)-2),IF(RASANTE!F96&lt;=PERALTE!$AB$6,-2))))),IF(AND(AH!$H$8="Derecha",RASANTE!F96&lt;=PERALTE!$AB$6),IF(RASANTE!F96&lt;=PERALTE!$Q$6,-2,IF(RASANTE!F96&lt;=PERALTE!$U$6,(10/(PERALTE!$U$6-PERALTE!$Q$6)*(RASANTE!F96-PERALTE!$Q$6)-2),IF(RASANTE!F96&lt;=PERALTE!$X$6,8,IF(RASANTE!F96&lt;=PERALTE!$AB$6,(10/(PERALTE!$X$6-PERALTE!$AB$6)*(RASANTE!F96-PERALTE!$AB$6)-2))))),IF(AND(AH!$H$10="Izquierda",RASANTE!F96&lt;=PERALTE!$AB$8),IF(RASANTE!F96&lt;=PERALTE!$S$8,-2,IF(RASANTE!F96&lt;=PERALTE!$U$8,(-6/(PERALTE!$U$8-PERALTE!$S$8)*(RASANTE!F96-PERALTE!$S$8)-2),IF(RASANTE!F96&lt;=PERALTE!$X$8,-8,IF(RASANTE!F96&lt;=PERALTE!$Z$8,(-6/(PERALTE!$X$8-PERALTE!$Z$8)*(RASANTE!F96-PERALTE!$Z$8)-2),IF(RASANTE!F96&lt;=PERALTE!$AB$8,-2))))),IF(AND(AH!$H$10="Derecha",RASANTE!F96&lt;=PERALTE!$AB$8),IF(RASANTE!F96&lt;=PERALTE!$Q$8,-2,IF(RASANTE!F96&lt;=PERALTE!$U$8,(10/(PERALTE!$U$8-PERALTE!$Q$8)*(RASANTE!F96-PERALTE!$Q$8)-2),IF(RASANTE!F96&lt;=PERALTE!$X$8,8,IF(RASANTE!F96&lt;=PERALTE!$AB$8,(10/(PERALTE!$X$8-PERALTE!$AB$8)*(RASANTE!F96-PERALTE!$AB$8)-2))))),IF(AND(AH!$H$12="Izquierda",RASANTE!F96&lt;=PERALTE!$AB$10),IF(RASANTE!F96&lt;=PERALTE!$S$10,-2,IF(RASANTE!F96&lt;=PERALTE!$U$10,(-6/(PERALTE!$U$10-PERALTE!$S$10)*(RASANTE!F96-PERALTE!$S$10)-2),IF(RASANTE!F96&lt;=PERALTE!$X$10,-8,IF(RASANTE!F96&lt;=PERALTE!$Z$10,(-6/(PERALTE!$X$10-PERALTE!$Z$10)*(RASANTE!F96-PERALTE!$Z$10)-2),IF(RASANTE!F96&lt;=PERALTE!$AB$10,-2))))),IF(AND(AH!$H$12="Derecha",RASANTE!F96&lt;=PERALTE!$AB$10),IF(RASANTE!F96&lt;=PERALTE!$Q$10,-2,IF(RASANTE!F96&lt;=PERALTE!$U$10,(10/(PERALTE!$U$10-PERALTE!$Q$10)*(RASANTE!F96-PERALTE!$Q$10)-2),IF(RASANTE!F96&lt;=PERALTE!$X$10,8,IF(RASANTE!F96&lt;=PERALTE!$AB$10,(10/(PERALTE!$X$10-PERALTE!$AB$10)*(RASANTE!F96-PERALTE!$AB$10)-2))))),IF(AND(AH!$H$14="Izquierda",RASANTE!F96&lt;=PERALTE!$AB$12),IF(RASANTE!F96&lt;=PERALTE!$S$12,-2,IF(RASANTE!F96&lt;=PERALTE!$U$12,(-6/(PERALTE!$U$12-PERALTE!$S$12)*(RASANTE!F96-PERALTE!$S$12)-2),IF(RASANTE!F96&lt;=PERALTE!$X$12,-8,IF(RASANTE!F96&lt;=PERALTE!$Z$12,(-6/(PERALTE!$X$12-PERALTE!$Z$12)*(RASANTE!F96-PERALTE!$Z$12)-2),IF(RASANTE!F96&lt;=PERALTE!$AB$12,-2))))),IF(AND(AH!$H$14="Derecha",RASANTE!F96&lt;=PERALTE!$AB$12),IF(RASANTE!F96&lt;=PERALTE!$Q$12,-2,IF(RASANTE!F96&lt;=PERALTE!$U$12,(10/(PERALTE!$U$12-PERALTE!$Q$12)*(RASANTE!F96-PERALTE!$Q$12)-2),IF(RASANTE!F96&lt;=PERALTE!$X$12,8,IF(RASANTE!F96&lt;=PERALTE!$AB$12,(10/(PERALTE!$X$12-PERALTE!$AB$12)*(RASANTE!F96-PERALTE!$AB$12)-2))))),IF(AND(AH!$H$16="Izquierda",RASANTE!F96&lt;=PERALTE!$AB$14),IF(RASANTE!F96&lt;=PERALTE!$S$14,-2,IF(RASANTE!F96&lt;=PERALTE!$U$14,(-6/(PERALTE!$U$14-PERALTE!$S$14)*(RASANTE!F96-PERALTE!$S$14)-2),IF(RASANTE!F96&lt;=PERALTE!$X$14,-8,IF(RASANTE!F96&lt;=PERALTE!$Z$14,(-6/(PERALTE!$X$14-PERALTE!$Z$14)*(RASANTE!F96-PERALTE!$Z$14)-2),IF(RASANTE!F96&lt;=PERALTE!$AB$14,-2))))),IF(AND(AH!$H$16="Derecha",RASANTE!F96&lt;=PERALTE!$AB$14),IF(RASANTE!F96&lt;=PERALTE!$Q$14,-2,IF(RASANTE!F96&lt;=PERALTE!$U$14,(10/(PERALTE!$U$14-PERALTE!$Q$14)*(RASANTE!F96-PERALTE!$Q$14)-2),IF(RASANTE!F96&lt;=PERALTE!$X$14,8,IF(RASANTE!F96&lt;=PERALTE!$AB$14,(10/(PERALTE!$X$14-PERALTE!$AB$14)*(RASANTE!F96-PERALTE!$AB$14)-2))))),IF(AND(AH!$H$18="Izquierda",RASANTE!F96&lt;=PERALTE!$AB$16),IF(RASANTE!F96&lt;=PERALTE!$S$16,-2,IF(RASANTE!F96&lt;=PERALTE!$U$16,(-6/(PERALTE!$U$16-PERALTE!$S$16)*(RASANTE!F96-PERALTE!$S$16)-2),IF(RASANTE!F96&lt;=PERALTE!$X$16,-8,IF(RASANTE!F96&lt;=PERALTE!$Z$16,(-6/(PERALTE!$X$16-PERALTE!$Z$16)*(RASANTE!F96-PERALTE!$Z$16)-2),IF(RASANTE!F96&lt;=PERALTE!$AB$16,-2))))),IF(AND(AH!$H$18="Derecha",RASANTE!F96&lt;=PERALTE!$AB$16),IF(RASANTE!F96&lt;=PERALTE!$Q$16,-2,IF(RASANTE!F96&lt;=PERALTE!$U$16,(10/(PERALTE!$U$16-PERALTE!$Q$16)*(RASANTE!F96-PERALTE!$Q$16)-2),IF(RASANTE!F96&lt;=PERALTE!$X$16,8,IF(RASANTE!F96&lt;=PERALTE!$AB$16,(10/(PERALTE!$X$16-PERALTE!$AB$16)*(RASANTE!F96-PERALTE!$AB$16)-2))))),IF(AND(AH!$H$20="Izquierda",RASANTE!F96&lt;=PERALTE!$AB$18),IF(RASANTE!F96&lt;=PERALTE!$S$18,-2,IF(RASANTE!F96&lt;=PERALTE!$U$18,(-6/(PERALTE!$U$18-PERALTE!$S$18)*(RASANTE!F96-PERALTE!$S$18)-2),IF(RASANTE!F96&lt;=PERALTE!$X$18,-8,IF(RASANTE!F96&lt;=PERALTE!$Z$18,(-6/(PERALTE!$X$18-PERALTE!$Z$18)*(RASANTE!F96-PERALTE!$Z$18)-2),IF(RASANTE!F96&lt;=PERALTE!$AB$18,-2))))),IF(AND(AH!$H$20="Derecha",RASANTE!F96&lt;=PERALTE!$AB$18),IF(RASANTE!F96&lt;=PERALTE!$Q$18,-2,IF(RASANTE!F96&lt;=PERALTE!$U$18,(10/(PERALTE!$U$18-PERALTE!$Q$18)*(RASANTE!F96-PERALTE!$Q$18)-2),IF(RASANTE!F96&lt;=PERALTE!$X$18,8,IF(RASANTE!F96&lt;=PERALTE!$AB$18,(10/(PERALTE!$X$18-PERALTE!$AB$18)*(RASANTE!F96-PERALTE!$AB$18)-2))))),IF(AND(AH!$H$24="Izquierda",RASANTE!F96&lt;=PERALTE!$AB$22),IF(RASANTE!F96&lt;=PERALTE!$S$22,-2,IF(RASANTE!F96&lt;=PERALTE!$U$22,(-6/(PERALTE!$U$22-PERALTE!$S$22)*(RASANTE!F96-PERALTE!$S$22)-2),IF(RASANTE!F96&lt;=PERALTE!$X$22,-8,IF(RASANTE!F96&lt;=PERALTE!$Z$22,(-6/(PERALTE!$X$22-PERALTE!$Z$22)*(RASANTE!F96-PERALTE!$Z$22)-2),IF(RASANTE!F96&lt;=PERALTE!$AB$22,-2))))),IF(AND(AH!$H$24="Derecha",RASANTE!F96&lt;=PERALTE!$AB$22),IF(RASANTE!F96&lt;=PERALTE!$Q$22,-2,IF(RASANTE!F96&lt;=PERALTE!$U$22,(10/(PERALTE!$U$22-PERALTE!$Q$22)*(RASANTE!F96-PERALTE!$Q$22)-2),IF(RASANTE!F96&lt;=PERALTE!$X$22,8,IF(RASANTE!F96&lt;=PERALTE!$AB$22,(10/(PERALTE!$X$22-PERALTE!$AB$22)*(RASANTE!F96-PERALTE!$AB$22)-2))))),IF(AND(AH!#REF!="Izquierda",RASANTE!F96&lt;=PERALTE!#REF!),IF(RASANTE!F96&lt;=PERALTE!#REF!,-2,IF(RASANTE!F96&lt;=PERALTE!#REF!,(-6/(PERALTE!#REF!-PERALTE!#REF!)*(RASANTE!F96-PERALTE!#REF!)-2),IF(RASANTE!F96&lt;=PERALTE!#REF!,-8,IF(RASANTE!F96&lt;=PERALTE!#REF!,(-6/(PERALTE!#REF!-PERALTE!#REF!)*(RASANTE!F96-PERALTE!#REF!)-2),IF(RASANTE!F96&lt;=PERALTE!#REF!,-2))))),IF(AND(AH!#REF!="Derecha",RASANTE!F96&lt;=PERALTE!#REF!),IF(RASANTE!F96&lt;=PERALTE!#REF!,-2,IF(RASANTE!F96&lt;=PERALTE!#REF!,(10/(PERALTE!#REF!-PERALTE!#REF!)*(RASANTE!F96-PERALTE!#REF!)-2),IF(RASANTE!F96&lt;=PERALTE!#REF!,8,IF(RASANTE!F96&lt;=PERALTE!#REF!,(10/(PERALTE!#REF!-PERALTE!#REF!)*(RASANTE!F96-PERALTE!#REF!)-2))))),IF(AND(AH!#REF!="Izquierda",RASANTE!F96&lt;=PERALTE!$AB$26),IF(RASANTE!F96&lt;=PERALTE!$S$26,-2,IF(RASANTE!F96&lt;=PERALTE!$U$26,(-6/(PERALTE!$U$26-PERALTE!$S$26)*(RASANTE!F96-PERALTE!$S$26)-2),IF(RASANTE!F96&lt;=PERALTE!$X$26,-8,IF(RASANTE!F96&lt;=PERALTE!$Z$26,(-6/(PERALTE!$X$26-PERALTE!$Z$26)*(RASANTE!F96-PERALTE!$Z$26)-2),IF(RASANTE!F96&lt;=PERALTE!$AB$26,-2))))),IF(AND(AH!#REF!="Derecha",RASANTE!F96&lt;=PERALTE!$AB$26),IF(RASANTE!F96&lt;=PERALTE!$Q$26,-2,IF(RASANTE!F96&lt;=PERALTE!$U$26,(10/(PERALTE!$U$26-PERALTE!$Q$26)*(RASANTE!F96-PERALTE!$Q$26)-2),IF(RASANTE!F96&lt;=PERALTE!$X$26,8,IF(RASANTE!F96&lt;=PERALTE!$AB$26,(10/(PERALTE!$X$26-PERALTE!$AB$26)*(RASANTE!F96-PERALTE!$AB$26)-2))))),IF(F96&lt;=PERALTE!#REF!,-2,"Abscisa fuera de la vía")))))))))))))))))))))</f>
        <v>-2</v>
      </c>
      <c r="I96" s="28">
        <f>+IF(AND(AH!$H$8="Derecha",RASANTE!F96&lt;=PERALTE!$AB$6),IF(RASANTE!F96&lt;=PERALTE!$S$6,-2,IF(RASANTE!F96&lt;=PERALTE!$U$6,(-6/(PERALTE!$U$6-PERALTE!$S$6)*(RASANTE!F96-PERALTE!$S$6)-2),IF(RASANTE!F96&lt;=PERALTE!$X$6,-8,IF(RASANTE!F96&lt;=PERALTE!$Z$6,(-6/(PERALTE!$X$6-PERALTE!$Z$6)*(RASANTE!F96-PERALTE!$Z$6)-2),IF(RASANTE!F96&lt;=PERALTE!$AB$6,-2))))),IF(AND(AH!$H$8="Izquierda",RASANTE!F96&lt;=PERALTE!$AB$6),IF(RASANTE!F96&lt;=PERALTE!$Q$6,-2,IF(RASANTE!F96&lt;=PERALTE!$U$6,(10/(PERALTE!$U$6-PERALTE!$Q$6)*(RASANTE!F96-PERALTE!$Q$6)-2),IF(RASANTE!F96&lt;=PERALTE!$X$6,8,IF(RASANTE!F96&lt;=PERALTE!$AB$6,(10/(PERALTE!$X$6-PERALTE!$AB$6)*(RASANTE!F96-PERALTE!$AB$6)-2))))),IF(AND(AH!$H$10="Derecha",RASANTE!F96&lt;=PERALTE!$AB$8),IF(RASANTE!F96&lt;=PERALTE!$S$8,-2,IF(RASANTE!F96&lt;=PERALTE!$U$8,(-6/(PERALTE!$U$8-PERALTE!$S$8)*(RASANTE!F96-PERALTE!$S$8)-2),IF(RASANTE!F96&lt;=PERALTE!$X$8,-8,IF(RASANTE!F96&lt;=PERALTE!$Z$8,(-6/(PERALTE!$X$8-PERALTE!$Z$8)*(RASANTE!F96-PERALTE!$Z$8)-2),IF(RASANTE!F96&lt;=PERALTE!$AB$8,-2))))),IF(AND(AH!$H$10="Izquierda",RASANTE!F96&lt;=PERALTE!$AB$8),IF(RASANTE!F96&lt;=PERALTE!$Q$8,-2,IF(RASANTE!F96&lt;=PERALTE!$U$8,(10/(PERALTE!$U$8-PERALTE!$Q$8)*(RASANTE!F96-PERALTE!$Q$8)-2),IF(RASANTE!F96&lt;=PERALTE!$X$8,8,IF(RASANTE!F96&lt;=PERALTE!$AB$8,(10/(PERALTE!$X$8-PERALTE!$AB$8)*(RASANTE!F96-PERALTE!$AB$8)-2))))),IF(AND(AH!$H$12="Derecha",RASANTE!F96&lt;=PERALTE!$AB$10),IF(RASANTE!F96&lt;=PERALTE!$S$10,-2,IF(RASANTE!F96&lt;=PERALTE!$U$10,(-6/(PERALTE!$U$10-PERALTE!$S$10)*(RASANTE!F96-PERALTE!$S$10)-2),IF(RASANTE!F96&lt;=PERALTE!$X$10,-8,IF(RASANTE!F96&lt;=PERALTE!$Z$10,(-6/(PERALTE!$X$10-PERALTE!$Z$10)*(RASANTE!F96-PERALTE!$Z$10)-2),IF(RASANTE!F96&lt;=PERALTE!$AB$10,-2))))),IF(AND(AH!$H$12="Izquierda",RASANTE!F96&lt;=PERALTE!$AB$10),IF(RASANTE!F96&lt;=PERALTE!$Q$10,-2,IF(RASANTE!F96&lt;=PERALTE!$U$10,(10/(PERALTE!$U$10-PERALTE!$Q$10)*(RASANTE!F96-PERALTE!$Q$10)-2),IF(RASANTE!F96&lt;=PERALTE!$X$10,8,IF(RASANTE!F96&lt;=PERALTE!$AB$10,(10/(PERALTE!$X$10-PERALTE!$AB$10)*(RASANTE!F96-PERALTE!$AB$10)-2))))),IF(AND(AH!$H$14="Derecha",RASANTE!F96&lt;=PERALTE!$AB$12),IF(RASANTE!F96&lt;=PERALTE!$S$12,-2,IF(RASANTE!F96&lt;=PERALTE!$U$12,(-6/(PERALTE!$U$12-PERALTE!$S$12)*(RASANTE!F96-PERALTE!$S$12)-2),IF(RASANTE!F96&lt;=PERALTE!$X$12,-8,IF(RASANTE!F96&lt;=PERALTE!$Z$12,(-6/(PERALTE!$X$12-PERALTE!$Z$12)*(RASANTE!F96-PERALTE!$Z$12)-2),IF(RASANTE!F96&lt;=PERALTE!$AB$12,-2))))),IF(AND(AH!$H$14="Izquierda",RASANTE!F96&lt;=PERALTE!$AB$12),IF(RASANTE!F96&lt;=PERALTE!$Q$12,-2,IF(RASANTE!F96&lt;=PERALTE!$U$12,(10/(PERALTE!$U$12-PERALTE!$Q$12)*(RASANTE!F96-PERALTE!$Q$12)-2),IF(RASANTE!F96&lt;=PERALTE!$X$12,8,IF(RASANTE!F96&lt;=PERALTE!$AB$12,(10/(PERALTE!$X$12-PERALTE!$AB$12)*(RASANTE!F96-PERALTE!$AB$12)-2))))),IF(AND(AH!$H$16="Derecha",RASANTE!F96&lt;=PERALTE!$AB$14),IF(RASANTE!F96&lt;=PERALTE!$S$14,-2,IF(RASANTE!F96&lt;=PERALTE!$U$14,(-6/(PERALTE!$U$14-PERALTE!$S$14)*(RASANTE!F96-PERALTE!$S$14)-2),IF(RASANTE!F96&lt;=PERALTE!$X$14,-8,IF(RASANTE!F96&lt;=PERALTE!$Z$14,(-6/(PERALTE!$X$14-PERALTE!$Z$14)*(RASANTE!F96-PERALTE!$Z$14)-2),IF(RASANTE!F96&lt;=PERALTE!$AB$14,-2))))),IF(AND(AH!$H$16="Izquierda",RASANTE!F96&lt;=PERALTE!$AB$14),IF(RASANTE!F96&lt;=PERALTE!$Q$14,-2,IF(RASANTE!F96&lt;=PERALTE!$U$14,(10/(PERALTE!$U$14-PERALTE!$Q$14)*(RASANTE!F96-PERALTE!$Q$14)-2),IF(RASANTE!F96&lt;=PERALTE!$X$14,8,IF(RASANTE!F96&lt;=PERALTE!$AB$14,(10/(PERALTE!$X$14-PERALTE!$AB$14)*(RASANTE!F96-PERALTE!$AB$14)-2))))),IF(AND(AH!$H$18="Derecha",RASANTE!F96&lt;=PERALTE!$AB$16),IF(RASANTE!F96&lt;=PERALTE!$S$16,-2,IF(RASANTE!F96&lt;=PERALTE!$U$16,(-6/(PERALTE!$U$16-PERALTE!$S$16)*(RASANTE!F96-PERALTE!$S$16)-2),IF(RASANTE!F96&lt;=PERALTE!$X$16,-8,IF(RASANTE!F96&lt;=PERALTE!$Z$16,(-6/(PERALTE!$X$16-PERALTE!$Z$16)*(RASANTE!F96-PERALTE!$Z$16)-2),IF(RASANTE!F96&lt;=PERALTE!$AB$16,-2))))),IF(AND(AH!$H$18="Izquierda",RASANTE!F96&lt;=PERALTE!$AB$16),IF(RASANTE!F96&lt;=PERALTE!$Q$16,-2,IF(RASANTE!F96&lt;=PERALTE!$U$16,(10/(PERALTE!$U$16-PERALTE!$Q$16)*(RASANTE!F96-PERALTE!$Q$16)-2),IF(RASANTE!F96&lt;=PERALTE!$X$16,8,IF(RASANTE!F96&lt;=PERALTE!$AB$16,(10/(PERALTE!$X$16-PERALTE!$AB$16)*(RASANTE!F96-PERALTE!$AB$16)-2))))),IF(AND(AH!$H$20="Derecha",RASANTE!F96&lt;=PERALTE!$AB$18),IF(RASANTE!F96&lt;=PERALTE!$S$18,-2,IF(RASANTE!F96&lt;=PERALTE!$U$18,(-6/(PERALTE!$U$18-PERALTE!$S$18)*(RASANTE!F96-PERALTE!$S$18)-2),IF(RASANTE!F96&lt;=PERALTE!$X$18,-8,IF(RASANTE!F96&lt;=PERALTE!$Z$18,(-6/(PERALTE!$X$18-PERALTE!$Z$18)*(RASANTE!F96-PERALTE!$Z$18)-2),IF(RASANTE!F96&lt;=PERALTE!$AB$18,-2))))),IF(AND(AH!$H$20="Izquierda",RASANTE!F96&lt;=PERALTE!$AB$18),IF(RASANTE!F96&lt;=PERALTE!$Q$18,-2,IF(RASANTE!F96&lt;=PERALTE!$U$18,(10/(PERALTE!$U$18-PERALTE!$Q$18)*(RASANTE!F96-PERALTE!$Q$18)-2),IF(RASANTE!F96&lt;=PERALTE!$X$18,8,IF(RASANTE!F96&lt;=PERALTE!$AB$18,(10/(PERALTE!$X$18-PERALTE!$AB$18)*(RASANTE!F96-PERALTE!$AB$18)-2))))),IF(AND(AH!$H$24="Derecha",RASANTE!F96&lt;=PERALTE!$AB$22),IF(RASANTE!F96&lt;=PERALTE!$S$22,-2,IF(RASANTE!F96&lt;=PERALTE!$U$22,(-6/(PERALTE!$U$22-PERALTE!$S$22)*(RASANTE!F96-PERALTE!$S$22)-2),IF(RASANTE!F96&lt;=PERALTE!$X$22,-8,IF(RASANTE!F96&lt;=PERALTE!$Z$22,(-6/(PERALTE!$X$22-PERALTE!$Z$22)*(RASANTE!F96-PERALTE!$Z$22)-2),IF(RASANTE!F96&lt;=PERALTE!$AB$22,-2))))),IF(AND(AH!$H$24="Izquierda",RASANTE!F96&lt;=PERALTE!$AB$22),IF(RASANTE!F96&lt;=PERALTE!$Q$22,-2,IF(RASANTE!F96&lt;=PERALTE!$U$22,(10/(PERALTE!$U$22-PERALTE!$Q$22)*(RASANTE!F96-PERALTE!$Q$22)-2),IF(RASANTE!F96&lt;=PERALTE!$X$22,8,IF(RASANTE!F96&lt;=PERALTE!$AB$22,(10/(PERALTE!$X$22-PERALTE!$AB$22)*(RASANTE!F96-PERALTE!$AB$22)-2))))),IF(AND(AH!#REF!="Derecha",RASANTE!F96&lt;=PERALTE!#REF!),IF(RASANTE!F96&lt;=PERALTE!#REF!,-2,IF(RASANTE!F96&lt;=PERALTE!#REF!,(-6/(PERALTE!#REF!-PERALTE!#REF!)*(RASANTE!F96-PERALTE!#REF!)-2),IF(RASANTE!F96&lt;=PERALTE!#REF!,-8,IF(RASANTE!F96&lt;=PERALTE!#REF!,(-6/(PERALTE!#REF!-PERALTE!#REF!)*(RASANTE!F96-PERALTE!#REF!)-2),IF(RASANTE!F96&lt;=PERALTE!#REF!,-2))))),IF(AND(AH!#REF!="Izquierda",RASANTE!F96&lt;=PERALTE!#REF!),IF(RASANTE!F96&lt;=PERALTE!#REF!,-2,IF(RASANTE!F96&lt;=PERALTE!#REF!,(10/(PERALTE!#REF!-PERALTE!#REF!)*(RASANTE!F96-PERALTE!#REF!)-2),IF(RASANTE!F96&lt;=PERALTE!#REF!,8,IF(RASANTE!F96&lt;=PERALTE!#REF!,(10/(PERALTE!#REF!-PERALTE!#REF!)*(RASANTE!F96-PERALTE!#REF!)-2))))),IF(AND(AH!#REF!="Derecha",RASANTE!F96&lt;=PERALTE!$AB$26),IF(RASANTE!F96&lt;=PERALTE!$S$26,-2,IF(RASANTE!F96&lt;=PERALTE!$U$26,(-6/(PERALTE!$U$26-PERALTE!$S$26)*(RASANTE!F96-PERALTE!$S$26)-2),IF(RASANTE!F96&lt;=PERALTE!$X$26,-8,IF(RASANTE!F96&lt;=PERALTE!$Z$26,(-6/(PERALTE!$X$26-PERALTE!$Z$26)*(RASANTE!F96-PERALTE!$Z$26)-2),IF(RASANTE!F96&lt;=PERALTE!$AB$26,-2))))),IF(AND(AH!#REF!="Izquierda",RASANTE!F96&lt;=PERALTE!$AB$26),IF(RASANTE!F96&lt;=PERALTE!$Q$26,-2,IF(RASANTE!F96&lt;=PERALTE!$U$26,(10/(PERALTE!$U$26-PERALTE!$Q$26)*(RASANTE!F96-PERALTE!$Q$26)-2),IF(RASANTE!F96&lt;=PERALTE!$X$26,8,IF(RASANTE!F96&lt;=PERALTE!$AB$26,(10/(PERALTE!$X$26-PERALTE!$AB$26)*(RASANTE!F96-PERALTE!$AB$26)-2))))),IF(F96&lt;=PERALTE!#REF!,-2,"Abscisa fuera de la vía")))))))))))))))))))))</f>
        <v>-2</v>
      </c>
      <c r="J96" s="28">
        <f t="shared" si="4"/>
        <v>1633.4134911042031</v>
      </c>
      <c r="K96" s="28">
        <f>+IF(AND(AV!$S$6&lt;F193,F193&lt;=AV!$T$6),AV!$P$6*((AV!$S$6-RASANTE!F193)/(AV!$N$6))^2,IF(AND(AV!$T$6&lt;RASANTE!F193,F193&lt;AV!$U$6),AV!$P$6*((AV!$U$6-RASANTE!F193)/(AV!$O$6))^2,IF(AND(AV!$S$8&lt;F193,F193&lt;=AV!$T$8),AV!$P$8*((AV!$S$8-RASANTE!F193)/(AV!$N$8))^2,IF(AND(AV!$T$8&lt;RASANTE!F193,F193&lt;AV!$U$8),AV!$P$8*((AV!$U$8-RASANTE!F193)/(AV!$O$8))^2,IF(AND(AV!$S$10&lt;F193,F193&lt;=AV!$T$10),AV!$P$10*((AV!$S$10-RASANTE!F193)/(AV!$N$10))^2,IF(AND(AV!$T$10&lt;RASANTE!F193,F193&lt;AV!$U$10),AV!$P$10*((AV!$U$10-RASANTE!F193)/(AV!$O$10))^2,IF(AND(AV!$S$12&lt;F193,F193&lt;=AV!$T$12),AV!$P$12*((AV!$S$12-RASANTE!F193)/(AV!$N$12))^2,IF(AND(AV!$T$12&lt;RASANTE!F193,F193&lt;AV!$U$12),AV!$P$12*((AV!$U$12-RASANTE!F193)/(AV!$O$12))^2,IF(AND(AV!$S$14&lt;F193,F193&lt;=AV!$T$14),AV!$P$14*((AV!$S$14-RASANTE!F193)/(AV!$N$14))^2,IF(AND(AV!$T$14&lt;RASANTE!F193,F193&lt;AV!$U$14),AV!$P$14*((AV!$U$14-RASANTE!F193)/(AV!$O$14))^2,IF(AND(AV!$S$16&lt;F193,F193&lt;=AV!$T$16),AV!$P$16*((AV!$S$16-RASANTE!F193)/(AV!$N$16))^2,IF(AND(AV!$T$16&lt;RASANTE!F193,F193&lt;AV!$U$16),AV!$P$16*((AV!$U$16-RASANTE!F193)/(AV!$O$16))^2,IF(AND(AV!$S$18&lt;F193,F193&lt;=AV!$T$18),AV!$P$18*((AV!$S$18-RASANTE!F193)/(AV!$N$18))^2,IF(AND(AV!$T$18&lt;RASANTE!F193,F193&lt;AV!$U$18),AV!$P$18*((AV!$U$18-RASANTE!F193)/(AV!$O$18))^2,IF(AND(AV!$S$20&lt;F193,F193&lt;=AV!$T$20),AV!$P$20*((AV!$S$20-RASANTE!F193)/(AV!$N$20))^2,IF(AND(AV!$T$20&lt;RASANTE!F193,F193&lt;AV!$U$20),AV!$P$20*((AV!$U$20-RASANTE!F193)/(AV!$O$20))^2,IF(AND(AV!$S$22&lt;F193,F193&lt;=AV!$T$22),AV!$P$22*((AV!$S$22-RASANTE!F193)/(AV!$N$22))^2,IF(AND(AV!$T$22&lt;RASANTE!F193,F193&lt;AV!$U$22),AV!$P$22*((AV!$U$22-RASANTE!F193)/(AV!$O$22))^2,IF(AND(AV!$S$24&lt;F193,F193&lt;=AV!$T$24),AV!$P$24*((AV!$S$24-RASANTE!F193)/(AV!$N$24))^2,IF(AND(AV!$T$24&lt;RASANTE!F193,F193&lt;AV!$U$24),AV!$P$24*((AV!$U$24-RASANTE!F193)/(AV!$O$24))^2,0))))))))))))))))))))</f>
        <v>0</v>
      </c>
      <c r="L96" s="28">
        <f>+M96+H96%*PERALTE!$C$32</f>
        <v>1633.3434911042032</v>
      </c>
      <c r="M96" s="28">
        <f t="shared" si="3"/>
        <v>1633.4134911042031</v>
      </c>
      <c r="N96" s="28">
        <f>+M96+I96%*PERALTE!$C$32</f>
        <v>1633.3434911042032</v>
      </c>
      <c r="O96" s="92"/>
      <c r="P96" s="84"/>
      <c r="Q96" s="84"/>
      <c r="R96" s="84"/>
      <c r="S96" s="84"/>
      <c r="T96" s="84"/>
      <c r="U96" s="84"/>
      <c r="V96" s="84"/>
      <c r="W96" s="84"/>
      <c r="X96" s="84"/>
      <c r="Y96" s="84"/>
    </row>
    <row r="97" spans="1:25" ht="15.75" customHeight="1" x14ac:dyDescent="0.2">
      <c r="A97" s="90"/>
      <c r="B97" s="107"/>
      <c r="C97" s="107"/>
      <c r="D97" s="107"/>
      <c r="F97" s="34">
        <v>620</v>
      </c>
      <c r="G97" s="88">
        <f>IF(F97&lt;=AV!$T$6,AV!$C$5,IF(RASANTE!F97&lt;=AV!$T$8,AV!$C$7,IF(RASANTE!F97&lt;=AV!$T$10,AV!$C$9,IF(RASANTE!F97&lt;=AV!$T$12,AV!#REF!,IF(RASANTE!F97&lt;=AV!$T$14,AV!$C$11,IF(RASANTE!F97&lt;=AV!$T$16,AV!$C$13, IF(RASANTE!F97&lt;=AV!$T$18,AV!$C$15,IF(RASANTE!F97&lt;=AV!$T$20,AV!$C$19,IF(RASANTE!F97&lt;=AV!$T$22,AV!$C$21,IF(RASANTE!F97&lt;=AV!$T$24,AV!$C$23,AV!$C$25))))))))))</f>
        <v>-3</v>
      </c>
      <c r="H97" s="28">
        <f>+IF(AND(AH!$H$8="Izquierda",RASANTE!F97&lt;=PERALTE!$AB$6),IF(RASANTE!F97&lt;=PERALTE!$S$6,-2,IF(RASANTE!F97&lt;=PERALTE!$U$6,(-6/(PERALTE!$U$6-PERALTE!$S$6)*(RASANTE!F97-PERALTE!$S$6)-2),IF(RASANTE!F97&lt;=PERALTE!$X$6,-8,IF(RASANTE!F97&lt;=PERALTE!$Z$6,(-6/(PERALTE!$X$6-PERALTE!$Z$6)*(RASANTE!F97-PERALTE!$Z$6)-2),IF(RASANTE!F97&lt;=PERALTE!$AB$6,-2))))),IF(AND(AH!$H$8="Derecha",RASANTE!F97&lt;=PERALTE!$AB$6),IF(RASANTE!F97&lt;=PERALTE!$Q$6,-2,IF(RASANTE!F97&lt;=PERALTE!$U$6,(10/(PERALTE!$U$6-PERALTE!$Q$6)*(RASANTE!F97-PERALTE!$Q$6)-2),IF(RASANTE!F97&lt;=PERALTE!$X$6,8,IF(RASANTE!F97&lt;=PERALTE!$AB$6,(10/(PERALTE!$X$6-PERALTE!$AB$6)*(RASANTE!F97-PERALTE!$AB$6)-2))))),IF(AND(AH!$H$10="Izquierda",RASANTE!F97&lt;=PERALTE!$AB$8),IF(RASANTE!F97&lt;=PERALTE!$S$8,-2,IF(RASANTE!F97&lt;=PERALTE!$U$8,(-6/(PERALTE!$U$8-PERALTE!$S$8)*(RASANTE!F97-PERALTE!$S$8)-2),IF(RASANTE!F97&lt;=PERALTE!$X$8,-8,IF(RASANTE!F97&lt;=PERALTE!$Z$8,(-6/(PERALTE!$X$8-PERALTE!$Z$8)*(RASANTE!F97-PERALTE!$Z$8)-2),IF(RASANTE!F97&lt;=PERALTE!$AB$8,-2))))),IF(AND(AH!$H$10="Derecha",RASANTE!F97&lt;=PERALTE!$AB$8),IF(RASANTE!F97&lt;=PERALTE!$Q$8,-2,IF(RASANTE!F97&lt;=PERALTE!$U$8,(10/(PERALTE!$U$8-PERALTE!$Q$8)*(RASANTE!F97-PERALTE!$Q$8)-2),IF(RASANTE!F97&lt;=PERALTE!$X$8,8,IF(RASANTE!F97&lt;=PERALTE!$AB$8,(10/(PERALTE!$X$8-PERALTE!$AB$8)*(RASANTE!F97-PERALTE!$AB$8)-2))))),IF(AND(AH!$H$12="Izquierda",RASANTE!F97&lt;=PERALTE!$AB$10),IF(RASANTE!F97&lt;=PERALTE!$S$10,-2,IF(RASANTE!F97&lt;=PERALTE!$U$10,(-6/(PERALTE!$U$10-PERALTE!$S$10)*(RASANTE!F97-PERALTE!$S$10)-2),IF(RASANTE!F97&lt;=PERALTE!$X$10,-8,IF(RASANTE!F97&lt;=PERALTE!$Z$10,(-6/(PERALTE!$X$10-PERALTE!$Z$10)*(RASANTE!F97-PERALTE!$Z$10)-2),IF(RASANTE!F97&lt;=PERALTE!$AB$10,-2))))),IF(AND(AH!$H$12="Derecha",RASANTE!F97&lt;=PERALTE!$AB$10),IF(RASANTE!F97&lt;=PERALTE!$Q$10,-2,IF(RASANTE!F97&lt;=PERALTE!$U$10,(10/(PERALTE!$U$10-PERALTE!$Q$10)*(RASANTE!F97-PERALTE!$Q$10)-2),IF(RASANTE!F97&lt;=PERALTE!$X$10,8,IF(RASANTE!F97&lt;=PERALTE!$AB$10,(10/(PERALTE!$X$10-PERALTE!$AB$10)*(RASANTE!F97-PERALTE!$AB$10)-2))))),IF(AND(AH!$H$14="Izquierda",RASANTE!F97&lt;=PERALTE!$AB$12),IF(RASANTE!F97&lt;=PERALTE!$S$12,-2,IF(RASANTE!F97&lt;=PERALTE!$U$12,(-6/(PERALTE!$U$12-PERALTE!$S$12)*(RASANTE!F97-PERALTE!$S$12)-2),IF(RASANTE!F97&lt;=PERALTE!$X$12,-8,IF(RASANTE!F97&lt;=PERALTE!$Z$12,(-6/(PERALTE!$X$12-PERALTE!$Z$12)*(RASANTE!F97-PERALTE!$Z$12)-2),IF(RASANTE!F97&lt;=PERALTE!$AB$12,-2))))),IF(AND(AH!$H$14="Derecha",RASANTE!F97&lt;=PERALTE!$AB$12),IF(RASANTE!F97&lt;=PERALTE!$Q$12,-2,IF(RASANTE!F97&lt;=PERALTE!$U$12,(10/(PERALTE!$U$12-PERALTE!$Q$12)*(RASANTE!F97-PERALTE!$Q$12)-2),IF(RASANTE!F97&lt;=PERALTE!$X$12,8,IF(RASANTE!F97&lt;=PERALTE!$AB$12,(10/(PERALTE!$X$12-PERALTE!$AB$12)*(RASANTE!F97-PERALTE!$AB$12)-2))))),IF(AND(AH!$H$16="Izquierda",RASANTE!F97&lt;=PERALTE!$AB$14),IF(RASANTE!F97&lt;=PERALTE!$S$14,-2,IF(RASANTE!F97&lt;=PERALTE!$U$14,(-6/(PERALTE!$U$14-PERALTE!$S$14)*(RASANTE!F97-PERALTE!$S$14)-2),IF(RASANTE!F97&lt;=PERALTE!$X$14,-8,IF(RASANTE!F97&lt;=PERALTE!$Z$14,(-6/(PERALTE!$X$14-PERALTE!$Z$14)*(RASANTE!F97-PERALTE!$Z$14)-2),IF(RASANTE!F97&lt;=PERALTE!$AB$14,-2))))),IF(AND(AH!$H$16="Derecha",RASANTE!F97&lt;=PERALTE!$AB$14),IF(RASANTE!F97&lt;=PERALTE!$Q$14,-2,IF(RASANTE!F97&lt;=PERALTE!$U$14,(10/(PERALTE!$U$14-PERALTE!$Q$14)*(RASANTE!F97-PERALTE!$Q$14)-2),IF(RASANTE!F97&lt;=PERALTE!$X$14,8,IF(RASANTE!F97&lt;=PERALTE!$AB$14,(10/(PERALTE!$X$14-PERALTE!$AB$14)*(RASANTE!F97-PERALTE!$AB$14)-2))))),IF(AND(AH!$H$18="Izquierda",RASANTE!F97&lt;=PERALTE!$AB$16),IF(RASANTE!F97&lt;=PERALTE!$S$16,-2,IF(RASANTE!F97&lt;=PERALTE!$U$16,(-6/(PERALTE!$U$16-PERALTE!$S$16)*(RASANTE!F97-PERALTE!$S$16)-2),IF(RASANTE!F97&lt;=PERALTE!$X$16,-8,IF(RASANTE!F97&lt;=PERALTE!$Z$16,(-6/(PERALTE!$X$16-PERALTE!$Z$16)*(RASANTE!F97-PERALTE!$Z$16)-2),IF(RASANTE!F97&lt;=PERALTE!$AB$16,-2))))),IF(AND(AH!$H$18="Derecha",RASANTE!F97&lt;=PERALTE!$AB$16),IF(RASANTE!F97&lt;=PERALTE!$Q$16,-2,IF(RASANTE!F97&lt;=PERALTE!$U$16,(10/(PERALTE!$U$16-PERALTE!$Q$16)*(RASANTE!F97-PERALTE!$Q$16)-2),IF(RASANTE!F97&lt;=PERALTE!$X$16,8,IF(RASANTE!F97&lt;=PERALTE!$AB$16,(10/(PERALTE!$X$16-PERALTE!$AB$16)*(RASANTE!F97-PERALTE!$AB$16)-2))))),IF(AND(AH!$H$20="Izquierda",RASANTE!F97&lt;=PERALTE!$AB$18),IF(RASANTE!F97&lt;=PERALTE!$S$18,-2,IF(RASANTE!F97&lt;=PERALTE!$U$18,(-6/(PERALTE!$U$18-PERALTE!$S$18)*(RASANTE!F97-PERALTE!$S$18)-2),IF(RASANTE!F97&lt;=PERALTE!$X$18,-8,IF(RASANTE!F97&lt;=PERALTE!$Z$18,(-6/(PERALTE!$X$18-PERALTE!$Z$18)*(RASANTE!F97-PERALTE!$Z$18)-2),IF(RASANTE!F97&lt;=PERALTE!$AB$18,-2))))),IF(AND(AH!$H$20="Derecha",RASANTE!F97&lt;=PERALTE!$AB$18),IF(RASANTE!F97&lt;=PERALTE!$Q$18,-2,IF(RASANTE!F97&lt;=PERALTE!$U$18,(10/(PERALTE!$U$18-PERALTE!$Q$18)*(RASANTE!F97-PERALTE!$Q$18)-2),IF(RASANTE!F97&lt;=PERALTE!$X$18,8,IF(RASANTE!F97&lt;=PERALTE!$AB$18,(10/(PERALTE!$X$18-PERALTE!$AB$18)*(RASANTE!F97-PERALTE!$AB$18)-2))))),IF(AND(AH!$H$24="Izquierda",RASANTE!F97&lt;=PERALTE!$AB$22),IF(RASANTE!F97&lt;=PERALTE!$S$22,-2,IF(RASANTE!F97&lt;=PERALTE!$U$22,(-6/(PERALTE!$U$22-PERALTE!$S$22)*(RASANTE!F97-PERALTE!$S$22)-2),IF(RASANTE!F97&lt;=PERALTE!$X$22,-8,IF(RASANTE!F97&lt;=PERALTE!$Z$22,(-6/(PERALTE!$X$22-PERALTE!$Z$22)*(RASANTE!F97-PERALTE!$Z$22)-2),IF(RASANTE!F97&lt;=PERALTE!$AB$22,-2))))),IF(AND(AH!$H$24="Derecha",RASANTE!F97&lt;=PERALTE!$AB$22),IF(RASANTE!F97&lt;=PERALTE!$Q$22,-2,IF(RASANTE!F97&lt;=PERALTE!$U$22,(10/(PERALTE!$U$22-PERALTE!$Q$22)*(RASANTE!F97-PERALTE!$Q$22)-2),IF(RASANTE!F97&lt;=PERALTE!$X$22,8,IF(RASANTE!F97&lt;=PERALTE!$AB$22,(10/(PERALTE!$X$22-PERALTE!$AB$22)*(RASANTE!F97-PERALTE!$AB$22)-2))))),IF(AND(AH!#REF!="Izquierda",RASANTE!F97&lt;=PERALTE!#REF!),IF(RASANTE!F97&lt;=PERALTE!#REF!,-2,IF(RASANTE!F97&lt;=PERALTE!#REF!,(-6/(PERALTE!#REF!-PERALTE!#REF!)*(RASANTE!F97-PERALTE!#REF!)-2),IF(RASANTE!F97&lt;=PERALTE!#REF!,-8,IF(RASANTE!F97&lt;=PERALTE!#REF!,(-6/(PERALTE!#REF!-PERALTE!#REF!)*(RASANTE!F97-PERALTE!#REF!)-2),IF(RASANTE!F97&lt;=PERALTE!#REF!,-2))))),IF(AND(AH!#REF!="Derecha",RASANTE!F97&lt;=PERALTE!#REF!),IF(RASANTE!F97&lt;=PERALTE!#REF!,-2,IF(RASANTE!F97&lt;=PERALTE!#REF!,(10/(PERALTE!#REF!-PERALTE!#REF!)*(RASANTE!F97-PERALTE!#REF!)-2),IF(RASANTE!F97&lt;=PERALTE!#REF!,8,IF(RASANTE!F97&lt;=PERALTE!#REF!,(10/(PERALTE!#REF!-PERALTE!#REF!)*(RASANTE!F97-PERALTE!#REF!)-2))))),IF(AND(AH!#REF!="Izquierda",RASANTE!F97&lt;=PERALTE!$AB$26),IF(RASANTE!F97&lt;=PERALTE!$S$26,-2,IF(RASANTE!F97&lt;=PERALTE!$U$26,(-6/(PERALTE!$U$26-PERALTE!$S$26)*(RASANTE!F97-PERALTE!$S$26)-2),IF(RASANTE!F97&lt;=PERALTE!$X$26,-8,IF(RASANTE!F97&lt;=PERALTE!$Z$26,(-6/(PERALTE!$X$26-PERALTE!$Z$26)*(RASANTE!F97-PERALTE!$Z$26)-2),IF(RASANTE!F97&lt;=PERALTE!$AB$26,-2))))),IF(AND(AH!#REF!="Derecha",RASANTE!F97&lt;=PERALTE!$AB$26),IF(RASANTE!F97&lt;=PERALTE!$Q$26,-2,IF(RASANTE!F97&lt;=PERALTE!$U$26,(10/(PERALTE!$U$26-PERALTE!$Q$26)*(RASANTE!F97-PERALTE!$Q$26)-2),IF(RASANTE!F97&lt;=PERALTE!$X$26,8,IF(RASANTE!F97&lt;=PERALTE!$AB$26,(10/(PERALTE!$X$26-PERALTE!$AB$26)*(RASANTE!F97-PERALTE!$AB$26)-2))))),IF(F97&lt;=PERALTE!#REF!,-2,"Abscisa fuera de la vía")))))))))))))))))))))</f>
        <v>-2</v>
      </c>
      <c r="I97" s="28">
        <f>+IF(AND(AH!$H$8="Derecha",RASANTE!F97&lt;=PERALTE!$AB$6),IF(RASANTE!F97&lt;=PERALTE!$S$6,-2,IF(RASANTE!F97&lt;=PERALTE!$U$6,(-6/(PERALTE!$U$6-PERALTE!$S$6)*(RASANTE!F97-PERALTE!$S$6)-2),IF(RASANTE!F97&lt;=PERALTE!$X$6,-8,IF(RASANTE!F97&lt;=PERALTE!$Z$6,(-6/(PERALTE!$X$6-PERALTE!$Z$6)*(RASANTE!F97-PERALTE!$Z$6)-2),IF(RASANTE!F97&lt;=PERALTE!$AB$6,-2))))),IF(AND(AH!$H$8="Izquierda",RASANTE!F97&lt;=PERALTE!$AB$6),IF(RASANTE!F97&lt;=PERALTE!$Q$6,-2,IF(RASANTE!F97&lt;=PERALTE!$U$6,(10/(PERALTE!$U$6-PERALTE!$Q$6)*(RASANTE!F97-PERALTE!$Q$6)-2),IF(RASANTE!F97&lt;=PERALTE!$X$6,8,IF(RASANTE!F97&lt;=PERALTE!$AB$6,(10/(PERALTE!$X$6-PERALTE!$AB$6)*(RASANTE!F97-PERALTE!$AB$6)-2))))),IF(AND(AH!$H$10="Derecha",RASANTE!F97&lt;=PERALTE!$AB$8),IF(RASANTE!F97&lt;=PERALTE!$S$8,-2,IF(RASANTE!F97&lt;=PERALTE!$U$8,(-6/(PERALTE!$U$8-PERALTE!$S$8)*(RASANTE!F97-PERALTE!$S$8)-2),IF(RASANTE!F97&lt;=PERALTE!$X$8,-8,IF(RASANTE!F97&lt;=PERALTE!$Z$8,(-6/(PERALTE!$X$8-PERALTE!$Z$8)*(RASANTE!F97-PERALTE!$Z$8)-2),IF(RASANTE!F97&lt;=PERALTE!$AB$8,-2))))),IF(AND(AH!$H$10="Izquierda",RASANTE!F97&lt;=PERALTE!$AB$8),IF(RASANTE!F97&lt;=PERALTE!$Q$8,-2,IF(RASANTE!F97&lt;=PERALTE!$U$8,(10/(PERALTE!$U$8-PERALTE!$Q$8)*(RASANTE!F97-PERALTE!$Q$8)-2),IF(RASANTE!F97&lt;=PERALTE!$X$8,8,IF(RASANTE!F97&lt;=PERALTE!$AB$8,(10/(PERALTE!$X$8-PERALTE!$AB$8)*(RASANTE!F97-PERALTE!$AB$8)-2))))),IF(AND(AH!$H$12="Derecha",RASANTE!F97&lt;=PERALTE!$AB$10),IF(RASANTE!F97&lt;=PERALTE!$S$10,-2,IF(RASANTE!F97&lt;=PERALTE!$U$10,(-6/(PERALTE!$U$10-PERALTE!$S$10)*(RASANTE!F97-PERALTE!$S$10)-2),IF(RASANTE!F97&lt;=PERALTE!$X$10,-8,IF(RASANTE!F97&lt;=PERALTE!$Z$10,(-6/(PERALTE!$X$10-PERALTE!$Z$10)*(RASANTE!F97-PERALTE!$Z$10)-2),IF(RASANTE!F97&lt;=PERALTE!$AB$10,-2))))),IF(AND(AH!$H$12="Izquierda",RASANTE!F97&lt;=PERALTE!$AB$10),IF(RASANTE!F97&lt;=PERALTE!$Q$10,-2,IF(RASANTE!F97&lt;=PERALTE!$U$10,(10/(PERALTE!$U$10-PERALTE!$Q$10)*(RASANTE!F97-PERALTE!$Q$10)-2),IF(RASANTE!F97&lt;=PERALTE!$X$10,8,IF(RASANTE!F97&lt;=PERALTE!$AB$10,(10/(PERALTE!$X$10-PERALTE!$AB$10)*(RASANTE!F97-PERALTE!$AB$10)-2))))),IF(AND(AH!$H$14="Derecha",RASANTE!F97&lt;=PERALTE!$AB$12),IF(RASANTE!F97&lt;=PERALTE!$S$12,-2,IF(RASANTE!F97&lt;=PERALTE!$U$12,(-6/(PERALTE!$U$12-PERALTE!$S$12)*(RASANTE!F97-PERALTE!$S$12)-2),IF(RASANTE!F97&lt;=PERALTE!$X$12,-8,IF(RASANTE!F97&lt;=PERALTE!$Z$12,(-6/(PERALTE!$X$12-PERALTE!$Z$12)*(RASANTE!F97-PERALTE!$Z$12)-2),IF(RASANTE!F97&lt;=PERALTE!$AB$12,-2))))),IF(AND(AH!$H$14="Izquierda",RASANTE!F97&lt;=PERALTE!$AB$12),IF(RASANTE!F97&lt;=PERALTE!$Q$12,-2,IF(RASANTE!F97&lt;=PERALTE!$U$12,(10/(PERALTE!$U$12-PERALTE!$Q$12)*(RASANTE!F97-PERALTE!$Q$12)-2),IF(RASANTE!F97&lt;=PERALTE!$X$12,8,IF(RASANTE!F97&lt;=PERALTE!$AB$12,(10/(PERALTE!$X$12-PERALTE!$AB$12)*(RASANTE!F97-PERALTE!$AB$12)-2))))),IF(AND(AH!$H$16="Derecha",RASANTE!F97&lt;=PERALTE!$AB$14),IF(RASANTE!F97&lt;=PERALTE!$S$14,-2,IF(RASANTE!F97&lt;=PERALTE!$U$14,(-6/(PERALTE!$U$14-PERALTE!$S$14)*(RASANTE!F97-PERALTE!$S$14)-2),IF(RASANTE!F97&lt;=PERALTE!$X$14,-8,IF(RASANTE!F97&lt;=PERALTE!$Z$14,(-6/(PERALTE!$X$14-PERALTE!$Z$14)*(RASANTE!F97-PERALTE!$Z$14)-2),IF(RASANTE!F97&lt;=PERALTE!$AB$14,-2))))),IF(AND(AH!$H$16="Izquierda",RASANTE!F97&lt;=PERALTE!$AB$14),IF(RASANTE!F97&lt;=PERALTE!$Q$14,-2,IF(RASANTE!F97&lt;=PERALTE!$U$14,(10/(PERALTE!$U$14-PERALTE!$Q$14)*(RASANTE!F97-PERALTE!$Q$14)-2),IF(RASANTE!F97&lt;=PERALTE!$X$14,8,IF(RASANTE!F97&lt;=PERALTE!$AB$14,(10/(PERALTE!$X$14-PERALTE!$AB$14)*(RASANTE!F97-PERALTE!$AB$14)-2))))),IF(AND(AH!$H$18="Derecha",RASANTE!F97&lt;=PERALTE!$AB$16),IF(RASANTE!F97&lt;=PERALTE!$S$16,-2,IF(RASANTE!F97&lt;=PERALTE!$U$16,(-6/(PERALTE!$U$16-PERALTE!$S$16)*(RASANTE!F97-PERALTE!$S$16)-2),IF(RASANTE!F97&lt;=PERALTE!$X$16,-8,IF(RASANTE!F97&lt;=PERALTE!$Z$16,(-6/(PERALTE!$X$16-PERALTE!$Z$16)*(RASANTE!F97-PERALTE!$Z$16)-2),IF(RASANTE!F97&lt;=PERALTE!$AB$16,-2))))),IF(AND(AH!$H$18="Izquierda",RASANTE!F97&lt;=PERALTE!$AB$16),IF(RASANTE!F97&lt;=PERALTE!$Q$16,-2,IF(RASANTE!F97&lt;=PERALTE!$U$16,(10/(PERALTE!$U$16-PERALTE!$Q$16)*(RASANTE!F97-PERALTE!$Q$16)-2),IF(RASANTE!F97&lt;=PERALTE!$X$16,8,IF(RASANTE!F97&lt;=PERALTE!$AB$16,(10/(PERALTE!$X$16-PERALTE!$AB$16)*(RASANTE!F97-PERALTE!$AB$16)-2))))),IF(AND(AH!$H$20="Derecha",RASANTE!F97&lt;=PERALTE!$AB$18),IF(RASANTE!F97&lt;=PERALTE!$S$18,-2,IF(RASANTE!F97&lt;=PERALTE!$U$18,(-6/(PERALTE!$U$18-PERALTE!$S$18)*(RASANTE!F97-PERALTE!$S$18)-2),IF(RASANTE!F97&lt;=PERALTE!$X$18,-8,IF(RASANTE!F97&lt;=PERALTE!$Z$18,(-6/(PERALTE!$X$18-PERALTE!$Z$18)*(RASANTE!F97-PERALTE!$Z$18)-2),IF(RASANTE!F97&lt;=PERALTE!$AB$18,-2))))),IF(AND(AH!$H$20="Izquierda",RASANTE!F97&lt;=PERALTE!$AB$18),IF(RASANTE!F97&lt;=PERALTE!$Q$18,-2,IF(RASANTE!F97&lt;=PERALTE!$U$18,(10/(PERALTE!$U$18-PERALTE!$Q$18)*(RASANTE!F97-PERALTE!$Q$18)-2),IF(RASANTE!F97&lt;=PERALTE!$X$18,8,IF(RASANTE!F97&lt;=PERALTE!$AB$18,(10/(PERALTE!$X$18-PERALTE!$AB$18)*(RASANTE!F97-PERALTE!$AB$18)-2))))),IF(AND(AH!$H$24="Derecha",RASANTE!F97&lt;=PERALTE!$AB$22),IF(RASANTE!F97&lt;=PERALTE!$S$22,-2,IF(RASANTE!F97&lt;=PERALTE!$U$22,(-6/(PERALTE!$U$22-PERALTE!$S$22)*(RASANTE!F97-PERALTE!$S$22)-2),IF(RASANTE!F97&lt;=PERALTE!$X$22,-8,IF(RASANTE!F97&lt;=PERALTE!$Z$22,(-6/(PERALTE!$X$22-PERALTE!$Z$22)*(RASANTE!F97-PERALTE!$Z$22)-2),IF(RASANTE!F97&lt;=PERALTE!$AB$22,-2))))),IF(AND(AH!$H$24="Izquierda",RASANTE!F97&lt;=PERALTE!$AB$22),IF(RASANTE!F97&lt;=PERALTE!$Q$22,-2,IF(RASANTE!F97&lt;=PERALTE!$U$22,(10/(PERALTE!$U$22-PERALTE!$Q$22)*(RASANTE!F97-PERALTE!$Q$22)-2),IF(RASANTE!F97&lt;=PERALTE!$X$22,8,IF(RASANTE!F97&lt;=PERALTE!$AB$22,(10/(PERALTE!$X$22-PERALTE!$AB$22)*(RASANTE!F97-PERALTE!$AB$22)-2))))),IF(AND(AH!#REF!="Derecha",RASANTE!F97&lt;=PERALTE!#REF!),IF(RASANTE!F97&lt;=PERALTE!#REF!,-2,IF(RASANTE!F97&lt;=PERALTE!#REF!,(-6/(PERALTE!#REF!-PERALTE!#REF!)*(RASANTE!F97-PERALTE!#REF!)-2),IF(RASANTE!F97&lt;=PERALTE!#REF!,-8,IF(RASANTE!F97&lt;=PERALTE!#REF!,(-6/(PERALTE!#REF!-PERALTE!#REF!)*(RASANTE!F97-PERALTE!#REF!)-2),IF(RASANTE!F97&lt;=PERALTE!#REF!,-2))))),IF(AND(AH!#REF!="Izquierda",RASANTE!F97&lt;=PERALTE!#REF!),IF(RASANTE!F97&lt;=PERALTE!#REF!,-2,IF(RASANTE!F97&lt;=PERALTE!#REF!,(10/(PERALTE!#REF!-PERALTE!#REF!)*(RASANTE!F97-PERALTE!#REF!)-2),IF(RASANTE!F97&lt;=PERALTE!#REF!,8,IF(RASANTE!F97&lt;=PERALTE!#REF!,(10/(PERALTE!#REF!-PERALTE!#REF!)*(RASANTE!F97-PERALTE!#REF!)-2))))),IF(AND(AH!#REF!="Derecha",RASANTE!F97&lt;=PERALTE!$AB$26),IF(RASANTE!F97&lt;=PERALTE!$S$26,-2,IF(RASANTE!F97&lt;=PERALTE!$U$26,(-6/(PERALTE!$U$26-PERALTE!$S$26)*(RASANTE!F97-PERALTE!$S$26)-2),IF(RASANTE!F97&lt;=PERALTE!$X$26,-8,IF(RASANTE!F97&lt;=PERALTE!$Z$26,(-6/(PERALTE!$X$26-PERALTE!$Z$26)*(RASANTE!F97-PERALTE!$Z$26)-2),IF(RASANTE!F97&lt;=PERALTE!$AB$26,-2))))),IF(AND(AH!#REF!="Izquierda",RASANTE!F97&lt;=PERALTE!$AB$26),IF(RASANTE!F97&lt;=PERALTE!$Q$26,-2,IF(RASANTE!F97&lt;=PERALTE!$U$26,(10/(PERALTE!$U$26-PERALTE!$Q$26)*(RASANTE!F97-PERALTE!$Q$26)-2),IF(RASANTE!F97&lt;=PERALTE!$X$26,8,IF(RASANTE!F97&lt;=PERALTE!$AB$26,(10/(PERALTE!$X$26-PERALTE!$AB$26)*(RASANTE!F97-PERALTE!$AB$26)-2))))),IF(F97&lt;=PERALTE!#REF!,-2,"Abscisa fuera de la vía")))))))))))))))))))))</f>
        <v>-0.33466523585176144</v>
      </c>
      <c r="J97" s="28">
        <f t="shared" si="4"/>
        <v>1633.186400000001</v>
      </c>
      <c r="K97" s="28">
        <f>+IF(AND(AV!$S$6&lt;F194,F194&lt;=AV!$T$6),AV!$P$6*((AV!$S$6-RASANTE!F194)/(AV!$N$6))^2,IF(AND(AV!$T$6&lt;RASANTE!F194,F194&lt;AV!$U$6),AV!$P$6*((AV!$U$6-RASANTE!F194)/(AV!$O$6))^2,IF(AND(AV!$S$8&lt;F194,F194&lt;=AV!$T$8),AV!$P$8*((AV!$S$8-RASANTE!F194)/(AV!$N$8))^2,IF(AND(AV!$T$8&lt;RASANTE!F194,F194&lt;AV!$U$8),AV!$P$8*((AV!$U$8-RASANTE!F194)/(AV!$O$8))^2,IF(AND(AV!$S$10&lt;F194,F194&lt;=AV!$T$10),AV!$P$10*((AV!$S$10-RASANTE!F194)/(AV!$N$10))^2,IF(AND(AV!$T$10&lt;RASANTE!F194,F194&lt;AV!$U$10),AV!$P$10*((AV!$U$10-RASANTE!F194)/(AV!$O$10))^2,IF(AND(AV!$S$12&lt;F194,F194&lt;=AV!$T$12),AV!$P$12*((AV!$S$12-RASANTE!F194)/(AV!$N$12))^2,IF(AND(AV!$T$12&lt;RASANTE!F194,F194&lt;AV!$U$12),AV!$P$12*((AV!$U$12-RASANTE!F194)/(AV!$O$12))^2,IF(AND(AV!$S$14&lt;F194,F194&lt;=AV!$T$14),AV!$P$14*((AV!$S$14-RASANTE!F194)/(AV!$N$14))^2,IF(AND(AV!$T$14&lt;RASANTE!F194,F194&lt;AV!$U$14),AV!$P$14*((AV!$U$14-RASANTE!F194)/(AV!$O$14))^2,IF(AND(AV!$S$16&lt;F194,F194&lt;=AV!$T$16),AV!$P$16*((AV!$S$16-RASANTE!F194)/(AV!$N$16))^2,IF(AND(AV!$T$16&lt;RASANTE!F194,F194&lt;AV!$U$16),AV!$P$16*((AV!$U$16-RASANTE!F194)/(AV!$O$16))^2,IF(AND(AV!$S$18&lt;F194,F194&lt;=AV!$T$18),AV!$P$18*((AV!$S$18-RASANTE!F194)/(AV!$N$18))^2,IF(AND(AV!$T$18&lt;RASANTE!F194,F194&lt;AV!$U$18),AV!$P$18*((AV!$U$18-RASANTE!F194)/(AV!$O$18))^2,IF(AND(AV!$S$20&lt;F194,F194&lt;=AV!$T$20),AV!$P$20*((AV!$S$20-RASANTE!F194)/(AV!$N$20))^2,IF(AND(AV!$T$20&lt;RASANTE!F194,F194&lt;AV!$U$20),AV!$P$20*((AV!$U$20-RASANTE!F194)/(AV!$O$20))^2,IF(AND(AV!$S$22&lt;F194,F194&lt;=AV!$T$22),AV!$P$22*((AV!$S$22-RASANTE!F194)/(AV!$N$22))^2,IF(AND(AV!$T$22&lt;RASANTE!F194,F194&lt;AV!$U$22),AV!$P$22*((AV!$U$22-RASANTE!F194)/(AV!$O$22))^2,IF(AND(AV!$S$24&lt;F194,F194&lt;=AV!$T$24),AV!$P$24*((AV!$S$24-RASANTE!F194)/(AV!$N$24))^2,IF(AND(AV!$T$24&lt;RASANTE!F194,F194&lt;AV!$U$24),AV!$P$24*((AV!$U$24-RASANTE!F194)/(AV!$O$24))^2,0))))))))))))))))))))</f>
        <v>0</v>
      </c>
      <c r="L97" s="28">
        <f>+M97+H97%*PERALTE!$C$32</f>
        <v>1633.116400000001</v>
      </c>
      <c r="M97" s="28">
        <f t="shared" si="3"/>
        <v>1633.186400000001</v>
      </c>
      <c r="N97" s="28">
        <f>+M97+I97%*PERALTE!$C$32</f>
        <v>1633.1746867167462</v>
      </c>
      <c r="O97" s="92"/>
      <c r="P97" s="84"/>
      <c r="Q97" s="84"/>
      <c r="R97" s="84"/>
      <c r="S97" s="84"/>
      <c r="T97" s="84"/>
      <c r="U97" s="84"/>
      <c r="V97" s="84"/>
      <c r="W97" s="84"/>
      <c r="X97" s="84"/>
      <c r="Y97" s="84"/>
    </row>
    <row r="98" spans="1:25" ht="15.75" customHeight="1" x14ac:dyDescent="0.2">
      <c r="A98" s="90" t="s">
        <v>330</v>
      </c>
      <c r="B98" s="107"/>
      <c r="C98" s="107"/>
      <c r="D98" s="107"/>
      <c r="E98" s="91"/>
      <c r="F98" s="34">
        <f>PERALTE!R10</f>
        <v>621.52120561750803</v>
      </c>
      <c r="G98" s="88">
        <f>IF(F98&lt;=AV!$T$6,AV!$C$5,IF(RASANTE!F98&lt;=AV!$T$8,AV!$C$7,IF(RASANTE!F98&lt;=AV!$T$10,AV!$C$9,IF(RASANTE!F98&lt;=AV!$T$12,AV!#REF!,IF(RASANTE!F98&lt;=AV!$T$14,AV!$C$11,IF(RASANTE!F98&lt;=AV!$T$16,AV!$C$13, IF(RASANTE!F98&lt;=AV!$T$18,AV!$C$15,IF(RASANTE!F98&lt;=AV!$T$20,AV!$C$19,IF(RASANTE!F98&lt;=AV!$T$22,AV!$C$21,IF(RASANTE!F98&lt;=AV!$T$24,AV!$C$23,AV!$C$25))))))))))</f>
        <v>-3</v>
      </c>
      <c r="H98" s="28">
        <f>+IF(AND(AH!$H$8="Izquierda",RASANTE!F98&lt;=PERALTE!$AB$6),IF(RASANTE!F98&lt;=PERALTE!$S$6,-2,IF(RASANTE!F98&lt;=PERALTE!$U$6,(-6/(PERALTE!$U$6-PERALTE!$S$6)*(RASANTE!F98-PERALTE!$S$6)-2),IF(RASANTE!F98&lt;=PERALTE!$X$6,-8,IF(RASANTE!F98&lt;=PERALTE!$Z$6,(-6/(PERALTE!$X$6-PERALTE!$Z$6)*(RASANTE!F98-PERALTE!$Z$6)-2),IF(RASANTE!F98&lt;=PERALTE!$AB$6,-2))))),IF(AND(AH!$H$8="Derecha",RASANTE!F98&lt;=PERALTE!$AB$6),IF(RASANTE!F98&lt;=PERALTE!$Q$6,-2,IF(RASANTE!F98&lt;=PERALTE!$U$6,(10/(PERALTE!$U$6-PERALTE!$Q$6)*(RASANTE!F98-PERALTE!$Q$6)-2),IF(RASANTE!F98&lt;=PERALTE!$X$6,8,IF(RASANTE!F98&lt;=PERALTE!$AB$6,(10/(PERALTE!$X$6-PERALTE!$AB$6)*(RASANTE!F98-PERALTE!$AB$6)-2))))),IF(AND(AH!$H$10="Izquierda",RASANTE!F98&lt;=PERALTE!$AB$8),IF(RASANTE!F98&lt;=PERALTE!$S$8,-2,IF(RASANTE!F98&lt;=PERALTE!$U$8,(-6/(PERALTE!$U$8-PERALTE!$S$8)*(RASANTE!F98-PERALTE!$S$8)-2),IF(RASANTE!F98&lt;=PERALTE!$X$8,-8,IF(RASANTE!F98&lt;=PERALTE!$Z$8,(-6/(PERALTE!$X$8-PERALTE!$Z$8)*(RASANTE!F98-PERALTE!$Z$8)-2),IF(RASANTE!F98&lt;=PERALTE!$AB$8,-2))))),IF(AND(AH!$H$10="Derecha",RASANTE!F98&lt;=PERALTE!$AB$8),IF(RASANTE!F98&lt;=PERALTE!$Q$8,-2,IF(RASANTE!F98&lt;=PERALTE!$U$8,(10/(PERALTE!$U$8-PERALTE!$Q$8)*(RASANTE!F98-PERALTE!$Q$8)-2),IF(RASANTE!F98&lt;=PERALTE!$X$8,8,IF(RASANTE!F98&lt;=PERALTE!$AB$8,(10/(PERALTE!$X$8-PERALTE!$AB$8)*(RASANTE!F98-PERALTE!$AB$8)-2))))),IF(AND(AH!$H$12="Izquierda",RASANTE!F98&lt;=PERALTE!$AB$10),IF(RASANTE!F98&lt;=PERALTE!$S$10,-2,IF(RASANTE!F98&lt;=PERALTE!$U$10,(-6/(PERALTE!$U$10-PERALTE!$S$10)*(RASANTE!F98-PERALTE!$S$10)-2),IF(RASANTE!F98&lt;=PERALTE!$X$10,-8,IF(RASANTE!F98&lt;=PERALTE!$Z$10,(-6/(PERALTE!$X$10-PERALTE!$Z$10)*(RASANTE!F98-PERALTE!$Z$10)-2),IF(RASANTE!F98&lt;=PERALTE!$AB$10,-2))))),IF(AND(AH!$H$12="Derecha",RASANTE!F98&lt;=PERALTE!$AB$10),IF(RASANTE!F98&lt;=PERALTE!$Q$10,-2,IF(RASANTE!F98&lt;=PERALTE!$U$10,(10/(PERALTE!$U$10-PERALTE!$Q$10)*(RASANTE!F98-PERALTE!$Q$10)-2),IF(RASANTE!F98&lt;=PERALTE!$X$10,8,IF(RASANTE!F98&lt;=PERALTE!$AB$10,(10/(PERALTE!$X$10-PERALTE!$AB$10)*(RASANTE!F98-PERALTE!$AB$10)-2))))),IF(AND(AH!$H$14="Izquierda",RASANTE!F98&lt;=PERALTE!$AB$12),IF(RASANTE!F98&lt;=PERALTE!$S$12,-2,IF(RASANTE!F98&lt;=PERALTE!$U$12,(-6/(PERALTE!$U$12-PERALTE!$S$12)*(RASANTE!F98-PERALTE!$S$12)-2),IF(RASANTE!F98&lt;=PERALTE!$X$12,-8,IF(RASANTE!F98&lt;=PERALTE!$Z$12,(-6/(PERALTE!$X$12-PERALTE!$Z$12)*(RASANTE!F98-PERALTE!$Z$12)-2),IF(RASANTE!F98&lt;=PERALTE!$AB$12,-2))))),IF(AND(AH!$H$14="Derecha",RASANTE!F98&lt;=PERALTE!$AB$12),IF(RASANTE!F98&lt;=PERALTE!$Q$12,-2,IF(RASANTE!F98&lt;=PERALTE!$U$12,(10/(PERALTE!$U$12-PERALTE!$Q$12)*(RASANTE!F98-PERALTE!$Q$12)-2),IF(RASANTE!F98&lt;=PERALTE!$X$12,8,IF(RASANTE!F98&lt;=PERALTE!$AB$12,(10/(PERALTE!$X$12-PERALTE!$AB$12)*(RASANTE!F98-PERALTE!$AB$12)-2))))),IF(AND(AH!$H$16="Izquierda",RASANTE!F98&lt;=PERALTE!$AB$14),IF(RASANTE!F98&lt;=PERALTE!$S$14,-2,IF(RASANTE!F98&lt;=PERALTE!$U$14,(-6/(PERALTE!$U$14-PERALTE!$S$14)*(RASANTE!F98-PERALTE!$S$14)-2),IF(RASANTE!F98&lt;=PERALTE!$X$14,-8,IF(RASANTE!F98&lt;=PERALTE!$Z$14,(-6/(PERALTE!$X$14-PERALTE!$Z$14)*(RASANTE!F98-PERALTE!$Z$14)-2),IF(RASANTE!F98&lt;=PERALTE!$AB$14,-2))))),IF(AND(AH!$H$16="Derecha",RASANTE!F98&lt;=PERALTE!$AB$14),IF(RASANTE!F98&lt;=PERALTE!$Q$14,-2,IF(RASANTE!F98&lt;=PERALTE!$U$14,(10/(PERALTE!$U$14-PERALTE!$Q$14)*(RASANTE!F98-PERALTE!$Q$14)-2),IF(RASANTE!F98&lt;=PERALTE!$X$14,8,IF(RASANTE!F98&lt;=PERALTE!$AB$14,(10/(PERALTE!$X$14-PERALTE!$AB$14)*(RASANTE!F98-PERALTE!$AB$14)-2))))),IF(AND(AH!$H$18="Izquierda",RASANTE!F98&lt;=PERALTE!$AB$16),IF(RASANTE!F98&lt;=PERALTE!$S$16,-2,IF(RASANTE!F98&lt;=PERALTE!$U$16,(-6/(PERALTE!$U$16-PERALTE!$S$16)*(RASANTE!F98-PERALTE!$S$16)-2),IF(RASANTE!F98&lt;=PERALTE!$X$16,-8,IF(RASANTE!F98&lt;=PERALTE!$Z$16,(-6/(PERALTE!$X$16-PERALTE!$Z$16)*(RASANTE!F98-PERALTE!$Z$16)-2),IF(RASANTE!F98&lt;=PERALTE!$AB$16,-2))))),IF(AND(AH!$H$18="Derecha",RASANTE!F98&lt;=PERALTE!$AB$16),IF(RASANTE!F98&lt;=PERALTE!$Q$16,-2,IF(RASANTE!F98&lt;=PERALTE!$U$16,(10/(PERALTE!$U$16-PERALTE!$Q$16)*(RASANTE!F98-PERALTE!$Q$16)-2),IF(RASANTE!F98&lt;=PERALTE!$X$16,8,IF(RASANTE!F98&lt;=PERALTE!$AB$16,(10/(PERALTE!$X$16-PERALTE!$AB$16)*(RASANTE!F98-PERALTE!$AB$16)-2))))),IF(AND(AH!$H$20="Izquierda",RASANTE!F98&lt;=PERALTE!$AB$18),IF(RASANTE!F98&lt;=PERALTE!$S$18,-2,IF(RASANTE!F98&lt;=PERALTE!$U$18,(-6/(PERALTE!$U$18-PERALTE!$S$18)*(RASANTE!F98-PERALTE!$S$18)-2),IF(RASANTE!F98&lt;=PERALTE!$X$18,-8,IF(RASANTE!F98&lt;=PERALTE!$Z$18,(-6/(PERALTE!$X$18-PERALTE!$Z$18)*(RASANTE!F98-PERALTE!$Z$18)-2),IF(RASANTE!F98&lt;=PERALTE!$AB$18,-2))))),IF(AND(AH!$H$20="Derecha",RASANTE!F98&lt;=PERALTE!$AB$18),IF(RASANTE!F98&lt;=PERALTE!$Q$18,-2,IF(RASANTE!F98&lt;=PERALTE!$U$18,(10/(PERALTE!$U$18-PERALTE!$Q$18)*(RASANTE!F98-PERALTE!$Q$18)-2),IF(RASANTE!F98&lt;=PERALTE!$X$18,8,IF(RASANTE!F98&lt;=PERALTE!$AB$18,(10/(PERALTE!$X$18-PERALTE!$AB$18)*(RASANTE!F98-PERALTE!$AB$18)-2))))),IF(AND(AH!$H$24="Izquierda",RASANTE!F98&lt;=PERALTE!$AB$22),IF(RASANTE!F98&lt;=PERALTE!$S$22,-2,IF(RASANTE!F98&lt;=PERALTE!$U$22,(-6/(PERALTE!$U$22-PERALTE!$S$22)*(RASANTE!F98-PERALTE!$S$22)-2),IF(RASANTE!F98&lt;=PERALTE!$X$22,-8,IF(RASANTE!F98&lt;=PERALTE!$Z$22,(-6/(PERALTE!$X$22-PERALTE!$Z$22)*(RASANTE!F98-PERALTE!$Z$22)-2),IF(RASANTE!F98&lt;=PERALTE!$AB$22,-2))))),IF(AND(AH!$H$24="Derecha",RASANTE!F98&lt;=PERALTE!$AB$22),IF(RASANTE!F98&lt;=PERALTE!$Q$22,-2,IF(RASANTE!F98&lt;=PERALTE!$U$22,(10/(PERALTE!$U$22-PERALTE!$Q$22)*(RASANTE!F98-PERALTE!$Q$22)-2),IF(RASANTE!F98&lt;=PERALTE!$X$22,8,IF(RASANTE!F98&lt;=PERALTE!$AB$22,(10/(PERALTE!$X$22-PERALTE!$AB$22)*(RASANTE!F98-PERALTE!$AB$22)-2))))),IF(AND(AH!#REF!="Izquierda",RASANTE!F98&lt;=PERALTE!#REF!),IF(RASANTE!F98&lt;=PERALTE!#REF!,-2,IF(RASANTE!F98&lt;=PERALTE!#REF!,(-6/(PERALTE!#REF!-PERALTE!#REF!)*(RASANTE!F98-PERALTE!#REF!)-2),IF(RASANTE!F98&lt;=PERALTE!#REF!,-8,IF(RASANTE!F98&lt;=PERALTE!#REF!,(-6/(PERALTE!#REF!-PERALTE!#REF!)*(RASANTE!F98-PERALTE!#REF!)-2),IF(RASANTE!F98&lt;=PERALTE!#REF!,-2))))),IF(AND(AH!#REF!="Derecha",RASANTE!F98&lt;=PERALTE!#REF!),IF(RASANTE!F98&lt;=PERALTE!#REF!,-2,IF(RASANTE!F98&lt;=PERALTE!#REF!,(10/(PERALTE!#REF!-PERALTE!#REF!)*(RASANTE!F98-PERALTE!#REF!)-2),IF(RASANTE!F98&lt;=PERALTE!#REF!,8,IF(RASANTE!F98&lt;=PERALTE!#REF!,(10/(PERALTE!#REF!-PERALTE!#REF!)*(RASANTE!F98-PERALTE!#REF!)-2))))),IF(AND(AH!#REF!="Izquierda",RASANTE!F98&lt;=PERALTE!$AB$26),IF(RASANTE!F98&lt;=PERALTE!$S$26,-2,IF(RASANTE!F98&lt;=PERALTE!$U$26,(-6/(PERALTE!$U$26-PERALTE!$S$26)*(RASANTE!F98-PERALTE!$S$26)-2),IF(RASANTE!F98&lt;=PERALTE!$X$26,-8,IF(RASANTE!F98&lt;=PERALTE!$Z$26,(-6/(PERALTE!$X$26-PERALTE!$Z$26)*(RASANTE!F98-PERALTE!$Z$26)-2),IF(RASANTE!F98&lt;=PERALTE!$AB$26,-2))))),IF(AND(AH!#REF!="Derecha",RASANTE!F98&lt;=PERALTE!$AB$26),IF(RASANTE!F98&lt;=PERALTE!$Q$26,-2,IF(RASANTE!F98&lt;=PERALTE!$U$26,(10/(PERALTE!$U$26-PERALTE!$Q$26)*(RASANTE!F98-PERALTE!$Q$26)-2),IF(RASANTE!F98&lt;=PERALTE!$X$26,8,IF(RASANTE!F98&lt;=PERALTE!$AB$26,(10/(PERALTE!$X$26-PERALTE!$AB$26)*(RASANTE!F98-PERALTE!$AB$26)-2))))),IF(F98&lt;=PERALTE!#REF!,-2,"Abscisa fuera de la vía")))))))))))))))))))))</f>
        <v>-2</v>
      </c>
      <c r="I98" s="28">
        <f>+IF(AND(AH!$H$8="Derecha",RASANTE!F98&lt;=PERALTE!$AB$6),IF(RASANTE!F98&lt;=PERALTE!$S$6,-2,IF(RASANTE!F98&lt;=PERALTE!$U$6,(-6/(PERALTE!$U$6-PERALTE!$S$6)*(RASANTE!F98-PERALTE!$S$6)-2),IF(RASANTE!F98&lt;=PERALTE!$X$6,-8,IF(RASANTE!F98&lt;=PERALTE!$Z$6,(-6/(PERALTE!$X$6-PERALTE!$Z$6)*(RASANTE!F98-PERALTE!$Z$6)-2),IF(RASANTE!F98&lt;=PERALTE!$AB$6,-2))))),IF(AND(AH!$H$8="Izquierda",RASANTE!F98&lt;=PERALTE!$AB$6),IF(RASANTE!F98&lt;=PERALTE!$Q$6,-2,IF(RASANTE!F98&lt;=PERALTE!$U$6,(10/(PERALTE!$U$6-PERALTE!$Q$6)*(RASANTE!F98-PERALTE!$Q$6)-2),IF(RASANTE!F98&lt;=PERALTE!$X$6,8,IF(RASANTE!F98&lt;=PERALTE!$AB$6,(10/(PERALTE!$X$6-PERALTE!$AB$6)*(RASANTE!F98-PERALTE!$AB$6)-2))))),IF(AND(AH!$H$10="Derecha",RASANTE!F98&lt;=PERALTE!$AB$8),IF(RASANTE!F98&lt;=PERALTE!$S$8,-2,IF(RASANTE!F98&lt;=PERALTE!$U$8,(-6/(PERALTE!$U$8-PERALTE!$S$8)*(RASANTE!F98-PERALTE!$S$8)-2),IF(RASANTE!F98&lt;=PERALTE!$X$8,-8,IF(RASANTE!F98&lt;=PERALTE!$Z$8,(-6/(PERALTE!$X$8-PERALTE!$Z$8)*(RASANTE!F98-PERALTE!$Z$8)-2),IF(RASANTE!F98&lt;=PERALTE!$AB$8,-2))))),IF(AND(AH!$H$10="Izquierda",RASANTE!F98&lt;=PERALTE!$AB$8),IF(RASANTE!F98&lt;=PERALTE!$Q$8,-2,IF(RASANTE!F98&lt;=PERALTE!$U$8,(10/(PERALTE!$U$8-PERALTE!$Q$8)*(RASANTE!F98-PERALTE!$Q$8)-2),IF(RASANTE!F98&lt;=PERALTE!$X$8,8,IF(RASANTE!F98&lt;=PERALTE!$AB$8,(10/(PERALTE!$X$8-PERALTE!$AB$8)*(RASANTE!F98-PERALTE!$AB$8)-2))))),IF(AND(AH!$H$12="Derecha",RASANTE!F98&lt;=PERALTE!$AB$10),IF(RASANTE!F98&lt;=PERALTE!$S$10,-2,IF(RASANTE!F98&lt;=PERALTE!$U$10,(-6/(PERALTE!$U$10-PERALTE!$S$10)*(RASANTE!F98-PERALTE!$S$10)-2),IF(RASANTE!F98&lt;=PERALTE!$X$10,-8,IF(RASANTE!F98&lt;=PERALTE!$Z$10,(-6/(PERALTE!$X$10-PERALTE!$Z$10)*(RASANTE!F98-PERALTE!$Z$10)-2),IF(RASANTE!F98&lt;=PERALTE!$AB$10,-2))))),IF(AND(AH!$H$12="Izquierda",RASANTE!F98&lt;=PERALTE!$AB$10),IF(RASANTE!F98&lt;=PERALTE!$Q$10,-2,IF(RASANTE!F98&lt;=PERALTE!$U$10,(10/(PERALTE!$U$10-PERALTE!$Q$10)*(RASANTE!F98-PERALTE!$Q$10)-2),IF(RASANTE!F98&lt;=PERALTE!$X$10,8,IF(RASANTE!F98&lt;=PERALTE!$AB$10,(10/(PERALTE!$X$10-PERALTE!$AB$10)*(RASANTE!F98-PERALTE!$AB$10)-2))))),IF(AND(AH!$H$14="Derecha",RASANTE!F98&lt;=PERALTE!$AB$12),IF(RASANTE!F98&lt;=PERALTE!$S$12,-2,IF(RASANTE!F98&lt;=PERALTE!$U$12,(-6/(PERALTE!$U$12-PERALTE!$S$12)*(RASANTE!F98-PERALTE!$S$12)-2),IF(RASANTE!F98&lt;=PERALTE!$X$12,-8,IF(RASANTE!F98&lt;=PERALTE!$Z$12,(-6/(PERALTE!$X$12-PERALTE!$Z$12)*(RASANTE!F98-PERALTE!$Z$12)-2),IF(RASANTE!F98&lt;=PERALTE!$AB$12,-2))))),IF(AND(AH!$H$14="Izquierda",RASANTE!F98&lt;=PERALTE!$AB$12),IF(RASANTE!F98&lt;=PERALTE!$Q$12,-2,IF(RASANTE!F98&lt;=PERALTE!$U$12,(10/(PERALTE!$U$12-PERALTE!$Q$12)*(RASANTE!F98-PERALTE!$Q$12)-2),IF(RASANTE!F98&lt;=PERALTE!$X$12,8,IF(RASANTE!F98&lt;=PERALTE!$AB$12,(10/(PERALTE!$X$12-PERALTE!$AB$12)*(RASANTE!F98-PERALTE!$AB$12)-2))))),IF(AND(AH!$H$16="Derecha",RASANTE!F98&lt;=PERALTE!$AB$14),IF(RASANTE!F98&lt;=PERALTE!$S$14,-2,IF(RASANTE!F98&lt;=PERALTE!$U$14,(-6/(PERALTE!$U$14-PERALTE!$S$14)*(RASANTE!F98-PERALTE!$S$14)-2),IF(RASANTE!F98&lt;=PERALTE!$X$14,-8,IF(RASANTE!F98&lt;=PERALTE!$Z$14,(-6/(PERALTE!$X$14-PERALTE!$Z$14)*(RASANTE!F98-PERALTE!$Z$14)-2),IF(RASANTE!F98&lt;=PERALTE!$AB$14,-2))))),IF(AND(AH!$H$16="Izquierda",RASANTE!F98&lt;=PERALTE!$AB$14),IF(RASANTE!F98&lt;=PERALTE!$Q$14,-2,IF(RASANTE!F98&lt;=PERALTE!$U$14,(10/(PERALTE!$U$14-PERALTE!$Q$14)*(RASANTE!F98-PERALTE!$Q$14)-2),IF(RASANTE!F98&lt;=PERALTE!$X$14,8,IF(RASANTE!F98&lt;=PERALTE!$AB$14,(10/(PERALTE!$X$14-PERALTE!$AB$14)*(RASANTE!F98-PERALTE!$AB$14)-2))))),IF(AND(AH!$H$18="Derecha",RASANTE!F98&lt;=PERALTE!$AB$16),IF(RASANTE!F98&lt;=PERALTE!$S$16,-2,IF(RASANTE!F98&lt;=PERALTE!$U$16,(-6/(PERALTE!$U$16-PERALTE!$S$16)*(RASANTE!F98-PERALTE!$S$16)-2),IF(RASANTE!F98&lt;=PERALTE!$X$16,-8,IF(RASANTE!F98&lt;=PERALTE!$Z$16,(-6/(PERALTE!$X$16-PERALTE!$Z$16)*(RASANTE!F98-PERALTE!$Z$16)-2),IF(RASANTE!F98&lt;=PERALTE!$AB$16,-2))))),IF(AND(AH!$H$18="Izquierda",RASANTE!F98&lt;=PERALTE!$AB$16),IF(RASANTE!F98&lt;=PERALTE!$Q$16,-2,IF(RASANTE!F98&lt;=PERALTE!$U$16,(10/(PERALTE!$U$16-PERALTE!$Q$16)*(RASANTE!F98-PERALTE!$Q$16)-2),IF(RASANTE!F98&lt;=PERALTE!$X$16,8,IF(RASANTE!F98&lt;=PERALTE!$AB$16,(10/(PERALTE!$X$16-PERALTE!$AB$16)*(RASANTE!F98-PERALTE!$AB$16)-2))))),IF(AND(AH!$H$20="Derecha",RASANTE!F98&lt;=PERALTE!$AB$18),IF(RASANTE!F98&lt;=PERALTE!$S$18,-2,IF(RASANTE!F98&lt;=PERALTE!$U$18,(-6/(PERALTE!$U$18-PERALTE!$S$18)*(RASANTE!F98-PERALTE!$S$18)-2),IF(RASANTE!F98&lt;=PERALTE!$X$18,-8,IF(RASANTE!F98&lt;=PERALTE!$Z$18,(-6/(PERALTE!$X$18-PERALTE!$Z$18)*(RASANTE!F98-PERALTE!$Z$18)-2),IF(RASANTE!F98&lt;=PERALTE!$AB$18,-2))))),IF(AND(AH!$H$20="Izquierda",RASANTE!F98&lt;=PERALTE!$AB$18),IF(RASANTE!F98&lt;=PERALTE!$Q$18,-2,IF(RASANTE!F98&lt;=PERALTE!$U$18,(10/(PERALTE!$U$18-PERALTE!$Q$18)*(RASANTE!F98-PERALTE!$Q$18)-2),IF(RASANTE!F98&lt;=PERALTE!$X$18,8,IF(RASANTE!F98&lt;=PERALTE!$AB$18,(10/(PERALTE!$X$18-PERALTE!$AB$18)*(RASANTE!F98-PERALTE!$AB$18)-2))))),IF(AND(AH!$H$24="Derecha",RASANTE!F98&lt;=PERALTE!$AB$22),IF(RASANTE!F98&lt;=PERALTE!$S$22,-2,IF(RASANTE!F98&lt;=PERALTE!$U$22,(-6/(PERALTE!$U$22-PERALTE!$S$22)*(RASANTE!F98-PERALTE!$S$22)-2),IF(RASANTE!F98&lt;=PERALTE!$X$22,-8,IF(RASANTE!F98&lt;=PERALTE!$Z$22,(-6/(PERALTE!$X$22-PERALTE!$Z$22)*(RASANTE!F98-PERALTE!$Z$22)-2),IF(RASANTE!F98&lt;=PERALTE!$AB$22,-2))))),IF(AND(AH!$H$24="Izquierda",RASANTE!F98&lt;=PERALTE!$AB$22),IF(RASANTE!F98&lt;=PERALTE!$Q$22,-2,IF(RASANTE!F98&lt;=PERALTE!$U$22,(10/(PERALTE!$U$22-PERALTE!$Q$22)*(RASANTE!F98-PERALTE!$Q$22)-2),IF(RASANTE!F98&lt;=PERALTE!$X$22,8,IF(RASANTE!F98&lt;=PERALTE!$AB$22,(10/(PERALTE!$X$22-PERALTE!$AB$22)*(RASANTE!F98-PERALTE!$AB$22)-2))))),IF(AND(AH!#REF!="Derecha",RASANTE!F98&lt;=PERALTE!#REF!),IF(RASANTE!F98&lt;=PERALTE!#REF!,-2,IF(RASANTE!F98&lt;=PERALTE!#REF!,(-6/(PERALTE!#REF!-PERALTE!#REF!)*(RASANTE!F98-PERALTE!#REF!)-2),IF(RASANTE!F98&lt;=PERALTE!#REF!,-8,IF(RASANTE!F98&lt;=PERALTE!#REF!,(-6/(PERALTE!#REF!-PERALTE!#REF!)*(RASANTE!F98-PERALTE!#REF!)-2),IF(RASANTE!F98&lt;=PERALTE!#REF!,-2))))),IF(AND(AH!#REF!="Izquierda",RASANTE!F98&lt;=PERALTE!#REF!),IF(RASANTE!F98&lt;=PERALTE!#REF!,-2,IF(RASANTE!F98&lt;=PERALTE!#REF!,(10/(PERALTE!#REF!-PERALTE!#REF!)*(RASANTE!F98-PERALTE!#REF!)-2),IF(RASANTE!F98&lt;=PERALTE!#REF!,8,IF(RASANTE!F98&lt;=PERALTE!#REF!,(10/(PERALTE!#REF!-PERALTE!#REF!)*(RASANTE!F98-PERALTE!#REF!)-2))))),IF(AND(AH!#REF!="Derecha",RASANTE!F98&lt;=PERALTE!$AB$26),IF(RASANTE!F98&lt;=PERALTE!$S$26,-2,IF(RASANTE!F98&lt;=PERALTE!$U$26,(-6/(PERALTE!$U$26-PERALTE!$S$26)*(RASANTE!F98-PERALTE!$S$26)-2),IF(RASANTE!F98&lt;=PERALTE!$X$26,-8,IF(RASANTE!F98&lt;=PERALTE!$Z$26,(-6/(PERALTE!$X$26-PERALTE!$Z$26)*(RASANTE!F98-PERALTE!$Z$26)-2),IF(RASANTE!F98&lt;=PERALTE!$AB$26,-2))))),IF(AND(AH!#REF!="Izquierda",RASANTE!F98&lt;=PERALTE!$AB$26),IF(RASANTE!F98&lt;=PERALTE!$Q$26,-2,IF(RASANTE!F98&lt;=PERALTE!$U$26,(10/(PERALTE!$U$26-PERALTE!$Q$26)*(RASANTE!F98-PERALTE!$Q$26)-2),IF(RASANTE!F98&lt;=PERALTE!$X$26,8,IF(RASANTE!F98&lt;=PERALTE!$AB$26,(10/(PERALTE!$X$26-PERALTE!$AB$26)*(RASANTE!F98-PERALTE!$AB$26)-2))))),IF(F98&lt;=PERALTE!#REF!,-2,"Abscisa fuera de la vía")))))))))))))))))))))</f>
        <v>4.8849813083506888E-15</v>
      </c>
      <c r="J98" s="28">
        <f t="shared" si="4"/>
        <v>1633.1407638314756</v>
      </c>
      <c r="K98" s="28">
        <f>+IF(AND(AV!$S$6&lt;F195,F195&lt;=AV!$T$6),AV!$P$6*((AV!$S$6-RASANTE!F195)/(AV!$N$6))^2,IF(AND(AV!$T$6&lt;RASANTE!F195,F195&lt;AV!$U$6),AV!$P$6*((AV!$U$6-RASANTE!F195)/(AV!$O$6))^2,IF(AND(AV!$S$8&lt;F195,F195&lt;=AV!$T$8),AV!$P$8*((AV!$S$8-RASANTE!F195)/(AV!$N$8))^2,IF(AND(AV!$T$8&lt;RASANTE!F195,F195&lt;AV!$U$8),AV!$P$8*((AV!$U$8-RASANTE!F195)/(AV!$O$8))^2,IF(AND(AV!$S$10&lt;F195,F195&lt;=AV!$T$10),AV!$P$10*((AV!$S$10-RASANTE!F195)/(AV!$N$10))^2,IF(AND(AV!$T$10&lt;RASANTE!F195,F195&lt;AV!$U$10),AV!$P$10*((AV!$U$10-RASANTE!F195)/(AV!$O$10))^2,IF(AND(AV!$S$12&lt;F195,F195&lt;=AV!$T$12),AV!$P$12*((AV!$S$12-RASANTE!F195)/(AV!$N$12))^2,IF(AND(AV!$T$12&lt;RASANTE!F195,F195&lt;AV!$U$12),AV!$P$12*((AV!$U$12-RASANTE!F195)/(AV!$O$12))^2,IF(AND(AV!$S$14&lt;F195,F195&lt;=AV!$T$14),AV!$P$14*((AV!$S$14-RASANTE!F195)/(AV!$N$14))^2,IF(AND(AV!$T$14&lt;RASANTE!F195,F195&lt;AV!$U$14),AV!$P$14*((AV!$U$14-RASANTE!F195)/(AV!$O$14))^2,IF(AND(AV!$S$16&lt;F195,F195&lt;=AV!$T$16),AV!$P$16*((AV!$S$16-RASANTE!F195)/(AV!$N$16))^2,IF(AND(AV!$T$16&lt;RASANTE!F195,F195&lt;AV!$U$16),AV!$P$16*((AV!$U$16-RASANTE!F195)/(AV!$O$16))^2,IF(AND(AV!$S$18&lt;F195,F195&lt;=AV!$T$18),AV!$P$18*((AV!$S$18-RASANTE!F195)/(AV!$N$18))^2,IF(AND(AV!$T$18&lt;RASANTE!F195,F195&lt;AV!$U$18),AV!$P$18*((AV!$U$18-RASANTE!F195)/(AV!$O$18))^2,IF(AND(AV!$S$20&lt;F195,F195&lt;=AV!$T$20),AV!$P$20*((AV!$S$20-RASANTE!F195)/(AV!$N$20))^2,IF(AND(AV!$T$20&lt;RASANTE!F195,F195&lt;AV!$U$20),AV!$P$20*((AV!$U$20-RASANTE!F195)/(AV!$O$20))^2,IF(AND(AV!$S$22&lt;F195,F195&lt;=AV!$T$22),AV!$P$22*((AV!$S$22-RASANTE!F195)/(AV!$N$22))^2,IF(AND(AV!$T$22&lt;RASANTE!F195,F195&lt;AV!$U$22),AV!$P$22*((AV!$U$22-RASANTE!F195)/(AV!$O$22))^2,IF(AND(AV!$S$24&lt;F195,F195&lt;=AV!$T$24),AV!$P$24*((AV!$S$24-RASANTE!F195)/(AV!$N$24))^2,IF(AND(AV!$T$24&lt;RASANTE!F195,F195&lt;AV!$U$24),AV!$P$24*((AV!$U$24-RASANTE!F195)/(AV!$O$24))^2,0))))))))))))))))))))</f>
        <v>0</v>
      </c>
      <c r="L98" s="28">
        <f>+M98+H98%*PERALTE!$C$32</f>
        <v>1633.0707638314757</v>
      </c>
      <c r="M98" s="28">
        <f t="shared" si="3"/>
        <v>1633.1407638314756</v>
      </c>
      <c r="N98" s="28">
        <f>+M98+I98%*PERALTE!$C$32</f>
        <v>1633.1407638314756</v>
      </c>
      <c r="O98" s="92"/>
      <c r="P98" s="84"/>
      <c r="Q98" s="84"/>
      <c r="R98" s="84"/>
      <c r="S98" s="84"/>
      <c r="T98" s="84"/>
      <c r="U98" s="84"/>
      <c r="V98" s="84"/>
      <c r="W98" s="84"/>
      <c r="X98" s="84"/>
      <c r="Y98" s="84"/>
    </row>
    <row r="99" spans="1:25" ht="15.75" customHeight="1" x14ac:dyDescent="0.2">
      <c r="A99" s="90"/>
      <c r="B99" s="86"/>
      <c r="C99" s="86"/>
      <c r="D99" s="86"/>
      <c r="E99" s="91"/>
      <c r="F99" s="34">
        <v>630</v>
      </c>
      <c r="G99" s="88">
        <f>IF(F99&lt;=AV!$T$6,AV!$C$5,IF(RASANTE!F99&lt;=AV!$T$8,AV!$C$7,IF(RASANTE!F99&lt;=AV!$T$10,AV!$C$9,IF(RASANTE!F99&lt;=AV!$T$12,AV!#REF!,IF(RASANTE!F99&lt;=AV!$T$14,AV!$C$11,IF(RASANTE!F99&lt;=AV!$T$16,AV!$C$13, IF(RASANTE!F99&lt;=AV!$T$18,AV!$C$15,IF(RASANTE!F99&lt;=AV!$T$20,AV!$C$19,IF(RASANTE!F99&lt;=AV!$T$22,AV!$C$21,IF(RASANTE!F99&lt;=AV!$T$24,AV!$C$23,AV!$C$25))))))))))</f>
        <v>-3</v>
      </c>
      <c r="H99" s="28">
        <f>+IF(AND(AH!$H$8="Izquierda",RASANTE!F99&lt;=PERALTE!$AB$6),IF(RASANTE!F99&lt;=PERALTE!$S$6,-2,IF(RASANTE!F99&lt;=PERALTE!$U$6,(-6/(PERALTE!$U$6-PERALTE!$S$6)*(RASANTE!F99-PERALTE!$S$6)-2),IF(RASANTE!F99&lt;=PERALTE!$X$6,-8,IF(RASANTE!F99&lt;=PERALTE!$Z$6,(-6/(PERALTE!$X$6-PERALTE!$Z$6)*(RASANTE!F99-PERALTE!$Z$6)-2),IF(RASANTE!F99&lt;=PERALTE!$AB$6,-2))))),IF(AND(AH!$H$8="Derecha",RASANTE!F99&lt;=PERALTE!$AB$6),IF(RASANTE!F99&lt;=PERALTE!$Q$6,-2,IF(RASANTE!F99&lt;=PERALTE!$U$6,(10/(PERALTE!$U$6-PERALTE!$Q$6)*(RASANTE!F99-PERALTE!$Q$6)-2),IF(RASANTE!F99&lt;=PERALTE!$X$6,8,IF(RASANTE!F99&lt;=PERALTE!$AB$6,(10/(PERALTE!$X$6-PERALTE!$AB$6)*(RASANTE!F99-PERALTE!$AB$6)-2))))),IF(AND(AH!$H$10="Izquierda",RASANTE!F99&lt;=PERALTE!$AB$8),IF(RASANTE!F99&lt;=PERALTE!$S$8,-2,IF(RASANTE!F99&lt;=PERALTE!$U$8,(-6/(PERALTE!$U$8-PERALTE!$S$8)*(RASANTE!F99-PERALTE!$S$8)-2),IF(RASANTE!F99&lt;=PERALTE!$X$8,-8,IF(RASANTE!F99&lt;=PERALTE!$Z$8,(-6/(PERALTE!$X$8-PERALTE!$Z$8)*(RASANTE!F99-PERALTE!$Z$8)-2),IF(RASANTE!F99&lt;=PERALTE!$AB$8,-2))))),IF(AND(AH!$H$10="Derecha",RASANTE!F99&lt;=PERALTE!$AB$8),IF(RASANTE!F99&lt;=PERALTE!$Q$8,-2,IF(RASANTE!F99&lt;=PERALTE!$U$8,(10/(PERALTE!$U$8-PERALTE!$Q$8)*(RASANTE!F99-PERALTE!$Q$8)-2),IF(RASANTE!F99&lt;=PERALTE!$X$8,8,IF(RASANTE!F99&lt;=PERALTE!$AB$8,(10/(PERALTE!$X$8-PERALTE!$AB$8)*(RASANTE!F99-PERALTE!$AB$8)-2))))),IF(AND(AH!$H$12="Izquierda",RASANTE!F99&lt;=PERALTE!$AB$10),IF(RASANTE!F99&lt;=PERALTE!$S$10,-2,IF(RASANTE!F99&lt;=PERALTE!$U$10,(-6/(PERALTE!$U$10-PERALTE!$S$10)*(RASANTE!F99-PERALTE!$S$10)-2),IF(RASANTE!F99&lt;=PERALTE!$X$10,-8,IF(RASANTE!F99&lt;=PERALTE!$Z$10,(-6/(PERALTE!$X$10-PERALTE!$Z$10)*(RASANTE!F99-PERALTE!$Z$10)-2),IF(RASANTE!F99&lt;=PERALTE!$AB$10,-2))))),IF(AND(AH!$H$12="Derecha",RASANTE!F99&lt;=PERALTE!$AB$10),IF(RASANTE!F99&lt;=PERALTE!$Q$10,-2,IF(RASANTE!F99&lt;=PERALTE!$U$10,(10/(PERALTE!$U$10-PERALTE!$Q$10)*(RASANTE!F99-PERALTE!$Q$10)-2),IF(RASANTE!F99&lt;=PERALTE!$X$10,8,IF(RASANTE!F99&lt;=PERALTE!$AB$10,(10/(PERALTE!$X$10-PERALTE!$AB$10)*(RASANTE!F99-PERALTE!$AB$10)-2))))),IF(AND(AH!$H$14="Izquierda",RASANTE!F99&lt;=PERALTE!$AB$12),IF(RASANTE!F99&lt;=PERALTE!$S$12,-2,IF(RASANTE!F99&lt;=PERALTE!$U$12,(-6/(PERALTE!$U$12-PERALTE!$S$12)*(RASANTE!F99-PERALTE!$S$12)-2),IF(RASANTE!F99&lt;=PERALTE!$X$12,-8,IF(RASANTE!F99&lt;=PERALTE!$Z$12,(-6/(PERALTE!$X$12-PERALTE!$Z$12)*(RASANTE!F99-PERALTE!$Z$12)-2),IF(RASANTE!F99&lt;=PERALTE!$AB$12,-2))))),IF(AND(AH!$H$14="Derecha",RASANTE!F99&lt;=PERALTE!$AB$12),IF(RASANTE!F99&lt;=PERALTE!$Q$12,-2,IF(RASANTE!F99&lt;=PERALTE!$U$12,(10/(PERALTE!$U$12-PERALTE!$Q$12)*(RASANTE!F99-PERALTE!$Q$12)-2),IF(RASANTE!F99&lt;=PERALTE!$X$12,8,IF(RASANTE!F99&lt;=PERALTE!$AB$12,(10/(PERALTE!$X$12-PERALTE!$AB$12)*(RASANTE!F99-PERALTE!$AB$12)-2))))),IF(AND(AH!$H$16="Izquierda",RASANTE!F99&lt;=PERALTE!$AB$14),IF(RASANTE!F99&lt;=PERALTE!$S$14,-2,IF(RASANTE!F99&lt;=PERALTE!$U$14,(-6/(PERALTE!$U$14-PERALTE!$S$14)*(RASANTE!F99-PERALTE!$S$14)-2),IF(RASANTE!F99&lt;=PERALTE!$X$14,-8,IF(RASANTE!F99&lt;=PERALTE!$Z$14,(-6/(PERALTE!$X$14-PERALTE!$Z$14)*(RASANTE!F99-PERALTE!$Z$14)-2),IF(RASANTE!F99&lt;=PERALTE!$AB$14,-2))))),IF(AND(AH!$H$16="Derecha",RASANTE!F99&lt;=PERALTE!$AB$14),IF(RASANTE!F99&lt;=PERALTE!$Q$14,-2,IF(RASANTE!F99&lt;=PERALTE!$U$14,(10/(PERALTE!$U$14-PERALTE!$Q$14)*(RASANTE!F99-PERALTE!$Q$14)-2),IF(RASANTE!F99&lt;=PERALTE!$X$14,8,IF(RASANTE!F99&lt;=PERALTE!$AB$14,(10/(PERALTE!$X$14-PERALTE!$AB$14)*(RASANTE!F99-PERALTE!$AB$14)-2))))),IF(AND(AH!$H$18="Izquierda",RASANTE!F99&lt;=PERALTE!$AB$16),IF(RASANTE!F99&lt;=PERALTE!$S$16,-2,IF(RASANTE!F99&lt;=PERALTE!$U$16,(-6/(PERALTE!$U$16-PERALTE!$S$16)*(RASANTE!F99-PERALTE!$S$16)-2),IF(RASANTE!F99&lt;=PERALTE!$X$16,-8,IF(RASANTE!F99&lt;=PERALTE!$Z$16,(-6/(PERALTE!$X$16-PERALTE!$Z$16)*(RASANTE!F99-PERALTE!$Z$16)-2),IF(RASANTE!F99&lt;=PERALTE!$AB$16,-2))))),IF(AND(AH!$H$18="Derecha",RASANTE!F99&lt;=PERALTE!$AB$16),IF(RASANTE!F99&lt;=PERALTE!$Q$16,-2,IF(RASANTE!F99&lt;=PERALTE!$U$16,(10/(PERALTE!$U$16-PERALTE!$Q$16)*(RASANTE!F99-PERALTE!$Q$16)-2),IF(RASANTE!F99&lt;=PERALTE!$X$16,8,IF(RASANTE!F99&lt;=PERALTE!$AB$16,(10/(PERALTE!$X$16-PERALTE!$AB$16)*(RASANTE!F99-PERALTE!$AB$16)-2))))),IF(AND(AH!$H$20="Izquierda",RASANTE!F99&lt;=PERALTE!$AB$18),IF(RASANTE!F99&lt;=PERALTE!$S$18,-2,IF(RASANTE!F99&lt;=PERALTE!$U$18,(-6/(PERALTE!$U$18-PERALTE!$S$18)*(RASANTE!F99-PERALTE!$S$18)-2),IF(RASANTE!F99&lt;=PERALTE!$X$18,-8,IF(RASANTE!F99&lt;=PERALTE!$Z$18,(-6/(PERALTE!$X$18-PERALTE!$Z$18)*(RASANTE!F99-PERALTE!$Z$18)-2),IF(RASANTE!F99&lt;=PERALTE!$AB$18,-2))))),IF(AND(AH!$H$20="Derecha",RASANTE!F99&lt;=PERALTE!$AB$18),IF(RASANTE!F99&lt;=PERALTE!$Q$18,-2,IF(RASANTE!F99&lt;=PERALTE!$U$18,(10/(PERALTE!$U$18-PERALTE!$Q$18)*(RASANTE!F99-PERALTE!$Q$18)-2),IF(RASANTE!F99&lt;=PERALTE!$X$18,8,IF(RASANTE!F99&lt;=PERALTE!$AB$18,(10/(PERALTE!$X$18-PERALTE!$AB$18)*(RASANTE!F99-PERALTE!$AB$18)-2))))),IF(AND(AH!$H$24="Izquierda",RASANTE!F99&lt;=PERALTE!$AB$22),IF(RASANTE!F99&lt;=PERALTE!$S$22,-2,IF(RASANTE!F99&lt;=PERALTE!$U$22,(-6/(PERALTE!$U$22-PERALTE!$S$22)*(RASANTE!F99-PERALTE!$S$22)-2),IF(RASANTE!F99&lt;=PERALTE!$X$22,-8,IF(RASANTE!F99&lt;=PERALTE!$Z$22,(-6/(PERALTE!$X$22-PERALTE!$Z$22)*(RASANTE!F99-PERALTE!$Z$22)-2),IF(RASANTE!F99&lt;=PERALTE!$AB$22,-2))))),IF(AND(AH!$H$24="Derecha",RASANTE!F99&lt;=PERALTE!$AB$22),IF(RASANTE!F99&lt;=PERALTE!$Q$22,-2,IF(RASANTE!F99&lt;=PERALTE!$U$22,(10/(PERALTE!$U$22-PERALTE!$Q$22)*(RASANTE!F99-PERALTE!$Q$22)-2),IF(RASANTE!F99&lt;=PERALTE!$X$22,8,IF(RASANTE!F99&lt;=PERALTE!$AB$22,(10/(PERALTE!$X$22-PERALTE!$AB$22)*(RASANTE!F99-PERALTE!$AB$22)-2))))),IF(AND(AH!#REF!="Izquierda",RASANTE!F99&lt;=PERALTE!#REF!),IF(RASANTE!F99&lt;=PERALTE!#REF!,-2,IF(RASANTE!F99&lt;=PERALTE!#REF!,(-6/(PERALTE!#REF!-PERALTE!#REF!)*(RASANTE!F99-PERALTE!#REF!)-2),IF(RASANTE!F99&lt;=PERALTE!#REF!,-8,IF(RASANTE!F99&lt;=PERALTE!#REF!,(-6/(PERALTE!#REF!-PERALTE!#REF!)*(RASANTE!F99-PERALTE!#REF!)-2),IF(RASANTE!F99&lt;=PERALTE!#REF!,-2))))),IF(AND(AH!#REF!="Derecha",RASANTE!F99&lt;=PERALTE!#REF!),IF(RASANTE!F99&lt;=PERALTE!#REF!,-2,IF(RASANTE!F99&lt;=PERALTE!#REF!,(10/(PERALTE!#REF!-PERALTE!#REF!)*(RASANTE!F99-PERALTE!#REF!)-2),IF(RASANTE!F99&lt;=PERALTE!#REF!,8,IF(RASANTE!F99&lt;=PERALTE!#REF!,(10/(PERALTE!#REF!-PERALTE!#REF!)*(RASANTE!F99-PERALTE!#REF!)-2))))),IF(AND(AH!#REF!="Izquierda",RASANTE!F99&lt;=PERALTE!$AB$26),IF(RASANTE!F99&lt;=PERALTE!$S$26,-2,IF(RASANTE!F99&lt;=PERALTE!$U$26,(-6/(PERALTE!$U$26-PERALTE!$S$26)*(RASANTE!F99-PERALTE!$S$26)-2),IF(RASANTE!F99&lt;=PERALTE!$X$26,-8,IF(RASANTE!F99&lt;=PERALTE!$Z$26,(-6/(PERALTE!$X$26-PERALTE!$Z$26)*(RASANTE!F99-PERALTE!$Z$26)-2),IF(RASANTE!F99&lt;=PERALTE!$AB$26,-2))))),IF(AND(AH!#REF!="Derecha",RASANTE!F99&lt;=PERALTE!$AB$26),IF(RASANTE!F99&lt;=PERALTE!$Q$26,-2,IF(RASANTE!F99&lt;=PERALTE!$U$26,(10/(PERALTE!$U$26-PERALTE!$Q$26)*(RASANTE!F99-PERALTE!$Q$26)-2),IF(RASANTE!F99&lt;=PERALTE!$X$26,8,IF(RASANTE!F99&lt;=PERALTE!$AB$26,(10/(PERALTE!$X$26-PERALTE!$AB$26)*(RASANTE!F99-PERALTE!$AB$26)-2))))),IF(F99&lt;=PERALTE!#REF!,-2,"Abscisa fuera de la vía")))))))))))))))))))))</f>
        <v>-2</v>
      </c>
      <c r="I99" s="28">
        <f>+IF(AND(AH!$H$8="Derecha",RASANTE!F99&lt;=PERALTE!$AB$6),IF(RASANTE!F99&lt;=PERALTE!$S$6,-2,IF(RASANTE!F99&lt;=PERALTE!$U$6,(-6/(PERALTE!$U$6-PERALTE!$S$6)*(RASANTE!F99-PERALTE!$S$6)-2),IF(RASANTE!F99&lt;=PERALTE!$X$6,-8,IF(RASANTE!F99&lt;=PERALTE!$Z$6,(-6/(PERALTE!$X$6-PERALTE!$Z$6)*(RASANTE!F99-PERALTE!$Z$6)-2),IF(RASANTE!F99&lt;=PERALTE!$AB$6,-2))))),IF(AND(AH!$H$8="Izquierda",RASANTE!F99&lt;=PERALTE!$AB$6),IF(RASANTE!F99&lt;=PERALTE!$Q$6,-2,IF(RASANTE!F99&lt;=PERALTE!$U$6,(10/(PERALTE!$U$6-PERALTE!$Q$6)*(RASANTE!F99-PERALTE!$Q$6)-2),IF(RASANTE!F99&lt;=PERALTE!$X$6,8,IF(RASANTE!F99&lt;=PERALTE!$AB$6,(10/(PERALTE!$X$6-PERALTE!$AB$6)*(RASANTE!F99-PERALTE!$AB$6)-2))))),IF(AND(AH!$H$10="Derecha",RASANTE!F99&lt;=PERALTE!$AB$8),IF(RASANTE!F99&lt;=PERALTE!$S$8,-2,IF(RASANTE!F99&lt;=PERALTE!$U$8,(-6/(PERALTE!$U$8-PERALTE!$S$8)*(RASANTE!F99-PERALTE!$S$8)-2),IF(RASANTE!F99&lt;=PERALTE!$X$8,-8,IF(RASANTE!F99&lt;=PERALTE!$Z$8,(-6/(PERALTE!$X$8-PERALTE!$Z$8)*(RASANTE!F99-PERALTE!$Z$8)-2),IF(RASANTE!F99&lt;=PERALTE!$AB$8,-2))))),IF(AND(AH!$H$10="Izquierda",RASANTE!F99&lt;=PERALTE!$AB$8),IF(RASANTE!F99&lt;=PERALTE!$Q$8,-2,IF(RASANTE!F99&lt;=PERALTE!$U$8,(10/(PERALTE!$U$8-PERALTE!$Q$8)*(RASANTE!F99-PERALTE!$Q$8)-2),IF(RASANTE!F99&lt;=PERALTE!$X$8,8,IF(RASANTE!F99&lt;=PERALTE!$AB$8,(10/(PERALTE!$X$8-PERALTE!$AB$8)*(RASANTE!F99-PERALTE!$AB$8)-2))))),IF(AND(AH!$H$12="Derecha",RASANTE!F99&lt;=PERALTE!$AB$10),IF(RASANTE!F99&lt;=PERALTE!$S$10,-2,IF(RASANTE!F99&lt;=PERALTE!$U$10,(-6/(PERALTE!$U$10-PERALTE!$S$10)*(RASANTE!F99-PERALTE!$S$10)-2),IF(RASANTE!F99&lt;=PERALTE!$X$10,-8,IF(RASANTE!F99&lt;=PERALTE!$Z$10,(-6/(PERALTE!$X$10-PERALTE!$Z$10)*(RASANTE!F99-PERALTE!$Z$10)-2),IF(RASANTE!F99&lt;=PERALTE!$AB$10,-2))))),IF(AND(AH!$H$12="Izquierda",RASANTE!F99&lt;=PERALTE!$AB$10),IF(RASANTE!F99&lt;=PERALTE!$Q$10,-2,IF(RASANTE!F99&lt;=PERALTE!$U$10,(10/(PERALTE!$U$10-PERALTE!$Q$10)*(RASANTE!F99-PERALTE!$Q$10)-2),IF(RASANTE!F99&lt;=PERALTE!$X$10,8,IF(RASANTE!F99&lt;=PERALTE!$AB$10,(10/(PERALTE!$X$10-PERALTE!$AB$10)*(RASANTE!F99-PERALTE!$AB$10)-2))))),IF(AND(AH!$H$14="Derecha",RASANTE!F99&lt;=PERALTE!$AB$12),IF(RASANTE!F99&lt;=PERALTE!$S$12,-2,IF(RASANTE!F99&lt;=PERALTE!$U$12,(-6/(PERALTE!$U$12-PERALTE!$S$12)*(RASANTE!F99-PERALTE!$S$12)-2),IF(RASANTE!F99&lt;=PERALTE!$X$12,-8,IF(RASANTE!F99&lt;=PERALTE!$Z$12,(-6/(PERALTE!$X$12-PERALTE!$Z$12)*(RASANTE!F99-PERALTE!$Z$12)-2),IF(RASANTE!F99&lt;=PERALTE!$AB$12,-2))))),IF(AND(AH!$H$14="Izquierda",RASANTE!F99&lt;=PERALTE!$AB$12),IF(RASANTE!F99&lt;=PERALTE!$Q$12,-2,IF(RASANTE!F99&lt;=PERALTE!$U$12,(10/(PERALTE!$U$12-PERALTE!$Q$12)*(RASANTE!F99-PERALTE!$Q$12)-2),IF(RASANTE!F99&lt;=PERALTE!$X$12,8,IF(RASANTE!F99&lt;=PERALTE!$AB$12,(10/(PERALTE!$X$12-PERALTE!$AB$12)*(RASANTE!F99-PERALTE!$AB$12)-2))))),IF(AND(AH!$H$16="Derecha",RASANTE!F99&lt;=PERALTE!$AB$14),IF(RASANTE!F99&lt;=PERALTE!$S$14,-2,IF(RASANTE!F99&lt;=PERALTE!$U$14,(-6/(PERALTE!$U$14-PERALTE!$S$14)*(RASANTE!F99-PERALTE!$S$14)-2),IF(RASANTE!F99&lt;=PERALTE!$X$14,-8,IF(RASANTE!F99&lt;=PERALTE!$Z$14,(-6/(PERALTE!$X$14-PERALTE!$Z$14)*(RASANTE!F99-PERALTE!$Z$14)-2),IF(RASANTE!F99&lt;=PERALTE!$AB$14,-2))))),IF(AND(AH!$H$16="Izquierda",RASANTE!F99&lt;=PERALTE!$AB$14),IF(RASANTE!F99&lt;=PERALTE!$Q$14,-2,IF(RASANTE!F99&lt;=PERALTE!$U$14,(10/(PERALTE!$U$14-PERALTE!$Q$14)*(RASANTE!F99-PERALTE!$Q$14)-2),IF(RASANTE!F99&lt;=PERALTE!$X$14,8,IF(RASANTE!F99&lt;=PERALTE!$AB$14,(10/(PERALTE!$X$14-PERALTE!$AB$14)*(RASANTE!F99-PERALTE!$AB$14)-2))))),IF(AND(AH!$H$18="Derecha",RASANTE!F99&lt;=PERALTE!$AB$16),IF(RASANTE!F99&lt;=PERALTE!$S$16,-2,IF(RASANTE!F99&lt;=PERALTE!$U$16,(-6/(PERALTE!$U$16-PERALTE!$S$16)*(RASANTE!F99-PERALTE!$S$16)-2),IF(RASANTE!F99&lt;=PERALTE!$X$16,-8,IF(RASANTE!F99&lt;=PERALTE!$Z$16,(-6/(PERALTE!$X$16-PERALTE!$Z$16)*(RASANTE!F99-PERALTE!$Z$16)-2),IF(RASANTE!F99&lt;=PERALTE!$AB$16,-2))))),IF(AND(AH!$H$18="Izquierda",RASANTE!F99&lt;=PERALTE!$AB$16),IF(RASANTE!F99&lt;=PERALTE!$Q$16,-2,IF(RASANTE!F99&lt;=PERALTE!$U$16,(10/(PERALTE!$U$16-PERALTE!$Q$16)*(RASANTE!F99-PERALTE!$Q$16)-2),IF(RASANTE!F99&lt;=PERALTE!$X$16,8,IF(RASANTE!F99&lt;=PERALTE!$AB$16,(10/(PERALTE!$X$16-PERALTE!$AB$16)*(RASANTE!F99-PERALTE!$AB$16)-2))))),IF(AND(AH!$H$20="Derecha",RASANTE!F99&lt;=PERALTE!$AB$18),IF(RASANTE!F99&lt;=PERALTE!$S$18,-2,IF(RASANTE!F99&lt;=PERALTE!$U$18,(-6/(PERALTE!$U$18-PERALTE!$S$18)*(RASANTE!F99-PERALTE!$S$18)-2),IF(RASANTE!F99&lt;=PERALTE!$X$18,-8,IF(RASANTE!F99&lt;=PERALTE!$Z$18,(-6/(PERALTE!$X$18-PERALTE!$Z$18)*(RASANTE!F99-PERALTE!$Z$18)-2),IF(RASANTE!F99&lt;=PERALTE!$AB$18,-2))))),IF(AND(AH!$H$20="Izquierda",RASANTE!F99&lt;=PERALTE!$AB$18),IF(RASANTE!F99&lt;=PERALTE!$Q$18,-2,IF(RASANTE!F99&lt;=PERALTE!$U$18,(10/(PERALTE!$U$18-PERALTE!$Q$18)*(RASANTE!F99-PERALTE!$Q$18)-2),IF(RASANTE!F99&lt;=PERALTE!$X$18,8,IF(RASANTE!F99&lt;=PERALTE!$AB$18,(10/(PERALTE!$X$18-PERALTE!$AB$18)*(RASANTE!F99-PERALTE!$AB$18)-2))))),IF(AND(AH!$H$24="Derecha",RASANTE!F99&lt;=PERALTE!$AB$22),IF(RASANTE!F99&lt;=PERALTE!$S$22,-2,IF(RASANTE!F99&lt;=PERALTE!$U$22,(-6/(PERALTE!$U$22-PERALTE!$S$22)*(RASANTE!F99-PERALTE!$S$22)-2),IF(RASANTE!F99&lt;=PERALTE!$X$22,-8,IF(RASANTE!F99&lt;=PERALTE!$Z$22,(-6/(PERALTE!$X$22-PERALTE!$Z$22)*(RASANTE!F99-PERALTE!$Z$22)-2),IF(RASANTE!F99&lt;=PERALTE!$AB$22,-2))))),IF(AND(AH!$H$24="Izquierda",RASANTE!F99&lt;=PERALTE!$AB$22),IF(RASANTE!F99&lt;=PERALTE!$Q$22,-2,IF(RASANTE!F99&lt;=PERALTE!$U$22,(10/(PERALTE!$U$22-PERALTE!$Q$22)*(RASANTE!F99-PERALTE!$Q$22)-2),IF(RASANTE!F99&lt;=PERALTE!$X$22,8,IF(RASANTE!F99&lt;=PERALTE!$AB$22,(10/(PERALTE!$X$22-PERALTE!$AB$22)*(RASANTE!F99-PERALTE!$AB$22)-2))))),IF(AND(AH!#REF!="Derecha",RASANTE!F99&lt;=PERALTE!#REF!),IF(RASANTE!F99&lt;=PERALTE!#REF!,-2,IF(RASANTE!F99&lt;=PERALTE!#REF!,(-6/(PERALTE!#REF!-PERALTE!#REF!)*(RASANTE!F99-PERALTE!#REF!)-2),IF(RASANTE!F99&lt;=PERALTE!#REF!,-8,IF(RASANTE!F99&lt;=PERALTE!#REF!,(-6/(PERALTE!#REF!-PERALTE!#REF!)*(RASANTE!F99-PERALTE!#REF!)-2),IF(RASANTE!F99&lt;=PERALTE!#REF!,-2))))),IF(AND(AH!#REF!="Izquierda",RASANTE!F99&lt;=PERALTE!#REF!),IF(RASANTE!F99&lt;=PERALTE!#REF!,-2,IF(RASANTE!F99&lt;=PERALTE!#REF!,(10/(PERALTE!#REF!-PERALTE!#REF!)*(RASANTE!F99-PERALTE!#REF!)-2),IF(RASANTE!F99&lt;=PERALTE!#REF!,8,IF(RASANTE!F99&lt;=PERALTE!#REF!,(10/(PERALTE!#REF!-PERALTE!#REF!)*(RASANTE!F99-PERALTE!#REF!)-2))))),IF(AND(AH!#REF!="Derecha",RASANTE!F99&lt;=PERALTE!$AB$26),IF(RASANTE!F99&lt;=PERALTE!$S$26,-2,IF(RASANTE!F99&lt;=PERALTE!$U$26,(-6/(PERALTE!$U$26-PERALTE!$S$26)*(RASANTE!F99-PERALTE!$S$26)-2),IF(RASANTE!F99&lt;=PERALTE!$X$26,-8,IF(RASANTE!F99&lt;=PERALTE!$Z$26,(-6/(PERALTE!$X$26-PERALTE!$Z$26)*(RASANTE!F99-PERALTE!$Z$26)-2),IF(RASANTE!F99&lt;=PERALTE!$AB$26,-2))))),IF(AND(AH!#REF!="Izquierda",RASANTE!F99&lt;=PERALTE!$AB$26),IF(RASANTE!F99&lt;=PERALTE!$Q$26,-2,IF(RASANTE!F99&lt;=PERALTE!$U$26,(10/(PERALTE!$U$26-PERALTE!$Q$26)*(RASANTE!F99-PERALTE!$Q$26)-2),IF(RASANTE!F99&lt;=PERALTE!$X$26,8,IF(RASANTE!F99&lt;=PERALTE!$AB$26,(10/(PERALTE!$X$26-PERALTE!$AB$26)*(RASANTE!F99-PERALTE!$AB$26)-2))))),IF(F99&lt;=PERALTE!#REF!,-2,"Abscisa fuera de la vía")))))))))))))))))))))</f>
        <v>1.8653347641482365</v>
      </c>
      <c r="J99" s="28">
        <f t="shared" si="4"/>
        <v>1632.8864000000008</v>
      </c>
      <c r="K99" s="28">
        <f>+IF(AND(AV!$S$6&lt;F196,F196&lt;=AV!$T$6),AV!$P$6*((AV!$S$6-RASANTE!F196)/(AV!$N$6))^2,IF(AND(AV!$T$6&lt;RASANTE!F196,F196&lt;AV!$U$6),AV!$P$6*((AV!$U$6-RASANTE!F196)/(AV!$O$6))^2,IF(AND(AV!$S$8&lt;F196,F196&lt;=AV!$T$8),AV!$P$8*((AV!$S$8-RASANTE!F196)/(AV!$N$8))^2,IF(AND(AV!$T$8&lt;RASANTE!F196,F196&lt;AV!$U$8),AV!$P$8*((AV!$U$8-RASANTE!F196)/(AV!$O$8))^2,IF(AND(AV!$S$10&lt;F196,F196&lt;=AV!$T$10),AV!$P$10*((AV!$S$10-RASANTE!F196)/(AV!$N$10))^2,IF(AND(AV!$T$10&lt;RASANTE!F196,F196&lt;AV!$U$10),AV!$P$10*((AV!$U$10-RASANTE!F196)/(AV!$O$10))^2,IF(AND(AV!$S$12&lt;F196,F196&lt;=AV!$T$12),AV!$P$12*((AV!$S$12-RASANTE!F196)/(AV!$N$12))^2,IF(AND(AV!$T$12&lt;RASANTE!F196,F196&lt;AV!$U$12),AV!$P$12*((AV!$U$12-RASANTE!F196)/(AV!$O$12))^2,IF(AND(AV!$S$14&lt;F196,F196&lt;=AV!$T$14),AV!$P$14*((AV!$S$14-RASANTE!F196)/(AV!$N$14))^2,IF(AND(AV!$T$14&lt;RASANTE!F196,F196&lt;AV!$U$14),AV!$P$14*((AV!$U$14-RASANTE!F196)/(AV!$O$14))^2,IF(AND(AV!$S$16&lt;F196,F196&lt;=AV!$T$16),AV!$P$16*((AV!$S$16-RASANTE!F196)/(AV!$N$16))^2,IF(AND(AV!$T$16&lt;RASANTE!F196,F196&lt;AV!$U$16),AV!$P$16*((AV!$U$16-RASANTE!F196)/(AV!$O$16))^2,IF(AND(AV!$S$18&lt;F196,F196&lt;=AV!$T$18),AV!$P$18*((AV!$S$18-RASANTE!F196)/(AV!$N$18))^2,IF(AND(AV!$T$18&lt;RASANTE!F196,F196&lt;AV!$U$18),AV!$P$18*((AV!$U$18-RASANTE!F196)/(AV!$O$18))^2,IF(AND(AV!$S$20&lt;F196,F196&lt;=AV!$T$20),AV!$P$20*((AV!$S$20-RASANTE!F196)/(AV!$N$20))^2,IF(AND(AV!$T$20&lt;RASANTE!F196,F196&lt;AV!$U$20),AV!$P$20*((AV!$U$20-RASANTE!F196)/(AV!$O$20))^2,IF(AND(AV!$S$22&lt;F196,F196&lt;=AV!$T$22),AV!$P$22*((AV!$S$22-RASANTE!F196)/(AV!$N$22))^2,IF(AND(AV!$T$22&lt;RASANTE!F196,F196&lt;AV!$U$22),AV!$P$22*((AV!$U$22-RASANTE!F196)/(AV!$O$22))^2,IF(AND(AV!$S$24&lt;F196,F196&lt;=AV!$T$24),AV!$P$24*((AV!$S$24-RASANTE!F196)/(AV!$N$24))^2,IF(AND(AV!$T$24&lt;RASANTE!F196,F196&lt;AV!$U$24),AV!$P$24*((AV!$U$24-RASANTE!F196)/(AV!$O$24))^2,0))))))))))))))))))))</f>
        <v>0</v>
      </c>
      <c r="L99" s="28">
        <f>+M99+H99%*PERALTE!$C$32</f>
        <v>1632.8164000000008</v>
      </c>
      <c r="M99" s="28">
        <f t="shared" si="3"/>
        <v>1632.8864000000008</v>
      </c>
      <c r="N99" s="28">
        <f>+M99+I99%*PERALTE!$C$32</f>
        <v>1632.9516867167461</v>
      </c>
      <c r="O99" s="92"/>
      <c r="P99" s="84"/>
      <c r="Q99" s="84"/>
      <c r="R99" s="84"/>
      <c r="S99" s="84"/>
      <c r="T99" s="84"/>
      <c r="U99" s="84"/>
      <c r="V99" s="84"/>
      <c r="W99" s="84"/>
      <c r="X99" s="84"/>
      <c r="Y99" s="84"/>
    </row>
    <row r="100" spans="1:25" ht="15.75" customHeight="1" x14ac:dyDescent="0.2">
      <c r="A100" s="90" t="s">
        <v>331</v>
      </c>
      <c r="B100" s="86"/>
      <c r="C100" s="86"/>
      <c r="D100" s="86"/>
      <c r="E100" s="91"/>
      <c r="F100" s="34">
        <f>PERALTE!S10</f>
        <v>630.61211470841715</v>
      </c>
      <c r="G100" s="88">
        <f>IF(F100&lt;=AV!$T$6,AV!$C$5,IF(RASANTE!F100&lt;=AV!$T$8,AV!$C$7,IF(RASANTE!F100&lt;=AV!$T$10,AV!$C$9,IF(RASANTE!F100&lt;=AV!$T$12,AV!#REF!,IF(RASANTE!F100&lt;=AV!$T$14,AV!$C$11,IF(RASANTE!F100&lt;=AV!$T$16,AV!$C$13, IF(RASANTE!F100&lt;=AV!$T$18,AV!$C$15,IF(RASANTE!F100&lt;=AV!$T$20,AV!$C$19,IF(RASANTE!F100&lt;=AV!$T$22,AV!$C$21,IF(RASANTE!F100&lt;=AV!$T$24,AV!$C$23,AV!$C$25))))))))))</f>
        <v>-3</v>
      </c>
      <c r="H100" s="28">
        <f>+IF(AND(AH!$H$8="Izquierda",RASANTE!F100&lt;=PERALTE!$AB$6),IF(RASANTE!F100&lt;=PERALTE!$S$6,-2,IF(RASANTE!F100&lt;=PERALTE!$U$6,(-6/(PERALTE!$U$6-PERALTE!$S$6)*(RASANTE!F100-PERALTE!$S$6)-2),IF(RASANTE!F100&lt;=PERALTE!$X$6,-8,IF(RASANTE!F100&lt;=PERALTE!$Z$6,(-6/(PERALTE!$X$6-PERALTE!$Z$6)*(RASANTE!F100-PERALTE!$Z$6)-2),IF(RASANTE!F100&lt;=PERALTE!$AB$6,-2))))),IF(AND(AH!$H$8="Derecha",RASANTE!F100&lt;=PERALTE!$AB$6),IF(RASANTE!F100&lt;=PERALTE!$Q$6,-2,IF(RASANTE!F100&lt;=PERALTE!$U$6,(10/(PERALTE!$U$6-PERALTE!$Q$6)*(RASANTE!F100-PERALTE!$Q$6)-2),IF(RASANTE!F100&lt;=PERALTE!$X$6,8,IF(RASANTE!F100&lt;=PERALTE!$AB$6,(10/(PERALTE!$X$6-PERALTE!$AB$6)*(RASANTE!F100-PERALTE!$AB$6)-2))))),IF(AND(AH!$H$10="Izquierda",RASANTE!F100&lt;=PERALTE!$AB$8),IF(RASANTE!F100&lt;=PERALTE!$S$8,-2,IF(RASANTE!F100&lt;=PERALTE!$U$8,(-6/(PERALTE!$U$8-PERALTE!$S$8)*(RASANTE!F100-PERALTE!$S$8)-2),IF(RASANTE!F100&lt;=PERALTE!$X$8,-8,IF(RASANTE!F100&lt;=PERALTE!$Z$8,(-6/(PERALTE!$X$8-PERALTE!$Z$8)*(RASANTE!F100-PERALTE!$Z$8)-2),IF(RASANTE!F100&lt;=PERALTE!$AB$8,-2))))),IF(AND(AH!$H$10="Derecha",RASANTE!F100&lt;=PERALTE!$AB$8),IF(RASANTE!F100&lt;=PERALTE!$Q$8,-2,IF(RASANTE!F100&lt;=PERALTE!$U$8,(10/(PERALTE!$U$8-PERALTE!$Q$8)*(RASANTE!F100-PERALTE!$Q$8)-2),IF(RASANTE!F100&lt;=PERALTE!$X$8,8,IF(RASANTE!F100&lt;=PERALTE!$AB$8,(10/(PERALTE!$X$8-PERALTE!$AB$8)*(RASANTE!F100-PERALTE!$AB$8)-2))))),IF(AND(AH!$H$12="Izquierda",RASANTE!F100&lt;=PERALTE!$AB$10),IF(RASANTE!F100&lt;=PERALTE!$S$10,-2,IF(RASANTE!F100&lt;=PERALTE!$U$10,(-6/(PERALTE!$U$10-PERALTE!$S$10)*(RASANTE!F100-PERALTE!$S$10)-2),IF(RASANTE!F100&lt;=PERALTE!$X$10,-8,IF(RASANTE!F100&lt;=PERALTE!$Z$10,(-6/(PERALTE!$X$10-PERALTE!$Z$10)*(RASANTE!F100-PERALTE!$Z$10)-2),IF(RASANTE!F100&lt;=PERALTE!$AB$10,-2))))),IF(AND(AH!$H$12="Derecha",RASANTE!F100&lt;=PERALTE!$AB$10),IF(RASANTE!F100&lt;=PERALTE!$Q$10,-2,IF(RASANTE!F100&lt;=PERALTE!$U$10,(10/(PERALTE!$U$10-PERALTE!$Q$10)*(RASANTE!F100-PERALTE!$Q$10)-2),IF(RASANTE!F100&lt;=PERALTE!$X$10,8,IF(RASANTE!F100&lt;=PERALTE!$AB$10,(10/(PERALTE!$X$10-PERALTE!$AB$10)*(RASANTE!F100-PERALTE!$AB$10)-2))))),IF(AND(AH!$H$14="Izquierda",RASANTE!F100&lt;=PERALTE!$AB$12),IF(RASANTE!F100&lt;=PERALTE!$S$12,-2,IF(RASANTE!F100&lt;=PERALTE!$U$12,(-6/(PERALTE!$U$12-PERALTE!$S$12)*(RASANTE!F100-PERALTE!$S$12)-2),IF(RASANTE!F100&lt;=PERALTE!$X$12,-8,IF(RASANTE!F100&lt;=PERALTE!$Z$12,(-6/(PERALTE!$X$12-PERALTE!$Z$12)*(RASANTE!F100-PERALTE!$Z$12)-2),IF(RASANTE!F100&lt;=PERALTE!$AB$12,-2))))),IF(AND(AH!$H$14="Derecha",RASANTE!F100&lt;=PERALTE!$AB$12),IF(RASANTE!F100&lt;=PERALTE!$Q$12,-2,IF(RASANTE!F100&lt;=PERALTE!$U$12,(10/(PERALTE!$U$12-PERALTE!$Q$12)*(RASANTE!F100-PERALTE!$Q$12)-2),IF(RASANTE!F100&lt;=PERALTE!$X$12,8,IF(RASANTE!F100&lt;=PERALTE!$AB$12,(10/(PERALTE!$X$12-PERALTE!$AB$12)*(RASANTE!F100-PERALTE!$AB$12)-2))))),IF(AND(AH!$H$16="Izquierda",RASANTE!F100&lt;=PERALTE!$AB$14),IF(RASANTE!F100&lt;=PERALTE!$S$14,-2,IF(RASANTE!F100&lt;=PERALTE!$U$14,(-6/(PERALTE!$U$14-PERALTE!$S$14)*(RASANTE!F100-PERALTE!$S$14)-2),IF(RASANTE!F100&lt;=PERALTE!$X$14,-8,IF(RASANTE!F100&lt;=PERALTE!$Z$14,(-6/(PERALTE!$X$14-PERALTE!$Z$14)*(RASANTE!F100-PERALTE!$Z$14)-2),IF(RASANTE!F100&lt;=PERALTE!$AB$14,-2))))),IF(AND(AH!$H$16="Derecha",RASANTE!F100&lt;=PERALTE!$AB$14),IF(RASANTE!F100&lt;=PERALTE!$Q$14,-2,IF(RASANTE!F100&lt;=PERALTE!$U$14,(10/(PERALTE!$U$14-PERALTE!$Q$14)*(RASANTE!F100-PERALTE!$Q$14)-2),IF(RASANTE!F100&lt;=PERALTE!$X$14,8,IF(RASANTE!F100&lt;=PERALTE!$AB$14,(10/(PERALTE!$X$14-PERALTE!$AB$14)*(RASANTE!F100-PERALTE!$AB$14)-2))))),IF(AND(AH!$H$18="Izquierda",RASANTE!F100&lt;=PERALTE!$AB$16),IF(RASANTE!F100&lt;=PERALTE!$S$16,-2,IF(RASANTE!F100&lt;=PERALTE!$U$16,(-6/(PERALTE!$U$16-PERALTE!$S$16)*(RASANTE!F100-PERALTE!$S$16)-2),IF(RASANTE!F100&lt;=PERALTE!$X$16,-8,IF(RASANTE!F100&lt;=PERALTE!$Z$16,(-6/(PERALTE!$X$16-PERALTE!$Z$16)*(RASANTE!F100-PERALTE!$Z$16)-2),IF(RASANTE!F100&lt;=PERALTE!$AB$16,-2))))),IF(AND(AH!$H$18="Derecha",RASANTE!F100&lt;=PERALTE!$AB$16),IF(RASANTE!F100&lt;=PERALTE!$Q$16,-2,IF(RASANTE!F100&lt;=PERALTE!$U$16,(10/(PERALTE!$U$16-PERALTE!$Q$16)*(RASANTE!F100-PERALTE!$Q$16)-2),IF(RASANTE!F100&lt;=PERALTE!$X$16,8,IF(RASANTE!F100&lt;=PERALTE!$AB$16,(10/(PERALTE!$X$16-PERALTE!$AB$16)*(RASANTE!F100-PERALTE!$AB$16)-2))))),IF(AND(AH!$H$20="Izquierda",RASANTE!F100&lt;=PERALTE!$AB$18),IF(RASANTE!F100&lt;=PERALTE!$S$18,-2,IF(RASANTE!F100&lt;=PERALTE!$U$18,(-6/(PERALTE!$U$18-PERALTE!$S$18)*(RASANTE!F100-PERALTE!$S$18)-2),IF(RASANTE!F100&lt;=PERALTE!$X$18,-8,IF(RASANTE!F100&lt;=PERALTE!$Z$18,(-6/(PERALTE!$X$18-PERALTE!$Z$18)*(RASANTE!F100-PERALTE!$Z$18)-2),IF(RASANTE!F100&lt;=PERALTE!$AB$18,-2))))),IF(AND(AH!$H$20="Derecha",RASANTE!F100&lt;=PERALTE!$AB$18),IF(RASANTE!F100&lt;=PERALTE!$Q$18,-2,IF(RASANTE!F100&lt;=PERALTE!$U$18,(10/(PERALTE!$U$18-PERALTE!$Q$18)*(RASANTE!F100-PERALTE!$Q$18)-2),IF(RASANTE!F100&lt;=PERALTE!$X$18,8,IF(RASANTE!F100&lt;=PERALTE!$AB$18,(10/(PERALTE!$X$18-PERALTE!$AB$18)*(RASANTE!F100-PERALTE!$AB$18)-2))))),IF(AND(AH!$H$24="Izquierda",RASANTE!F100&lt;=PERALTE!$AB$22),IF(RASANTE!F100&lt;=PERALTE!$S$22,-2,IF(RASANTE!F100&lt;=PERALTE!$U$22,(-6/(PERALTE!$U$22-PERALTE!$S$22)*(RASANTE!F100-PERALTE!$S$22)-2),IF(RASANTE!F100&lt;=PERALTE!$X$22,-8,IF(RASANTE!F100&lt;=PERALTE!$Z$22,(-6/(PERALTE!$X$22-PERALTE!$Z$22)*(RASANTE!F100-PERALTE!$Z$22)-2),IF(RASANTE!F100&lt;=PERALTE!$AB$22,-2))))),IF(AND(AH!$H$24="Derecha",RASANTE!F100&lt;=PERALTE!$AB$22),IF(RASANTE!F100&lt;=PERALTE!$Q$22,-2,IF(RASANTE!F100&lt;=PERALTE!$U$22,(10/(PERALTE!$U$22-PERALTE!$Q$22)*(RASANTE!F100-PERALTE!$Q$22)-2),IF(RASANTE!F100&lt;=PERALTE!$X$22,8,IF(RASANTE!F100&lt;=PERALTE!$AB$22,(10/(PERALTE!$X$22-PERALTE!$AB$22)*(RASANTE!F100-PERALTE!$AB$22)-2))))),IF(AND(AH!#REF!="Izquierda",RASANTE!F100&lt;=PERALTE!#REF!),IF(RASANTE!F100&lt;=PERALTE!#REF!,-2,IF(RASANTE!F100&lt;=PERALTE!#REF!,(-6/(PERALTE!#REF!-PERALTE!#REF!)*(RASANTE!F100-PERALTE!#REF!)-2),IF(RASANTE!F100&lt;=PERALTE!#REF!,-8,IF(RASANTE!F100&lt;=PERALTE!#REF!,(-6/(PERALTE!#REF!-PERALTE!#REF!)*(RASANTE!F100-PERALTE!#REF!)-2),IF(RASANTE!F100&lt;=PERALTE!#REF!,-2))))),IF(AND(AH!#REF!="Derecha",RASANTE!F100&lt;=PERALTE!#REF!),IF(RASANTE!F100&lt;=PERALTE!#REF!,-2,IF(RASANTE!F100&lt;=PERALTE!#REF!,(10/(PERALTE!#REF!-PERALTE!#REF!)*(RASANTE!F100-PERALTE!#REF!)-2),IF(RASANTE!F100&lt;=PERALTE!#REF!,8,IF(RASANTE!F100&lt;=PERALTE!#REF!,(10/(PERALTE!#REF!-PERALTE!#REF!)*(RASANTE!F100-PERALTE!#REF!)-2))))),IF(AND(AH!#REF!="Izquierda",RASANTE!F100&lt;=PERALTE!$AB$26),IF(RASANTE!F100&lt;=PERALTE!$S$26,-2,IF(RASANTE!F100&lt;=PERALTE!$U$26,(-6/(PERALTE!$U$26-PERALTE!$S$26)*(RASANTE!F100-PERALTE!$S$26)-2),IF(RASANTE!F100&lt;=PERALTE!$X$26,-8,IF(RASANTE!F100&lt;=PERALTE!$Z$26,(-6/(PERALTE!$X$26-PERALTE!$Z$26)*(RASANTE!F100-PERALTE!$Z$26)-2),IF(RASANTE!F100&lt;=PERALTE!$AB$26,-2))))),IF(AND(AH!#REF!="Derecha",RASANTE!F100&lt;=PERALTE!$AB$26),IF(RASANTE!F100&lt;=PERALTE!$Q$26,-2,IF(RASANTE!F100&lt;=PERALTE!$U$26,(10/(PERALTE!$U$26-PERALTE!$Q$26)*(RASANTE!F100-PERALTE!$Q$26)-2),IF(RASANTE!F100&lt;=PERALTE!$X$26,8,IF(RASANTE!F100&lt;=PERALTE!$AB$26,(10/(PERALTE!$X$26-PERALTE!$AB$26)*(RASANTE!F100-PERALTE!$AB$26)-2))))),IF(F100&lt;=PERALTE!#REF!,-2,"Abscisa fuera de la vía")))))))))))))))))))))</f>
        <v>-2</v>
      </c>
      <c r="I100" s="28">
        <f>+IF(AND(AH!$H$8="Derecha",RASANTE!F100&lt;=PERALTE!$AB$6),IF(RASANTE!F100&lt;=PERALTE!$S$6,-2,IF(RASANTE!F100&lt;=PERALTE!$U$6,(-6/(PERALTE!$U$6-PERALTE!$S$6)*(RASANTE!F100-PERALTE!$S$6)-2),IF(RASANTE!F100&lt;=PERALTE!$X$6,-8,IF(RASANTE!F100&lt;=PERALTE!$Z$6,(-6/(PERALTE!$X$6-PERALTE!$Z$6)*(RASANTE!F100-PERALTE!$Z$6)-2),IF(RASANTE!F100&lt;=PERALTE!$AB$6,-2))))),IF(AND(AH!$H$8="Izquierda",RASANTE!F100&lt;=PERALTE!$AB$6),IF(RASANTE!F100&lt;=PERALTE!$Q$6,-2,IF(RASANTE!F100&lt;=PERALTE!$U$6,(10/(PERALTE!$U$6-PERALTE!$Q$6)*(RASANTE!F100-PERALTE!$Q$6)-2),IF(RASANTE!F100&lt;=PERALTE!$X$6,8,IF(RASANTE!F100&lt;=PERALTE!$AB$6,(10/(PERALTE!$X$6-PERALTE!$AB$6)*(RASANTE!F100-PERALTE!$AB$6)-2))))),IF(AND(AH!$H$10="Derecha",RASANTE!F100&lt;=PERALTE!$AB$8),IF(RASANTE!F100&lt;=PERALTE!$S$8,-2,IF(RASANTE!F100&lt;=PERALTE!$U$8,(-6/(PERALTE!$U$8-PERALTE!$S$8)*(RASANTE!F100-PERALTE!$S$8)-2),IF(RASANTE!F100&lt;=PERALTE!$X$8,-8,IF(RASANTE!F100&lt;=PERALTE!$Z$8,(-6/(PERALTE!$X$8-PERALTE!$Z$8)*(RASANTE!F100-PERALTE!$Z$8)-2),IF(RASANTE!F100&lt;=PERALTE!$AB$8,-2))))),IF(AND(AH!$H$10="Izquierda",RASANTE!F100&lt;=PERALTE!$AB$8),IF(RASANTE!F100&lt;=PERALTE!$Q$8,-2,IF(RASANTE!F100&lt;=PERALTE!$U$8,(10/(PERALTE!$U$8-PERALTE!$Q$8)*(RASANTE!F100-PERALTE!$Q$8)-2),IF(RASANTE!F100&lt;=PERALTE!$X$8,8,IF(RASANTE!F100&lt;=PERALTE!$AB$8,(10/(PERALTE!$X$8-PERALTE!$AB$8)*(RASANTE!F100-PERALTE!$AB$8)-2))))),IF(AND(AH!$H$12="Derecha",RASANTE!F100&lt;=PERALTE!$AB$10),IF(RASANTE!F100&lt;=PERALTE!$S$10,-2,IF(RASANTE!F100&lt;=PERALTE!$U$10,(-6/(PERALTE!$U$10-PERALTE!$S$10)*(RASANTE!F100-PERALTE!$S$10)-2),IF(RASANTE!F100&lt;=PERALTE!$X$10,-8,IF(RASANTE!F100&lt;=PERALTE!$Z$10,(-6/(PERALTE!$X$10-PERALTE!$Z$10)*(RASANTE!F100-PERALTE!$Z$10)-2),IF(RASANTE!F100&lt;=PERALTE!$AB$10,-2))))),IF(AND(AH!$H$12="Izquierda",RASANTE!F100&lt;=PERALTE!$AB$10),IF(RASANTE!F100&lt;=PERALTE!$Q$10,-2,IF(RASANTE!F100&lt;=PERALTE!$U$10,(10/(PERALTE!$U$10-PERALTE!$Q$10)*(RASANTE!F100-PERALTE!$Q$10)-2),IF(RASANTE!F100&lt;=PERALTE!$X$10,8,IF(RASANTE!F100&lt;=PERALTE!$AB$10,(10/(PERALTE!$X$10-PERALTE!$AB$10)*(RASANTE!F100-PERALTE!$AB$10)-2))))),IF(AND(AH!$H$14="Derecha",RASANTE!F100&lt;=PERALTE!$AB$12),IF(RASANTE!F100&lt;=PERALTE!$S$12,-2,IF(RASANTE!F100&lt;=PERALTE!$U$12,(-6/(PERALTE!$U$12-PERALTE!$S$12)*(RASANTE!F100-PERALTE!$S$12)-2),IF(RASANTE!F100&lt;=PERALTE!$X$12,-8,IF(RASANTE!F100&lt;=PERALTE!$Z$12,(-6/(PERALTE!$X$12-PERALTE!$Z$12)*(RASANTE!F100-PERALTE!$Z$12)-2),IF(RASANTE!F100&lt;=PERALTE!$AB$12,-2))))),IF(AND(AH!$H$14="Izquierda",RASANTE!F100&lt;=PERALTE!$AB$12),IF(RASANTE!F100&lt;=PERALTE!$Q$12,-2,IF(RASANTE!F100&lt;=PERALTE!$U$12,(10/(PERALTE!$U$12-PERALTE!$Q$12)*(RASANTE!F100-PERALTE!$Q$12)-2),IF(RASANTE!F100&lt;=PERALTE!$X$12,8,IF(RASANTE!F100&lt;=PERALTE!$AB$12,(10/(PERALTE!$X$12-PERALTE!$AB$12)*(RASANTE!F100-PERALTE!$AB$12)-2))))),IF(AND(AH!$H$16="Derecha",RASANTE!F100&lt;=PERALTE!$AB$14),IF(RASANTE!F100&lt;=PERALTE!$S$14,-2,IF(RASANTE!F100&lt;=PERALTE!$U$14,(-6/(PERALTE!$U$14-PERALTE!$S$14)*(RASANTE!F100-PERALTE!$S$14)-2),IF(RASANTE!F100&lt;=PERALTE!$X$14,-8,IF(RASANTE!F100&lt;=PERALTE!$Z$14,(-6/(PERALTE!$X$14-PERALTE!$Z$14)*(RASANTE!F100-PERALTE!$Z$14)-2),IF(RASANTE!F100&lt;=PERALTE!$AB$14,-2))))),IF(AND(AH!$H$16="Izquierda",RASANTE!F100&lt;=PERALTE!$AB$14),IF(RASANTE!F100&lt;=PERALTE!$Q$14,-2,IF(RASANTE!F100&lt;=PERALTE!$U$14,(10/(PERALTE!$U$14-PERALTE!$Q$14)*(RASANTE!F100-PERALTE!$Q$14)-2),IF(RASANTE!F100&lt;=PERALTE!$X$14,8,IF(RASANTE!F100&lt;=PERALTE!$AB$14,(10/(PERALTE!$X$14-PERALTE!$AB$14)*(RASANTE!F100-PERALTE!$AB$14)-2))))),IF(AND(AH!$H$18="Derecha",RASANTE!F100&lt;=PERALTE!$AB$16),IF(RASANTE!F100&lt;=PERALTE!$S$16,-2,IF(RASANTE!F100&lt;=PERALTE!$U$16,(-6/(PERALTE!$U$16-PERALTE!$S$16)*(RASANTE!F100-PERALTE!$S$16)-2),IF(RASANTE!F100&lt;=PERALTE!$X$16,-8,IF(RASANTE!F100&lt;=PERALTE!$Z$16,(-6/(PERALTE!$X$16-PERALTE!$Z$16)*(RASANTE!F100-PERALTE!$Z$16)-2),IF(RASANTE!F100&lt;=PERALTE!$AB$16,-2))))),IF(AND(AH!$H$18="Izquierda",RASANTE!F100&lt;=PERALTE!$AB$16),IF(RASANTE!F100&lt;=PERALTE!$Q$16,-2,IF(RASANTE!F100&lt;=PERALTE!$U$16,(10/(PERALTE!$U$16-PERALTE!$Q$16)*(RASANTE!F100-PERALTE!$Q$16)-2),IF(RASANTE!F100&lt;=PERALTE!$X$16,8,IF(RASANTE!F100&lt;=PERALTE!$AB$16,(10/(PERALTE!$X$16-PERALTE!$AB$16)*(RASANTE!F100-PERALTE!$AB$16)-2))))),IF(AND(AH!$H$20="Derecha",RASANTE!F100&lt;=PERALTE!$AB$18),IF(RASANTE!F100&lt;=PERALTE!$S$18,-2,IF(RASANTE!F100&lt;=PERALTE!$U$18,(-6/(PERALTE!$U$18-PERALTE!$S$18)*(RASANTE!F100-PERALTE!$S$18)-2),IF(RASANTE!F100&lt;=PERALTE!$X$18,-8,IF(RASANTE!F100&lt;=PERALTE!$Z$18,(-6/(PERALTE!$X$18-PERALTE!$Z$18)*(RASANTE!F100-PERALTE!$Z$18)-2),IF(RASANTE!F100&lt;=PERALTE!$AB$18,-2))))),IF(AND(AH!$H$20="Izquierda",RASANTE!F100&lt;=PERALTE!$AB$18),IF(RASANTE!F100&lt;=PERALTE!$Q$18,-2,IF(RASANTE!F100&lt;=PERALTE!$U$18,(10/(PERALTE!$U$18-PERALTE!$Q$18)*(RASANTE!F100-PERALTE!$Q$18)-2),IF(RASANTE!F100&lt;=PERALTE!$X$18,8,IF(RASANTE!F100&lt;=PERALTE!$AB$18,(10/(PERALTE!$X$18-PERALTE!$AB$18)*(RASANTE!F100-PERALTE!$AB$18)-2))))),IF(AND(AH!$H$24="Derecha",RASANTE!F100&lt;=PERALTE!$AB$22),IF(RASANTE!F100&lt;=PERALTE!$S$22,-2,IF(RASANTE!F100&lt;=PERALTE!$U$22,(-6/(PERALTE!$U$22-PERALTE!$S$22)*(RASANTE!F100-PERALTE!$S$22)-2),IF(RASANTE!F100&lt;=PERALTE!$X$22,-8,IF(RASANTE!F100&lt;=PERALTE!$Z$22,(-6/(PERALTE!$X$22-PERALTE!$Z$22)*(RASANTE!F100-PERALTE!$Z$22)-2),IF(RASANTE!F100&lt;=PERALTE!$AB$22,-2))))),IF(AND(AH!$H$24="Izquierda",RASANTE!F100&lt;=PERALTE!$AB$22),IF(RASANTE!F100&lt;=PERALTE!$Q$22,-2,IF(RASANTE!F100&lt;=PERALTE!$U$22,(10/(PERALTE!$U$22-PERALTE!$Q$22)*(RASANTE!F100-PERALTE!$Q$22)-2),IF(RASANTE!F100&lt;=PERALTE!$X$22,8,IF(RASANTE!F100&lt;=PERALTE!$AB$22,(10/(PERALTE!$X$22-PERALTE!$AB$22)*(RASANTE!F100-PERALTE!$AB$22)-2))))),IF(AND(AH!#REF!="Derecha",RASANTE!F100&lt;=PERALTE!#REF!),IF(RASANTE!F100&lt;=PERALTE!#REF!,-2,IF(RASANTE!F100&lt;=PERALTE!#REF!,(-6/(PERALTE!#REF!-PERALTE!#REF!)*(RASANTE!F100-PERALTE!#REF!)-2),IF(RASANTE!F100&lt;=PERALTE!#REF!,-8,IF(RASANTE!F100&lt;=PERALTE!#REF!,(-6/(PERALTE!#REF!-PERALTE!#REF!)*(RASANTE!F100-PERALTE!#REF!)-2),IF(RASANTE!F100&lt;=PERALTE!#REF!,-2))))),IF(AND(AH!#REF!="Izquierda",RASANTE!F100&lt;=PERALTE!#REF!),IF(RASANTE!F100&lt;=PERALTE!#REF!,-2,IF(RASANTE!F100&lt;=PERALTE!#REF!,(10/(PERALTE!#REF!-PERALTE!#REF!)*(RASANTE!F100-PERALTE!#REF!)-2),IF(RASANTE!F100&lt;=PERALTE!#REF!,8,IF(RASANTE!F100&lt;=PERALTE!#REF!,(10/(PERALTE!#REF!-PERALTE!#REF!)*(RASANTE!F100-PERALTE!#REF!)-2))))),IF(AND(AH!#REF!="Derecha",RASANTE!F100&lt;=PERALTE!$AB$26),IF(RASANTE!F100&lt;=PERALTE!$S$26,-2,IF(RASANTE!F100&lt;=PERALTE!$U$26,(-6/(PERALTE!$U$26-PERALTE!$S$26)*(RASANTE!F100-PERALTE!$S$26)-2),IF(RASANTE!F100&lt;=PERALTE!$X$26,-8,IF(RASANTE!F100&lt;=PERALTE!$Z$26,(-6/(PERALTE!$X$26-PERALTE!$Z$26)*(RASANTE!F100-PERALTE!$Z$26)-2),IF(RASANTE!F100&lt;=PERALTE!$AB$26,-2))))),IF(AND(AH!#REF!="Izquierda",RASANTE!F100&lt;=PERALTE!$AB$26),IF(RASANTE!F100&lt;=PERALTE!$Q$26,-2,IF(RASANTE!F100&lt;=PERALTE!$U$26,(10/(PERALTE!$U$26-PERALTE!$Q$26)*(RASANTE!F100-PERALTE!$Q$26)-2),IF(RASANTE!F100&lt;=PERALTE!$X$26,8,IF(RASANTE!F100&lt;=PERALTE!$AB$26,(10/(PERALTE!$X$26-PERALTE!$AB$26)*(RASANTE!F100-PERALTE!$AB$26)-2))))),IF(F100&lt;=PERALTE!#REF!,-2,"Abscisa fuera de la vía")))))))))))))))))))))</f>
        <v>2.0000000000000098</v>
      </c>
      <c r="J100" s="28">
        <f t="shared" si="4"/>
        <v>1632.8680365587484</v>
      </c>
      <c r="K100" s="28">
        <f>+IF(AND(AV!$S$6&lt;F197,F197&lt;=AV!$T$6),AV!$P$6*((AV!$S$6-RASANTE!F197)/(AV!$N$6))^2,IF(AND(AV!$T$6&lt;RASANTE!F197,F197&lt;AV!$U$6),AV!$P$6*((AV!$U$6-RASANTE!F197)/(AV!$O$6))^2,IF(AND(AV!$S$8&lt;F197,F197&lt;=AV!$T$8),AV!$P$8*((AV!$S$8-RASANTE!F197)/(AV!$N$8))^2,IF(AND(AV!$T$8&lt;RASANTE!F197,F197&lt;AV!$U$8),AV!$P$8*((AV!$U$8-RASANTE!F197)/(AV!$O$8))^2,IF(AND(AV!$S$10&lt;F197,F197&lt;=AV!$T$10),AV!$P$10*((AV!$S$10-RASANTE!F197)/(AV!$N$10))^2,IF(AND(AV!$T$10&lt;RASANTE!F197,F197&lt;AV!$U$10),AV!$P$10*((AV!$U$10-RASANTE!F197)/(AV!$O$10))^2,IF(AND(AV!$S$12&lt;F197,F197&lt;=AV!$T$12),AV!$P$12*((AV!$S$12-RASANTE!F197)/(AV!$N$12))^2,IF(AND(AV!$T$12&lt;RASANTE!F197,F197&lt;AV!$U$12),AV!$P$12*((AV!$U$12-RASANTE!F197)/(AV!$O$12))^2,IF(AND(AV!$S$14&lt;F197,F197&lt;=AV!$T$14),AV!$P$14*((AV!$S$14-RASANTE!F197)/(AV!$N$14))^2,IF(AND(AV!$T$14&lt;RASANTE!F197,F197&lt;AV!$U$14),AV!$P$14*((AV!$U$14-RASANTE!F197)/(AV!$O$14))^2,IF(AND(AV!$S$16&lt;F197,F197&lt;=AV!$T$16),AV!$P$16*((AV!$S$16-RASANTE!F197)/(AV!$N$16))^2,IF(AND(AV!$T$16&lt;RASANTE!F197,F197&lt;AV!$U$16),AV!$P$16*((AV!$U$16-RASANTE!F197)/(AV!$O$16))^2,IF(AND(AV!$S$18&lt;F197,F197&lt;=AV!$T$18),AV!$P$18*((AV!$S$18-RASANTE!F197)/(AV!$N$18))^2,IF(AND(AV!$T$18&lt;RASANTE!F197,F197&lt;AV!$U$18),AV!$P$18*((AV!$U$18-RASANTE!F197)/(AV!$O$18))^2,IF(AND(AV!$S$20&lt;F197,F197&lt;=AV!$T$20),AV!$P$20*((AV!$S$20-RASANTE!F197)/(AV!$N$20))^2,IF(AND(AV!$T$20&lt;RASANTE!F197,F197&lt;AV!$U$20),AV!$P$20*((AV!$U$20-RASANTE!F197)/(AV!$O$20))^2,IF(AND(AV!$S$22&lt;F197,F197&lt;=AV!$T$22),AV!$P$22*((AV!$S$22-RASANTE!F197)/(AV!$N$22))^2,IF(AND(AV!$T$22&lt;RASANTE!F197,F197&lt;AV!$U$22),AV!$P$22*((AV!$U$22-RASANTE!F197)/(AV!$O$22))^2,IF(AND(AV!$S$24&lt;F197,F197&lt;=AV!$T$24),AV!$P$24*((AV!$S$24-RASANTE!F197)/(AV!$N$24))^2,IF(AND(AV!$T$24&lt;RASANTE!F197,F197&lt;AV!$U$24),AV!$P$24*((AV!$U$24-RASANTE!F197)/(AV!$O$24))^2,0))))))))))))))))))))</f>
        <v>0</v>
      </c>
      <c r="L100" s="28">
        <f>+M100+H100%*PERALTE!$C$32</f>
        <v>1632.7980365587484</v>
      </c>
      <c r="M100" s="28">
        <f t="shared" si="3"/>
        <v>1632.8680365587484</v>
      </c>
      <c r="N100" s="28">
        <f>+M100+I100%*PERALTE!$C$32</f>
        <v>1632.9380365587483</v>
      </c>
      <c r="O100" s="92"/>
      <c r="P100" s="84"/>
      <c r="Q100" s="84"/>
      <c r="R100" s="84"/>
      <c r="S100" s="84"/>
      <c r="T100" s="84"/>
      <c r="U100" s="84"/>
      <c r="V100" s="84"/>
      <c r="W100" s="84"/>
      <c r="X100" s="84"/>
      <c r="Y100" s="84"/>
    </row>
    <row r="101" spans="1:25" ht="15.75" customHeight="1" x14ac:dyDescent="0.2">
      <c r="A101" s="90" t="s">
        <v>332</v>
      </c>
      <c r="B101" s="86"/>
      <c r="C101" s="86"/>
      <c r="D101" s="86"/>
      <c r="E101" s="91"/>
      <c r="F101" s="34">
        <f>PERALTE!T10</f>
        <v>639.70302379932616</v>
      </c>
      <c r="G101" s="88">
        <f>IF(F101&lt;=AV!$T$6,AV!$C$5,IF(RASANTE!F101&lt;=AV!$T$8,AV!$C$7,IF(RASANTE!F101&lt;=AV!$T$10,AV!$C$9,IF(RASANTE!F101&lt;=AV!$T$12,AV!#REF!,IF(RASANTE!F101&lt;=AV!$T$14,AV!$C$11,IF(RASANTE!F101&lt;=AV!$T$16,AV!$C$13, IF(RASANTE!F101&lt;=AV!$T$18,AV!$C$15,IF(RASANTE!F101&lt;=AV!$T$20,AV!$C$19,IF(RASANTE!F101&lt;=AV!$T$22,AV!$C$21,IF(RASANTE!F101&lt;=AV!$T$24,AV!$C$23,AV!$C$25))))))))))</f>
        <v>-3</v>
      </c>
      <c r="H101" s="28">
        <f>+IF(AND(AH!$H$8="Izquierda",RASANTE!F101&lt;=PERALTE!$AB$6),IF(RASANTE!F101&lt;=PERALTE!$S$6,-2,IF(RASANTE!F101&lt;=PERALTE!$U$6,(-6/(PERALTE!$U$6-PERALTE!$S$6)*(RASANTE!F101-PERALTE!$S$6)-2),IF(RASANTE!F101&lt;=PERALTE!$X$6,-8,IF(RASANTE!F101&lt;=PERALTE!$Z$6,(-6/(PERALTE!$X$6-PERALTE!$Z$6)*(RASANTE!F101-PERALTE!$Z$6)-2),IF(RASANTE!F101&lt;=PERALTE!$AB$6,-2))))),IF(AND(AH!$H$8="Derecha",RASANTE!F101&lt;=PERALTE!$AB$6),IF(RASANTE!F101&lt;=PERALTE!$Q$6,-2,IF(RASANTE!F101&lt;=PERALTE!$U$6,(10/(PERALTE!$U$6-PERALTE!$Q$6)*(RASANTE!F101-PERALTE!$Q$6)-2),IF(RASANTE!F101&lt;=PERALTE!$X$6,8,IF(RASANTE!F101&lt;=PERALTE!$AB$6,(10/(PERALTE!$X$6-PERALTE!$AB$6)*(RASANTE!F101-PERALTE!$AB$6)-2))))),IF(AND(AH!$H$10="Izquierda",RASANTE!F101&lt;=PERALTE!$AB$8),IF(RASANTE!F101&lt;=PERALTE!$S$8,-2,IF(RASANTE!F101&lt;=PERALTE!$U$8,(-6/(PERALTE!$U$8-PERALTE!$S$8)*(RASANTE!F101-PERALTE!$S$8)-2),IF(RASANTE!F101&lt;=PERALTE!$X$8,-8,IF(RASANTE!F101&lt;=PERALTE!$Z$8,(-6/(PERALTE!$X$8-PERALTE!$Z$8)*(RASANTE!F101-PERALTE!$Z$8)-2),IF(RASANTE!F101&lt;=PERALTE!$AB$8,-2))))),IF(AND(AH!$H$10="Derecha",RASANTE!F101&lt;=PERALTE!$AB$8),IF(RASANTE!F101&lt;=PERALTE!$Q$8,-2,IF(RASANTE!F101&lt;=PERALTE!$U$8,(10/(PERALTE!$U$8-PERALTE!$Q$8)*(RASANTE!F101-PERALTE!$Q$8)-2),IF(RASANTE!F101&lt;=PERALTE!$X$8,8,IF(RASANTE!F101&lt;=PERALTE!$AB$8,(10/(PERALTE!$X$8-PERALTE!$AB$8)*(RASANTE!F101-PERALTE!$AB$8)-2))))),IF(AND(AH!$H$12="Izquierda",RASANTE!F101&lt;=PERALTE!$AB$10),IF(RASANTE!F101&lt;=PERALTE!$S$10,-2,IF(RASANTE!F101&lt;=PERALTE!$U$10,(-6/(PERALTE!$U$10-PERALTE!$S$10)*(RASANTE!F101-PERALTE!$S$10)-2),IF(RASANTE!F101&lt;=PERALTE!$X$10,-8,IF(RASANTE!F101&lt;=PERALTE!$Z$10,(-6/(PERALTE!$X$10-PERALTE!$Z$10)*(RASANTE!F101-PERALTE!$Z$10)-2),IF(RASANTE!F101&lt;=PERALTE!$AB$10,-2))))),IF(AND(AH!$H$12="Derecha",RASANTE!F101&lt;=PERALTE!$AB$10),IF(RASANTE!F101&lt;=PERALTE!$Q$10,-2,IF(RASANTE!F101&lt;=PERALTE!$U$10,(10/(PERALTE!$U$10-PERALTE!$Q$10)*(RASANTE!F101-PERALTE!$Q$10)-2),IF(RASANTE!F101&lt;=PERALTE!$X$10,8,IF(RASANTE!F101&lt;=PERALTE!$AB$10,(10/(PERALTE!$X$10-PERALTE!$AB$10)*(RASANTE!F101-PERALTE!$AB$10)-2))))),IF(AND(AH!$H$14="Izquierda",RASANTE!F101&lt;=PERALTE!$AB$12),IF(RASANTE!F101&lt;=PERALTE!$S$12,-2,IF(RASANTE!F101&lt;=PERALTE!$U$12,(-6/(PERALTE!$U$12-PERALTE!$S$12)*(RASANTE!F101-PERALTE!$S$12)-2),IF(RASANTE!F101&lt;=PERALTE!$X$12,-8,IF(RASANTE!F101&lt;=PERALTE!$Z$12,(-6/(PERALTE!$X$12-PERALTE!$Z$12)*(RASANTE!F101-PERALTE!$Z$12)-2),IF(RASANTE!F101&lt;=PERALTE!$AB$12,-2))))),IF(AND(AH!$H$14="Derecha",RASANTE!F101&lt;=PERALTE!$AB$12),IF(RASANTE!F101&lt;=PERALTE!$Q$12,-2,IF(RASANTE!F101&lt;=PERALTE!$U$12,(10/(PERALTE!$U$12-PERALTE!$Q$12)*(RASANTE!F101-PERALTE!$Q$12)-2),IF(RASANTE!F101&lt;=PERALTE!$X$12,8,IF(RASANTE!F101&lt;=PERALTE!$AB$12,(10/(PERALTE!$X$12-PERALTE!$AB$12)*(RASANTE!F101-PERALTE!$AB$12)-2))))),IF(AND(AH!$H$16="Izquierda",RASANTE!F101&lt;=PERALTE!$AB$14),IF(RASANTE!F101&lt;=PERALTE!$S$14,-2,IF(RASANTE!F101&lt;=PERALTE!$U$14,(-6/(PERALTE!$U$14-PERALTE!$S$14)*(RASANTE!F101-PERALTE!$S$14)-2),IF(RASANTE!F101&lt;=PERALTE!$X$14,-8,IF(RASANTE!F101&lt;=PERALTE!$Z$14,(-6/(PERALTE!$X$14-PERALTE!$Z$14)*(RASANTE!F101-PERALTE!$Z$14)-2),IF(RASANTE!F101&lt;=PERALTE!$AB$14,-2))))),IF(AND(AH!$H$16="Derecha",RASANTE!F101&lt;=PERALTE!$AB$14),IF(RASANTE!F101&lt;=PERALTE!$Q$14,-2,IF(RASANTE!F101&lt;=PERALTE!$U$14,(10/(PERALTE!$U$14-PERALTE!$Q$14)*(RASANTE!F101-PERALTE!$Q$14)-2),IF(RASANTE!F101&lt;=PERALTE!$X$14,8,IF(RASANTE!F101&lt;=PERALTE!$AB$14,(10/(PERALTE!$X$14-PERALTE!$AB$14)*(RASANTE!F101-PERALTE!$AB$14)-2))))),IF(AND(AH!$H$18="Izquierda",RASANTE!F101&lt;=PERALTE!$AB$16),IF(RASANTE!F101&lt;=PERALTE!$S$16,-2,IF(RASANTE!F101&lt;=PERALTE!$U$16,(-6/(PERALTE!$U$16-PERALTE!$S$16)*(RASANTE!F101-PERALTE!$S$16)-2),IF(RASANTE!F101&lt;=PERALTE!$X$16,-8,IF(RASANTE!F101&lt;=PERALTE!$Z$16,(-6/(PERALTE!$X$16-PERALTE!$Z$16)*(RASANTE!F101-PERALTE!$Z$16)-2),IF(RASANTE!F101&lt;=PERALTE!$AB$16,-2))))),IF(AND(AH!$H$18="Derecha",RASANTE!F101&lt;=PERALTE!$AB$16),IF(RASANTE!F101&lt;=PERALTE!$Q$16,-2,IF(RASANTE!F101&lt;=PERALTE!$U$16,(10/(PERALTE!$U$16-PERALTE!$Q$16)*(RASANTE!F101-PERALTE!$Q$16)-2),IF(RASANTE!F101&lt;=PERALTE!$X$16,8,IF(RASANTE!F101&lt;=PERALTE!$AB$16,(10/(PERALTE!$X$16-PERALTE!$AB$16)*(RASANTE!F101-PERALTE!$AB$16)-2))))),IF(AND(AH!$H$20="Izquierda",RASANTE!F101&lt;=PERALTE!$AB$18),IF(RASANTE!F101&lt;=PERALTE!$S$18,-2,IF(RASANTE!F101&lt;=PERALTE!$U$18,(-6/(PERALTE!$U$18-PERALTE!$S$18)*(RASANTE!F101-PERALTE!$S$18)-2),IF(RASANTE!F101&lt;=PERALTE!$X$18,-8,IF(RASANTE!F101&lt;=PERALTE!$Z$18,(-6/(PERALTE!$X$18-PERALTE!$Z$18)*(RASANTE!F101-PERALTE!$Z$18)-2),IF(RASANTE!F101&lt;=PERALTE!$AB$18,-2))))),IF(AND(AH!$H$20="Derecha",RASANTE!F101&lt;=PERALTE!$AB$18),IF(RASANTE!F101&lt;=PERALTE!$Q$18,-2,IF(RASANTE!F101&lt;=PERALTE!$U$18,(10/(PERALTE!$U$18-PERALTE!$Q$18)*(RASANTE!F101-PERALTE!$Q$18)-2),IF(RASANTE!F101&lt;=PERALTE!$X$18,8,IF(RASANTE!F101&lt;=PERALTE!$AB$18,(10/(PERALTE!$X$18-PERALTE!$AB$18)*(RASANTE!F101-PERALTE!$AB$18)-2))))),IF(AND(AH!$H$24="Izquierda",RASANTE!F101&lt;=PERALTE!$AB$22),IF(RASANTE!F101&lt;=PERALTE!$S$22,-2,IF(RASANTE!F101&lt;=PERALTE!$U$22,(-6/(PERALTE!$U$22-PERALTE!$S$22)*(RASANTE!F101-PERALTE!$S$22)-2),IF(RASANTE!F101&lt;=PERALTE!$X$22,-8,IF(RASANTE!F101&lt;=PERALTE!$Z$22,(-6/(PERALTE!$X$22-PERALTE!$Z$22)*(RASANTE!F101-PERALTE!$Z$22)-2),IF(RASANTE!F101&lt;=PERALTE!$AB$22,-2))))),IF(AND(AH!$H$24="Derecha",RASANTE!F101&lt;=PERALTE!$AB$22),IF(RASANTE!F101&lt;=PERALTE!$Q$22,-2,IF(RASANTE!F101&lt;=PERALTE!$U$22,(10/(PERALTE!$U$22-PERALTE!$Q$22)*(RASANTE!F101-PERALTE!$Q$22)-2),IF(RASANTE!F101&lt;=PERALTE!$X$22,8,IF(RASANTE!F101&lt;=PERALTE!$AB$22,(10/(PERALTE!$X$22-PERALTE!$AB$22)*(RASANTE!F101-PERALTE!$AB$22)-2))))),IF(AND(AH!#REF!="Izquierda",RASANTE!F101&lt;=PERALTE!#REF!),IF(RASANTE!F101&lt;=PERALTE!#REF!,-2,IF(RASANTE!F101&lt;=PERALTE!#REF!,(-6/(PERALTE!#REF!-PERALTE!#REF!)*(RASANTE!F101-PERALTE!#REF!)-2),IF(RASANTE!F101&lt;=PERALTE!#REF!,-8,IF(RASANTE!F101&lt;=PERALTE!#REF!,(-6/(PERALTE!#REF!-PERALTE!#REF!)*(RASANTE!F101-PERALTE!#REF!)-2),IF(RASANTE!F101&lt;=PERALTE!#REF!,-2))))),IF(AND(AH!#REF!="Derecha",RASANTE!F101&lt;=PERALTE!#REF!),IF(RASANTE!F101&lt;=PERALTE!#REF!,-2,IF(RASANTE!F101&lt;=PERALTE!#REF!,(10/(PERALTE!#REF!-PERALTE!#REF!)*(RASANTE!F101-PERALTE!#REF!)-2),IF(RASANTE!F101&lt;=PERALTE!#REF!,8,IF(RASANTE!F101&lt;=PERALTE!#REF!,(10/(PERALTE!#REF!-PERALTE!#REF!)*(RASANTE!F101-PERALTE!#REF!)-2))))),IF(AND(AH!#REF!="Izquierda",RASANTE!F101&lt;=PERALTE!$AB$26),IF(RASANTE!F101&lt;=PERALTE!$S$26,-2,IF(RASANTE!F101&lt;=PERALTE!$U$26,(-6/(PERALTE!$U$26-PERALTE!$S$26)*(RASANTE!F101-PERALTE!$S$26)-2),IF(RASANTE!F101&lt;=PERALTE!$X$26,-8,IF(RASANTE!F101&lt;=PERALTE!$Z$26,(-6/(PERALTE!$X$26-PERALTE!$Z$26)*(RASANTE!F101-PERALTE!$Z$26)-2),IF(RASANTE!F101&lt;=PERALTE!$AB$26,-2))))),IF(AND(AH!#REF!="Derecha",RASANTE!F101&lt;=PERALTE!$AB$26),IF(RASANTE!F101&lt;=PERALTE!$Q$26,-2,IF(RASANTE!F101&lt;=PERALTE!$U$26,(10/(PERALTE!$U$26-PERALTE!$Q$26)*(RASANTE!F101-PERALTE!$Q$26)-2),IF(RASANTE!F101&lt;=PERALTE!$X$26,8,IF(RASANTE!F101&lt;=PERALTE!$AB$26,(10/(PERALTE!$X$26-PERALTE!$AB$26)*(RASANTE!F101-PERALTE!$AB$26)-2))))),IF(F101&lt;=PERALTE!#REF!,-2,"Abscisa fuera de la vía")))))))))))))))))))))</f>
        <v>-3.9999999999999831</v>
      </c>
      <c r="I101" s="28">
        <f>+IF(AND(AH!$H$8="Derecha",RASANTE!F101&lt;=PERALTE!$AB$6),IF(RASANTE!F101&lt;=PERALTE!$S$6,-2,IF(RASANTE!F101&lt;=PERALTE!$U$6,(-6/(PERALTE!$U$6-PERALTE!$S$6)*(RASANTE!F101-PERALTE!$S$6)-2),IF(RASANTE!F101&lt;=PERALTE!$X$6,-8,IF(RASANTE!F101&lt;=PERALTE!$Z$6,(-6/(PERALTE!$X$6-PERALTE!$Z$6)*(RASANTE!F101-PERALTE!$Z$6)-2),IF(RASANTE!F101&lt;=PERALTE!$AB$6,-2))))),IF(AND(AH!$H$8="Izquierda",RASANTE!F101&lt;=PERALTE!$AB$6),IF(RASANTE!F101&lt;=PERALTE!$Q$6,-2,IF(RASANTE!F101&lt;=PERALTE!$U$6,(10/(PERALTE!$U$6-PERALTE!$Q$6)*(RASANTE!F101-PERALTE!$Q$6)-2),IF(RASANTE!F101&lt;=PERALTE!$X$6,8,IF(RASANTE!F101&lt;=PERALTE!$AB$6,(10/(PERALTE!$X$6-PERALTE!$AB$6)*(RASANTE!F101-PERALTE!$AB$6)-2))))),IF(AND(AH!$H$10="Derecha",RASANTE!F101&lt;=PERALTE!$AB$8),IF(RASANTE!F101&lt;=PERALTE!$S$8,-2,IF(RASANTE!F101&lt;=PERALTE!$U$8,(-6/(PERALTE!$U$8-PERALTE!$S$8)*(RASANTE!F101-PERALTE!$S$8)-2),IF(RASANTE!F101&lt;=PERALTE!$X$8,-8,IF(RASANTE!F101&lt;=PERALTE!$Z$8,(-6/(PERALTE!$X$8-PERALTE!$Z$8)*(RASANTE!F101-PERALTE!$Z$8)-2),IF(RASANTE!F101&lt;=PERALTE!$AB$8,-2))))),IF(AND(AH!$H$10="Izquierda",RASANTE!F101&lt;=PERALTE!$AB$8),IF(RASANTE!F101&lt;=PERALTE!$Q$8,-2,IF(RASANTE!F101&lt;=PERALTE!$U$8,(10/(PERALTE!$U$8-PERALTE!$Q$8)*(RASANTE!F101-PERALTE!$Q$8)-2),IF(RASANTE!F101&lt;=PERALTE!$X$8,8,IF(RASANTE!F101&lt;=PERALTE!$AB$8,(10/(PERALTE!$X$8-PERALTE!$AB$8)*(RASANTE!F101-PERALTE!$AB$8)-2))))),IF(AND(AH!$H$12="Derecha",RASANTE!F101&lt;=PERALTE!$AB$10),IF(RASANTE!F101&lt;=PERALTE!$S$10,-2,IF(RASANTE!F101&lt;=PERALTE!$U$10,(-6/(PERALTE!$U$10-PERALTE!$S$10)*(RASANTE!F101-PERALTE!$S$10)-2),IF(RASANTE!F101&lt;=PERALTE!$X$10,-8,IF(RASANTE!F101&lt;=PERALTE!$Z$10,(-6/(PERALTE!$X$10-PERALTE!$Z$10)*(RASANTE!F101-PERALTE!$Z$10)-2),IF(RASANTE!F101&lt;=PERALTE!$AB$10,-2))))),IF(AND(AH!$H$12="Izquierda",RASANTE!F101&lt;=PERALTE!$AB$10),IF(RASANTE!F101&lt;=PERALTE!$Q$10,-2,IF(RASANTE!F101&lt;=PERALTE!$U$10,(10/(PERALTE!$U$10-PERALTE!$Q$10)*(RASANTE!F101-PERALTE!$Q$10)-2),IF(RASANTE!F101&lt;=PERALTE!$X$10,8,IF(RASANTE!F101&lt;=PERALTE!$AB$10,(10/(PERALTE!$X$10-PERALTE!$AB$10)*(RASANTE!F101-PERALTE!$AB$10)-2))))),IF(AND(AH!$H$14="Derecha",RASANTE!F101&lt;=PERALTE!$AB$12),IF(RASANTE!F101&lt;=PERALTE!$S$12,-2,IF(RASANTE!F101&lt;=PERALTE!$U$12,(-6/(PERALTE!$U$12-PERALTE!$S$12)*(RASANTE!F101-PERALTE!$S$12)-2),IF(RASANTE!F101&lt;=PERALTE!$X$12,-8,IF(RASANTE!F101&lt;=PERALTE!$Z$12,(-6/(PERALTE!$X$12-PERALTE!$Z$12)*(RASANTE!F101-PERALTE!$Z$12)-2),IF(RASANTE!F101&lt;=PERALTE!$AB$12,-2))))),IF(AND(AH!$H$14="Izquierda",RASANTE!F101&lt;=PERALTE!$AB$12),IF(RASANTE!F101&lt;=PERALTE!$Q$12,-2,IF(RASANTE!F101&lt;=PERALTE!$U$12,(10/(PERALTE!$U$12-PERALTE!$Q$12)*(RASANTE!F101-PERALTE!$Q$12)-2),IF(RASANTE!F101&lt;=PERALTE!$X$12,8,IF(RASANTE!F101&lt;=PERALTE!$AB$12,(10/(PERALTE!$X$12-PERALTE!$AB$12)*(RASANTE!F101-PERALTE!$AB$12)-2))))),IF(AND(AH!$H$16="Derecha",RASANTE!F101&lt;=PERALTE!$AB$14),IF(RASANTE!F101&lt;=PERALTE!$S$14,-2,IF(RASANTE!F101&lt;=PERALTE!$U$14,(-6/(PERALTE!$U$14-PERALTE!$S$14)*(RASANTE!F101-PERALTE!$S$14)-2),IF(RASANTE!F101&lt;=PERALTE!$X$14,-8,IF(RASANTE!F101&lt;=PERALTE!$Z$14,(-6/(PERALTE!$X$14-PERALTE!$Z$14)*(RASANTE!F101-PERALTE!$Z$14)-2),IF(RASANTE!F101&lt;=PERALTE!$AB$14,-2))))),IF(AND(AH!$H$16="Izquierda",RASANTE!F101&lt;=PERALTE!$AB$14),IF(RASANTE!F101&lt;=PERALTE!$Q$14,-2,IF(RASANTE!F101&lt;=PERALTE!$U$14,(10/(PERALTE!$U$14-PERALTE!$Q$14)*(RASANTE!F101-PERALTE!$Q$14)-2),IF(RASANTE!F101&lt;=PERALTE!$X$14,8,IF(RASANTE!F101&lt;=PERALTE!$AB$14,(10/(PERALTE!$X$14-PERALTE!$AB$14)*(RASANTE!F101-PERALTE!$AB$14)-2))))),IF(AND(AH!$H$18="Derecha",RASANTE!F101&lt;=PERALTE!$AB$16),IF(RASANTE!F101&lt;=PERALTE!$S$16,-2,IF(RASANTE!F101&lt;=PERALTE!$U$16,(-6/(PERALTE!$U$16-PERALTE!$S$16)*(RASANTE!F101-PERALTE!$S$16)-2),IF(RASANTE!F101&lt;=PERALTE!$X$16,-8,IF(RASANTE!F101&lt;=PERALTE!$Z$16,(-6/(PERALTE!$X$16-PERALTE!$Z$16)*(RASANTE!F101-PERALTE!$Z$16)-2),IF(RASANTE!F101&lt;=PERALTE!$AB$16,-2))))),IF(AND(AH!$H$18="Izquierda",RASANTE!F101&lt;=PERALTE!$AB$16),IF(RASANTE!F101&lt;=PERALTE!$Q$16,-2,IF(RASANTE!F101&lt;=PERALTE!$U$16,(10/(PERALTE!$U$16-PERALTE!$Q$16)*(RASANTE!F101-PERALTE!$Q$16)-2),IF(RASANTE!F101&lt;=PERALTE!$X$16,8,IF(RASANTE!F101&lt;=PERALTE!$AB$16,(10/(PERALTE!$X$16-PERALTE!$AB$16)*(RASANTE!F101-PERALTE!$AB$16)-2))))),IF(AND(AH!$H$20="Derecha",RASANTE!F101&lt;=PERALTE!$AB$18),IF(RASANTE!F101&lt;=PERALTE!$S$18,-2,IF(RASANTE!F101&lt;=PERALTE!$U$18,(-6/(PERALTE!$U$18-PERALTE!$S$18)*(RASANTE!F101-PERALTE!$S$18)-2),IF(RASANTE!F101&lt;=PERALTE!$X$18,-8,IF(RASANTE!F101&lt;=PERALTE!$Z$18,(-6/(PERALTE!$X$18-PERALTE!$Z$18)*(RASANTE!F101-PERALTE!$Z$18)-2),IF(RASANTE!F101&lt;=PERALTE!$AB$18,-2))))),IF(AND(AH!$H$20="Izquierda",RASANTE!F101&lt;=PERALTE!$AB$18),IF(RASANTE!F101&lt;=PERALTE!$Q$18,-2,IF(RASANTE!F101&lt;=PERALTE!$U$18,(10/(PERALTE!$U$18-PERALTE!$Q$18)*(RASANTE!F101-PERALTE!$Q$18)-2),IF(RASANTE!F101&lt;=PERALTE!$X$18,8,IF(RASANTE!F101&lt;=PERALTE!$AB$18,(10/(PERALTE!$X$18-PERALTE!$AB$18)*(RASANTE!F101-PERALTE!$AB$18)-2))))),IF(AND(AH!$H$24="Derecha",RASANTE!F101&lt;=PERALTE!$AB$22),IF(RASANTE!F101&lt;=PERALTE!$S$22,-2,IF(RASANTE!F101&lt;=PERALTE!$U$22,(-6/(PERALTE!$U$22-PERALTE!$S$22)*(RASANTE!F101-PERALTE!$S$22)-2),IF(RASANTE!F101&lt;=PERALTE!$X$22,-8,IF(RASANTE!F101&lt;=PERALTE!$Z$22,(-6/(PERALTE!$X$22-PERALTE!$Z$22)*(RASANTE!F101-PERALTE!$Z$22)-2),IF(RASANTE!F101&lt;=PERALTE!$AB$22,-2))))),IF(AND(AH!$H$24="Izquierda",RASANTE!F101&lt;=PERALTE!$AB$22),IF(RASANTE!F101&lt;=PERALTE!$Q$22,-2,IF(RASANTE!F101&lt;=PERALTE!$U$22,(10/(PERALTE!$U$22-PERALTE!$Q$22)*(RASANTE!F101-PERALTE!$Q$22)-2),IF(RASANTE!F101&lt;=PERALTE!$X$22,8,IF(RASANTE!F101&lt;=PERALTE!$AB$22,(10/(PERALTE!$X$22-PERALTE!$AB$22)*(RASANTE!F101-PERALTE!$AB$22)-2))))),IF(AND(AH!#REF!="Derecha",RASANTE!F101&lt;=PERALTE!#REF!),IF(RASANTE!F101&lt;=PERALTE!#REF!,-2,IF(RASANTE!F101&lt;=PERALTE!#REF!,(-6/(PERALTE!#REF!-PERALTE!#REF!)*(RASANTE!F101-PERALTE!#REF!)-2),IF(RASANTE!F101&lt;=PERALTE!#REF!,-8,IF(RASANTE!F101&lt;=PERALTE!#REF!,(-6/(PERALTE!#REF!-PERALTE!#REF!)*(RASANTE!F101-PERALTE!#REF!)-2),IF(RASANTE!F101&lt;=PERALTE!#REF!,-2))))),IF(AND(AH!#REF!="Izquierda",RASANTE!F101&lt;=PERALTE!#REF!),IF(RASANTE!F101&lt;=PERALTE!#REF!,-2,IF(RASANTE!F101&lt;=PERALTE!#REF!,(10/(PERALTE!#REF!-PERALTE!#REF!)*(RASANTE!F101-PERALTE!#REF!)-2),IF(RASANTE!F101&lt;=PERALTE!#REF!,8,IF(RASANTE!F101&lt;=PERALTE!#REF!,(10/(PERALTE!#REF!-PERALTE!#REF!)*(RASANTE!F101-PERALTE!#REF!)-2))))),IF(AND(AH!#REF!="Derecha",RASANTE!F101&lt;=PERALTE!$AB$26),IF(RASANTE!F101&lt;=PERALTE!$S$26,-2,IF(RASANTE!F101&lt;=PERALTE!$U$26,(-6/(PERALTE!$U$26-PERALTE!$S$26)*(RASANTE!F101-PERALTE!$S$26)-2),IF(RASANTE!F101&lt;=PERALTE!$X$26,-8,IF(RASANTE!F101&lt;=PERALTE!$Z$26,(-6/(PERALTE!$X$26-PERALTE!$Z$26)*(RASANTE!F101-PERALTE!$Z$26)-2),IF(RASANTE!F101&lt;=PERALTE!$AB$26,-2))))),IF(AND(AH!#REF!="Izquierda",RASANTE!F101&lt;=PERALTE!$AB$26),IF(RASANTE!F101&lt;=PERALTE!$Q$26,-2,IF(RASANTE!F101&lt;=PERALTE!$U$26,(10/(PERALTE!$U$26-PERALTE!$Q$26)*(RASANTE!F101-PERALTE!$Q$26)-2),IF(RASANTE!F101&lt;=PERALTE!$X$26,8,IF(RASANTE!F101&lt;=PERALTE!$AB$26,(10/(PERALTE!$X$26-PERALTE!$AB$26)*(RASANTE!F101-PERALTE!$AB$26)-2))))),IF(F101&lt;=PERALTE!#REF!,-2,"Abscisa fuera de la vía")))))))))))))))))))))</f>
        <v>3.9999999999999902</v>
      </c>
      <c r="J101" s="28">
        <f t="shared" si="4"/>
        <v>1632.5953092860211</v>
      </c>
      <c r="K101" s="28">
        <f>+IF(AND(AV!$S$6&lt;F198,F198&lt;=AV!$T$6),AV!$P$6*((AV!$S$6-RASANTE!F198)/(AV!$N$6))^2,IF(AND(AV!$T$6&lt;RASANTE!F198,F198&lt;AV!$U$6),AV!$P$6*((AV!$U$6-RASANTE!F198)/(AV!$O$6))^2,IF(AND(AV!$S$8&lt;F198,F198&lt;=AV!$T$8),AV!$P$8*((AV!$S$8-RASANTE!F198)/(AV!$N$8))^2,IF(AND(AV!$T$8&lt;RASANTE!F198,F198&lt;AV!$U$8),AV!$P$8*((AV!$U$8-RASANTE!F198)/(AV!$O$8))^2,IF(AND(AV!$S$10&lt;F198,F198&lt;=AV!$T$10),AV!$P$10*((AV!$S$10-RASANTE!F198)/(AV!$N$10))^2,IF(AND(AV!$T$10&lt;RASANTE!F198,F198&lt;AV!$U$10),AV!$P$10*((AV!$U$10-RASANTE!F198)/(AV!$O$10))^2,IF(AND(AV!$S$12&lt;F198,F198&lt;=AV!$T$12),AV!$P$12*((AV!$S$12-RASANTE!F198)/(AV!$N$12))^2,IF(AND(AV!$T$12&lt;RASANTE!F198,F198&lt;AV!$U$12),AV!$P$12*((AV!$U$12-RASANTE!F198)/(AV!$O$12))^2,IF(AND(AV!$S$14&lt;F198,F198&lt;=AV!$T$14),AV!$P$14*((AV!$S$14-RASANTE!F198)/(AV!$N$14))^2,IF(AND(AV!$T$14&lt;RASANTE!F198,F198&lt;AV!$U$14),AV!$P$14*((AV!$U$14-RASANTE!F198)/(AV!$O$14))^2,IF(AND(AV!$S$16&lt;F198,F198&lt;=AV!$T$16),AV!$P$16*((AV!$S$16-RASANTE!F198)/(AV!$N$16))^2,IF(AND(AV!$T$16&lt;RASANTE!F198,F198&lt;AV!$U$16),AV!$P$16*((AV!$U$16-RASANTE!F198)/(AV!$O$16))^2,IF(AND(AV!$S$18&lt;F198,F198&lt;=AV!$T$18),AV!$P$18*((AV!$S$18-RASANTE!F198)/(AV!$N$18))^2,IF(AND(AV!$T$18&lt;RASANTE!F198,F198&lt;AV!$U$18),AV!$P$18*((AV!$U$18-RASANTE!F198)/(AV!$O$18))^2,IF(AND(AV!$S$20&lt;F198,F198&lt;=AV!$T$20),AV!$P$20*((AV!$S$20-RASANTE!F198)/(AV!$N$20))^2,IF(AND(AV!$T$20&lt;RASANTE!F198,F198&lt;AV!$U$20),AV!$P$20*((AV!$U$20-RASANTE!F198)/(AV!$O$20))^2,IF(AND(AV!$S$22&lt;F198,F198&lt;=AV!$T$22),AV!$P$22*((AV!$S$22-RASANTE!F198)/(AV!$N$22))^2,IF(AND(AV!$T$22&lt;RASANTE!F198,F198&lt;AV!$U$22),AV!$P$22*((AV!$U$22-RASANTE!F198)/(AV!$O$22))^2,IF(AND(AV!$S$24&lt;F198,F198&lt;=AV!$T$24),AV!$P$24*((AV!$S$24-RASANTE!F198)/(AV!$N$24))^2,IF(AND(AV!$T$24&lt;RASANTE!F198,F198&lt;AV!$U$24),AV!$P$24*((AV!$U$24-RASANTE!F198)/(AV!$O$24))^2,0))))))))))))))))))))</f>
        <v>0</v>
      </c>
      <c r="L101" s="28">
        <f>+M101+H101%*PERALTE!$C$32</f>
        <v>1632.455309286021</v>
      </c>
      <c r="M101" s="28">
        <f t="shared" si="3"/>
        <v>1632.5953092860211</v>
      </c>
      <c r="N101" s="28">
        <f>+M101+I101%*PERALTE!$C$32</f>
        <v>1632.7353092860212</v>
      </c>
      <c r="O101" s="92"/>
      <c r="P101" s="84"/>
      <c r="Q101" s="84"/>
      <c r="R101" s="84"/>
      <c r="S101" s="84"/>
      <c r="T101" s="84"/>
      <c r="U101" s="84"/>
      <c r="V101" s="84"/>
      <c r="W101" s="84"/>
      <c r="X101" s="84"/>
      <c r="Y101" s="84"/>
    </row>
    <row r="102" spans="1:25" ht="15.75" customHeight="1" x14ac:dyDescent="0.2">
      <c r="A102" s="90"/>
      <c r="B102" s="86"/>
      <c r="C102" s="86"/>
      <c r="D102" s="86"/>
      <c r="E102" s="91"/>
      <c r="F102" s="34">
        <v>640</v>
      </c>
      <c r="G102" s="88">
        <f>IF(F102&lt;=AV!$T$6,AV!$C$5,IF(RASANTE!F102&lt;=AV!$T$8,AV!$C$7,IF(RASANTE!F102&lt;=AV!$T$10,AV!$C$9,IF(RASANTE!F102&lt;=AV!$T$12,AV!#REF!,IF(RASANTE!F102&lt;=AV!$T$14,AV!$C$11,IF(RASANTE!F102&lt;=AV!$T$16,AV!$C$13, IF(RASANTE!F102&lt;=AV!$T$18,AV!$C$15,IF(RASANTE!F102&lt;=AV!$T$20,AV!$C$19,IF(RASANTE!F102&lt;=AV!$T$22,AV!$C$21,IF(RASANTE!F102&lt;=AV!$T$24,AV!$C$23,AV!$C$25))))))))))</f>
        <v>-3</v>
      </c>
      <c r="H102" s="28">
        <f>+IF(AND(AH!$H$8="Izquierda",RASANTE!F102&lt;=PERALTE!$AB$6),IF(RASANTE!F102&lt;=PERALTE!$S$6,-2,IF(RASANTE!F102&lt;=PERALTE!$U$6,(-6/(PERALTE!$U$6-PERALTE!$S$6)*(RASANTE!F102-PERALTE!$S$6)-2),IF(RASANTE!F102&lt;=PERALTE!$X$6,-8,IF(RASANTE!F102&lt;=PERALTE!$Z$6,(-6/(PERALTE!$X$6-PERALTE!$Z$6)*(RASANTE!F102-PERALTE!$Z$6)-2),IF(RASANTE!F102&lt;=PERALTE!$AB$6,-2))))),IF(AND(AH!$H$8="Derecha",RASANTE!F102&lt;=PERALTE!$AB$6),IF(RASANTE!F102&lt;=PERALTE!$Q$6,-2,IF(RASANTE!F102&lt;=PERALTE!$U$6,(10/(PERALTE!$U$6-PERALTE!$Q$6)*(RASANTE!F102-PERALTE!$Q$6)-2),IF(RASANTE!F102&lt;=PERALTE!$X$6,8,IF(RASANTE!F102&lt;=PERALTE!$AB$6,(10/(PERALTE!$X$6-PERALTE!$AB$6)*(RASANTE!F102-PERALTE!$AB$6)-2))))),IF(AND(AH!$H$10="Izquierda",RASANTE!F102&lt;=PERALTE!$AB$8),IF(RASANTE!F102&lt;=PERALTE!$S$8,-2,IF(RASANTE!F102&lt;=PERALTE!$U$8,(-6/(PERALTE!$U$8-PERALTE!$S$8)*(RASANTE!F102-PERALTE!$S$8)-2),IF(RASANTE!F102&lt;=PERALTE!$X$8,-8,IF(RASANTE!F102&lt;=PERALTE!$Z$8,(-6/(PERALTE!$X$8-PERALTE!$Z$8)*(RASANTE!F102-PERALTE!$Z$8)-2),IF(RASANTE!F102&lt;=PERALTE!$AB$8,-2))))),IF(AND(AH!$H$10="Derecha",RASANTE!F102&lt;=PERALTE!$AB$8),IF(RASANTE!F102&lt;=PERALTE!$Q$8,-2,IF(RASANTE!F102&lt;=PERALTE!$U$8,(10/(PERALTE!$U$8-PERALTE!$Q$8)*(RASANTE!F102-PERALTE!$Q$8)-2),IF(RASANTE!F102&lt;=PERALTE!$X$8,8,IF(RASANTE!F102&lt;=PERALTE!$AB$8,(10/(PERALTE!$X$8-PERALTE!$AB$8)*(RASANTE!F102-PERALTE!$AB$8)-2))))),IF(AND(AH!$H$12="Izquierda",RASANTE!F102&lt;=PERALTE!$AB$10),IF(RASANTE!F102&lt;=PERALTE!$S$10,-2,IF(RASANTE!F102&lt;=PERALTE!$U$10,(-6/(PERALTE!$U$10-PERALTE!$S$10)*(RASANTE!F102-PERALTE!$S$10)-2),IF(RASANTE!F102&lt;=PERALTE!$X$10,-8,IF(RASANTE!F102&lt;=PERALTE!$Z$10,(-6/(PERALTE!$X$10-PERALTE!$Z$10)*(RASANTE!F102-PERALTE!$Z$10)-2),IF(RASANTE!F102&lt;=PERALTE!$AB$10,-2))))),IF(AND(AH!$H$12="Derecha",RASANTE!F102&lt;=PERALTE!$AB$10),IF(RASANTE!F102&lt;=PERALTE!$Q$10,-2,IF(RASANTE!F102&lt;=PERALTE!$U$10,(10/(PERALTE!$U$10-PERALTE!$Q$10)*(RASANTE!F102-PERALTE!$Q$10)-2),IF(RASANTE!F102&lt;=PERALTE!$X$10,8,IF(RASANTE!F102&lt;=PERALTE!$AB$10,(10/(PERALTE!$X$10-PERALTE!$AB$10)*(RASANTE!F102-PERALTE!$AB$10)-2))))),IF(AND(AH!$H$14="Izquierda",RASANTE!F102&lt;=PERALTE!$AB$12),IF(RASANTE!F102&lt;=PERALTE!$S$12,-2,IF(RASANTE!F102&lt;=PERALTE!$U$12,(-6/(PERALTE!$U$12-PERALTE!$S$12)*(RASANTE!F102-PERALTE!$S$12)-2),IF(RASANTE!F102&lt;=PERALTE!$X$12,-8,IF(RASANTE!F102&lt;=PERALTE!$Z$12,(-6/(PERALTE!$X$12-PERALTE!$Z$12)*(RASANTE!F102-PERALTE!$Z$12)-2),IF(RASANTE!F102&lt;=PERALTE!$AB$12,-2))))),IF(AND(AH!$H$14="Derecha",RASANTE!F102&lt;=PERALTE!$AB$12),IF(RASANTE!F102&lt;=PERALTE!$Q$12,-2,IF(RASANTE!F102&lt;=PERALTE!$U$12,(10/(PERALTE!$U$12-PERALTE!$Q$12)*(RASANTE!F102-PERALTE!$Q$12)-2),IF(RASANTE!F102&lt;=PERALTE!$X$12,8,IF(RASANTE!F102&lt;=PERALTE!$AB$12,(10/(PERALTE!$X$12-PERALTE!$AB$12)*(RASANTE!F102-PERALTE!$AB$12)-2))))),IF(AND(AH!$H$16="Izquierda",RASANTE!F102&lt;=PERALTE!$AB$14),IF(RASANTE!F102&lt;=PERALTE!$S$14,-2,IF(RASANTE!F102&lt;=PERALTE!$U$14,(-6/(PERALTE!$U$14-PERALTE!$S$14)*(RASANTE!F102-PERALTE!$S$14)-2),IF(RASANTE!F102&lt;=PERALTE!$X$14,-8,IF(RASANTE!F102&lt;=PERALTE!$Z$14,(-6/(PERALTE!$X$14-PERALTE!$Z$14)*(RASANTE!F102-PERALTE!$Z$14)-2),IF(RASANTE!F102&lt;=PERALTE!$AB$14,-2))))),IF(AND(AH!$H$16="Derecha",RASANTE!F102&lt;=PERALTE!$AB$14),IF(RASANTE!F102&lt;=PERALTE!$Q$14,-2,IF(RASANTE!F102&lt;=PERALTE!$U$14,(10/(PERALTE!$U$14-PERALTE!$Q$14)*(RASANTE!F102-PERALTE!$Q$14)-2),IF(RASANTE!F102&lt;=PERALTE!$X$14,8,IF(RASANTE!F102&lt;=PERALTE!$AB$14,(10/(PERALTE!$X$14-PERALTE!$AB$14)*(RASANTE!F102-PERALTE!$AB$14)-2))))),IF(AND(AH!$H$18="Izquierda",RASANTE!F102&lt;=PERALTE!$AB$16),IF(RASANTE!F102&lt;=PERALTE!$S$16,-2,IF(RASANTE!F102&lt;=PERALTE!$U$16,(-6/(PERALTE!$U$16-PERALTE!$S$16)*(RASANTE!F102-PERALTE!$S$16)-2),IF(RASANTE!F102&lt;=PERALTE!$X$16,-8,IF(RASANTE!F102&lt;=PERALTE!$Z$16,(-6/(PERALTE!$X$16-PERALTE!$Z$16)*(RASANTE!F102-PERALTE!$Z$16)-2),IF(RASANTE!F102&lt;=PERALTE!$AB$16,-2))))),IF(AND(AH!$H$18="Derecha",RASANTE!F102&lt;=PERALTE!$AB$16),IF(RASANTE!F102&lt;=PERALTE!$Q$16,-2,IF(RASANTE!F102&lt;=PERALTE!$U$16,(10/(PERALTE!$U$16-PERALTE!$Q$16)*(RASANTE!F102-PERALTE!$Q$16)-2),IF(RASANTE!F102&lt;=PERALTE!$X$16,8,IF(RASANTE!F102&lt;=PERALTE!$AB$16,(10/(PERALTE!$X$16-PERALTE!$AB$16)*(RASANTE!F102-PERALTE!$AB$16)-2))))),IF(AND(AH!$H$20="Izquierda",RASANTE!F102&lt;=PERALTE!$AB$18),IF(RASANTE!F102&lt;=PERALTE!$S$18,-2,IF(RASANTE!F102&lt;=PERALTE!$U$18,(-6/(PERALTE!$U$18-PERALTE!$S$18)*(RASANTE!F102-PERALTE!$S$18)-2),IF(RASANTE!F102&lt;=PERALTE!$X$18,-8,IF(RASANTE!F102&lt;=PERALTE!$Z$18,(-6/(PERALTE!$X$18-PERALTE!$Z$18)*(RASANTE!F102-PERALTE!$Z$18)-2),IF(RASANTE!F102&lt;=PERALTE!$AB$18,-2))))),IF(AND(AH!$H$20="Derecha",RASANTE!F102&lt;=PERALTE!$AB$18),IF(RASANTE!F102&lt;=PERALTE!$Q$18,-2,IF(RASANTE!F102&lt;=PERALTE!$U$18,(10/(PERALTE!$U$18-PERALTE!$Q$18)*(RASANTE!F102-PERALTE!$Q$18)-2),IF(RASANTE!F102&lt;=PERALTE!$X$18,8,IF(RASANTE!F102&lt;=PERALTE!$AB$18,(10/(PERALTE!$X$18-PERALTE!$AB$18)*(RASANTE!F102-PERALTE!$AB$18)-2))))),IF(AND(AH!$H$24="Izquierda",RASANTE!F102&lt;=PERALTE!$AB$22),IF(RASANTE!F102&lt;=PERALTE!$S$22,-2,IF(RASANTE!F102&lt;=PERALTE!$U$22,(-6/(PERALTE!$U$22-PERALTE!$S$22)*(RASANTE!F102-PERALTE!$S$22)-2),IF(RASANTE!F102&lt;=PERALTE!$X$22,-8,IF(RASANTE!F102&lt;=PERALTE!$Z$22,(-6/(PERALTE!$X$22-PERALTE!$Z$22)*(RASANTE!F102-PERALTE!$Z$22)-2),IF(RASANTE!F102&lt;=PERALTE!$AB$22,-2))))),IF(AND(AH!$H$24="Derecha",RASANTE!F102&lt;=PERALTE!$AB$22),IF(RASANTE!F102&lt;=PERALTE!$Q$22,-2,IF(RASANTE!F102&lt;=PERALTE!$U$22,(10/(PERALTE!$U$22-PERALTE!$Q$22)*(RASANTE!F102-PERALTE!$Q$22)-2),IF(RASANTE!F102&lt;=PERALTE!$X$22,8,IF(RASANTE!F102&lt;=PERALTE!$AB$22,(10/(PERALTE!$X$22-PERALTE!$AB$22)*(RASANTE!F102-PERALTE!$AB$22)-2))))),IF(AND(AH!#REF!="Izquierda",RASANTE!F102&lt;=PERALTE!#REF!),IF(RASANTE!F102&lt;=PERALTE!#REF!,-2,IF(RASANTE!F102&lt;=PERALTE!#REF!,(-6/(PERALTE!#REF!-PERALTE!#REF!)*(RASANTE!F102-PERALTE!#REF!)-2),IF(RASANTE!F102&lt;=PERALTE!#REF!,-8,IF(RASANTE!F102&lt;=PERALTE!#REF!,(-6/(PERALTE!#REF!-PERALTE!#REF!)*(RASANTE!F102-PERALTE!#REF!)-2),IF(RASANTE!F102&lt;=PERALTE!#REF!,-2))))),IF(AND(AH!#REF!="Derecha",RASANTE!F102&lt;=PERALTE!#REF!),IF(RASANTE!F102&lt;=PERALTE!#REF!,-2,IF(RASANTE!F102&lt;=PERALTE!#REF!,(10/(PERALTE!#REF!-PERALTE!#REF!)*(RASANTE!F102-PERALTE!#REF!)-2),IF(RASANTE!F102&lt;=PERALTE!#REF!,8,IF(RASANTE!F102&lt;=PERALTE!#REF!,(10/(PERALTE!#REF!-PERALTE!#REF!)*(RASANTE!F102-PERALTE!#REF!)-2))))),IF(AND(AH!#REF!="Izquierda",RASANTE!F102&lt;=PERALTE!$AB$26),IF(RASANTE!F102&lt;=PERALTE!$S$26,-2,IF(RASANTE!F102&lt;=PERALTE!$U$26,(-6/(PERALTE!$U$26-PERALTE!$S$26)*(RASANTE!F102-PERALTE!$S$26)-2),IF(RASANTE!F102&lt;=PERALTE!$X$26,-8,IF(RASANTE!F102&lt;=PERALTE!$Z$26,(-6/(PERALTE!$X$26-PERALTE!$Z$26)*(RASANTE!F102-PERALTE!$Z$26)-2),IF(RASANTE!F102&lt;=PERALTE!$AB$26,-2))))),IF(AND(AH!#REF!="Derecha",RASANTE!F102&lt;=PERALTE!$AB$26),IF(RASANTE!F102&lt;=PERALTE!$Q$26,-2,IF(RASANTE!F102&lt;=PERALTE!$U$26,(10/(PERALTE!$U$26-PERALTE!$Q$26)*(RASANTE!F102-PERALTE!$Q$26)-2),IF(RASANTE!F102&lt;=PERALTE!$X$26,8,IF(RASANTE!F102&lt;=PERALTE!$AB$26,(10/(PERALTE!$X$26-PERALTE!$AB$26)*(RASANTE!F102-PERALTE!$AB$26)-2))))),IF(F102&lt;=PERALTE!#REF!,-2,"Abscisa fuera de la vía")))))))))))))))))))))</f>
        <v>-4.0653347641482274</v>
      </c>
      <c r="I102" s="28">
        <f>+IF(AND(AH!$H$8="Derecha",RASANTE!F102&lt;=PERALTE!$AB$6),IF(RASANTE!F102&lt;=PERALTE!$S$6,-2,IF(RASANTE!F102&lt;=PERALTE!$U$6,(-6/(PERALTE!$U$6-PERALTE!$S$6)*(RASANTE!F102-PERALTE!$S$6)-2),IF(RASANTE!F102&lt;=PERALTE!$X$6,-8,IF(RASANTE!F102&lt;=PERALTE!$Z$6,(-6/(PERALTE!$X$6-PERALTE!$Z$6)*(RASANTE!F102-PERALTE!$Z$6)-2),IF(RASANTE!F102&lt;=PERALTE!$AB$6,-2))))),IF(AND(AH!$H$8="Izquierda",RASANTE!F102&lt;=PERALTE!$AB$6),IF(RASANTE!F102&lt;=PERALTE!$Q$6,-2,IF(RASANTE!F102&lt;=PERALTE!$U$6,(10/(PERALTE!$U$6-PERALTE!$Q$6)*(RASANTE!F102-PERALTE!$Q$6)-2),IF(RASANTE!F102&lt;=PERALTE!$X$6,8,IF(RASANTE!F102&lt;=PERALTE!$AB$6,(10/(PERALTE!$X$6-PERALTE!$AB$6)*(RASANTE!F102-PERALTE!$AB$6)-2))))),IF(AND(AH!$H$10="Derecha",RASANTE!F102&lt;=PERALTE!$AB$8),IF(RASANTE!F102&lt;=PERALTE!$S$8,-2,IF(RASANTE!F102&lt;=PERALTE!$U$8,(-6/(PERALTE!$U$8-PERALTE!$S$8)*(RASANTE!F102-PERALTE!$S$8)-2),IF(RASANTE!F102&lt;=PERALTE!$X$8,-8,IF(RASANTE!F102&lt;=PERALTE!$Z$8,(-6/(PERALTE!$X$8-PERALTE!$Z$8)*(RASANTE!F102-PERALTE!$Z$8)-2),IF(RASANTE!F102&lt;=PERALTE!$AB$8,-2))))),IF(AND(AH!$H$10="Izquierda",RASANTE!F102&lt;=PERALTE!$AB$8),IF(RASANTE!F102&lt;=PERALTE!$Q$8,-2,IF(RASANTE!F102&lt;=PERALTE!$U$8,(10/(PERALTE!$U$8-PERALTE!$Q$8)*(RASANTE!F102-PERALTE!$Q$8)-2),IF(RASANTE!F102&lt;=PERALTE!$X$8,8,IF(RASANTE!F102&lt;=PERALTE!$AB$8,(10/(PERALTE!$X$8-PERALTE!$AB$8)*(RASANTE!F102-PERALTE!$AB$8)-2))))),IF(AND(AH!$H$12="Derecha",RASANTE!F102&lt;=PERALTE!$AB$10),IF(RASANTE!F102&lt;=PERALTE!$S$10,-2,IF(RASANTE!F102&lt;=PERALTE!$U$10,(-6/(PERALTE!$U$10-PERALTE!$S$10)*(RASANTE!F102-PERALTE!$S$10)-2),IF(RASANTE!F102&lt;=PERALTE!$X$10,-8,IF(RASANTE!F102&lt;=PERALTE!$Z$10,(-6/(PERALTE!$X$10-PERALTE!$Z$10)*(RASANTE!F102-PERALTE!$Z$10)-2),IF(RASANTE!F102&lt;=PERALTE!$AB$10,-2))))),IF(AND(AH!$H$12="Izquierda",RASANTE!F102&lt;=PERALTE!$AB$10),IF(RASANTE!F102&lt;=PERALTE!$Q$10,-2,IF(RASANTE!F102&lt;=PERALTE!$U$10,(10/(PERALTE!$U$10-PERALTE!$Q$10)*(RASANTE!F102-PERALTE!$Q$10)-2),IF(RASANTE!F102&lt;=PERALTE!$X$10,8,IF(RASANTE!F102&lt;=PERALTE!$AB$10,(10/(PERALTE!$X$10-PERALTE!$AB$10)*(RASANTE!F102-PERALTE!$AB$10)-2))))),IF(AND(AH!$H$14="Derecha",RASANTE!F102&lt;=PERALTE!$AB$12),IF(RASANTE!F102&lt;=PERALTE!$S$12,-2,IF(RASANTE!F102&lt;=PERALTE!$U$12,(-6/(PERALTE!$U$12-PERALTE!$S$12)*(RASANTE!F102-PERALTE!$S$12)-2),IF(RASANTE!F102&lt;=PERALTE!$X$12,-8,IF(RASANTE!F102&lt;=PERALTE!$Z$12,(-6/(PERALTE!$X$12-PERALTE!$Z$12)*(RASANTE!F102-PERALTE!$Z$12)-2),IF(RASANTE!F102&lt;=PERALTE!$AB$12,-2))))),IF(AND(AH!$H$14="Izquierda",RASANTE!F102&lt;=PERALTE!$AB$12),IF(RASANTE!F102&lt;=PERALTE!$Q$12,-2,IF(RASANTE!F102&lt;=PERALTE!$U$12,(10/(PERALTE!$U$12-PERALTE!$Q$12)*(RASANTE!F102-PERALTE!$Q$12)-2),IF(RASANTE!F102&lt;=PERALTE!$X$12,8,IF(RASANTE!F102&lt;=PERALTE!$AB$12,(10/(PERALTE!$X$12-PERALTE!$AB$12)*(RASANTE!F102-PERALTE!$AB$12)-2))))),IF(AND(AH!$H$16="Derecha",RASANTE!F102&lt;=PERALTE!$AB$14),IF(RASANTE!F102&lt;=PERALTE!$S$14,-2,IF(RASANTE!F102&lt;=PERALTE!$U$14,(-6/(PERALTE!$U$14-PERALTE!$S$14)*(RASANTE!F102-PERALTE!$S$14)-2),IF(RASANTE!F102&lt;=PERALTE!$X$14,-8,IF(RASANTE!F102&lt;=PERALTE!$Z$14,(-6/(PERALTE!$X$14-PERALTE!$Z$14)*(RASANTE!F102-PERALTE!$Z$14)-2),IF(RASANTE!F102&lt;=PERALTE!$AB$14,-2))))),IF(AND(AH!$H$16="Izquierda",RASANTE!F102&lt;=PERALTE!$AB$14),IF(RASANTE!F102&lt;=PERALTE!$Q$14,-2,IF(RASANTE!F102&lt;=PERALTE!$U$14,(10/(PERALTE!$U$14-PERALTE!$Q$14)*(RASANTE!F102-PERALTE!$Q$14)-2),IF(RASANTE!F102&lt;=PERALTE!$X$14,8,IF(RASANTE!F102&lt;=PERALTE!$AB$14,(10/(PERALTE!$X$14-PERALTE!$AB$14)*(RASANTE!F102-PERALTE!$AB$14)-2))))),IF(AND(AH!$H$18="Derecha",RASANTE!F102&lt;=PERALTE!$AB$16),IF(RASANTE!F102&lt;=PERALTE!$S$16,-2,IF(RASANTE!F102&lt;=PERALTE!$U$16,(-6/(PERALTE!$U$16-PERALTE!$S$16)*(RASANTE!F102-PERALTE!$S$16)-2),IF(RASANTE!F102&lt;=PERALTE!$X$16,-8,IF(RASANTE!F102&lt;=PERALTE!$Z$16,(-6/(PERALTE!$X$16-PERALTE!$Z$16)*(RASANTE!F102-PERALTE!$Z$16)-2),IF(RASANTE!F102&lt;=PERALTE!$AB$16,-2))))),IF(AND(AH!$H$18="Izquierda",RASANTE!F102&lt;=PERALTE!$AB$16),IF(RASANTE!F102&lt;=PERALTE!$Q$16,-2,IF(RASANTE!F102&lt;=PERALTE!$U$16,(10/(PERALTE!$U$16-PERALTE!$Q$16)*(RASANTE!F102-PERALTE!$Q$16)-2),IF(RASANTE!F102&lt;=PERALTE!$X$16,8,IF(RASANTE!F102&lt;=PERALTE!$AB$16,(10/(PERALTE!$X$16-PERALTE!$AB$16)*(RASANTE!F102-PERALTE!$AB$16)-2))))),IF(AND(AH!$H$20="Derecha",RASANTE!F102&lt;=PERALTE!$AB$18),IF(RASANTE!F102&lt;=PERALTE!$S$18,-2,IF(RASANTE!F102&lt;=PERALTE!$U$18,(-6/(PERALTE!$U$18-PERALTE!$S$18)*(RASANTE!F102-PERALTE!$S$18)-2),IF(RASANTE!F102&lt;=PERALTE!$X$18,-8,IF(RASANTE!F102&lt;=PERALTE!$Z$18,(-6/(PERALTE!$X$18-PERALTE!$Z$18)*(RASANTE!F102-PERALTE!$Z$18)-2),IF(RASANTE!F102&lt;=PERALTE!$AB$18,-2))))),IF(AND(AH!$H$20="Izquierda",RASANTE!F102&lt;=PERALTE!$AB$18),IF(RASANTE!F102&lt;=PERALTE!$Q$18,-2,IF(RASANTE!F102&lt;=PERALTE!$U$18,(10/(PERALTE!$U$18-PERALTE!$Q$18)*(RASANTE!F102-PERALTE!$Q$18)-2),IF(RASANTE!F102&lt;=PERALTE!$X$18,8,IF(RASANTE!F102&lt;=PERALTE!$AB$18,(10/(PERALTE!$X$18-PERALTE!$AB$18)*(RASANTE!F102-PERALTE!$AB$18)-2))))),IF(AND(AH!$H$24="Derecha",RASANTE!F102&lt;=PERALTE!$AB$22),IF(RASANTE!F102&lt;=PERALTE!$S$22,-2,IF(RASANTE!F102&lt;=PERALTE!$U$22,(-6/(PERALTE!$U$22-PERALTE!$S$22)*(RASANTE!F102-PERALTE!$S$22)-2),IF(RASANTE!F102&lt;=PERALTE!$X$22,-8,IF(RASANTE!F102&lt;=PERALTE!$Z$22,(-6/(PERALTE!$X$22-PERALTE!$Z$22)*(RASANTE!F102-PERALTE!$Z$22)-2),IF(RASANTE!F102&lt;=PERALTE!$AB$22,-2))))),IF(AND(AH!$H$24="Izquierda",RASANTE!F102&lt;=PERALTE!$AB$22),IF(RASANTE!F102&lt;=PERALTE!$Q$22,-2,IF(RASANTE!F102&lt;=PERALTE!$U$22,(10/(PERALTE!$U$22-PERALTE!$Q$22)*(RASANTE!F102-PERALTE!$Q$22)-2),IF(RASANTE!F102&lt;=PERALTE!$X$22,8,IF(RASANTE!F102&lt;=PERALTE!$AB$22,(10/(PERALTE!$X$22-PERALTE!$AB$22)*(RASANTE!F102-PERALTE!$AB$22)-2))))),IF(AND(AH!#REF!="Derecha",RASANTE!F102&lt;=PERALTE!#REF!),IF(RASANTE!F102&lt;=PERALTE!#REF!,-2,IF(RASANTE!F102&lt;=PERALTE!#REF!,(-6/(PERALTE!#REF!-PERALTE!#REF!)*(RASANTE!F102-PERALTE!#REF!)-2),IF(RASANTE!F102&lt;=PERALTE!#REF!,-8,IF(RASANTE!F102&lt;=PERALTE!#REF!,(-6/(PERALTE!#REF!-PERALTE!#REF!)*(RASANTE!F102-PERALTE!#REF!)-2),IF(RASANTE!F102&lt;=PERALTE!#REF!,-2))))),IF(AND(AH!#REF!="Izquierda",RASANTE!F102&lt;=PERALTE!#REF!),IF(RASANTE!F102&lt;=PERALTE!#REF!,-2,IF(RASANTE!F102&lt;=PERALTE!#REF!,(10/(PERALTE!#REF!-PERALTE!#REF!)*(RASANTE!F102-PERALTE!#REF!)-2),IF(RASANTE!F102&lt;=PERALTE!#REF!,8,IF(RASANTE!F102&lt;=PERALTE!#REF!,(10/(PERALTE!#REF!-PERALTE!#REF!)*(RASANTE!F102-PERALTE!#REF!)-2))))),IF(AND(AH!#REF!="Derecha",RASANTE!F102&lt;=PERALTE!$AB$26),IF(RASANTE!F102&lt;=PERALTE!$S$26,-2,IF(RASANTE!F102&lt;=PERALTE!$U$26,(-6/(PERALTE!$U$26-PERALTE!$S$26)*(RASANTE!F102-PERALTE!$S$26)-2),IF(RASANTE!F102&lt;=PERALTE!$X$26,-8,IF(RASANTE!F102&lt;=PERALTE!$Z$26,(-6/(PERALTE!$X$26-PERALTE!$Z$26)*(RASANTE!F102-PERALTE!$Z$26)-2),IF(RASANTE!F102&lt;=PERALTE!$AB$26,-2))))),IF(AND(AH!#REF!="Izquierda",RASANTE!F102&lt;=PERALTE!$AB$26),IF(RASANTE!F102&lt;=PERALTE!$Q$26,-2,IF(RASANTE!F102&lt;=PERALTE!$U$26,(10/(PERALTE!$U$26-PERALTE!$Q$26)*(RASANTE!F102-PERALTE!$Q$26)-2),IF(RASANTE!F102&lt;=PERALTE!$X$26,8,IF(RASANTE!F102&lt;=PERALTE!$AB$26,(10/(PERALTE!$X$26-PERALTE!$AB$26)*(RASANTE!F102-PERALTE!$AB$26)-2))))),IF(F102&lt;=PERALTE!#REF!,-2,"Abscisa fuera de la vía")))))))))))))))))))))</f>
        <v>4.0653347641482345</v>
      </c>
      <c r="J102" s="28">
        <f t="shared" si="4"/>
        <v>1632.5864000000008</v>
      </c>
      <c r="K102" s="28">
        <f>+IF(AND(AV!$S$6&lt;F199,F199&lt;=AV!$T$6),AV!$P$6*((AV!$S$6-RASANTE!F199)/(AV!$N$6))^2,IF(AND(AV!$T$6&lt;RASANTE!F199,F199&lt;AV!$U$6),AV!$P$6*((AV!$U$6-RASANTE!F199)/(AV!$O$6))^2,IF(AND(AV!$S$8&lt;F199,F199&lt;=AV!$T$8),AV!$P$8*((AV!$S$8-RASANTE!F199)/(AV!$N$8))^2,IF(AND(AV!$T$8&lt;RASANTE!F199,F199&lt;AV!$U$8),AV!$P$8*((AV!$U$8-RASANTE!F199)/(AV!$O$8))^2,IF(AND(AV!$S$10&lt;F199,F199&lt;=AV!$T$10),AV!$P$10*((AV!$S$10-RASANTE!F199)/(AV!$N$10))^2,IF(AND(AV!$T$10&lt;RASANTE!F199,F199&lt;AV!$U$10),AV!$P$10*((AV!$U$10-RASANTE!F199)/(AV!$O$10))^2,IF(AND(AV!$S$12&lt;F199,F199&lt;=AV!$T$12),AV!$P$12*((AV!$S$12-RASANTE!F199)/(AV!$N$12))^2,IF(AND(AV!$T$12&lt;RASANTE!F199,F199&lt;AV!$U$12),AV!$P$12*((AV!$U$12-RASANTE!F199)/(AV!$O$12))^2,IF(AND(AV!$S$14&lt;F199,F199&lt;=AV!$T$14),AV!$P$14*((AV!$S$14-RASANTE!F199)/(AV!$N$14))^2,IF(AND(AV!$T$14&lt;RASANTE!F199,F199&lt;AV!$U$14),AV!$P$14*((AV!$U$14-RASANTE!F199)/(AV!$O$14))^2,IF(AND(AV!$S$16&lt;F199,F199&lt;=AV!$T$16),AV!$P$16*((AV!$S$16-RASANTE!F199)/(AV!$N$16))^2,IF(AND(AV!$T$16&lt;RASANTE!F199,F199&lt;AV!$U$16),AV!$P$16*((AV!$U$16-RASANTE!F199)/(AV!$O$16))^2,IF(AND(AV!$S$18&lt;F199,F199&lt;=AV!$T$18),AV!$P$18*((AV!$S$18-RASANTE!F199)/(AV!$N$18))^2,IF(AND(AV!$T$18&lt;RASANTE!F199,F199&lt;AV!$U$18),AV!$P$18*((AV!$U$18-RASANTE!F199)/(AV!$O$18))^2,IF(AND(AV!$S$20&lt;F199,F199&lt;=AV!$T$20),AV!$P$20*((AV!$S$20-RASANTE!F199)/(AV!$N$20))^2,IF(AND(AV!$T$20&lt;RASANTE!F199,F199&lt;AV!$U$20),AV!$P$20*((AV!$U$20-RASANTE!F199)/(AV!$O$20))^2,IF(AND(AV!$S$22&lt;F199,F199&lt;=AV!$T$22),AV!$P$22*((AV!$S$22-RASANTE!F199)/(AV!$N$22))^2,IF(AND(AV!$T$22&lt;RASANTE!F199,F199&lt;AV!$U$22),AV!$P$22*((AV!$U$22-RASANTE!F199)/(AV!$O$22))^2,IF(AND(AV!$S$24&lt;F199,F199&lt;=AV!$T$24),AV!$P$24*((AV!$S$24-RASANTE!F199)/(AV!$N$24))^2,IF(AND(AV!$T$24&lt;RASANTE!F199,F199&lt;AV!$U$24),AV!$P$24*((AV!$U$24-RASANTE!F199)/(AV!$O$24))^2,0))))))))))))))))))))</f>
        <v>-2.4177140099999928E-2</v>
      </c>
      <c r="L102" s="28">
        <f>+M102+H102%*PERALTE!$C$32</f>
        <v>1632.4199361431556</v>
      </c>
      <c r="M102" s="28">
        <f t="shared" si="3"/>
        <v>1632.5622228599009</v>
      </c>
      <c r="N102" s="28">
        <f>+M102+I102%*PERALTE!$C$32</f>
        <v>1632.7045095766462</v>
      </c>
      <c r="O102" s="92"/>
      <c r="P102" s="84"/>
      <c r="Q102" s="84"/>
      <c r="R102" s="84"/>
      <c r="S102" s="84"/>
      <c r="T102" s="84"/>
      <c r="U102" s="84"/>
      <c r="V102" s="84"/>
      <c r="W102" s="84"/>
      <c r="X102" s="84"/>
      <c r="Y102" s="84"/>
    </row>
    <row r="103" spans="1:25" ht="15.75" customHeight="1" x14ac:dyDescent="0.2">
      <c r="A103" s="90"/>
      <c r="B103" s="86"/>
      <c r="C103" s="86"/>
      <c r="D103" s="86"/>
      <c r="E103" s="91"/>
      <c r="F103" s="34">
        <v>650</v>
      </c>
      <c r="G103" s="88">
        <f>IF(F103&lt;=AV!$T$6,AV!$C$5,IF(RASANTE!F103&lt;=AV!$T$8,AV!$C$7,IF(RASANTE!F103&lt;=AV!$T$10,AV!$C$9,IF(RASANTE!F103&lt;=AV!$T$12,AV!#REF!,IF(RASANTE!F103&lt;=AV!$T$14,AV!$C$11,IF(RASANTE!F103&lt;=AV!$T$16,AV!$C$13, IF(RASANTE!F103&lt;=AV!$T$18,AV!$C$15,IF(RASANTE!F103&lt;=AV!$T$20,AV!$C$19,IF(RASANTE!F103&lt;=AV!$T$22,AV!$C$21,IF(RASANTE!F103&lt;=AV!$T$24,AV!$C$23,AV!$C$25))))))))))</f>
        <v>-3</v>
      </c>
      <c r="H103" s="28">
        <f>+IF(AND(AH!$H$8="Izquierda",RASANTE!F103&lt;=PERALTE!$AB$6),IF(RASANTE!F103&lt;=PERALTE!$S$6,-2,IF(RASANTE!F103&lt;=PERALTE!$U$6,(-6/(PERALTE!$U$6-PERALTE!$S$6)*(RASANTE!F103-PERALTE!$S$6)-2),IF(RASANTE!F103&lt;=PERALTE!$X$6,-8,IF(RASANTE!F103&lt;=PERALTE!$Z$6,(-6/(PERALTE!$X$6-PERALTE!$Z$6)*(RASANTE!F103-PERALTE!$Z$6)-2),IF(RASANTE!F103&lt;=PERALTE!$AB$6,-2))))),IF(AND(AH!$H$8="Derecha",RASANTE!F103&lt;=PERALTE!$AB$6),IF(RASANTE!F103&lt;=PERALTE!$Q$6,-2,IF(RASANTE!F103&lt;=PERALTE!$U$6,(10/(PERALTE!$U$6-PERALTE!$Q$6)*(RASANTE!F103-PERALTE!$Q$6)-2),IF(RASANTE!F103&lt;=PERALTE!$X$6,8,IF(RASANTE!F103&lt;=PERALTE!$AB$6,(10/(PERALTE!$X$6-PERALTE!$AB$6)*(RASANTE!F103-PERALTE!$AB$6)-2))))),IF(AND(AH!$H$10="Izquierda",RASANTE!F103&lt;=PERALTE!$AB$8),IF(RASANTE!F103&lt;=PERALTE!$S$8,-2,IF(RASANTE!F103&lt;=PERALTE!$U$8,(-6/(PERALTE!$U$8-PERALTE!$S$8)*(RASANTE!F103-PERALTE!$S$8)-2),IF(RASANTE!F103&lt;=PERALTE!$X$8,-8,IF(RASANTE!F103&lt;=PERALTE!$Z$8,(-6/(PERALTE!$X$8-PERALTE!$Z$8)*(RASANTE!F103-PERALTE!$Z$8)-2),IF(RASANTE!F103&lt;=PERALTE!$AB$8,-2))))),IF(AND(AH!$H$10="Derecha",RASANTE!F103&lt;=PERALTE!$AB$8),IF(RASANTE!F103&lt;=PERALTE!$Q$8,-2,IF(RASANTE!F103&lt;=PERALTE!$U$8,(10/(PERALTE!$U$8-PERALTE!$Q$8)*(RASANTE!F103-PERALTE!$Q$8)-2),IF(RASANTE!F103&lt;=PERALTE!$X$8,8,IF(RASANTE!F103&lt;=PERALTE!$AB$8,(10/(PERALTE!$X$8-PERALTE!$AB$8)*(RASANTE!F103-PERALTE!$AB$8)-2))))),IF(AND(AH!$H$12="Izquierda",RASANTE!F103&lt;=PERALTE!$AB$10),IF(RASANTE!F103&lt;=PERALTE!$S$10,-2,IF(RASANTE!F103&lt;=PERALTE!$U$10,(-6/(PERALTE!$U$10-PERALTE!$S$10)*(RASANTE!F103-PERALTE!$S$10)-2),IF(RASANTE!F103&lt;=PERALTE!$X$10,-8,IF(RASANTE!F103&lt;=PERALTE!$Z$10,(-6/(PERALTE!$X$10-PERALTE!$Z$10)*(RASANTE!F103-PERALTE!$Z$10)-2),IF(RASANTE!F103&lt;=PERALTE!$AB$10,-2))))),IF(AND(AH!$H$12="Derecha",RASANTE!F103&lt;=PERALTE!$AB$10),IF(RASANTE!F103&lt;=PERALTE!$Q$10,-2,IF(RASANTE!F103&lt;=PERALTE!$U$10,(10/(PERALTE!$U$10-PERALTE!$Q$10)*(RASANTE!F103-PERALTE!$Q$10)-2),IF(RASANTE!F103&lt;=PERALTE!$X$10,8,IF(RASANTE!F103&lt;=PERALTE!$AB$10,(10/(PERALTE!$X$10-PERALTE!$AB$10)*(RASANTE!F103-PERALTE!$AB$10)-2))))),IF(AND(AH!$H$14="Izquierda",RASANTE!F103&lt;=PERALTE!$AB$12),IF(RASANTE!F103&lt;=PERALTE!$S$12,-2,IF(RASANTE!F103&lt;=PERALTE!$U$12,(-6/(PERALTE!$U$12-PERALTE!$S$12)*(RASANTE!F103-PERALTE!$S$12)-2),IF(RASANTE!F103&lt;=PERALTE!$X$12,-8,IF(RASANTE!F103&lt;=PERALTE!$Z$12,(-6/(PERALTE!$X$12-PERALTE!$Z$12)*(RASANTE!F103-PERALTE!$Z$12)-2),IF(RASANTE!F103&lt;=PERALTE!$AB$12,-2))))),IF(AND(AH!$H$14="Derecha",RASANTE!F103&lt;=PERALTE!$AB$12),IF(RASANTE!F103&lt;=PERALTE!$Q$12,-2,IF(RASANTE!F103&lt;=PERALTE!$U$12,(10/(PERALTE!$U$12-PERALTE!$Q$12)*(RASANTE!F103-PERALTE!$Q$12)-2),IF(RASANTE!F103&lt;=PERALTE!$X$12,8,IF(RASANTE!F103&lt;=PERALTE!$AB$12,(10/(PERALTE!$X$12-PERALTE!$AB$12)*(RASANTE!F103-PERALTE!$AB$12)-2))))),IF(AND(AH!$H$16="Izquierda",RASANTE!F103&lt;=PERALTE!$AB$14),IF(RASANTE!F103&lt;=PERALTE!$S$14,-2,IF(RASANTE!F103&lt;=PERALTE!$U$14,(-6/(PERALTE!$U$14-PERALTE!$S$14)*(RASANTE!F103-PERALTE!$S$14)-2),IF(RASANTE!F103&lt;=PERALTE!$X$14,-8,IF(RASANTE!F103&lt;=PERALTE!$Z$14,(-6/(PERALTE!$X$14-PERALTE!$Z$14)*(RASANTE!F103-PERALTE!$Z$14)-2),IF(RASANTE!F103&lt;=PERALTE!$AB$14,-2))))),IF(AND(AH!$H$16="Derecha",RASANTE!F103&lt;=PERALTE!$AB$14),IF(RASANTE!F103&lt;=PERALTE!$Q$14,-2,IF(RASANTE!F103&lt;=PERALTE!$U$14,(10/(PERALTE!$U$14-PERALTE!$Q$14)*(RASANTE!F103-PERALTE!$Q$14)-2),IF(RASANTE!F103&lt;=PERALTE!$X$14,8,IF(RASANTE!F103&lt;=PERALTE!$AB$14,(10/(PERALTE!$X$14-PERALTE!$AB$14)*(RASANTE!F103-PERALTE!$AB$14)-2))))),IF(AND(AH!$H$18="Izquierda",RASANTE!F103&lt;=PERALTE!$AB$16),IF(RASANTE!F103&lt;=PERALTE!$S$16,-2,IF(RASANTE!F103&lt;=PERALTE!$U$16,(-6/(PERALTE!$U$16-PERALTE!$S$16)*(RASANTE!F103-PERALTE!$S$16)-2),IF(RASANTE!F103&lt;=PERALTE!$X$16,-8,IF(RASANTE!F103&lt;=PERALTE!$Z$16,(-6/(PERALTE!$X$16-PERALTE!$Z$16)*(RASANTE!F103-PERALTE!$Z$16)-2),IF(RASANTE!F103&lt;=PERALTE!$AB$16,-2))))),IF(AND(AH!$H$18="Derecha",RASANTE!F103&lt;=PERALTE!$AB$16),IF(RASANTE!F103&lt;=PERALTE!$Q$16,-2,IF(RASANTE!F103&lt;=PERALTE!$U$16,(10/(PERALTE!$U$16-PERALTE!$Q$16)*(RASANTE!F103-PERALTE!$Q$16)-2),IF(RASANTE!F103&lt;=PERALTE!$X$16,8,IF(RASANTE!F103&lt;=PERALTE!$AB$16,(10/(PERALTE!$X$16-PERALTE!$AB$16)*(RASANTE!F103-PERALTE!$AB$16)-2))))),IF(AND(AH!$H$20="Izquierda",RASANTE!F103&lt;=PERALTE!$AB$18),IF(RASANTE!F103&lt;=PERALTE!$S$18,-2,IF(RASANTE!F103&lt;=PERALTE!$U$18,(-6/(PERALTE!$U$18-PERALTE!$S$18)*(RASANTE!F103-PERALTE!$S$18)-2),IF(RASANTE!F103&lt;=PERALTE!$X$18,-8,IF(RASANTE!F103&lt;=PERALTE!$Z$18,(-6/(PERALTE!$X$18-PERALTE!$Z$18)*(RASANTE!F103-PERALTE!$Z$18)-2),IF(RASANTE!F103&lt;=PERALTE!$AB$18,-2))))),IF(AND(AH!$H$20="Derecha",RASANTE!F103&lt;=PERALTE!$AB$18),IF(RASANTE!F103&lt;=PERALTE!$Q$18,-2,IF(RASANTE!F103&lt;=PERALTE!$U$18,(10/(PERALTE!$U$18-PERALTE!$Q$18)*(RASANTE!F103-PERALTE!$Q$18)-2),IF(RASANTE!F103&lt;=PERALTE!$X$18,8,IF(RASANTE!F103&lt;=PERALTE!$AB$18,(10/(PERALTE!$X$18-PERALTE!$AB$18)*(RASANTE!F103-PERALTE!$AB$18)-2))))),IF(AND(AH!$H$24="Izquierda",RASANTE!F103&lt;=PERALTE!$AB$22),IF(RASANTE!F103&lt;=PERALTE!$S$22,-2,IF(RASANTE!F103&lt;=PERALTE!$U$22,(-6/(PERALTE!$U$22-PERALTE!$S$22)*(RASANTE!F103-PERALTE!$S$22)-2),IF(RASANTE!F103&lt;=PERALTE!$X$22,-8,IF(RASANTE!F103&lt;=PERALTE!$Z$22,(-6/(PERALTE!$X$22-PERALTE!$Z$22)*(RASANTE!F103-PERALTE!$Z$22)-2),IF(RASANTE!F103&lt;=PERALTE!$AB$22,-2))))),IF(AND(AH!$H$24="Derecha",RASANTE!F103&lt;=PERALTE!$AB$22),IF(RASANTE!F103&lt;=PERALTE!$Q$22,-2,IF(RASANTE!F103&lt;=PERALTE!$U$22,(10/(PERALTE!$U$22-PERALTE!$Q$22)*(RASANTE!F103-PERALTE!$Q$22)-2),IF(RASANTE!F103&lt;=PERALTE!$X$22,8,IF(RASANTE!F103&lt;=PERALTE!$AB$22,(10/(PERALTE!$X$22-PERALTE!$AB$22)*(RASANTE!F103-PERALTE!$AB$22)-2))))),IF(AND(AH!#REF!="Izquierda",RASANTE!F103&lt;=PERALTE!#REF!),IF(RASANTE!F103&lt;=PERALTE!#REF!,-2,IF(RASANTE!F103&lt;=PERALTE!#REF!,(-6/(PERALTE!#REF!-PERALTE!#REF!)*(RASANTE!F103-PERALTE!#REF!)-2),IF(RASANTE!F103&lt;=PERALTE!#REF!,-8,IF(RASANTE!F103&lt;=PERALTE!#REF!,(-6/(PERALTE!#REF!-PERALTE!#REF!)*(RASANTE!F103-PERALTE!#REF!)-2),IF(RASANTE!F103&lt;=PERALTE!#REF!,-2))))),IF(AND(AH!#REF!="Derecha",RASANTE!F103&lt;=PERALTE!#REF!),IF(RASANTE!F103&lt;=PERALTE!#REF!,-2,IF(RASANTE!F103&lt;=PERALTE!#REF!,(10/(PERALTE!#REF!-PERALTE!#REF!)*(RASANTE!F103-PERALTE!#REF!)-2),IF(RASANTE!F103&lt;=PERALTE!#REF!,8,IF(RASANTE!F103&lt;=PERALTE!#REF!,(10/(PERALTE!#REF!-PERALTE!#REF!)*(RASANTE!F103-PERALTE!#REF!)-2))))),IF(AND(AH!#REF!="Izquierda",RASANTE!F103&lt;=PERALTE!$AB$26),IF(RASANTE!F103&lt;=PERALTE!$S$26,-2,IF(RASANTE!F103&lt;=PERALTE!$U$26,(-6/(PERALTE!$U$26-PERALTE!$S$26)*(RASANTE!F103-PERALTE!$S$26)-2),IF(RASANTE!F103&lt;=PERALTE!$X$26,-8,IF(RASANTE!F103&lt;=PERALTE!$Z$26,(-6/(PERALTE!$X$26-PERALTE!$Z$26)*(RASANTE!F103-PERALTE!$Z$26)-2),IF(RASANTE!F103&lt;=PERALTE!$AB$26,-2))))),IF(AND(AH!#REF!="Derecha",RASANTE!F103&lt;=PERALTE!$AB$26),IF(RASANTE!F103&lt;=PERALTE!$Q$26,-2,IF(RASANTE!F103&lt;=PERALTE!$U$26,(10/(PERALTE!$U$26-PERALTE!$Q$26)*(RASANTE!F103-PERALTE!$Q$26)-2),IF(RASANTE!F103&lt;=PERALTE!$X$26,8,IF(RASANTE!F103&lt;=PERALTE!$AB$26,(10/(PERALTE!$X$26-PERALTE!$AB$26)*(RASANTE!F103-PERALTE!$AB$26)-2))))),IF(F103&lt;=PERALTE!#REF!,-2,"Abscisa fuera de la vía")))))))))))))))))))))</f>
        <v>-6.2653347641482293</v>
      </c>
      <c r="I103" s="28">
        <f>+IF(AND(AH!$H$8="Derecha",RASANTE!F103&lt;=PERALTE!$AB$6),IF(RASANTE!F103&lt;=PERALTE!$S$6,-2,IF(RASANTE!F103&lt;=PERALTE!$U$6,(-6/(PERALTE!$U$6-PERALTE!$S$6)*(RASANTE!F103-PERALTE!$S$6)-2),IF(RASANTE!F103&lt;=PERALTE!$X$6,-8,IF(RASANTE!F103&lt;=PERALTE!$Z$6,(-6/(PERALTE!$X$6-PERALTE!$Z$6)*(RASANTE!F103-PERALTE!$Z$6)-2),IF(RASANTE!F103&lt;=PERALTE!$AB$6,-2))))),IF(AND(AH!$H$8="Izquierda",RASANTE!F103&lt;=PERALTE!$AB$6),IF(RASANTE!F103&lt;=PERALTE!$Q$6,-2,IF(RASANTE!F103&lt;=PERALTE!$U$6,(10/(PERALTE!$U$6-PERALTE!$Q$6)*(RASANTE!F103-PERALTE!$Q$6)-2),IF(RASANTE!F103&lt;=PERALTE!$X$6,8,IF(RASANTE!F103&lt;=PERALTE!$AB$6,(10/(PERALTE!$X$6-PERALTE!$AB$6)*(RASANTE!F103-PERALTE!$AB$6)-2))))),IF(AND(AH!$H$10="Derecha",RASANTE!F103&lt;=PERALTE!$AB$8),IF(RASANTE!F103&lt;=PERALTE!$S$8,-2,IF(RASANTE!F103&lt;=PERALTE!$U$8,(-6/(PERALTE!$U$8-PERALTE!$S$8)*(RASANTE!F103-PERALTE!$S$8)-2),IF(RASANTE!F103&lt;=PERALTE!$X$8,-8,IF(RASANTE!F103&lt;=PERALTE!$Z$8,(-6/(PERALTE!$X$8-PERALTE!$Z$8)*(RASANTE!F103-PERALTE!$Z$8)-2),IF(RASANTE!F103&lt;=PERALTE!$AB$8,-2))))),IF(AND(AH!$H$10="Izquierda",RASANTE!F103&lt;=PERALTE!$AB$8),IF(RASANTE!F103&lt;=PERALTE!$Q$8,-2,IF(RASANTE!F103&lt;=PERALTE!$U$8,(10/(PERALTE!$U$8-PERALTE!$Q$8)*(RASANTE!F103-PERALTE!$Q$8)-2),IF(RASANTE!F103&lt;=PERALTE!$X$8,8,IF(RASANTE!F103&lt;=PERALTE!$AB$8,(10/(PERALTE!$X$8-PERALTE!$AB$8)*(RASANTE!F103-PERALTE!$AB$8)-2))))),IF(AND(AH!$H$12="Derecha",RASANTE!F103&lt;=PERALTE!$AB$10),IF(RASANTE!F103&lt;=PERALTE!$S$10,-2,IF(RASANTE!F103&lt;=PERALTE!$U$10,(-6/(PERALTE!$U$10-PERALTE!$S$10)*(RASANTE!F103-PERALTE!$S$10)-2),IF(RASANTE!F103&lt;=PERALTE!$X$10,-8,IF(RASANTE!F103&lt;=PERALTE!$Z$10,(-6/(PERALTE!$X$10-PERALTE!$Z$10)*(RASANTE!F103-PERALTE!$Z$10)-2),IF(RASANTE!F103&lt;=PERALTE!$AB$10,-2))))),IF(AND(AH!$H$12="Izquierda",RASANTE!F103&lt;=PERALTE!$AB$10),IF(RASANTE!F103&lt;=PERALTE!$Q$10,-2,IF(RASANTE!F103&lt;=PERALTE!$U$10,(10/(PERALTE!$U$10-PERALTE!$Q$10)*(RASANTE!F103-PERALTE!$Q$10)-2),IF(RASANTE!F103&lt;=PERALTE!$X$10,8,IF(RASANTE!F103&lt;=PERALTE!$AB$10,(10/(PERALTE!$X$10-PERALTE!$AB$10)*(RASANTE!F103-PERALTE!$AB$10)-2))))),IF(AND(AH!$H$14="Derecha",RASANTE!F103&lt;=PERALTE!$AB$12),IF(RASANTE!F103&lt;=PERALTE!$S$12,-2,IF(RASANTE!F103&lt;=PERALTE!$U$12,(-6/(PERALTE!$U$12-PERALTE!$S$12)*(RASANTE!F103-PERALTE!$S$12)-2),IF(RASANTE!F103&lt;=PERALTE!$X$12,-8,IF(RASANTE!F103&lt;=PERALTE!$Z$12,(-6/(PERALTE!$X$12-PERALTE!$Z$12)*(RASANTE!F103-PERALTE!$Z$12)-2),IF(RASANTE!F103&lt;=PERALTE!$AB$12,-2))))),IF(AND(AH!$H$14="Izquierda",RASANTE!F103&lt;=PERALTE!$AB$12),IF(RASANTE!F103&lt;=PERALTE!$Q$12,-2,IF(RASANTE!F103&lt;=PERALTE!$U$12,(10/(PERALTE!$U$12-PERALTE!$Q$12)*(RASANTE!F103-PERALTE!$Q$12)-2),IF(RASANTE!F103&lt;=PERALTE!$X$12,8,IF(RASANTE!F103&lt;=PERALTE!$AB$12,(10/(PERALTE!$X$12-PERALTE!$AB$12)*(RASANTE!F103-PERALTE!$AB$12)-2))))),IF(AND(AH!$H$16="Derecha",RASANTE!F103&lt;=PERALTE!$AB$14),IF(RASANTE!F103&lt;=PERALTE!$S$14,-2,IF(RASANTE!F103&lt;=PERALTE!$U$14,(-6/(PERALTE!$U$14-PERALTE!$S$14)*(RASANTE!F103-PERALTE!$S$14)-2),IF(RASANTE!F103&lt;=PERALTE!$X$14,-8,IF(RASANTE!F103&lt;=PERALTE!$Z$14,(-6/(PERALTE!$X$14-PERALTE!$Z$14)*(RASANTE!F103-PERALTE!$Z$14)-2),IF(RASANTE!F103&lt;=PERALTE!$AB$14,-2))))),IF(AND(AH!$H$16="Izquierda",RASANTE!F103&lt;=PERALTE!$AB$14),IF(RASANTE!F103&lt;=PERALTE!$Q$14,-2,IF(RASANTE!F103&lt;=PERALTE!$U$14,(10/(PERALTE!$U$14-PERALTE!$Q$14)*(RASANTE!F103-PERALTE!$Q$14)-2),IF(RASANTE!F103&lt;=PERALTE!$X$14,8,IF(RASANTE!F103&lt;=PERALTE!$AB$14,(10/(PERALTE!$X$14-PERALTE!$AB$14)*(RASANTE!F103-PERALTE!$AB$14)-2))))),IF(AND(AH!$H$18="Derecha",RASANTE!F103&lt;=PERALTE!$AB$16),IF(RASANTE!F103&lt;=PERALTE!$S$16,-2,IF(RASANTE!F103&lt;=PERALTE!$U$16,(-6/(PERALTE!$U$16-PERALTE!$S$16)*(RASANTE!F103-PERALTE!$S$16)-2),IF(RASANTE!F103&lt;=PERALTE!$X$16,-8,IF(RASANTE!F103&lt;=PERALTE!$Z$16,(-6/(PERALTE!$X$16-PERALTE!$Z$16)*(RASANTE!F103-PERALTE!$Z$16)-2),IF(RASANTE!F103&lt;=PERALTE!$AB$16,-2))))),IF(AND(AH!$H$18="Izquierda",RASANTE!F103&lt;=PERALTE!$AB$16),IF(RASANTE!F103&lt;=PERALTE!$Q$16,-2,IF(RASANTE!F103&lt;=PERALTE!$U$16,(10/(PERALTE!$U$16-PERALTE!$Q$16)*(RASANTE!F103-PERALTE!$Q$16)-2),IF(RASANTE!F103&lt;=PERALTE!$X$16,8,IF(RASANTE!F103&lt;=PERALTE!$AB$16,(10/(PERALTE!$X$16-PERALTE!$AB$16)*(RASANTE!F103-PERALTE!$AB$16)-2))))),IF(AND(AH!$H$20="Derecha",RASANTE!F103&lt;=PERALTE!$AB$18),IF(RASANTE!F103&lt;=PERALTE!$S$18,-2,IF(RASANTE!F103&lt;=PERALTE!$U$18,(-6/(PERALTE!$U$18-PERALTE!$S$18)*(RASANTE!F103-PERALTE!$S$18)-2),IF(RASANTE!F103&lt;=PERALTE!$X$18,-8,IF(RASANTE!F103&lt;=PERALTE!$Z$18,(-6/(PERALTE!$X$18-PERALTE!$Z$18)*(RASANTE!F103-PERALTE!$Z$18)-2),IF(RASANTE!F103&lt;=PERALTE!$AB$18,-2))))),IF(AND(AH!$H$20="Izquierda",RASANTE!F103&lt;=PERALTE!$AB$18),IF(RASANTE!F103&lt;=PERALTE!$Q$18,-2,IF(RASANTE!F103&lt;=PERALTE!$U$18,(10/(PERALTE!$U$18-PERALTE!$Q$18)*(RASANTE!F103-PERALTE!$Q$18)-2),IF(RASANTE!F103&lt;=PERALTE!$X$18,8,IF(RASANTE!F103&lt;=PERALTE!$AB$18,(10/(PERALTE!$X$18-PERALTE!$AB$18)*(RASANTE!F103-PERALTE!$AB$18)-2))))),IF(AND(AH!$H$24="Derecha",RASANTE!F103&lt;=PERALTE!$AB$22),IF(RASANTE!F103&lt;=PERALTE!$S$22,-2,IF(RASANTE!F103&lt;=PERALTE!$U$22,(-6/(PERALTE!$U$22-PERALTE!$S$22)*(RASANTE!F103-PERALTE!$S$22)-2),IF(RASANTE!F103&lt;=PERALTE!$X$22,-8,IF(RASANTE!F103&lt;=PERALTE!$Z$22,(-6/(PERALTE!$X$22-PERALTE!$Z$22)*(RASANTE!F103-PERALTE!$Z$22)-2),IF(RASANTE!F103&lt;=PERALTE!$AB$22,-2))))),IF(AND(AH!$H$24="Izquierda",RASANTE!F103&lt;=PERALTE!$AB$22),IF(RASANTE!F103&lt;=PERALTE!$Q$22,-2,IF(RASANTE!F103&lt;=PERALTE!$U$22,(10/(PERALTE!$U$22-PERALTE!$Q$22)*(RASANTE!F103-PERALTE!$Q$22)-2),IF(RASANTE!F103&lt;=PERALTE!$X$22,8,IF(RASANTE!F103&lt;=PERALTE!$AB$22,(10/(PERALTE!$X$22-PERALTE!$AB$22)*(RASANTE!F103-PERALTE!$AB$22)-2))))),IF(AND(AH!#REF!="Derecha",RASANTE!F103&lt;=PERALTE!#REF!),IF(RASANTE!F103&lt;=PERALTE!#REF!,-2,IF(RASANTE!F103&lt;=PERALTE!#REF!,(-6/(PERALTE!#REF!-PERALTE!#REF!)*(RASANTE!F103-PERALTE!#REF!)-2),IF(RASANTE!F103&lt;=PERALTE!#REF!,-8,IF(RASANTE!F103&lt;=PERALTE!#REF!,(-6/(PERALTE!#REF!-PERALTE!#REF!)*(RASANTE!F103-PERALTE!#REF!)-2),IF(RASANTE!F103&lt;=PERALTE!#REF!,-2))))),IF(AND(AH!#REF!="Izquierda",RASANTE!F103&lt;=PERALTE!#REF!),IF(RASANTE!F103&lt;=PERALTE!#REF!,-2,IF(RASANTE!F103&lt;=PERALTE!#REF!,(10/(PERALTE!#REF!-PERALTE!#REF!)*(RASANTE!F103-PERALTE!#REF!)-2),IF(RASANTE!F103&lt;=PERALTE!#REF!,8,IF(RASANTE!F103&lt;=PERALTE!#REF!,(10/(PERALTE!#REF!-PERALTE!#REF!)*(RASANTE!F103-PERALTE!#REF!)-2))))),IF(AND(AH!#REF!="Derecha",RASANTE!F103&lt;=PERALTE!$AB$26),IF(RASANTE!F103&lt;=PERALTE!$S$26,-2,IF(RASANTE!F103&lt;=PERALTE!$U$26,(-6/(PERALTE!$U$26-PERALTE!$S$26)*(RASANTE!F103-PERALTE!$S$26)-2),IF(RASANTE!F103&lt;=PERALTE!$X$26,-8,IF(RASANTE!F103&lt;=PERALTE!$Z$26,(-6/(PERALTE!$X$26-PERALTE!$Z$26)*(RASANTE!F103-PERALTE!$Z$26)-2),IF(RASANTE!F103&lt;=PERALTE!$AB$26,-2))))),IF(AND(AH!#REF!="Izquierda",RASANTE!F103&lt;=PERALTE!$AB$26),IF(RASANTE!F103&lt;=PERALTE!$Q$26,-2,IF(RASANTE!F103&lt;=PERALTE!$U$26,(10/(PERALTE!$U$26-PERALTE!$Q$26)*(RASANTE!F103-PERALTE!$Q$26)-2),IF(RASANTE!F103&lt;=PERALTE!$X$26,8,IF(RASANTE!F103&lt;=PERALTE!$AB$26,(10/(PERALTE!$X$26-PERALTE!$AB$26)*(RASANTE!F103-PERALTE!$AB$26)-2))))),IF(F103&lt;=PERALTE!#REF!,-2,"Abscisa fuera de la vía")))))))))))))))))))))</f>
        <v>6.265334764148232</v>
      </c>
      <c r="J103" s="28">
        <f t="shared" si="4"/>
        <v>1632.2864000000009</v>
      </c>
      <c r="K103" s="28">
        <f>+IF(AND(AV!$S$6&lt;F200,F200&lt;=AV!$T$6),AV!$P$6*((AV!$S$6-RASANTE!F200)/(AV!$N$6))^2,IF(AND(AV!$T$6&lt;RASANTE!F200,F200&lt;AV!$U$6),AV!$P$6*((AV!$U$6-RASANTE!F200)/(AV!$O$6))^2,IF(AND(AV!$S$8&lt;F200,F200&lt;=AV!$T$8),AV!$P$8*((AV!$S$8-RASANTE!F200)/(AV!$N$8))^2,IF(AND(AV!$T$8&lt;RASANTE!F200,F200&lt;AV!$U$8),AV!$P$8*((AV!$U$8-RASANTE!F200)/(AV!$O$8))^2,IF(AND(AV!$S$10&lt;F200,F200&lt;=AV!$T$10),AV!$P$10*((AV!$S$10-RASANTE!F200)/(AV!$N$10))^2,IF(AND(AV!$T$10&lt;RASANTE!F200,F200&lt;AV!$U$10),AV!$P$10*((AV!$U$10-RASANTE!F200)/(AV!$O$10))^2,IF(AND(AV!$S$12&lt;F200,F200&lt;=AV!$T$12),AV!$P$12*((AV!$S$12-RASANTE!F200)/(AV!$N$12))^2,IF(AND(AV!$T$12&lt;RASANTE!F200,F200&lt;AV!$U$12),AV!$P$12*((AV!$U$12-RASANTE!F200)/(AV!$O$12))^2,IF(AND(AV!$S$14&lt;F200,F200&lt;=AV!$T$14),AV!$P$14*((AV!$S$14-RASANTE!F200)/(AV!$N$14))^2,IF(AND(AV!$T$14&lt;RASANTE!F200,F200&lt;AV!$U$14),AV!$P$14*((AV!$U$14-RASANTE!F200)/(AV!$O$14))^2,IF(AND(AV!$S$16&lt;F200,F200&lt;=AV!$T$16),AV!$P$16*((AV!$S$16-RASANTE!F200)/(AV!$N$16))^2,IF(AND(AV!$T$16&lt;RASANTE!F200,F200&lt;AV!$U$16),AV!$P$16*((AV!$U$16-RASANTE!F200)/(AV!$O$16))^2,IF(AND(AV!$S$18&lt;F200,F200&lt;=AV!$T$18),AV!$P$18*((AV!$S$18-RASANTE!F200)/(AV!$N$18))^2,IF(AND(AV!$T$18&lt;RASANTE!F200,F200&lt;AV!$U$18),AV!$P$18*((AV!$U$18-RASANTE!F200)/(AV!$O$18))^2,IF(AND(AV!$S$20&lt;F200,F200&lt;=AV!$T$20),AV!$P$20*((AV!$S$20-RASANTE!F200)/(AV!$N$20))^2,IF(AND(AV!$T$20&lt;RASANTE!F200,F200&lt;AV!$U$20),AV!$P$20*((AV!$U$20-RASANTE!F200)/(AV!$O$20))^2,IF(AND(AV!$S$22&lt;F200,F200&lt;=AV!$T$22),AV!$P$22*((AV!$S$22-RASANTE!F200)/(AV!$N$22))^2,IF(AND(AV!$T$22&lt;RASANTE!F200,F200&lt;AV!$U$22),AV!$P$22*((AV!$U$22-RASANTE!F200)/(AV!$O$22))^2,IF(AND(AV!$S$24&lt;F200,F200&lt;=AV!$T$24),AV!$P$24*((AV!$S$24-RASANTE!F200)/(AV!$N$24))^2,IF(AND(AV!$T$24&lt;RASANTE!F200,F200&lt;AV!$U$24),AV!$P$24*((AV!$U$24-RASANTE!F200)/(AV!$O$24))^2,0))))))))))))))))))))</f>
        <v>-0.11893429623915278</v>
      </c>
      <c r="L103" s="28">
        <f>+M103+H103%*PERALTE!$C$32</f>
        <v>1631.9481789870165</v>
      </c>
      <c r="M103" s="28">
        <f t="shared" si="3"/>
        <v>1632.1674657037618</v>
      </c>
      <c r="N103" s="28">
        <f>+M103+I103%*PERALTE!$C$32</f>
        <v>1632.386752420507</v>
      </c>
      <c r="O103" s="92"/>
      <c r="P103" s="84"/>
      <c r="Q103" s="84"/>
      <c r="R103" s="84"/>
      <c r="S103" s="84"/>
      <c r="T103" s="84"/>
      <c r="U103" s="84"/>
      <c r="V103" s="84"/>
      <c r="W103" s="84"/>
      <c r="X103" s="84"/>
      <c r="Y103" s="84"/>
    </row>
    <row r="104" spans="1:25" ht="15.75" customHeight="1" x14ac:dyDescent="0.2">
      <c r="A104" s="90" t="s">
        <v>333</v>
      </c>
      <c r="E104" s="91"/>
      <c r="F104" s="34">
        <f>PERALTE!U10</f>
        <v>657.8848419811444</v>
      </c>
      <c r="G104" s="88">
        <f>IF(F104&lt;=AV!$T$6,AV!$C$5,IF(RASANTE!F104&lt;=AV!$T$8,AV!$C$7,IF(RASANTE!F104&lt;=AV!$T$10,AV!$C$9,IF(RASANTE!F104&lt;=AV!$T$12,AV!#REF!,IF(RASANTE!F104&lt;=AV!$T$14,AV!$C$11,IF(RASANTE!F104&lt;=AV!$T$16,AV!$C$13, IF(RASANTE!F104&lt;=AV!$T$18,AV!$C$15,IF(RASANTE!F104&lt;=AV!$T$20,AV!$C$19,IF(RASANTE!F104&lt;=AV!$T$22,AV!$C$21,IF(RASANTE!F104&lt;=AV!$T$24,AV!$C$23,AV!$C$25))))))))))</f>
        <v>-3</v>
      </c>
      <c r="H104" s="28">
        <f>+IF(AND(AH!$H$8="Izquierda",RASANTE!F104&lt;=PERALTE!$AB$6),IF(RASANTE!F104&lt;=PERALTE!$S$6,-2,IF(RASANTE!F104&lt;=PERALTE!$U$6,(-6/(PERALTE!$U$6-PERALTE!$S$6)*(RASANTE!F104-PERALTE!$S$6)-2),IF(RASANTE!F104&lt;=PERALTE!$X$6,-8,IF(RASANTE!F104&lt;=PERALTE!$Z$6,(-6/(PERALTE!$X$6-PERALTE!$Z$6)*(RASANTE!F104-PERALTE!$Z$6)-2),IF(RASANTE!F104&lt;=PERALTE!$AB$6,-2))))),IF(AND(AH!$H$8="Derecha",RASANTE!F104&lt;=PERALTE!$AB$6),IF(RASANTE!F104&lt;=PERALTE!$Q$6,-2,IF(RASANTE!F104&lt;=PERALTE!$U$6,(10/(PERALTE!$U$6-PERALTE!$Q$6)*(RASANTE!F104-PERALTE!$Q$6)-2),IF(RASANTE!F104&lt;=PERALTE!$X$6,8,IF(RASANTE!F104&lt;=PERALTE!$AB$6,(10/(PERALTE!$X$6-PERALTE!$AB$6)*(RASANTE!F104-PERALTE!$AB$6)-2))))),IF(AND(AH!$H$10="Izquierda",RASANTE!F104&lt;=PERALTE!$AB$8),IF(RASANTE!F104&lt;=PERALTE!$S$8,-2,IF(RASANTE!F104&lt;=PERALTE!$U$8,(-6/(PERALTE!$U$8-PERALTE!$S$8)*(RASANTE!F104-PERALTE!$S$8)-2),IF(RASANTE!F104&lt;=PERALTE!$X$8,-8,IF(RASANTE!F104&lt;=PERALTE!$Z$8,(-6/(PERALTE!$X$8-PERALTE!$Z$8)*(RASANTE!F104-PERALTE!$Z$8)-2),IF(RASANTE!F104&lt;=PERALTE!$AB$8,-2))))),IF(AND(AH!$H$10="Derecha",RASANTE!F104&lt;=PERALTE!$AB$8),IF(RASANTE!F104&lt;=PERALTE!$Q$8,-2,IF(RASANTE!F104&lt;=PERALTE!$U$8,(10/(PERALTE!$U$8-PERALTE!$Q$8)*(RASANTE!F104-PERALTE!$Q$8)-2),IF(RASANTE!F104&lt;=PERALTE!$X$8,8,IF(RASANTE!F104&lt;=PERALTE!$AB$8,(10/(PERALTE!$X$8-PERALTE!$AB$8)*(RASANTE!F104-PERALTE!$AB$8)-2))))),IF(AND(AH!$H$12="Izquierda",RASANTE!F104&lt;=PERALTE!$AB$10),IF(RASANTE!F104&lt;=PERALTE!$S$10,-2,IF(RASANTE!F104&lt;=PERALTE!$U$10,(-6/(PERALTE!$U$10-PERALTE!$S$10)*(RASANTE!F104-PERALTE!$S$10)-2),IF(RASANTE!F104&lt;=PERALTE!$X$10,-8,IF(RASANTE!F104&lt;=PERALTE!$Z$10,(-6/(PERALTE!$X$10-PERALTE!$Z$10)*(RASANTE!F104-PERALTE!$Z$10)-2),IF(RASANTE!F104&lt;=PERALTE!$AB$10,-2))))),IF(AND(AH!$H$12="Derecha",RASANTE!F104&lt;=PERALTE!$AB$10),IF(RASANTE!F104&lt;=PERALTE!$Q$10,-2,IF(RASANTE!F104&lt;=PERALTE!$U$10,(10/(PERALTE!$U$10-PERALTE!$Q$10)*(RASANTE!F104-PERALTE!$Q$10)-2),IF(RASANTE!F104&lt;=PERALTE!$X$10,8,IF(RASANTE!F104&lt;=PERALTE!$AB$10,(10/(PERALTE!$X$10-PERALTE!$AB$10)*(RASANTE!F104-PERALTE!$AB$10)-2))))),IF(AND(AH!$H$14="Izquierda",RASANTE!F104&lt;=PERALTE!$AB$12),IF(RASANTE!F104&lt;=PERALTE!$S$12,-2,IF(RASANTE!F104&lt;=PERALTE!$U$12,(-6/(PERALTE!$U$12-PERALTE!$S$12)*(RASANTE!F104-PERALTE!$S$12)-2),IF(RASANTE!F104&lt;=PERALTE!$X$12,-8,IF(RASANTE!F104&lt;=PERALTE!$Z$12,(-6/(PERALTE!$X$12-PERALTE!$Z$12)*(RASANTE!F104-PERALTE!$Z$12)-2),IF(RASANTE!F104&lt;=PERALTE!$AB$12,-2))))),IF(AND(AH!$H$14="Derecha",RASANTE!F104&lt;=PERALTE!$AB$12),IF(RASANTE!F104&lt;=PERALTE!$Q$12,-2,IF(RASANTE!F104&lt;=PERALTE!$U$12,(10/(PERALTE!$U$12-PERALTE!$Q$12)*(RASANTE!F104-PERALTE!$Q$12)-2),IF(RASANTE!F104&lt;=PERALTE!$X$12,8,IF(RASANTE!F104&lt;=PERALTE!$AB$12,(10/(PERALTE!$X$12-PERALTE!$AB$12)*(RASANTE!F104-PERALTE!$AB$12)-2))))),IF(AND(AH!$H$16="Izquierda",RASANTE!F104&lt;=PERALTE!$AB$14),IF(RASANTE!F104&lt;=PERALTE!$S$14,-2,IF(RASANTE!F104&lt;=PERALTE!$U$14,(-6/(PERALTE!$U$14-PERALTE!$S$14)*(RASANTE!F104-PERALTE!$S$14)-2),IF(RASANTE!F104&lt;=PERALTE!$X$14,-8,IF(RASANTE!F104&lt;=PERALTE!$Z$14,(-6/(PERALTE!$X$14-PERALTE!$Z$14)*(RASANTE!F104-PERALTE!$Z$14)-2),IF(RASANTE!F104&lt;=PERALTE!$AB$14,-2))))),IF(AND(AH!$H$16="Derecha",RASANTE!F104&lt;=PERALTE!$AB$14),IF(RASANTE!F104&lt;=PERALTE!$Q$14,-2,IF(RASANTE!F104&lt;=PERALTE!$U$14,(10/(PERALTE!$U$14-PERALTE!$Q$14)*(RASANTE!F104-PERALTE!$Q$14)-2),IF(RASANTE!F104&lt;=PERALTE!$X$14,8,IF(RASANTE!F104&lt;=PERALTE!$AB$14,(10/(PERALTE!$X$14-PERALTE!$AB$14)*(RASANTE!F104-PERALTE!$AB$14)-2))))),IF(AND(AH!$H$18="Izquierda",RASANTE!F104&lt;=PERALTE!$AB$16),IF(RASANTE!F104&lt;=PERALTE!$S$16,-2,IF(RASANTE!F104&lt;=PERALTE!$U$16,(-6/(PERALTE!$U$16-PERALTE!$S$16)*(RASANTE!F104-PERALTE!$S$16)-2),IF(RASANTE!F104&lt;=PERALTE!$X$16,-8,IF(RASANTE!F104&lt;=PERALTE!$Z$16,(-6/(PERALTE!$X$16-PERALTE!$Z$16)*(RASANTE!F104-PERALTE!$Z$16)-2),IF(RASANTE!F104&lt;=PERALTE!$AB$16,-2))))),IF(AND(AH!$H$18="Derecha",RASANTE!F104&lt;=PERALTE!$AB$16),IF(RASANTE!F104&lt;=PERALTE!$Q$16,-2,IF(RASANTE!F104&lt;=PERALTE!$U$16,(10/(PERALTE!$U$16-PERALTE!$Q$16)*(RASANTE!F104-PERALTE!$Q$16)-2),IF(RASANTE!F104&lt;=PERALTE!$X$16,8,IF(RASANTE!F104&lt;=PERALTE!$AB$16,(10/(PERALTE!$X$16-PERALTE!$AB$16)*(RASANTE!F104-PERALTE!$AB$16)-2))))),IF(AND(AH!$H$20="Izquierda",RASANTE!F104&lt;=PERALTE!$AB$18),IF(RASANTE!F104&lt;=PERALTE!$S$18,-2,IF(RASANTE!F104&lt;=PERALTE!$U$18,(-6/(PERALTE!$U$18-PERALTE!$S$18)*(RASANTE!F104-PERALTE!$S$18)-2),IF(RASANTE!F104&lt;=PERALTE!$X$18,-8,IF(RASANTE!F104&lt;=PERALTE!$Z$18,(-6/(PERALTE!$X$18-PERALTE!$Z$18)*(RASANTE!F104-PERALTE!$Z$18)-2),IF(RASANTE!F104&lt;=PERALTE!$AB$18,-2))))),IF(AND(AH!$H$20="Derecha",RASANTE!F104&lt;=PERALTE!$AB$18),IF(RASANTE!F104&lt;=PERALTE!$Q$18,-2,IF(RASANTE!F104&lt;=PERALTE!$U$18,(10/(PERALTE!$U$18-PERALTE!$Q$18)*(RASANTE!F104-PERALTE!$Q$18)-2),IF(RASANTE!F104&lt;=PERALTE!$X$18,8,IF(RASANTE!F104&lt;=PERALTE!$AB$18,(10/(PERALTE!$X$18-PERALTE!$AB$18)*(RASANTE!F104-PERALTE!$AB$18)-2))))),IF(AND(AH!$H$24="Izquierda",RASANTE!F104&lt;=PERALTE!$AB$22),IF(RASANTE!F104&lt;=PERALTE!$S$22,-2,IF(RASANTE!F104&lt;=PERALTE!$U$22,(-6/(PERALTE!$U$22-PERALTE!$S$22)*(RASANTE!F104-PERALTE!$S$22)-2),IF(RASANTE!F104&lt;=PERALTE!$X$22,-8,IF(RASANTE!F104&lt;=PERALTE!$Z$22,(-6/(PERALTE!$X$22-PERALTE!$Z$22)*(RASANTE!F104-PERALTE!$Z$22)-2),IF(RASANTE!F104&lt;=PERALTE!$AB$22,-2))))),IF(AND(AH!$H$24="Derecha",RASANTE!F104&lt;=PERALTE!$AB$22),IF(RASANTE!F104&lt;=PERALTE!$Q$22,-2,IF(RASANTE!F104&lt;=PERALTE!$U$22,(10/(PERALTE!$U$22-PERALTE!$Q$22)*(RASANTE!F104-PERALTE!$Q$22)-2),IF(RASANTE!F104&lt;=PERALTE!$X$22,8,IF(RASANTE!F104&lt;=PERALTE!$AB$22,(10/(PERALTE!$X$22-PERALTE!$AB$22)*(RASANTE!F104-PERALTE!$AB$22)-2))))),IF(AND(AH!#REF!="Izquierda",RASANTE!F104&lt;=PERALTE!#REF!),IF(RASANTE!F104&lt;=PERALTE!#REF!,-2,IF(RASANTE!F104&lt;=PERALTE!#REF!,(-6/(PERALTE!#REF!-PERALTE!#REF!)*(RASANTE!F104-PERALTE!#REF!)-2),IF(RASANTE!F104&lt;=PERALTE!#REF!,-8,IF(RASANTE!F104&lt;=PERALTE!#REF!,(-6/(PERALTE!#REF!-PERALTE!#REF!)*(RASANTE!F104-PERALTE!#REF!)-2),IF(RASANTE!F104&lt;=PERALTE!#REF!,-2))))),IF(AND(AH!#REF!="Derecha",RASANTE!F104&lt;=PERALTE!#REF!),IF(RASANTE!F104&lt;=PERALTE!#REF!,-2,IF(RASANTE!F104&lt;=PERALTE!#REF!,(10/(PERALTE!#REF!-PERALTE!#REF!)*(RASANTE!F104-PERALTE!#REF!)-2),IF(RASANTE!F104&lt;=PERALTE!#REF!,8,IF(RASANTE!F104&lt;=PERALTE!#REF!,(10/(PERALTE!#REF!-PERALTE!#REF!)*(RASANTE!F104-PERALTE!#REF!)-2))))),IF(AND(AH!#REF!="Izquierda",RASANTE!F104&lt;=PERALTE!$AB$26),IF(RASANTE!F104&lt;=PERALTE!$S$26,-2,IF(RASANTE!F104&lt;=PERALTE!$U$26,(-6/(PERALTE!$U$26-PERALTE!$S$26)*(RASANTE!F104-PERALTE!$S$26)-2),IF(RASANTE!F104&lt;=PERALTE!$X$26,-8,IF(RASANTE!F104&lt;=PERALTE!$Z$26,(-6/(PERALTE!$X$26-PERALTE!$Z$26)*(RASANTE!F104-PERALTE!$Z$26)-2),IF(RASANTE!F104&lt;=PERALTE!$AB$26,-2))))),IF(AND(AH!#REF!="Derecha",RASANTE!F104&lt;=PERALTE!$AB$26),IF(RASANTE!F104&lt;=PERALTE!$Q$26,-2,IF(RASANTE!F104&lt;=PERALTE!$U$26,(10/(PERALTE!$U$26-PERALTE!$Q$26)*(RASANTE!F104-PERALTE!$Q$26)-2),IF(RASANTE!F104&lt;=PERALTE!$X$26,8,IF(RASANTE!F104&lt;=PERALTE!$AB$26,(10/(PERALTE!$X$26-PERALTE!$AB$26)*(RASANTE!F104-PERALTE!$AB$26)-2))))),IF(F104&lt;=PERALTE!#REF!,-2,"Abscisa fuera de la vía")))))))))))))))))))))</f>
        <v>-8</v>
      </c>
      <c r="I104" s="28">
        <f>+IF(AND(AH!$H$8="Derecha",RASANTE!F104&lt;=PERALTE!$AB$6),IF(RASANTE!F104&lt;=PERALTE!$S$6,-2,IF(RASANTE!F104&lt;=PERALTE!$U$6,(-6/(PERALTE!$U$6-PERALTE!$S$6)*(RASANTE!F104-PERALTE!$S$6)-2),IF(RASANTE!F104&lt;=PERALTE!$X$6,-8,IF(RASANTE!F104&lt;=PERALTE!$Z$6,(-6/(PERALTE!$X$6-PERALTE!$Z$6)*(RASANTE!F104-PERALTE!$Z$6)-2),IF(RASANTE!F104&lt;=PERALTE!$AB$6,-2))))),IF(AND(AH!$H$8="Izquierda",RASANTE!F104&lt;=PERALTE!$AB$6),IF(RASANTE!F104&lt;=PERALTE!$Q$6,-2,IF(RASANTE!F104&lt;=PERALTE!$U$6,(10/(PERALTE!$U$6-PERALTE!$Q$6)*(RASANTE!F104-PERALTE!$Q$6)-2),IF(RASANTE!F104&lt;=PERALTE!$X$6,8,IF(RASANTE!F104&lt;=PERALTE!$AB$6,(10/(PERALTE!$X$6-PERALTE!$AB$6)*(RASANTE!F104-PERALTE!$AB$6)-2))))),IF(AND(AH!$H$10="Derecha",RASANTE!F104&lt;=PERALTE!$AB$8),IF(RASANTE!F104&lt;=PERALTE!$S$8,-2,IF(RASANTE!F104&lt;=PERALTE!$U$8,(-6/(PERALTE!$U$8-PERALTE!$S$8)*(RASANTE!F104-PERALTE!$S$8)-2),IF(RASANTE!F104&lt;=PERALTE!$X$8,-8,IF(RASANTE!F104&lt;=PERALTE!$Z$8,(-6/(PERALTE!$X$8-PERALTE!$Z$8)*(RASANTE!F104-PERALTE!$Z$8)-2),IF(RASANTE!F104&lt;=PERALTE!$AB$8,-2))))),IF(AND(AH!$H$10="Izquierda",RASANTE!F104&lt;=PERALTE!$AB$8),IF(RASANTE!F104&lt;=PERALTE!$Q$8,-2,IF(RASANTE!F104&lt;=PERALTE!$U$8,(10/(PERALTE!$U$8-PERALTE!$Q$8)*(RASANTE!F104-PERALTE!$Q$8)-2),IF(RASANTE!F104&lt;=PERALTE!$X$8,8,IF(RASANTE!F104&lt;=PERALTE!$AB$8,(10/(PERALTE!$X$8-PERALTE!$AB$8)*(RASANTE!F104-PERALTE!$AB$8)-2))))),IF(AND(AH!$H$12="Derecha",RASANTE!F104&lt;=PERALTE!$AB$10),IF(RASANTE!F104&lt;=PERALTE!$S$10,-2,IF(RASANTE!F104&lt;=PERALTE!$U$10,(-6/(PERALTE!$U$10-PERALTE!$S$10)*(RASANTE!F104-PERALTE!$S$10)-2),IF(RASANTE!F104&lt;=PERALTE!$X$10,-8,IF(RASANTE!F104&lt;=PERALTE!$Z$10,(-6/(PERALTE!$X$10-PERALTE!$Z$10)*(RASANTE!F104-PERALTE!$Z$10)-2),IF(RASANTE!F104&lt;=PERALTE!$AB$10,-2))))),IF(AND(AH!$H$12="Izquierda",RASANTE!F104&lt;=PERALTE!$AB$10),IF(RASANTE!F104&lt;=PERALTE!$Q$10,-2,IF(RASANTE!F104&lt;=PERALTE!$U$10,(10/(PERALTE!$U$10-PERALTE!$Q$10)*(RASANTE!F104-PERALTE!$Q$10)-2),IF(RASANTE!F104&lt;=PERALTE!$X$10,8,IF(RASANTE!F104&lt;=PERALTE!$AB$10,(10/(PERALTE!$X$10-PERALTE!$AB$10)*(RASANTE!F104-PERALTE!$AB$10)-2))))),IF(AND(AH!$H$14="Derecha",RASANTE!F104&lt;=PERALTE!$AB$12),IF(RASANTE!F104&lt;=PERALTE!$S$12,-2,IF(RASANTE!F104&lt;=PERALTE!$U$12,(-6/(PERALTE!$U$12-PERALTE!$S$12)*(RASANTE!F104-PERALTE!$S$12)-2),IF(RASANTE!F104&lt;=PERALTE!$X$12,-8,IF(RASANTE!F104&lt;=PERALTE!$Z$12,(-6/(PERALTE!$X$12-PERALTE!$Z$12)*(RASANTE!F104-PERALTE!$Z$12)-2),IF(RASANTE!F104&lt;=PERALTE!$AB$12,-2))))),IF(AND(AH!$H$14="Izquierda",RASANTE!F104&lt;=PERALTE!$AB$12),IF(RASANTE!F104&lt;=PERALTE!$Q$12,-2,IF(RASANTE!F104&lt;=PERALTE!$U$12,(10/(PERALTE!$U$12-PERALTE!$Q$12)*(RASANTE!F104-PERALTE!$Q$12)-2),IF(RASANTE!F104&lt;=PERALTE!$X$12,8,IF(RASANTE!F104&lt;=PERALTE!$AB$12,(10/(PERALTE!$X$12-PERALTE!$AB$12)*(RASANTE!F104-PERALTE!$AB$12)-2))))),IF(AND(AH!$H$16="Derecha",RASANTE!F104&lt;=PERALTE!$AB$14),IF(RASANTE!F104&lt;=PERALTE!$S$14,-2,IF(RASANTE!F104&lt;=PERALTE!$U$14,(-6/(PERALTE!$U$14-PERALTE!$S$14)*(RASANTE!F104-PERALTE!$S$14)-2),IF(RASANTE!F104&lt;=PERALTE!$X$14,-8,IF(RASANTE!F104&lt;=PERALTE!$Z$14,(-6/(PERALTE!$X$14-PERALTE!$Z$14)*(RASANTE!F104-PERALTE!$Z$14)-2),IF(RASANTE!F104&lt;=PERALTE!$AB$14,-2))))),IF(AND(AH!$H$16="Izquierda",RASANTE!F104&lt;=PERALTE!$AB$14),IF(RASANTE!F104&lt;=PERALTE!$Q$14,-2,IF(RASANTE!F104&lt;=PERALTE!$U$14,(10/(PERALTE!$U$14-PERALTE!$Q$14)*(RASANTE!F104-PERALTE!$Q$14)-2),IF(RASANTE!F104&lt;=PERALTE!$X$14,8,IF(RASANTE!F104&lt;=PERALTE!$AB$14,(10/(PERALTE!$X$14-PERALTE!$AB$14)*(RASANTE!F104-PERALTE!$AB$14)-2))))),IF(AND(AH!$H$18="Derecha",RASANTE!F104&lt;=PERALTE!$AB$16),IF(RASANTE!F104&lt;=PERALTE!$S$16,-2,IF(RASANTE!F104&lt;=PERALTE!$U$16,(-6/(PERALTE!$U$16-PERALTE!$S$16)*(RASANTE!F104-PERALTE!$S$16)-2),IF(RASANTE!F104&lt;=PERALTE!$X$16,-8,IF(RASANTE!F104&lt;=PERALTE!$Z$16,(-6/(PERALTE!$X$16-PERALTE!$Z$16)*(RASANTE!F104-PERALTE!$Z$16)-2),IF(RASANTE!F104&lt;=PERALTE!$AB$16,-2))))),IF(AND(AH!$H$18="Izquierda",RASANTE!F104&lt;=PERALTE!$AB$16),IF(RASANTE!F104&lt;=PERALTE!$Q$16,-2,IF(RASANTE!F104&lt;=PERALTE!$U$16,(10/(PERALTE!$U$16-PERALTE!$Q$16)*(RASANTE!F104-PERALTE!$Q$16)-2),IF(RASANTE!F104&lt;=PERALTE!$X$16,8,IF(RASANTE!F104&lt;=PERALTE!$AB$16,(10/(PERALTE!$X$16-PERALTE!$AB$16)*(RASANTE!F104-PERALTE!$AB$16)-2))))),IF(AND(AH!$H$20="Derecha",RASANTE!F104&lt;=PERALTE!$AB$18),IF(RASANTE!F104&lt;=PERALTE!$S$18,-2,IF(RASANTE!F104&lt;=PERALTE!$U$18,(-6/(PERALTE!$U$18-PERALTE!$S$18)*(RASANTE!F104-PERALTE!$S$18)-2),IF(RASANTE!F104&lt;=PERALTE!$X$18,-8,IF(RASANTE!F104&lt;=PERALTE!$Z$18,(-6/(PERALTE!$X$18-PERALTE!$Z$18)*(RASANTE!F104-PERALTE!$Z$18)-2),IF(RASANTE!F104&lt;=PERALTE!$AB$18,-2))))),IF(AND(AH!$H$20="Izquierda",RASANTE!F104&lt;=PERALTE!$AB$18),IF(RASANTE!F104&lt;=PERALTE!$Q$18,-2,IF(RASANTE!F104&lt;=PERALTE!$U$18,(10/(PERALTE!$U$18-PERALTE!$Q$18)*(RASANTE!F104-PERALTE!$Q$18)-2),IF(RASANTE!F104&lt;=PERALTE!$X$18,8,IF(RASANTE!F104&lt;=PERALTE!$AB$18,(10/(PERALTE!$X$18-PERALTE!$AB$18)*(RASANTE!F104-PERALTE!$AB$18)-2))))),IF(AND(AH!$H$24="Derecha",RASANTE!F104&lt;=PERALTE!$AB$22),IF(RASANTE!F104&lt;=PERALTE!$S$22,-2,IF(RASANTE!F104&lt;=PERALTE!$U$22,(-6/(PERALTE!$U$22-PERALTE!$S$22)*(RASANTE!F104-PERALTE!$S$22)-2),IF(RASANTE!F104&lt;=PERALTE!$X$22,-8,IF(RASANTE!F104&lt;=PERALTE!$Z$22,(-6/(PERALTE!$X$22-PERALTE!$Z$22)*(RASANTE!F104-PERALTE!$Z$22)-2),IF(RASANTE!F104&lt;=PERALTE!$AB$22,-2))))),IF(AND(AH!$H$24="Izquierda",RASANTE!F104&lt;=PERALTE!$AB$22),IF(RASANTE!F104&lt;=PERALTE!$Q$22,-2,IF(RASANTE!F104&lt;=PERALTE!$U$22,(10/(PERALTE!$U$22-PERALTE!$Q$22)*(RASANTE!F104-PERALTE!$Q$22)-2),IF(RASANTE!F104&lt;=PERALTE!$X$22,8,IF(RASANTE!F104&lt;=PERALTE!$AB$22,(10/(PERALTE!$X$22-PERALTE!$AB$22)*(RASANTE!F104-PERALTE!$AB$22)-2))))),IF(AND(AH!#REF!="Derecha",RASANTE!F104&lt;=PERALTE!#REF!),IF(RASANTE!F104&lt;=PERALTE!#REF!,-2,IF(RASANTE!F104&lt;=PERALTE!#REF!,(-6/(PERALTE!#REF!-PERALTE!#REF!)*(RASANTE!F104-PERALTE!#REF!)-2),IF(RASANTE!F104&lt;=PERALTE!#REF!,-8,IF(RASANTE!F104&lt;=PERALTE!#REF!,(-6/(PERALTE!#REF!-PERALTE!#REF!)*(RASANTE!F104-PERALTE!#REF!)-2),IF(RASANTE!F104&lt;=PERALTE!#REF!,-2))))),IF(AND(AH!#REF!="Izquierda",RASANTE!F104&lt;=PERALTE!#REF!),IF(RASANTE!F104&lt;=PERALTE!#REF!,-2,IF(RASANTE!F104&lt;=PERALTE!#REF!,(10/(PERALTE!#REF!-PERALTE!#REF!)*(RASANTE!F104-PERALTE!#REF!)-2),IF(RASANTE!F104&lt;=PERALTE!#REF!,8,IF(RASANTE!F104&lt;=PERALTE!#REF!,(10/(PERALTE!#REF!-PERALTE!#REF!)*(RASANTE!F104-PERALTE!#REF!)-2))))),IF(AND(AH!#REF!="Derecha",RASANTE!F104&lt;=PERALTE!$AB$26),IF(RASANTE!F104&lt;=PERALTE!$S$26,-2,IF(RASANTE!F104&lt;=PERALTE!$U$26,(-6/(PERALTE!$U$26-PERALTE!$S$26)*(RASANTE!F104-PERALTE!$S$26)-2),IF(RASANTE!F104&lt;=PERALTE!$X$26,-8,IF(RASANTE!F104&lt;=PERALTE!$Z$26,(-6/(PERALTE!$X$26-PERALTE!$Z$26)*(RASANTE!F104-PERALTE!$Z$26)-2),IF(RASANTE!F104&lt;=PERALTE!$AB$26,-2))))),IF(AND(AH!#REF!="Izquierda",RASANTE!F104&lt;=PERALTE!$AB$26),IF(RASANTE!F104&lt;=PERALTE!$Q$26,-2,IF(RASANTE!F104&lt;=PERALTE!$U$26,(10/(PERALTE!$U$26-PERALTE!$Q$26)*(RASANTE!F104-PERALTE!$Q$26)-2),IF(RASANTE!F104&lt;=PERALTE!$X$26,8,IF(RASANTE!F104&lt;=PERALTE!$AB$26,(10/(PERALTE!$X$26-PERALTE!$AB$26)*(RASANTE!F104-PERALTE!$AB$26)-2))))),IF(F104&lt;=PERALTE!#REF!,-2,"Abscisa fuera de la vía")))))))))))))))))))))</f>
        <v>8</v>
      </c>
      <c r="J104" s="28">
        <f t="shared" si="4"/>
        <v>1632.0498547405666</v>
      </c>
      <c r="K104" s="28">
        <f>+IF(AND(AV!$S$6&lt;F201,F201&lt;=AV!$T$6),AV!$P$6*((AV!$S$6-RASANTE!F201)/(AV!$N$6))^2,IF(AND(AV!$T$6&lt;RASANTE!F201,F201&lt;AV!$U$6),AV!$P$6*((AV!$U$6-RASANTE!F201)/(AV!$O$6))^2,IF(AND(AV!$S$8&lt;F201,F201&lt;=AV!$T$8),AV!$P$8*((AV!$S$8-RASANTE!F201)/(AV!$N$8))^2,IF(AND(AV!$T$8&lt;RASANTE!F201,F201&lt;AV!$U$8),AV!$P$8*((AV!$U$8-RASANTE!F201)/(AV!$O$8))^2,IF(AND(AV!$S$10&lt;F201,F201&lt;=AV!$T$10),AV!$P$10*((AV!$S$10-RASANTE!F201)/(AV!$N$10))^2,IF(AND(AV!$T$10&lt;RASANTE!F201,F201&lt;AV!$U$10),AV!$P$10*((AV!$U$10-RASANTE!F201)/(AV!$O$10))^2,IF(AND(AV!$S$12&lt;F201,F201&lt;=AV!$T$12),AV!$P$12*((AV!$S$12-RASANTE!F201)/(AV!$N$12))^2,IF(AND(AV!$T$12&lt;RASANTE!F201,F201&lt;AV!$U$12),AV!$P$12*((AV!$U$12-RASANTE!F201)/(AV!$O$12))^2,IF(AND(AV!$S$14&lt;F201,F201&lt;=AV!$T$14),AV!$P$14*((AV!$S$14-RASANTE!F201)/(AV!$N$14))^2,IF(AND(AV!$T$14&lt;RASANTE!F201,F201&lt;AV!$U$14),AV!$P$14*((AV!$U$14-RASANTE!F201)/(AV!$O$14))^2,IF(AND(AV!$S$16&lt;F201,F201&lt;=AV!$T$16),AV!$P$16*((AV!$S$16-RASANTE!F201)/(AV!$N$16))^2,IF(AND(AV!$T$16&lt;RASANTE!F201,F201&lt;AV!$U$16),AV!$P$16*((AV!$U$16-RASANTE!F201)/(AV!$O$16))^2,IF(AND(AV!$S$18&lt;F201,F201&lt;=AV!$T$18),AV!$P$18*((AV!$S$18-RASANTE!F201)/(AV!$N$18))^2,IF(AND(AV!$T$18&lt;RASANTE!F201,F201&lt;AV!$U$18),AV!$P$18*((AV!$U$18-RASANTE!F201)/(AV!$O$18))^2,IF(AND(AV!$S$20&lt;F201,F201&lt;=AV!$T$20),AV!$P$20*((AV!$S$20-RASANTE!F201)/(AV!$N$20))^2,IF(AND(AV!$T$20&lt;RASANTE!F201,F201&lt;AV!$U$20),AV!$P$20*((AV!$U$20-RASANTE!F201)/(AV!$O$20))^2,IF(AND(AV!$S$22&lt;F201,F201&lt;=AV!$T$22),AV!$P$22*((AV!$S$22-RASANTE!F201)/(AV!$N$22))^2,IF(AND(AV!$T$22&lt;RASANTE!F201,F201&lt;AV!$U$22),AV!$P$22*((AV!$U$22-RASANTE!F201)/(AV!$O$22))^2,IF(AND(AV!$S$24&lt;F201,F201&lt;=AV!$T$24),AV!$P$24*((AV!$S$24-RASANTE!F201)/(AV!$N$24))^2,IF(AND(AV!$T$24&lt;RASANTE!F201,F201&lt;AV!$U$24),AV!$P$24*((AV!$U$24-RASANTE!F201)/(AV!$O$24))^2,0))))))))))))))))))))</f>
        <v>-0.20249999999999996</v>
      </c>
      <c r="L104" s="28">
        <f>+M104+H104%*PERALTE!$C$32</f>
        <v>1631.5673547405665</v>
      </c>
      <c r="M104" s="28">
        <f t="shared" si="3"/>
        <v>1631.8473547405665</v>
      </c>
      <c r="N104" s="28">
        <f>+M104+I104%*PERALTE!$C$32</f>
        <v>1632.1273547405665</v>
      </c>
      <c r="O104" s="92"/>
      <c r="P104" s="84"/>
      <c r="Q104" s="84"/>
      <c r="R104" s="84"/>
      <c r="S104" s="84"/>
      <c r="T104" s="84"/>
      <c r="U104" s="84"/>
      <c r="V104" s="84"/>
      <c r="W104" s="84"/>
      <c r="X104" s="84"/>
      <c r="Y104" s="84"/>
    </row>
    <row r="105" spans="1:25" ht="15.75" customHeight="1" x14ac:dyDescent="0.2">
      <c r="A105" s="109" t="s">
        <v>203</v>
      </c>
      <c r="B105" s="388" t="s">
        <v>204</v>
      </c>
      <c r="C105" s="365"/>
      <c r="D105" s="360"/>
      <c r="E105" s="115"/>
      <c r="F105" s="34">
        <f>PERALTE!V10</f>
        <v>657.8848419811444</v>
      </c>
      <c r="G105" s="88">
        <f>IF(F105&lt;=AV!$T$6,AV!$C$5,IF(RASANTE!F105&lt;=AV!$T$8,AV!$C$7,IF(RASANTE!F105&lt;=AV!$T$10,AV!$C$9,IF(RASANTE!F105&lt;=AV!$T$12,AV!#REF!,IF(RASANTE!F105&lt;=AV!$T$14,AV!$C$11,IF(RASANTE!F105&lt;=AV!$T$16,AV!$C$13, IF(RASANTE!F105&lt;=AV!$T$18,AV!$C$15,IF(RASANTE!F105&lt;=AV!$T$20,AV!$C$19,IF(RASANTE!F105&lt;=AV!$T$22,AV!$C$21,IF(RASANTE!F105&lt;=AV!$T$24,AV!$C$23,AV!$C$25))))))))))</f>
        <v>-3</v>
      </c>
      <c r="H105" s="28">
        <f>+IF(AND(AH!$H$8="Izquierda",RASANTE!F105&lt;=PERALTE!$AB$6),IF(RASANTE!F105&lt;=PERALTE!$S$6,-2,IF(RASANTE!F105&lt;=PERALTE!$U$6,(-6/(PERALTE!$U$6-PERALTE!$S$6)*(RASANTE!F105-PERALTE!$S$6)-2),IF(RASANTE!F105&lt;=PERALTE!$X$6,-8,IF(RASANTE!F105&lt;=PERALTE!$Z$6,(-6/(PERALTE!$X$6-PERALTE!$Z$6)*(RASANTE!F105-PERALTE!$Z$6)-2),IF(RASANTE!F105&lt;=PERALTE!$AB$6,-2))))),IF(AND(AH!$H$8="Derecha",RASANTE!F105&lt;=PERALTE!$AB$6),IF(RASANTE!F105&lt;=PERALTE!$Q$6,-2,IF(RASANTE!F105&lt;=PERALTE!$U$6,(10/(PERALTE!$U$6-PERALTE!$Q$6)*(RASANTE!F105-PERALTE!$Q$6)-2),IF(RASANTE!F105&lt;=PERALTE!$X$6,8,IF(RASANTE!F105&lt;=PERALTE!$AB$6,(10/(PERALTE!$X$6-PERALTE!$AB$6)*(RASANTE!F105-PERALTE!$AB$6)-2))))),IF(AND(AH!$H$10="Izquierda",RASANTE!F105&lt;=PERALTE!$AB$8),IF(RASANTE!F105&lt;=PERALTE!$S$8,-2,IF(RASANTE!F105&lt;=PERALTE!$U$8,(-6/(PERALTE!$U$8-PERALTE!$S$8)*(RASANTE!F105-PERALTE!$S$8)-2),IF(RASANTE!F105&lt;=PERALTE!$X$8,-8,IF(RASANTE!F105&lt;=PERALTE!$Z$8,(-6/(PERALTE!$X$8-PERALTE!$Z$8)*(RASANTE!F105-PERALTE!$Z$8)-2),IF(RASANTE!F105&lt;=PERALTE!$AB$8,-2))))),IF(AND(AH!$H$10="Derecha",RASANTE!F105&lt;=PERALTE!$AB$8),IF(RASANTE!F105&lt;=PERALTE!$Q$8,-2,IF(RASANTE!F105&lt;=PERALTE!$U$8,(10/(PERALTE!$U$8-PERALTE!$Q$8)*(RASANTE!F105-PERALTE!$Q$8)-2),IF(RASANTE!F105&lt;=PERALTE!$X$8,8,IF(RASANTE!F105&lt;=PERALTE!$AB$8,(10/(PERALTE!$X$8-PERALTE!$AB$8)*(RASANTE!F105-PERALTE!$AB$8)-2))))),IF(AND(AH!$H$12="Izquierda",RASANTE!F105&lt;=PERALTE!$AB$10),IF(RASANTE!F105&lt;=PERALTE!$S$10,-2,IF(RASANTE!F105&lt;=PERALTE!$U$10,(-6/(PERALTE!$U$10-PERALTE!$S$10)*(RASANTE!F105-PERALTE!$S$10)-2),IF(RASANTE!F105&lt;=PERALTE!$X$10,-8,IF(RASANTE!F105&lt;=PERALTE!$Z$10,(-6/(PERALTE!$X$10-PERALTE!$Z$10)*(RASANTE!F105-PERALTE!$Z$10)-2),IF(RASANTE!F105&lt;=PERALTE!$AB$10,-2))))),IF(AND(AH!$H$12="Derecha",RASANTE!F105&lt;=PERALTE!$AB$10),IF(RASANTE!F105&lt;=PERALTE!$Q$10,-2,IF(RASANTE!F105&lt;=PERALTE!$U$10,(10/(PERALTE!$U$10-PERALTE!$Q$10)*(RASANTE!F105-PERALTE!$Q$10)-2),IF(RASANTE!F105&lt;=PERALTE!$X$10,8,IF(RASANTE!F105&lt;=PERALTE!$AB$10,(10/(PERALTE!$X$10-PERALTE!$AB$10)*(RASANTE!F105-PERALTE!$AB$10)-2))))),IF(AND(AH!$H$14="Izquierda",RASANTE!F105&lt;=PERALTE!$AB$12),IF(RASANTE!F105&lt;=PERALTE!$S$12,-2,IF(RASANTE!F105&lt;=PERALTE!$U$12,(-6/(PERALTE!$U$12-PERALTE!$S$12)*(RASANTE!F105-PERALTE!$S$12)-2),IF(RASANTE!F105&lt;=PERALTE!$X$12,-8,IF(RASANTE!F105&lt;=PERALTE!$Z$12,(-6/(PERALTE!$X$12-PERALTE!$Z$12)*(RASANTE!F105-PERALTE!$Z$12)-2),IF(RASANTE!F105&lt;=PERALTE!$AB$12,-2))))),IF(AND(AH!$H$14="Derecha",RASANTE!F105&lt;=PERALTE!$AB$12),IF(RASANTE!F105&lt;=PERALTE!$Q$12,-2,IF(RASANTE!F105&lt;=PERALTE!$U$12,(10/(PERALTE!$U$12-PERALTE!$Q$12)*(RASANTE!F105-PERALTE!$Q$12)-2),IF(RASANTE!F105&lt;=PERALTE!$X$12,8,IF(RASANTE!F105&lt;=PERALTE!$AB$12,(10/(PERALTE!$X$12-PERALTE!$AB$12)*(RASANTE!F105-PERALTE!$AB$12)-2))))),IF(AND(AH!$H$16="Izquierda",RASANTE!F105&lt;=PERALTE!$AB$14),IF(RASANTE!F105&lt;=PERALTE!$S$14,-2,IF(RASANTE!F105&lt;=PERALTE!$U$14,(-6/(PERALTE!$U$14-PERALTE!$S$14)*(RASANTE!F105-PERALTE!$S$14)-2),IF(RASANTE!F105&lt;=PERALTE!$X$14,-8,IF(RASANTE!F105&lt;=PERALTE!$Z$14,(-6/(PERALTE!$X$14-PERALTE!$Z$14)*(RASANTE!F105-PERALTE!$Z$14)-2),IF(RASANTE!F105&lt;=PERALTE!$AB$14,-2))))),IF(AND(AH!$H$16="Derecha",RASANTE!F105&lt;=PERALTE!$AB$14),IF(RASANTE!F105&lt;=PERALTE!$Q$14,-2,IF(RASANTE!F105&lt;=PERALTE!$U$14,(10/(PERALTE!$U$14-PERALTE!$Q$14)*(RASANTE!F105-PERALTE!$Q$14)-2),IF(RASANTE!F105&lt;=PERALTE!$X$14,8,IF(RASANTE!F105&lt;=PERALTE!$AB$14,(10/(PERALTE!$X$14-PERALTE!$AB$14)*(RASANTE!F105-PERALTE!$AB$14)-2))))),IF(AND(AH!$H$18="Izquierda",RASANTE!F105&lt;=PERALTE!$AB$16),IF(RASANTE!F105&lt;=PERALTE!$S$16,-2,IF(RASANTE!F105&lt;=PERALTE!$U$16,(-6/(PERALTE!$U$16-PERALTE!$S$16)*(RASANTE!F105-PERALTE!$S$16)-2),IF(RASANTE!F105&lt;=PERALTE!$X$16,-8,IF(RASANTE!F105&lt;=PERALTE!$Z$16,(-6/(PERALTE!$X$16-PERALTE!$Z$16)*(RASANTE!F105-PERALTE!$Z$16)-2),IF(RASANTE!F105&lt;=PERALTE!$AB$16,-2))))),IF(AND(AH!$H$18="Derecha",RASANTE!F105&lt;=PERALTE!$AB$16),IF(RASANTE!F105&lt;=PERALTE!$Q$16,-2,IF(RASANTE!F105&lt;=PERALTE!$U$16,(10/(PERALTE!$U$16-PERALTE!$Q$16)*(RASANTE!F105-PERALTE!$Q$16)-2),IF(RASANTE!F105&lt;=PERALTE!$X$16,8,IF(RASANTE!F105&lt;=PERALTE!$AB$16,(10/(PERALTE!$X$16-PERALTE!$AB$16)*(RASANTE!F105-PERALTE!$AB$16)-2))))),IF(AND(AH!$H$20="Izquierda",RASANTE!F105&lt;=PERALTE!$AB$18),IF(RASANTE!F105&lt;=PERALTE!$S$18,-2,IF(RASANTE!F105&lt;=PERALTE!$U$18,(-6/(PERALTE!$U$18-PERALTE!$S$18)*(RASANTE!F105-PERALTE!$S$18)-2),IF(RASANTE!F105&lt;=PERALTE!$X$18,-8,IF(RASANTE!F105&lt;=PERALTE!$Z$18,(-6/(PERALTE!$X$18-PERALTE!$Z$18)*(RASANTE!F105-PERALTE!$Z$18)-2),IF(RASANTE!F105&lt;=PERALTE!$AB$18,-2))))),IF(AND(AH!$H$20="Derecha",RASANTE!F105&lt;=PERALTE!$AB$18),IF(RASANTE!F105&lt;=PERALTE!$Q$18,-2,IF(RASANTE!F105&lt;=PERALTE!$U$18,(10/(PERALTE!$U$18-PERALTE!$Q$18)*(RASANTE!F105-PERALTE!$Q$18)-2),IF(RASANTE!F105&lt;=PERALTE!$X$18,8,IF(RASANTE!F105&lt;=PERALTE!$AB$18,(10/(PERALTE!$X$18-PERALTE!$AB$18)*(RASANTE!F105-PERALTE!$AB$18)-2))))),IF(AND(AH!$H$24="Izquierda",RASANTE!F105&lt;=PERALTE!$AB$22),IF(RASANTE!F105&lt;=PERALTE!$S$22,-2,IF(RASANTE!F105&lt;=PERALTE!$U$22,(-6/(PERALTE!$U$22-PERALTE!$S$22)*(RASANTE!F105-PERALTE!$S$22)-2),IF(RASANTE!F105&lt;=PERALTE!$X$22,-8,IF(RASANTE!F105&lt;=PERALTE!$Z$22,(-6/(PERALTE!$X$22-PERALTE!$Z$22)*(RASANTE!F105-PERALTE!$Z$22)-2),IF(RASANTE!F105&lt;=PERALTE!$AB$22,-2))))),IF(AND(AH!$H$24="Derecha",RASANTE!F105&lt;=PERALTE!$AB$22),IF(RASANTE!F105&lt;=PERALTE!$Q$22,-2,IF(RASANTE!F105&lt;=PERALTE!$U$22,(10/(PERALTE!$U$22-PERALTE!$Q$22)*(RASANTE!F105-PERALTE!$Q$22)-2),IF(RASANTE!F105&lt;=PERALTE!$X$22,8,IF(RASANTE!F105&lt;=PERALTE!$AB$22,(10/(PERALTE!$X$22-PERALTE!$AB$22)*(RASANTE!F105-PERALTE!$AB$22)-2))))),IF(AND(AH!#REF!="Izquierda",RASANTE!F105&lt;=PERALTE!#REF!),IF(RASANTE!F105&lt;=PERALTE!#REF!,-2,IF(RASANTE!F105&lt;=PERALTE!#REF!,(-6/(PERALTE!#REF!-PERALTE!#REF!)*(RASANTE!F105-PERALTE!#REF!)-2),IF(RASANTE!F105&lt;=PERALTE!#REF!,-8,IF(RASANTE!F105&lt;=PERALTE!#REF!,(-6/(PERALTE!#REF!-PERALTE!#REF!)*(RASANTE!F105-PERALTE!#REF!)-2),IF(RASANTE!F105&lt;=PERALTE!#REF!,-2))))),IF(AND(AH!#REF!="Derecha",RASANTE!F105&lt;=PERALTE!#REF!),IF(RASANTE!F105&lt;=PERALTE!#REF!,-2,IF(RASANTE!F105&lt;=PERALTE!#REF!,(10/(PERALTE!#REF!-PERALTE!#REF!)*(RASANTE!F105-PERALTE!#REF!)-2),IF(RASANTE!F105&lt;=PERALTE!#REF!,8,IF(RASANTE!F105&lt;=PERALTE!#REF!,(10/(PERALTE!#REF!-PERALTE!#REF!)*(RASANTE!F105-PERALTE!#REF!)-2))))),IF(AND(AH!#REF!="Izquierda",RASANTE!F105&lt;=PERALTE!$AB$26),IF(RASANTE!F105&lt;=PERALTE!$S$26,-2,IF(RASANTE!F105&lt;=PERALTE!$U$26,(-6/(PERALTE!$U$26-PERALTE!$S$26)*(RASANTE!F105-PERALTE!$S$26)-2),IF(RASANTE!F105&lt;=PERALTE!$X$26,-8,IF(RASANTE!F105&lt;=PERALTE!$Z$26,(-6/(PERALTE!$X$26-PERALTE!$Z$26)*(RASANTE!F105-PERALTE!$Z$26)-2),IF(RASANTE!F105&lt;=PERALTE!$AB$26,-2))))),IF(AND(AH!#REF!="Derecha",RASANTE!F105&lt;=PERALTE!$AB$26),IF(RASANTE!F105&lt;=PERALTE!$Q$26,-2,IF(RASANTE!F105&lt;=PERALTE!$U$26,(10/(PERALTE!$U$26-PERALTE!$Q$26)*(RASANTE!F105-PERALTE!$Q$26)-2),IF(RASANTE!F105&lt;=PERALTE!$X$26,8,IF(RASANTE!F105&lt;=PERALTE!$AB$26,(10/(PERALTE!$X$26-PERALTE!$AB$26)*(RASANTE!F105-PERALTE!$AB$26)-2))))),IF(F105&lt;=PERALTE!#REF!,-2,"Abscisa fuera de la vía")))))))))))))))))))))</f>
        <v>-8</v>
      </c>
      <c r="I105" s="28">
        <f>+IF(AND(AH!$H$8="Derecha",RASANTE!F105&lt;=PERALTE!$AB$6),IF(RASANTE!F105&lt;=PERALTE!$S$6,-2,IF(RASANTE!F105&lt;=PERALTE!$U$6,(-6/(PERALTE!$U$6-PERALTE!$S$6)*(RASANTE!F105-PERALTE!$S$6)-2),IF(RASANTE!F105&lt;=PERALTE!$X$6,-8,IF(RASANTE!F105&lt;=PERALTE!$Z$6,(-6/(PERALTE!$X$6-PERALTE!$Z$6)*(RASANTE!F105-PERALTE!$Z$6)-2),IF(RASANTE!F105&lt;=PERALTE!$AB$6,-2))))),IF(AND(AH!$H$8="Izquierda",RASANTE!F105&lt;=PERALTE!$AB$6),IF(RASANTE!F105&lt;=PERALTE!$Q$6,-2,IF(RASANTE!F105&lt;=PERALTE!$U$6,(10/(PERALTE!$U$6-PERALTE!$Q$6)*(RASANTE!F105-PERALTE!$Q$6)-2),IF(RASANTE!F105&lt;=PERALTE!$X$6,8,IF(RASANTE!F105&lt;=PERALTE!$AB$6,(10/(PERALTE!$X$6-PERALTE!$AB$6)*(RASANTE!F105-PERALTE!$AB$6)-2))))),IF(AND(AH!$H$10="Derecha",RASANTE!F105&lt;=PERALTE!$AB$8),IF(RASANTE!F105&lt;=PERALTE!$S$8,-2,IF(RASANTE!F105&lt;=PERALTE!$U$8,(-6/(PERALTE!$U$8-PERALTE!$S$8)*(RASANTE!F105-PERALTE!$S$8)-2),IF(RASANTE!F105&lt;=PERALTE!$X$8,-8,IF(RASANTE!F105&lt;=PERALTE!$Z$8,(-6/(PERALTE!$X$8-PERALTE!$Z$8)*(RASANTE!F105-PERALTE!$Z$8)-2),IF(RASANTE!F105&lt;=PERALTE!$AB$8,-2))))),IF(AND(AH!$H$10="Izquierda",RASANTE!F105&lt;=PERALTE!$AB$8),IF(RASANTE!F105&lt;=PERALTE!$Q$8,-2,IF(RASANTE!F105&lt;=PERALTE!$U$8,(10/(PERALTE!$U$8-PERALTE!$Q$8)*(RASANTE!F105-PERALTE!$Q$8)-2),IF(RASANTE!F105&lt;=PERALTE!$X$8,8,IF(RASANTE!F105&lt;=PERALTE!$AB$8,(10/(PERALTE!$X$8-PERALTE!$AB$8)*(RASANTE!F105-PERALTE!$AB$8)-2))))),IF(AND(AH!$H$12="Derecha",RASANTE!F105&lt;=PERALTE!$AB$10),IF(RASANTE!F105&lt;=PERALTE!$S$10,-2,IF(RASANTE!F105&lt;=PERALTE!$U$10,(-6/(PERALTE!$U$10-PERALTE!$S$10)*(RASANTE!F105-PERALTE!$S$10)-2),IF(RASANTE!F105&lt;=PERALTE!$X$10,-8,IF(RASANTE!F105&lt;=PERALTE!$Z$10,(-6/(PERALTE!$X$10-PERALTE!$Z$10)*(RASANTE!F105-PERALTE!$Z$10)-2),IF(RASANTE!F105&lt;=PERALTE!$AB$10,-2))))),IF(AND(AH!$H$12="Izquierda",RASANTE!F105&lt;=PERALTE!$AB$10),IF(RASANTE!F105&lt;=PERALTE!$Q$10,-2,IF(RASANTE!F105&lt;=PERALTE!$U$10,(10/(PERALTE!$U$10-PERALTE!$Q$10)*(RASANTE!F105-PERALTE!$Q$10)-2),IF(RASANTE!F105&lt;=PERALTE!$X$10,8,IF(RASANTE!F105&lt;=PERALTE!$AB$10,(10/(PERALTE!$X$10-PERALTE!$AB$10)*(RASANTE!F105-PERALTE!$AB$10)-2))))),IF(AND(AH!$H$14="Derecha",RASANTE!F105&lt;=PERALTE!$AB$12),IF(RASANTE!F105&lt;=PERALTE!$S$12,-2,IF(RASANTE!F105&lt;=PERALTE!$U$12,(-6/(PERALTE!$U$12-PERALTE!$S$12)*(RASANTE!F105-PERALTE!$S$12)-2),IF(RASANTE!F105&lt;=PERALTE!$X$12,-8,IF(RASANTE!F105&lt;=PERALTE!$Z$12,(-6/(PERALTE!$X$12-PERALTE!$Z$12)*(RASANTE!F105-PERALTE!$Z$12)-2),IF(RASANTE!F105&lt;=PERALTE!$AB$12,-2))))),IF(AND(AH!$H$14="Izquierda",RASANTE!F105&lt;=PERALTE!$AB$12),IF(RASANTE!F105&lt;=PERALTE!$Q$12,-2,IF(RASANTE!F105&lt;=PERALTE!$U$12,(10/(PERALTE!$U$12-PERALTE!$Q$12)*(RASANTE!F105-PERALTE!$Q$12)-2),IF(RASANTE!F105&lt;=PERALTE!$X$12,8,IF(RASANTE!F105&lt;=PERALTE!$AB$12,(10/(PERALTE!$X$12-PERALTE!$AB$12)*(RASANTE!F105-PERALTE!$AB$12)-2))))),IF(AND(AH!$H$16="Derecha",RASANTE!F105&lt;=PERALTE!$AB$14),IF(RASANTE!F105&lt;=PERALTE!$S$14,-2,IF(RASANTE!F105&lt;=PERALTE!$U$14,(-6/(PERALTE!$U$14-PERALTE!$S$14)*(RASANTE!F105-PERALTE!$S$14)-2),IF(RASANTE!F105&lt;=PERALTE!$X$14,-8,IF(RASANTE!F105&lt;=PERALTE!$Z$14,(-6/(PERALTE!$X$14-PERALTE!$Z$14)*(RASANTE!F105-PERALTE!$Z$14)-2),IF(RASANTE!F105&lt;=PERALTE!$AB$14,-2))))),IF(AND(AH!$H$16="Izquierda",RASANTE!F105&lt;=PERALTE!$AB$14),IF(RASANTE!F105&lt;=PERALTE!$Q$14,-2,IF(RASANTE!F105&lt;=PERALTE!$U$14,(10/(PERALTE!$U$14-PERALTE!$Q$14)*(RASANTE!F105-PERALTE!$Q$14)-2),IF(RASANTE!F105&lt;=PERALTE!$X$14,8,IF(RASANTE!F105&lt;=PERALTE!$AB$14,(10/(PERALTE!$X$14-PERALTE!$AB$14)*(RASANTE!F105-PERALTE!$AB$14)-2))))),IF(AND(AH!$H$18="Derecha",RASANTE!F105&lt;=PERALTE!$AB$16),IF(RASANTE!F105&lt;=PERALTE!$S$16,-2,IF(RASANTE!F105&lt;=PERALTE!$U$16,(-6/(PERALTE!$U$16-PERALTE!$S$16)*(RASANTE!F105-PERALTE!$S$16)-2),IF(RASANTE!F105&lt;=PERALTE!$X$16,-8,IF(RASANTE!F105&lt;=PERALTE!$Z$16,(-6/(PERALTE!$X$16-PERALTE!$Z$16)*(RASANTE!F105-PERALTE!$Z$16)-2),IF(RASANTE!F105&lt;=PERALTE!$AB$16,-2))))),IF(AND(AH!$H$18="Izquierda",RASANTE!F105&lt;=PERALTE!$AB$16),IF(RASANTE!F105&lt;=PERALTE!$Q$16,-2,IF(RASANTE!F105&lt;=PERALTE!$U$16,(10/(PERALTE!$U$16-PERALTE!$Q$16)*(RASANTE!F105-PERALTE!$Q$16)-2),IF(RASANTE!F105&lt;=PERALTE!$X$16,8,IF(RASANTE!F105&lt;=PERALTE!$AB$16,(10/(PERALTE!$X$16-PERALTE!$AB$16)*(RASANTE!F105-PERALTE!$AB$16)-2))))),IF(AND(AH!$H$20="Derecha",RASANTE!F105&lt;=PERALTE!$AB$18),IF(RASANTE!F105&lt;=PERALTE!$S$18,-2,IF(RASANTE!F105&lt;=PERALTE!$U$18,(-6/(PERALTE!$U$18-PERALTE!$S$18)*(RASANTE!F105-PERALTE!$S$18)-2),IF(RASANTE!F105&lt;=PERALTE!$X$18,-8,IF(RASANTE!F105&lt;=PERALTE!$Z$18,(-6/(PERALTE!$X$18-PERALTE!$Z$18)*(RASANTE!F105-PERALTE!$Z$18)-2),IF(RASANTE!F105&lt;=PERALTE!$AB$18,-2))))),IF(AND(AH!$H$20="Izquierda",RASANTE!F105&lt;=PERALTE!$AB$18),IF(RASANTE!F105&lt;=PERALTE!$Q$18,-2,IF(RASANTE!F105&lt;=PERALTE!$U$18,(10/(PERALTE!$U$18-PERALTE!$Q$18)*(RASANTE!F105-PERALTE!$Q$18)-2),IF(RASANTE!F105&lt;=PERALTE!$X$18,8,IF(RASANTE!F105&lt;=PERALTE!$AB$18,(10/(PERALTE!$X$18-PERALTE!$AB$18)*(RASANTE!F105-PERALTE!$AB$18)-2))))),IF(AND(AH!$H$24="Derecha",RASANTE!F105&lt;=PERALTE!$AB$22),IF(RASANTE!F105&lt;=PERALTE!$S$22,-2,IF(RASANTE!F105&lt;=PERALTE!$U$22,(-6/(PERALTE!$U$22-PERALTE!$S$22)*(RASANTE!F105-PERALTE!$S$22)-2),IF(RASANTE!F105&lt;=PERALTE!$X$22,-8,IF(RASANTE!F105&lt;=PERALTE!$Z$22,(-6/(PERALTE!$X$22-PERALTE!$Z$22)*(RASANTE!F105-PERALTE!$Z$22)-2),IF(RASANTE!F105&lt;=PERALTE!$AB$22,-2))))),IF(AND(AH!$H$24="Izquierda",RASANTE!F105&lt;=PERALTE!$AB$22),IF(RASANTE!F105&lt;=PERALTE!$Q$22,-2,IF(RASANTE!F105&lt;=PERALTE!$U$22,(10/(PERALTE!$U$22-PERALTE!$Q$22)*(RASANTE!F105-PERALTE!$Q$22)-2),IF(RASANTE!F105&lt;=PERALTE!$X$22,8,IF(RASANTE!F105&lt;=PERALTE!$AB$22,(10/(PERALTE!$X$22-PERALTE!$AB$22)*(RASANTE!F105-PERALTE!$AB$22)-2))))),IF(AND(AH!#REF!="Derecha",RASANTE!F105&lt;=PERALTE!#REF!),IF(RASANTE!F105&lt;=PERALTE!#REF!,-2,IF(RASANTE!F105&lt;=PERALTE!#REF!,(-6/(PERALTE!#REF!-PERALTE!#REF!)*(RASANTE!F105-PERALTE!#REF!)-2),IF(RASANTE!F105&lt;=PERALTE!#REF!,-8,IF(RASANTE!F105&lt;=PERALTE!#REF!,(-6/(PERALTE!#REF!-PERALTE!#REF!)*(RASANTE!F105-PERALTE!#REF!)-2),IF(RASANTE!F105&lt;=PERALTE!#REF!,-2))))),IF(AND(AH!#REF!="Izquierda",RASANTE!F105&lt;=PERALTE!#REF!),IF(RASANTE!F105&lt;=PERALTE!#REF!,-2,IF(RASANTE!F105&lt;=PERALTE!#REF!,(10/(PERALTE!#REF!-PERALTE!#REF!)*(RASANTE!F105-PERALTE!#REF!)-2),IF(RASANTE!F105&lt;=PERALTE!#REF!,8,IF(RASANTE!F105&lt;=PERALTE!#REF!,(10/(PERALTE!#REF!-PERALTE!#REF!)*(RASANTE!F105-PERALTE!#REF!)-2))))),IF(AND(AH!#REF!="Derecha",RASANTE!F105&lt;=PERALTE!$AB$26),IF(RASANTE!F105&lt;=PERALTE!$S$26,-2,IF(RASANTE!F105&lt;=PERALTE!$U$26,(-6/(PERALTE!$U$26-PERALTE!$S$26)*(RASANTE!F105-PERALTE!$S$26)-2),IF(RASANTE!F105&lt;=PERALTE!$X$26,-8,IF(RASANTE!F105&lt;=PERALTE!$Z$26,(-6/(PERALTE!$X$26-PERALTE!$Z$26)*(RASANTE!F105-PERALTE!$Z$26)-2),IF(RASANTE!F105&lt;=PERALTE!$AB$26,-2))))),IF(AND(AH!#REF!="Izquierda",RASANTE!F105&lt;=PERALTE!$AB$26),IF(RASANTE!F105&lt;=PERALTE!$Q$26,-2,IF(RASANTE!F105&lt;=PERALTE!$U$26,(10/(PERALTE!$U$26-PERALTE!$Q$26)*(RASANTE!F105-PERALTE!$Q$26)-2),IF(RASANTE!F105&lt;=PERALTE!$X$26,8,IF(RASANTE!F105&lt;=PERALTE!$AB$26,(10/(PERALTE!$X$26-PERALTE!$AB$26)*(RASANTE!F105-PERALTE!$AB$26)-2))))),IF(F105&lt;=PERALTE!#REF!,-2,"Abscisa fuera de la vía")))))))))))))))))))))</f>
        <v>8</v>
      </c>
      <c r="J105" s="28">
        <f t="shared" si="4"/>
        <v>1632.0498547405666</v>
      </c>
      <c r="K105" s="28">
        <f>+IF(AND(AV!$S$6&lt;F202,F202&lt;=AV!$T$6),AV!$P$6*((AV!$S$6-RASANTE!F202)/(AV!$N$6))^2,IF(AND(AV!$T$6&lt;RASANTE!F202,F202&lt;AV!$U$6),AV!$P$6*((AV!$U$6-RASANTE!F202)/(AV!$O$6))^2,IF(AND(AV!$S$8&lt;F202,F202&lt;=AV!$T$8),AV!$P$8*((AV!$S$8-RASANTE!F202)/(AV!$N$8))^2,IF(AND(AV!$T$8&lt;RASANTE!F202,F202&lt;AV!$U$8),AV!$P$8*((AV!$U$8-RASANTE!F202)/(AV!$O$8))^2,IF(AND(AV!$S$10&lt;F202,F202&lt;=AV!$T$10),AV!$P$10*((AV!$S$10-RASANTE!F202)/(AV!$N$10))^2,IF(AND(AV!$T$10&lt;RASANTE!F202,F202&lt;AV!$U$10),AV!$P$10*((AV!$U$10-RASANTE!F202)/(AV!$O$10))^2,IF(AND(AV!$S$12&lt;F202,F202&lt;=AV!$T$12),AV!$P$12*((AV!$S$12-RASANTE!F202)/(AV!$N$12))^2,IF(AND(AV!$T$12&lt;RASANTE!F202,F202&lt;AV!$U$12),AV!$P$12*((AV!$U$12-RASANTE!F202)/(AV!$O$12))^2,IF(AND(AV!$S$14&lt;F202,F202&lt;=AV!$T$14),AV!$P$14*((AV!$S$14-RASANTE!F202)/(AV!$N$14))^2,IF(AND(AV!$T$14&lt;RASANTE!F202,F202&lt;AV!$U$14),AV!$P$14*((AV!$U$14-RASANTE!F202)/(AV!$O$14))^2,IF(AND(AV!$S$16&lt;F202,F202&lt;=AV!$T$16),AV!$P$16*((AV!$S$16-RASANTE!F202)/(AV!$N$16))^2,IF(AND(AV!$T$16&lt;RASANTE!F202,F202&lt;AV!$U$16),AV!$P$16*((AV!$U$16-RASANTE!F202)/(AV!$O$16))^2,IF(AND(AV!$S$18&lt;F202,F202&lt;=AV!$T$18),AV!$P$18*((AV!$S$18-RASANTE!F202)/(AV!$N$18))^2,IF(AND(AV!$T$18&lt;RASANTE!F202,F202&lt;AV!$U$18),AV!$P$18*((AV!$U$18-RASANTE!F202)/(AV!$O$18))^2,IF(AND(AV!$S$20&lt;F202,F202&lt;=AV!$T$20),AV!$P$20*((AV!$S$20-RASANTE!F202)/(AV!$N$20))^2,IF(AND(AV!$T$20&lt;RASANTE!F202,F202&lt;AV!$U$20),AV!$P$20*((AV!$U$20-RASANTE!F202)/(AV!$O$20))^2,IF(AND(AV!$S$22&lt;F202,F202&lt;=AV!$T$22),AV!$P$22*((AV!$S$22-RASANTE!F202)/(AV!$N$22))^2,IF(AND(AV!$T$22&lt;RASANTE!F202,F202&lt;AV!$U$22),AV!$P$22*((AV!$U$22-RASANTE!F202)/(AV!$O$22))^2,IF(AND(AV!$S$24&lt;F202,F202&lt;=AV!$T$24),AV!$P$24*((AV!$S$24-RASANTE!F202)/(AV!$N$24))^2,IF(AND(AV!$T$24&lt;RASANTE!F202,F202&lt;AV!$U$24),AV!$P$24*((AV!$U$24-RASANTE!F202)/(AV!$O$24))^2,0))))))))))))))))))))</f>
        <v>-0.19758914010000014</v>
      </c>
      <c r="L105" s="28">
        <f>+M105+H105%*PERALTE!$C$32</f>
        <v>1631.5722656004666</v>
      </c>
      <c r="M105" s="28">
        <f t="shared" si="3"/>
        <v>1631.8522656004666</v>
      </c>
      <c r="N105" s="28">
        <f>+M105+I105%*PERALTE!$C$32</f>
        <v>1632.1322656004666</v>
      </c>
      <c r="O105" s="92"/>
      <c r="P105" s="84"/>
      <c r="Q105" s="84"/>
      <c r="R105" s="84"/>
      <c r="S105" s="84"/>
      <c r="T105" s="84"/>
      <c r="U105" s="84"/>
      <c r="V105" s="84"/>
      <c r="W105" s="84"/>
      <c r="X105" s="84"/>
      <c r="Y105" s="84"/>
    </row>
    <row r="106" spans="1:25" ht="15.75" customHeight="1" x14ac:dyDescent="0.2">
      <c r="A106" s="90"/>
      <c r="B106" s="161">
        <f>AH!L12</f>
        <v>0.18426326877461344</v>
      </c>
      <c r="C106" s="162">
        <f>AH!V12</f>
        <v>6.3175977865581752</v>
      </c>
      <c r="D106" s="163"/>
      <c r="E106" s="91"/>
      <c r="F106" s="34">
        <v>660</v>
      </c>
      <c r="G106" s="88">
        <f>IF(F106&lt;=AV!$T$6,AV!$C$5,IF(RASANTE!F106&lt;=AV!$T$8,AV!$C$7,IF(RASANTE!F106&lt;=AV!$T$10,AV!$C$9,IF(RASANTE!F106&lt;=AV!$T$12,AV!#REF!,IF(RASANTE!F106&lt;=AV!$T$14,AV!$C$11,IF(RASANTE!F106&lt;=AV!$T$16,AV!$C$13, IF(RASANTE!F106&lt;=AV!$T$18,AV!$C$15,IF(RASANTE!F106&lt;=AV!$T$20,AV!$C$19,IF(RASANTE!F106&lt;=AV!$T$22,AV!$C$21,IF(RASANTE!F106&lt;=AV!$T$24,AV!$C$23,AV!$C$25))))))))))</f>
        <v>-3</v>
      </c>
      <c r="H106" s="28">
        <f>+IF(AND(AH!$H$8="Izquierda",RASANTE!F106&lt;=PERALTE!$AB$6),IF(RASANTE!F106&lt;=PERALTE!$S$6,-2,IF(RASANTE!F106&lt;=PERALTE!$U$6,(-6/(PERALTE!$U$6-PERALTE!$S$6)*(RASANTE!F106-PERALTE!$S$6)-2),IF(RASANTE!F106&lt;=PERALTE!$X$6,-8,IF(RASANTE!F106&lt;=PERALTE!$Z$6,(-6/(PERALTE!$X$6-PERALTE!$Z$6)*(RASANTE!F106-PERALTE!$Z$6)-2),IF(RASANTE!F106&lt;=PERALTE!$AB$6,-2))))),IF(AND(AH!$H$8="Derecha",RASANTE!F106&lt;=PERALTE!$AB$6),IF(RASANTE!F106&lt;=PERALTE!$Q$6,-2,IF(RASANTE!F106&lt;=PERALTE!$U$6,(10/(PERALTE!$U$6-PERALTE!$Q$6)*(RASANTE!F106-PERALTE!$Q$6)-2),IF(RASANTE!F106&lt;=PERALTE!$X$6,8,IF(RASANTE!F106&lt;=PERALTE!$AB$6,(10/(PERALTE!$X$6-PERALTE!$AB$6)*(RASANTE!F106-PERALTE!$AB$6)-2))))),IF(AND(AH!$H$10="Izquierda",RASANTE!F106&lt;=PERALTE!$AB$8),IF(RASANTE!F106&lt;=PERALTE!$S$8,-2,IF(RASANTE!F106&lt;=PERALTE!$U$8,(-6/(PERALTE!$U$8-PERALTE!$S$8)*(RASANTE!F106-PERALTE!$S$8)-2),IF(RASANTE!F106&lt;=PERALTE!$X$8,-8,IF(RASANTE!F106&lt;=PERALTE!$Z$8,(-6/(PERALTE!$X$8-PERALTE!$Z$8)*(RASANTE!F106-PERALTE!$Z$8)-2),IF(RASANTE!F106&lt;=PERALTE!$AB$8,-2))))),IF(AND(AH!$H$10="Derecha",RASANTE!F106&lt;=PERALTE!$AB$8),IF(RASANTE!F106&lt;=PERALTE!$Q$8,-2,IF(RASANTE!F106&lt;=PERALTE!$U$8,(10/(PERALTE!$U$8-PERALTE!$Q$8)*(RASANTE!F106-PERALTE!$Q$8)-2),IF(RASANTE!F106&lt;=PERALTE!$X$8,8,IF(RASANTE!F106&lt;=PERALTE!$AB$8,(10/(PERALTE!$X$8-PERALTE!$AB$8)*(RASANTE!F106-PERALTE!$AB$8)-2))))),IF(AND(AH!$H$12="Izquierda",RASANTE!F106&lt;=PERALTE!$AB$10),IF(RASANTE!F106&lt;=PERALTE!$S$10,-2,IF(RASANTE!F106&lt;=PERALTE!$U$10,(-6/(PERALTE!$U$10-PERALTE!$S$10)*(RASANTE!F106-PERALTE!$S$10)-2),IF(RASANTE!F106&lt;=PERALTE!$X$10,-8,IF(RASANTE!F106&lt;=PERALTE!$Z$10,(-6/(PERALTE!$X$10-PERALTE!$Z$10)*(RASANTE!F106-PERALTE!$Z$10)-2),IF(RASANTE!F106&lt;=PERALTE!$AB$10,-2))))),IF(AND(AH!$H$12="Derecha",RASANTE!F106&lt;=PERALTE!$AB$10),IF(RASANTE!F106&lt;=PERALTE!$Q$10,-2,IF(RASANTE!F106&lt;=PERALTE!$U$10,(10/(PERALTE!$U$10-PERALTE!$Q$10)*(RASANTE!F106-PERALTE!$Q$10)-2),IF(RASANTE!F106&lt;=PERALTE!$X$10,8,IF(RASANTE!F106&lt;=PERALTE!$AB$10,(10/(PERALTE!$X$10-PERALTE!$AB$10)*(RASANTE!F106-PERALTE!$AB$10)-2))))),IF(AND(AH!$H$14="Izquierda",RASANTE!F106&lt;=PERALTE!$AB$12),IF(RASANTE!F106&lt;=PERALTE!$S$12,-2,IF(RASANTE!F106&lt;=PERALTE!$U$12,(-6/(PERALTE!$U$12-PERALTE!$S$12)*(RASANTE!F106-PERALTE!$S$12)-2),IF(RASANTE!F106&lt;=PERALTE!$X$12,-8,IF(RASANTE!F106&lt;=PERALTE!$Z$12,(-6/(PERALTE!$X$12-PERALTE!$Z$12)*(RASANTE!F106-PERALTE!$Z$12)-2),IF(RASANTE!F106&lt;=PERALTE!$AB$12,-2))))),IF(AND(AH!$H$14="Derecha",RASANTE!F106&lt;=PERALTE!$AB$12),IF(RASANTE!F106&lt;=PERALTE!$Q$12,-2,IF(RASANTE!F106&lt;=PERALTE!$U$12,(10/(PERALTE!$U$12-PERALTE!$Q$12)*(RASANTE!F106-PERALTE!$Q$12)-2),IF(RASANTE!F106&lt;=PERALTE!$X$12,8,IF(RASANTE!F106&lt;=PERALTE!$AB$12,(10/(PERALTE!$X$12-PERALTE!$AB$12)*(RASANTE!F106-PERALTE!$AB$12)-2))))),IF(AND(AH!$H$16="Izquierda",RASANTE!F106&lt;=PERALTE!$AB$14),IF(RASANTE!F106&lt;=PERALTE!$S$14,-2,IF(RASANTE!F106&lt;=PERALTE!$U$14,(-6/(PERALTE!$U$14-PERALTE!$S$14)*(RASANTE!F106-PERALTE!$S$14)-2),IF(RASANTE!F106&lt;=PERALTE!$X$14,-8,IF(RASANTE!F106&lt;=PERALTE!$Z$14,(-6/(PERALTE!$X$14-PERALTE!$Z$14)*(RASANTE!F106-PERALTE!$Z$14)-2),IF(RASANTE!F106&lt;=PERALTE!$AB$14,-2))))),IF(AND(AH!$H$16="Derecha",RASANTE!F106&lt;=PERALTE!$AB$14),IF(RASANTE!F106&lt;=PERALTE!$Q$14,-2,IF(RASANTE!F106&lt;=PERALTE!$U$14,(10/(PERALTE!$U$14-PERALTE!$Q$14)*(RASANTE!F106-PERALTE!$Q$14)-2),IF(RASANTE!F106&lt;=PERALTE!$X$14,8,IF(RASANTE!F106&lt;=PERALTE!$AB$14,(10/(PERALTE!$X$14-PERALTE!$AB$14)*(RASANTE!F106-PERALTE!$AB$14)-2))))),IF(AND(AH!$H$18="Izquierda",RASANTE!F106&lt;=PERALTE!$AB$16),IF(RASANTE!F106&lt;=PERALTE!$S$16,-2,IF(RASANTE!F106&lt;=PERALTE!$U$16,(-6/(PERALTE!$U$16-PERALTE!$S$16)*(RASANTE!F106-PERALTE!$S$16)-2),IF(RASANTE!F106&lt;=PERALTE!$X$16,-8,IF(RASANTE!F106&lt;=PERALTE!$Z$16,(-6/(PERALTE!$X$16-PERALTE!$Z$16)*(RASANTE!F106-PERALTE!$Z$16)-2),IF(RASANTE!F106&lt;=PERALTE!$AB$16,-2))))),IF(AND(AH!$H$18="Derecha",RASANTE!F106&lt;=PERALTE!$AB$16),IF(RASANTE!F106&lt;=PERALTE!$Q$16,-2,IF(RASANTE!F106&lt;=PERALTE!$U$16,(10/(PERALTE!$U$16-PERALTE!$Q$16)*(RASANTE!F106-PERALTE!$Q$16)-2),IF(RASANTE!F106&lt;=PERALTE!$X$16,8,IF(RASANTE!F106&lt;=PERALTE!$AB$16,(10/(PERALTE!$X$16-PERALTE!$AB$16)*(RASANTE!F106-PERALTE!$AB$16)-2))))),IF(AND(AH!$H$20="Izquierda",RASANTE!F106&lt;=PERALTE!$AB$18),IF(RASANTE!F106&lt;=PERALTE!$S$18,-2,IF(RASANTE!F106&lt;=PERALTE!$U$18,(-6/(PERALTE!$U$18-PERALTE!$S$18)*(RASANTE!F106-PERALTE!$S$18)-2),IF(RASANTE!F106&lt;=PERALTE!$X$18,-8,IF(RASANTE!F106&lt;=PERALTE!$Z$18,(-6/(PERALTE!$X$18-PERALTE!$Z$18)*(RASANTE!F106-PERALTE!$Z$18)-2),IF(RASANTE!F106&lt;=PERALTE!$AB$18,-2))))),IF(AND(AH!$H$20="Derecha",RASANTE!F106&lt;=PERALTE!$AB$18),IF(RASANTE!F106&lt;=PERALTE!$Q$18,-2,IF(RASANTE!F106&lt;=PERALTE!$U$18,(10/(PERALTE!$U$18-PERALTE!$Q$18)*(RASANTE!F106-PERALTE!$Q$18)-2),IF(RASANTE!F106&lt;=PERALTE!$X$18,8,IF(RASANTE!F106&lt;=PERALTE!$AB$18,(10/(PERALTE!$X$18-PERALTE!$AB$18)*(RASANTE!F106-PERALTE!$AB$18)-2))))),IF(AND(AH!$H$24="Izquierda",RASANTE!F106&lt;=PERALTE!$AB$22),IF(RASANTE!F106&lt;=PERALTE!$S$22,-2,IF(RASANTE!F106&lt;=PERALTE!$U$22,(-6/(PERALTE!$U$22-PERALTE!$S$22)*(RASANTE!F106-PERALTE!$S$22)-2),IF(RASANTE!F106&lt;=PERALTE!$X$22,-8,IF(RASANTE!F106&lt;=PERALTE!$Z$22,(-6/(PERALTE!$X$22-PERALTE!$Z$22)*(RASANTE!F106-PERALTE!$Z$22)-2),IF(RASANTE!F106&lt;=PERALTE!$AB$22,-2))))),IF(AND(AH!$H$24="Derecha",RASANTE!F106&lt;=PERALTE!$AB$22),IF(RASANTE!F106&lt;=PERALTE!$Q$22,-2,IF(RASANTE!F106&lt;=PERALTE!$U$22,(10/(PERALTE!$U$22-PERALTE!$Q$22)*(RASANTE!F106-PERALTE!$Q$22)-2),IF(RASANTE!F106&lt;=PERALTE!$X$22,8,IF(RASANTE!F106&lt;=PERALTE!$AB$22,(10/(PERALTE!$X$22-PERALTE!$AB$22)*(RASANTE!F106-PERALTE!$AB$22)-2))))),IF(AND(AH!#REF!="Izquierda",RASANTE!F106&lt;=PERALTE!#REF!),IF(RASANTE!F106&lt;=PERALTE!#REF!,-2,IF(RASANTE!F106&lt;=PERALTE!#REF!,(-6/(PERALTE!#REF!-PERALTE!#REF!)*(RASANTE!F106-PERALTE!#REF!)-2),IF(RASANTE!F106&lt;=PERALTE!#REF!,-8,IF(RASANTE!F106&lt;=PERALTE!#REF!,(-6/(PERALTE!#REF!-PERALTE!#REF!)*(RASANTE!F106-PERALTE!#REF!)-2),IF(RASANTE!F106&lt;=PERALTE!#REF!,-2))))),IF(AND(AH!#REF!="Derecha",RASANTE!F106&lt;=PERALTE!#REF!),IF(RASANTE!F106&lt;=PERALTE!#REF!,-2,IF(RASANTE!F106&lt;=PERALTE!#REF!,(10/(PERALTE!#REF!-PERALTE!#REF!)*(RASANTE!F106-PERALTE!#REF!)-2),IF(RASANTE!F106&lt;=PERALTE!#REF!,8,IF(RASANTE!F106&lt;=PERALTE!#REF!,(10/(PERALTE!#REF!-PERALTE!#REF!)*(RASANTE!F106-PERALTE!#REF!)-2))))),IF(AND(AH!#REF!="Izquierda",RASANTE!F106&lt;=PERALTE!$AB$26),IF(RASANTE!F106&lt;=PERALTE!$S$26,-2,IF(RASANTE!F106&lt;=PERALTE!$U$26,(-6/(PERALTE!$U$26-PERALTE!$S$26)*(RASANTE!F106-PERALTE!$S$26)-2),IF(RASANTE!F106&lt;=PERALTE!$X$26,-8,IF(RASANTE!F106&lt;=PERALTE!$Z$26,(-6/(PERALTE!$X$26-PERALTE!$Z$26)*(RASANTE!F106-PERALTE!$Z$26)-2),IF(RASANTE!F106&lt;=PERALTE!$AB$26,-2))))),IF(AND(AH!#REF!="Derecha",RASANTE!F106&lt;=PERALTE!$AB$26),IF(RASANTE!F106&lt;=PERALTE!$Q$26,-2,IF(RASANTE!F106&lt;=PERALTE!$U$26,(10/(PERALTE!$U$26-PERALTE!$Q$26)*(RASANTE!F106-PERALTE!$Q$26)-2),IF(RASANTE!F106&lt;=PERALTE!$X$26,8,IF(RASANTE!F106&lt;=PERALTE!$AB$26,(10/(PERALTE!$X$26-PERALTE!$AB$26)*(RASANTE!F106-PERALTE!$AB$26)-2))))),IF(F106&lt;=PERALTE!#REF!,-2,"Abscisa fuera de la vía")))))))))))))))))))))</f>
        <v>-8</v>
      </c>
      <c r="I106" s="28">
        <f>+IF(AND(AH!$H$8="Derecha",RASANTE!F106&lt;=PERALTE!$AB$6),IF(RASANTE!F106&lt;=PERALTE!$S$6,-2,IF(RASANTE!F106&lt;=PERALTE!$U$6,(-6/(PERALTE!$U$6-PERALTE!$S$6)*(RASANTE!F106-PERALTE!$S$6)-2),IF(RASANTE!F106&lt;=PERALTE!$X$6,-8,IF(RASANTE!F106&lt;=PERALTE!$Z$6,(-6/(PERALTE!$X$6-PERALTE!$Z$6)*(RASANTE!F106-PERALTE!$Z$6)-2),IF(RASANTE!F106&lt;=PERALTE!$AB$6,-2))))),IF(AND(AH!$H$8="Izquierda",RASANTE!F106&lt;=PERALTE!$AB$6),IF(RASANTE!F106&lt;=PERALTE!$Q$6,-2,IF(RASANTE!F106&lt;=PERALTE!$U$6,(10/(PERALTE!$U$6-PERALTE!$Q$6)*(RASANTE!F106-PERALTE!$Q$6)-2),IF(RASANTE!F106&lt;=PERALTE!$X$6,8,IF(RASANTE!F106&lt;=PERALTE!$AB$6,(10/(PERALTE!$X$6-PERALTE!$AB$6)*(RASANTE!F106-PERALTE!$AB$6)-2))))),IF(AND(AH!$H$10="Derecha",RASANTE!F106&lt;=PERALTE!$AB$8),IF(RASANTE!F106&lt;=PERALTE!$S$8,-2,IF(RASANTE!F106&lt;=PERALTE!$U$8,(-6/(PERALTE!$U$8-PERALTE!$S$8)*(RASANTE!F106-PERALTE!$S$8)-2),IF(RASANTE!F106&lt;=PERALTE!$X$8,-8,IF(RASANTE!F106&lt;=PERALTE!$Z$8,(-6/(PERALTE!$X$8-PERALTE!$Z$8)*(RASANTE!F106-PERALTE!$Z$8)-2),IF(RASANTE!F106&lt;=PERALTE!$AB$8,-2))))),IF(AND(AH!$H$10="Izquierda",RASANTE!F106&lt;=PERALTE!$AB$8),IF(RASANTE!F106&lt;=PERALTE!$Q$8,-2,IF(RASANTE!F106&lt;=PERALTE!$U$8,(10/(PERALTE!$U$8-PERALTE!$Q$8)*(RASANTE!F106-PERALTE!$Q$8)-2),IF(RASANTE!F106&lt;=PERALTE!$X$8,8,IF(RASANTE!F106&lt;=PERALTE!$AB$8,(10/(PERALTE!$X$8-PERALTE!$AB$8)*(RASANTE!F106-PERALTE!$AB$8)-2))))),IF(AND(AH!$H$12="Derecha",RASANTE!F106&lt;=PERALTE!$AB$10),IF(RASANTE!F106&lt;=PERALTE!$S$10,-2,IF(RASANTE!F106&lt;=PERALTE!$U$10,(-6/(PERALTE!$U$10-PERALTE!$S$10)*(RASANTE!F106-PERALTE!$S$10)-2),IF(RASANTE!F106&lt;=PERALTE!$X$10,-8,IF(RASANTE!F106&lt;=PERALTE!$Z$10,(-6/(PERALTE!$X$10-PERALTE!$Z$10)*(RASANTE!F106-PERALTE!$Z$10)-2),IF(RASANTE!F106&lt;=PERALTE!$AB$10,-2))))),IF(AND(AH!$H$12="Izquierda",RASANTE!F106&lt;=PERALTE!$AB$10),IF(RASANTE!F106&lt;=PERALTE!$Q$10,-2,IF(RASANTE!F106&lt;=PERALTE!$U$10,(10/(PERALTE!$U$10-PERALTE!$Q$10)*(RASANTE!F106-PERALTE!$Q$10)-2),IF(RASANTE!F106&lt;=PERALTE!$X$10,8,IF(RASANTE!F106&lt;=PERALTE!$AB$10,(10/(PERALTE!$X$10-PERALTE!$AB$10)*(RASANTE!F106-PERALTE!$AB$10)-2))))),IF(AND(AH!$H$14="Derecha",RASANTE!F106&lt;=PERALTE!$AB$12),IF(RASANTE!F106&lt;=PERALTE!$S$12,-2,IF(RASANTE!F106&lt;=PERALTE!$U$12,(-6/(PERALTE!$U$12-PERALTE!$S$12)*(RASANTE!F106-PERALTE!$S$12)-2),IF(RASANTE!F106&lt;=PERALTE!$X$12,-8,IF(RASANTE!F106&lt;=PERALTE!$Z$12,(-6/(PERALTE!$X$12-PERALTE!$Z$12)*(RASANTE!F106-PERALTE!$Z$12)-2),IF(RASANTE!F106&lt;=PERALTE!$AB$12,-2))))),IF(AND(AH!$H$14="Izquierda",RASANTE!F106&lt;=PERALTE!$AB$12),IF(RASANTE!F106&lt;=PERALTE!$Q$12,-2,IF(RASANTE!F106&lt;=PERALTE!$U$12,(10/(PERALTE!$U$12-PERALTE!$Q$12)*(RASANTE!F106-PERALTE!$Q$12)-2),IF(RASANTE!F106&lt;=PERALTE!$X$12,8,IF(RASANTE!F106&lt;=PERALTE!$AB$12,(10/(PERALTE!$X$12-PERALTE!$AB$12)*(RASANTE!F106-PERALTE!$AB$12)-2))))),IF(AND(AH!$H$16="Derecha",RASANTE!F106&lt;=PERALTE!$AB$14),IF(RASANTE!F106&lt;=PERALTE!$S$14,-2,IF(RASANTE!F106&lt;=PERALTE!$U$14,(-6/(PERALTE!$U$14-PERALTE!$S$14)*(RASANTE!F106-PERALTE!$S$14)-2),IF(RASANTE!F106&lt;=PERALTE!$X$14,-8,IF(RASANTE!F106&lt;=PERALTE!$Z$14,(-6/(PERALTE!$X$14-PERALTE!$Z$14)*(RASANTE!F106-PERALTE!$Z$14)-2),IF(RASANTE!F106&lt;=PERALTE!$AB$14,-2))))),IF(AND(AH!$H$16="Izquierda",RASANTE!F106&lt;=PERALTE!$AB$14),IF(RASANTE!F106&lt;=PERALTE!$Q$14,-2,IF(RASANTE!F106&lt;=PERALTE!$U$14,(10/(PERALTE!$U$14-PERALTE!$Q$14)*(RASANTE!F106-PERALTE!$Q$14)-2),IF(RASANTE!F106&lt;=PERALTE!$X$14,8,IF(RASANTE!F106&lt;=PERALTE!$AB$14,(10/(PERALTE!$X$14-PERALTE!$AB$14)*(RASANTE!F106-PERALTE!$AB$14)-2))))),IF(AND(AH!$H$18="Derecha",RASANTE!F106&lt;=PERALTE!$AB$16),IF(RASANTE!F106&lt;=PERALTE!$S$16,-2,IF(RASANTE!F106&lt;=PERALTE!$U$16,(-6/(PERALTE!$U$16-PERALTE!$S$16)*(RASANTE!F106-PERALTE!$S$16)-2),IF(RASANTE!F106&lt;=PERALTE!$X$16,-8,IF(RASANTE!F106&lt;=PERALTE!$Z$16,(-6/(PERALTE!$X$16-PERALTE!$Z$16)*(RASANTE!F106-PERALTE!$Z$16)-2),IF(RASANTE!F106&lt;=PERALTE!$AB$16,-2))))),IF(AND(AH!$H$18="Izquierda",RASANTE!F106&lt;=PERALTE!$AB$16),IF(RASANTE!F106&lt;=PERALTE!$Q$16,-2,IF(RASANTE!F106&lt;=PERALTE!$U$16,(10/(PERALTE!$U$16-PERALTE!$Q$16)*(RASANTE!F106-PERALTE!$Q$16)-2),IF(RASANTE!F106&lt;=PERALTE!$X$16,8,IF(RASANTE!F106&lt;=PERALTE!$AB$16,(10/(PERALTE!$X$16-PERALTE!$AB$16)*(RASANTE!F106-PERALTE!$AB$16)-2))))),IF(AND(AH!$H$20="Derecha",RASANTE!F106&lt;=PERALTE!$AB$18),IF(RASANTE!F106&lt;=PERALTE!$S$18,-2,IF(RASANTE!F106&lt;=PERALTE!$U$18,(-6/(PERALTE!$U$18-PERALTE!$S$18)*(RASANTE!F106-PERALTE!$S$18)-2),IF(RASANTE!F106&lt;=PERALTE!$X$18,-8,IF(RASANTE!F106&lt;=PERALTE!$Z$18,(-6/(PERALTE!$X$18-PERALTE!$Z$18)*(RASANTE!F106-PERALTE!$Z$18)-2),IF(RASANTE!F106&lt;=PERALTE!$AB$18,-2))))),IF(AND(AH!$H$20="Izquierda",RASANTE!F106&lt;=PERALTE!$AB$18),IF(RASANTE!F106&lt;=PERALTE!$Q$18,-2,IF(RASANTE!F106&lt;=PERALTE!$U$18,(10/(PERALTE!$U$18-PERALTE!$Q$18)*(RASANTE!F106-PERALTE!$Q$18)-2),IF(RASANTE!F106&lt;=PERALTE!$X$18,8,IF(RASANTE!F106&lt;=PERALTE!$AB$18,(10/(PERALTE!$X$18-PERALTE!$AB$18)*(RASANTE!F106-PERALTE!$AB$18)-2))))),IF(AND(AH!$H$24="Derecha",RASANTE!F106&lt;=PERALTE!$AB$22),IF(RASANTE!F106&lt;=PERALTE!$S$22,-2,IF(RASANTE!F106&lt;=PERALTE!$U$22,(-6/(PERALTE!$U$22-PERALTE!$S$22)*(RASANTE!F106-PERALTE!$S$22)-2),IF(RASANTE!F106&lt;=PERALTE!$X$22,-8,IF(RASANTE!F106&lt;=PERALTE!$Z$22,(-6/(PERALTE!$X$22-PERALTE!$Z$22)*(RASANTE!F106-PERALTE!$Z$22)-2),IF(RASANTE!F106&lt;=PERALTE!$AB$22,-2))))),IF(AND(AH!$H$24="Izquierda",RASANTE!F106&lt;=PERALTE!$AB$22),IF(RASANTE!F106&lt;=PERALTE!$Q$22,-2,IF(RASANTE!F106&lt;=PERALTE!$U$22,(10/(PERALTE!$U$22-PERALTE!$Q$22)*(RASANTE!F106-PERALTE!$Q$22)-2),IF(RASANTE!F106&lt;=PERALTE!$X$22,8,IF(RASANTE!F106&lt;=PERALTE!$AB$22,(10/(PERALTE!$X$22-PERALTE!$AB$22)*(RASANTE!F106-PERALTE!$AB$22)-2))))),IF(AND(AH!#REF!="Derecha",RASANTE!F106&lt;=PERALTE!#REF!),IF(RASANTE!F106&lt;=PERALTE!#REF!,-2,IF(RASANTE!F106&lt;=PERALTE!#REF!,(-6/(PERALTE!#REF!-PERALTE!#REF!)*(RASANTE!F106-PERALTE!#REF!)-2),IF(RASANTE!F106&lt;=PERALTE!#REF!,-8,IF(RASANTE!F106&lt;=PERALTE!#REF!,(-6/(PERALTE!#REF!-PERALTE!#REF!)*(RASANTE!F106-PERALTE!#REF!)-2),IF(RASANTE!F106&lt;=PERALTE!#REF!,-2))))),IF(AND(AH!#REF!="Izquierda",RASANTE!F106&lt;=PERALTE!#REF!),IF(RASANTE!F106&lt;=PERALTE!#REF!,-2,IF(RASANTE!F106&lt;=PERALTE!#REF!,(10/(PERALTE!#REF!-PERALTE!#REF!)*(RASANTE!F106-PERALTE!#REF!)-2),IF(RASANTE!F106&lt;=PERALTE!#REF!,8,IF(RASANTE!F106&lt;=PERALTE!#REF!,(10/(PERALTE!#REF!-PERALTE!#REF!)*(RASANTE!F106-PERALTE!#REF!)-2))))),IF(AND(AH!#REF!="Derecha",RASANTE!F106&lt;=PERALTE!$AB$26),IF(RASANTE!F106&lt;=PERALTE!$S$26,-2,IF(RASANTE!F106&lt;=PERALTE!$U$26,(-6/(PERALTE!$U$26-PERALTE!$S$26)*(RASANTE!F106-PERALTE!$S$26)-2),IF(RASANTE!F106&lt;=PERALTE!$X$26,-8,IF(RASANTE!F106&lt;=PERALTE!$Z$26,(-6/(PERALTE!$X$26-PERALTE!$Z$26)*(RASANTE!F106-PERALTE!$Z$26)-2),IF(RASANTE!F106&lt;=PERALTE!$AB$26,-2))))),IF(AND(AH!#REF!="Izquierda",RASANTE!F106&lt;=PERALTE!$AB$26),IF(RASANTE!F106&lt;=PERALTE!$Q$26,-2,IF(RASANTE!F106&lt;=PERALTE!$U$26,(10/(PERALTE!$U$26-PERALTE!$Q$26)*(RASANTE!F106-PERALTE!$Q$26)-2),IF(RASANTE!F106&lt;=PERALTE!$X$26,8,IF(RASANTE!F106&lt;=PERALTE!$AB$26,(10/(PERALTE!$X$26-PERALTE!$AB$26)*(RASANTE!F106-PERALTE!$AB$26)-2))))),IF(F106&lt;=PERALTE!#REF!,-2,"Abscisa fuera de la vía")))))))))))))))))))))</f>
        <v>8</v>
      </c>
      <c r="J106" s="28">
        <f t="shared" si="4"/>
        <v>1631.9864000000009</v>
      </c>
      <c r="K106" s="28">
        <f>+IF(AND(AV!$S$6&lt;F203,F203&lt;=AV!$T$6),AV!$P$6*((AV!$S$6-RASANTE!F203)/(AV!$N$6))^2,IF(AND(AV!$T$6&lt;RASANTE!F203,F203&lt;AV!$U$6),AV!$P$6*((AV!$U$6-RASANTE!F203)/(AV!$O$6))^2,IF(AND(AV!$S$8&lt;F203,F203&lt;=AV!$T$8),AV!$P$8*((AV!$S$8-RASANTE!F203)/(AV!$N$8))^2,IF(AND(AV!$T$8&lt;RASANTE!F203,F203&lt;AV!$U$8),AV!$P$8*((AV!$U$8-RASANTE!F203)/(AV!$O$8))^2,IF(AND(AV!$S$10&lt;F203,F203&lt;=AV!$T$10),AV!$P$10*((AV!$S$10-RASANTE!F203)/(AV!$N$10))^2,IF(AND(AV!$T$10&lt;RASANTE!F203,F203&lt;AV!$U$10),AV!$P$10*((AV!$U$10-RASANTE!F203)/(AV!$O$10))^2,IF(AND(AV!$S$12&lt;F203,F203&lt;=AV!$T$12),AV!$P$12*((AV!$S$12-RASANTE!F203)/(AV!$N$12))^2,IF(AND(AV!$T$12&lt;RASANTE!F203,F203&lt;AV!$U$12),AV!$P$12*((AV!$U$12-RASANTE!F203)/(AV!$O$12))^2,IF(AND(AV!$S$14&lt;F203,F203&lt;=AV!$T$14),AV!$P$14*((AV!$S$14-RASANTE!F203)/(AV!$N$14))^2,IF(AND(AV!$T$14&lt;RASANTE!F203,F203&lt;AV!$U$14),AV!$P$14*((AV!$U$14-RASANTE!F203)/(AV!$O$14))^2,IF(AND(AV!$S$16&lt;F203,F203&lt;=AV!$T$16),AV!$P$16*((AV!$S$16-RASANTE!F203)/(AV!$N$16))^2,IF(AND(AV!$T$16&lt;RASANTE!F203,F203&lt;AV!$U$16),AV!$P$16*((AV!$U$16-RASANTE!F203)/(AV!$O$16))^2,IF(AND(AV!$S$18&lt;F203,F203&lt;=AV!$T$18),AV!$P$18*((AV!$S$18-RASANTE!F203)/(AV!$N$18))^2,IF(AND(AV!$T$18&lt;RASANTE!F203,F203&lt;AV!$U$18),AV!$P$18*((AV!$U$18-RASANTE!F203)/(AV!$O$18))^2,IF(AND(AV!$S$20&lt;F203,F203&lt;=AV!$T$20),AV!$P$20*((AV!$S$20-RASANTE!F203)/(AV!$N$20))^2,IF(AND(AV!$T$20&lt;RASANTE!F203,F203&lt;AV!$U$20),AV!$P$20*((AV!$U$20-RASANTE!F203)/(AV!$O$20))^2,IF(AND(AV!$S$22&lt;F203,F203&lt;=AV!$T$22),AV!$P$22*((AV!$S$22-RASANTE!F203)/(AV!$N$22))^2,IF(AND(AV!$T$22&lt;RASANTE!F203,F203&lt;AV!$U$22),AV!$P$22*((AV!$U$22-RASANTE!F203)/(AV!$O$22))^2,IF(AND(AV!$S$24&lt;F203,F203&lt;=AV!$T$24),AV!$P$24*((AV!$S$24-RASANTE!F203)/(AV!$N$24))^2,IF(AND(AV!$T$24&lt;RASANTE!F203,F203&lt;AV!$U$24),AV!$P$24*((AV!$U$24-RASANTE!F203)/(AV!$O$24))^2,0))))))))))))))))))))</f>
        <v>-7.9752136160736911E-2</v>
      </c>
      <c r="L106" s="28">
        <f>+M106+H106%*PERALTE!$C$32</f>
        <v>1631.6266478638402</v>
      </c>
      <c r="M106" s="28">
        <f t="shared" ref="M106:M169" si="5">J106+K106</f>
        <v>1631.9066478638401</v>
      </c>
      <c r="N106" s="28">
        <f>+M106+I106%*PERALTE!$C$32</f>
        <v>1632.1866478638401</v>
      </c>
      <c r="O106" s="92"/>
      <c r="P106" s="84"/>
      <c r="Q106" s="84"/>
      <c r="R106" s="84"/>
      <c r="S106" s="84"/>
      <c r="T106" s="84"/>
      <c r="U106" s="84"/>
      <c r="V106" s="84"/>
      <c r="W106" s="84"/>
      <c r="X106" s="84"/>
      <c r="Y106" s="84"/>
    </row>
    <row r="107" spans="1:25" ht="15.75" customHeight="1" x14ac:dyDescent="0.2">
      <c r="A107" s="111" t="s">
        <v>334</v>
      </c>
      <c r="B107" s="164">
        <f>AH!R8</f>
        <v>0.27083333333333331</v>
      </c>
      <c r="C107" s="165">
        <f>AH!F2</f>
        <v>5</v>
      </c>
      <c r="D107" s="166"/>
      <c r="E107" s="115"/>
      <c r="F107" s="34">
        <f>PERALTE!X10</f>
        <v>664.20243976770257</v>
      </c>
      <c r="G107" s="88">
        <f>IF(F107&lt;=AV!$T$6,AV!$C$5,IF(RASANTE!F107&lt;=AV!$T$8,AV!$C$7,IF(RASANTE!F107&lt;=AV!$T$10,AV!$C$9,IF(RASANTE!F107&lt;=AV!$T$12,AV!#REF!,IF(RASANTE!F107&lt;=AV!$T$14,AV!$C$11,IF(RASANTE!F107&lt;=AV!$T$16,AV!$C$13, IF(RASANTE!F107&lt;=AV!$T$18,AV!$C$15,IF(RASANTE!F107&lt;=AV!$T$20,AV!$C$19,IF(RASANTE!F107&lt;=AV!$T$22,AV!$C$21,IF(RASANTE!F107&lt;=AV!$T$24,AV!$C$23,AV!$C$25))))))))))</f>
        <v>-3</v>
      </c>
      <c r="H107" s="28">
        <f>+IF(AND(AH!$H$8="Izquierda",RASANTE!F107&lt;=PERALTE!$AB$6),IF(RASANTE!F107&lt;=PERALTE!$S$6,-2,IF(RASANTE!F107&lt;=PERALTE!$U$6,(-6/(PERALTE!$U$6-PERALTE!$S$6)*(RASANTE!F107-PERALTE!$S$6)-2),IF(RASANTE!F107&lt;=PERALTE!$X$6,-8,IF(RASANTE!F107&lt;=PERALTE!$Z$6,(-6/(PERALTE!$X$6-PERALTE!$Z$6)*(RASANTE!F107-PERALTE!$Z$6)-2),IF(RASANTE!F107&lt;=PERALTE!$AB$6,-2))))),IF(AND(AH!$H$8="Derecha",RASANTE!F107&lt;=PERALTE!$AB$6),IF(RASANTE!F107&lt;=PERALTE!$Q$6,-2,IF(RASANTE!F107&lt;=PERALTE!$U$6,(10/(PERALTE!$U$6-PERALTE!$Q$6)*(RASANTE!F107-PERALTE!$Q$6)-2),IF(RASANTE!F107&lt;=PERALTE!$X$6,8,IF(RASANTE!F107&lt;=PERALTE!$AB$6,(10/(PERALTE!$X$6-PERALTE!$AB$6)*(RASANTE!F107-PERALTE!$AB$6)-2))))),IF(AND(AH!$H$10="Izquierda",RASANTE!F107&lt;=PERALTE!$AB$8),IF(RASANTE!F107&lt;=PERALTE!$S$8,-2,IF(RASANTE!F107&lt;=PERALTE!$U$8,(-6/(PERALTE!$U$8-PERALTE!$S$8)*(RASANTE!F107-PERALTE!$S$8)-2),IF(RASANTE!F107&lt;=PERALTE!$X$8,-8,IF(RASANTE!F107&lt;=PERALTE!$Z$8,(-6/(PERALTE!$X$8-PERALTE!$Z$8)*(RASANTE!F107-PERALTE!$Z$8)-2),IF(RASANTE!F107&lt;=PERALTE!$AB$8,-2))))),IF(AND(AH!$H$10="Derecha",RASANTE!F107&lt;=PERALTE!$AB$8),IF(RASANTE!F107&lt;=PERALTE!$Q$8,-2,IF(RASANTE!F107&lt;=PERALTE!$U$8,(10/(PERALTE!$U$8-PERALTE!$Q$8)*(RASANTE!F107-PERALTE!$Q$8)-2),IF(RASANTE!F107&lt;=PERALTE!$X$8,8,IF(RASANTE!F107&lt;=PERALTE!$AB$8,(10/(PERALTE!$X$8-PERALTE!$AB$8)*(RASANTE!F107-PERALTE!$AB$8)-2))))),IF(AND(AH!$H$12="Izquierda",RASANTE!F107&lt;=PERALTE!$AB$10),IF(RASANTE!F107&lt;=PERALTE!$S$10,-2,IF(RASANTE!F107&lt;=PERALTE!$U$10,(-6/(PERALTE!$U$10-PERALTE!$S$10)*(RASANTE!F107-PERALTE!$S$10)-2),IF(RASANTE!F107&lt;=PERALTE!$X$10,-8,IF(RASANTE!F107&lt;=PERALTE!$Z$10,(-6/(PERALTE!$X$10-PERALTE!$Z$10)*(RASANTE!F107-PERALTE!$Z$10)-2),IF(RASANTE!F107&lt;=PERALTE!$AB$10,-2))))),IF(AND(AH!$H$12="Derecha",RASANTE!F107&lt;=PERALTE!$AB$10),IF(RASANTE!F107&lt;=PERALTE!$Q$10,-2,IF(RASANTE!F107&lt;=PERALTE!$U$10,(10/(PERALTE!$U$10-PERALTE!$Q$10)*(RASANTE!F107-PERALTE!$Q$10)-2),IF(RASANTE!F107&lt;=PERALTE!$X$10,8,IF(RASANTE!F107&lt;=PERALTE!$AB$10,(10/(PERALTE!$X$10-PERALTE!$AB$10)*(RASANTE!F107-PERALTE!$AB$10)-2))))),IF(AND(AH!$H$14="Izquierda",RASANTE!F107&lt;=PERALTE!$AB$12),IF(RASANTE!F107&lt;=PERALTE!$S$12,-2,IF(RASANTE!F107&lt;=PERALTE!$U$12,(-6/(PERALTE!$U$12-PERALTE!$S$12)*(RASANTE!F107-PERALTE!$S$12)-2),IF(RASANTE!F107&lt;=PERALTE!$X$12,-8,IF(RASANTE!F107&lt;=PERALTE!$Z$12,(-6/(PERALTE!$X$12-PERALTE!$Z$12)*(RASANTE!F107-PERALTE!$Z$12)-2),IF(RASANTE!F107&lt;=PERALTE!$AB$12,-2))))),IF(AND(AH!$H$14="Derecha",RASANTE!F107&lt;=PERALTE!$AB$12),IF(RASANTE!F107&lt;=PERALTE!$Q$12,-2,IF(RASANTE!F107&lt;=PERALTE!$U$12,(10/(PERALTE!$U$12-PERALTE!$Q$12)*(RASANTE!F107-PERALTE!$Q$12)-2),IF(RASANTE!F107&lt;=PERALTE!$X$12,8,IF(RASANTE!F107&lt;=PERALTE!$AB$12,(10/(PERALTE!$X$12-PERALTE!$AB$12)*(RASANTE!F107-PERALTE!$AB$12)-2))))),IF(AND(AH!$H$16="Izquierda",RASANTE!F107&lt;=PERALTE!$AB$14),IF(RASANTE!F107&lt;=PERALTE!$S$14,-2,IF(RASANTE!F107&lt;=PERALTE!$U$14,(-6/(PERALTE!$U$14-PERALTE!$S$14)*(RASANTE!F107-PERALTE!$S$14)-2),IF(RASANTE!F107&lt;=PERALTE!$X$14,-8,IF(RASANTE!F107&lt;=PERALTE!$Z$14,(-6/(PERALTE!$X$14-PERALTE!$Z$14)*(RASANTE!F107-PERALTE!$Z$14)-2),IF(RASANTE!F107&lt;=PERALTE!$AB$14,-2))))),IF(AND(AH!$H$16="Derecha",RASANTE!F107&lt;=PERALTE!$AB$14),IF(RASANTE!F107&lt;=PERALTE!$Q$14,-2,IF(RASANTE!F107&lt;=PERALTE!$U$14,(10/(PERALTE!$U$14-PERALTE!$Q$14)*(RASANTE!F107-PERALTE!$Q$14)-2),IF(RASANTE!F107&lt;=PERALTE!$X$14,8,IF(RASANTE!F107&lt;=PERALTE!$AB$14,(10/(PERALTE!$X$14-PERALTE!$AB$14)*(RASANTE!F107-PERALTE!$AB$14)-2))))),IF(AND(AH!$H$18="Izquierda",RASANTE!F107&lt;=PERALTE!$AB$16),IF(RASANTE!F107&lt;=PERALTE!$S$16,-2,IF(RASANTE!F107&lt;=PERALTE!$U$16,(-6/(PERALTE!$U$16-PERALTE!$S$16)*(RASANTE!F107-PERALTE!$S$16)-2),IF(RASANTE!F107&lt;=PERALTE!$X$16,-8,IF(RASANTE!F107&lt;=PERALTE!$Z$16,(-6/(PERALTE!$X$16-PERALTE!$Z$16)*(RASANTE!F107-PERALTE!$Z$16)-2),IF(RASANTE!F107&lt;=PERALTE!$AB$16,-2))))),IF(AND(AH!$H$18="Derecha",RASANTE!F107&lt;=PERALTE!$AB$16),IF(RASANTE!F107&lt;=PERALTE!$Q$16,-2,IF(RASANTE!F107&lt;=PERALTE!$U$16,(10/(PERALTE!$U$16-PERALTE!$Q$16)*(RASANTE!F107-PERALTE!$Q$16)-2),IF(RASANTE!F107&lt;=PERALTE!$X$16,8,IF(RASANTE!F107&lt;=PERALTE!$AB$16,(10/(PERALTE!$X$16-PERALTE!$AB$16)*(RASANTE!F107-PERALTE!$AB$16)-2))))),IF(AND(AH!$H$20="Izquierda",RASANTE!F107&lt;=PERALTE!$AB$18),IF(RASANTE!F107&lt;=PERALTE!$S$18,-2,IF(RASANTE!F107&lt;=PERALTE!$U$18,(-6/(PERALTE!$U$18-PERALTE!$S$18)*(RASANTE!F107-PERALTE!$S$18)-2),IF(RASANTE!F107&lt;=PERALTE!$X$18,-8,IF(RASANTE!F107&lt;=PERALTE!$Z$18,(-6/(PERALTE!$X$18-PERALTE!$Z$18)*(RASANTE!F107-PERALTE!$Z$18)-2),IF(RASANTE!F107&lt;=PERALTE!$AB$18,-2))))),IF(AND(AH!$H$20="Derecha",RASANTE!F107&lt;=PERALTE!$AB$18),IF(RASANTE!F107&lt;=PERALTE!$Q$18,-2,IF(RASANTE!F107&lt;=PERALTE!$U$18,(10/(PERALTE!$U$18-PERALTE!$Q$18)*(RASANTE!F107-PERALTE!$Q$18)-2),IF(RASANTE!F107&lt;=PERALTE!$X$18,8,IF(RASANTE!F107&lt;=PERALTE!$AB$18,(10/(PERALTE!$X$18-PERALTE!$AB$18)*(RASANTE!F107-PERALTE!$AB$18)-2))))),IF(AND(AH!$H$24="Izquierda",RASANTE!F107&lt;=PERALTE!$AB$22),IF(RASANTE!F107&lt;=PERALTE!$S$22,-2,IF(RASANTE!F107&lt;=PERALTE!$U$22,(-6/(PERALTE!$U$22-PERALTE!$S$22)*(RASANTE!F107-PERALTE!$S$22)-2),IF(RASANTE!F107&lt;=PERALTE!$X$22,-8,IF(RASANTE!F107&lt;=PERALTE!$Z$22,(-6/(PERALTE!$X$22-PERALTE!$Z$22)*(RASANTE!F107-PERALTE!$Z$22)-2),IF(RASANTE!F107&lt;=PERALTE!$AB$22,-2))))),IF(AND(AH!$H$24="Derecha",RASANTE!F107&lt;=PERALTE!$AB$22),IF(RASANTE!F107&lt;=PERALTE!$Q$22,-2,IF(RASANTE!F107&lt;=PERALTE!$U$22,(10/(PERALTE!$U$22-PERALTE!$Q$22)*(RASANTE!F107-PERALTE!$Q$22)-2),IF(RASANTE!F107&lt;=PERALTE!$X$22,8,IF(RASANTE!F107&lt;=PERALTE!$AB$22,(10/(PERALTE!$X$22-PERALTE!$AB$22)*(RASANTE!F107-PERALTE!$AB$22)-2))))),IF(AND(AH!#REF!="Izquierda",RASANTE!F107&lt;=PERALTE!#REF!),IF(RASANTE!F107&lt;=PERALTE!#REF!,-2,IF(RASANTE!F107&lt;=PERALTE!#REF!,(-6/(PERALTE!#REF!-PERALTE!#REF!)*(RASANTE!F107-PERALTE!#REF!)-2),IF(RASANTE!F107&lt;=PERALTE!#REF!,-8,IF(RASANTE!F107&lt;=PERALTE!#REF!,(-6/(PERALTE!#REF!-PERALTE!#REF!)*(RASANTE!F107-PERALTE!#REF!)-2),IF(RASANTE!F107&lt;=PERALTE!#REF!,-2))))),IF(AND(AH!#REF!="Derecha",RASANTE!F107&lt;=PERALTE!#REF!),IF(RASANTE!F107&lt;=PERALTE!#REF!,-2,IF(RASANTE!F107&lt;=PERALTE!#REF!,(10/(PERALTE!#REF!-PERALTE!#REF!)*(RASANTE!F107-PERALTE!#REF!)-2),IF(RASANTE!F107&lt;=PERALTE!#REF!,8,IF(RASANTE!F107&lt;=PERALTE!#REF!,(10/(PERALTE!#REF!-PERALTE!#REF!)*(RASANTE!F107-PERALTE!#REF!)-2))))),IF(AND(AH!#REF!="Izquierda",RASANTE!F107&lt;=PERALTE!$AB$26),IF(RASANTE!F107&lt;=PERALTE!$S$26,-2,IF(RASANTE!F107&lt;=PERALTE!$U$26,(-6/(PERALTE!$U$26-PERALTE!$S$26)*(RASANTE!F107-PERALTE!$S$26)-2),IF(RASANTE!F107&lt;=PERALTE!$X$26,-8,IF(RASANTE!F107&lt;=PERALTE!$Z$26,(-6/(PERALTE!$X$26-PERALTE!$Z$26)*(RASANTE!F107-PERALTE!$Z$26)-2),IF(RASANTE!F107&lt;=PERALTE!$AB$26,-2))))),IF(AND(AH!#REF!="Derecha",RASANTE!F107&lt;=PERALTE!$AB$26),IF(RASANTE!F107&lt;=PERALTE!$Q$26,-2,IF(RASANTE!F107&lt;=PERALTE!$U$26,(10/(PERALTE!$U$26-PERALTE!$Q$26)*(RASANTE!F107-PERALTE!$Q$26)-2),IF(RASANTE!F107&lt;=PERALTE!$X$26,8,IF(RASANTE!F107&lt;=PERALTE!$AB$26,(10/(PERALTE!$X$26-PERALTE!$AB$26)*(RASANTE!F107-PERALTE!$AB$26)-2))))),IF(F107&lt;=PERALTE!#REF!,-2,"Abscisa fuera de la vía")))))))))))))))))))))</f>
        <v>-8</v>
      </c>
      <c r="I107" s="28">
        <f>+IF(AND(AH!$H$8="Derecha",RASANTE!F107&lt;=PERALTE!$AB$6),IF(RASANTE!F107&lt;=PERALTE!$S$6,-2,IF(RASANTE!F107&lt;=PERALTE!$U$6,(-6/(PERALTE!$U$6-PERALTE!$S$6)*(RASANTE!F107-PERALTE!$S$6)-2),IF(RASANTE!F107&lt;=PERALTE!$X$6,-8,IF(RASANTE!F107&lt;=PERALTE!$Z$6,(-6/(PERALTE!$X$6-PERALTE!$Z$6)*(RASANTE!F107-PERALTE!$Z$6)-2),IF(RASANTE!F107&lt;=PERALTE!$AB$6,-2))))),IF(AND(AH!$H$8="Izquierda",RASANTE!F107&lt;=PERALTE!$AB$6),IF(RASANTE!F107&lt;=PERALTE!$Q$6,-2,IF(RASANTE!F107&lt;=PERALTE!$U$6,(10/(PERALTE!$U$6-PERALTE!$Q$6)*(RASANTE!F107-PERALTE!$Q$6)-2),IF(RASANTE!F107&lt;=PERALTE!$X$6,8,IF(RASANTE!F107&lt;=PERALTE!$AB$6,(10/(PERALTE!$X$6-PERALTE!$AB$6)*(RASANTE!F107-PERALTE!$AB$6)-2))))),IF(AND(AH!$H$10="Derecha",RASANTE!F107&lt;=PERALTE!$AB$8),IF(RASANTE!F107&lt;=PERALTE!$S$8,-2,IF(RASANTE!F107&lt;=PERALTE!$U$8,(-6/(PERALTE!$U$8-PERALTE!$S$8)*(RASANTE!F107-PERALTE!$S$8)-2),IF(RASANTE!F107&lt;=PERALTE!$X$8,-8,IF(RASANTE!F107&lt;=PERALTE!$Z$8,(-6/(PERALTE!$X$8-PERALTE!$Z$8)*(RASANTE!F107-PERALTE!$Z$8)-2),IF(RASANTE!F107&lt;=PERALTE!$AB$8,-2))))),IF(AND(AH!$H$10="Izquierda",RASANTE!F107&lt;=PERALTE!$AB$8),IF(RASANTE!F107&lt;=PERALTE!$Q$8,-2,IF(RASANTE!F107&lt;=PERALTE!$U$8,(10/(PERALTE!$U$8-PERALTE!$Q$8)*(RASANTE!F107-PERALTE!$Q$8)-2),IF(RASANTE!F107&lt;=PERALTE!$X$8,8,IF(RASANTE!F107&lt;=PERALTE!$AB$8,(10/(PERALTE!$X$8-PERALTE!$AB$8)*(RASANTE!F107-PERALTE!$AB$8)-2))))),IF(AND(AH!$H$12="Derecha",RASANTE!F107&lt;=PERALTE!$AB$10),IF(RASANTE!F107&lt;=PERALTE!$S$10,-2,IF(RASANTE!F107&lt;=PERALTE!$U$10,(-6/(PERALTE!$U$10-PERALTE!$S$10)*(RASANTE!F107-PERALTE!$S$10)-2),IF(RASANTE!F107&lt;=PERALTE!$X$10,-8,IF(RASANTE!F107&lt;=PERALTE!$Z$10,(-6/(PERALTE!$X$10-PERALTE!$Z$10)*(RASANTE!F107-PERALTE!$Z$10)-2),IF(RASANTE!F107&lt;=PERALTE!$AB$10,-2))))),IF(AND(AH!$H$12="Izquierda",RASANTE!F107&lt;=PERALTE!$AB$10),IF(RASANTE!F107&lt;=PERALTE!$Q$10,-2,IF(RASANTE!F107&lt;=PERALTE!$U$10,(10/(PERALTE!$U$10-PERALTE!$Q$10)*(RASANTE!F107-PERALTE!$Q$10)-2),IF(RASANTE!F107&lt;=PERALTE!$X$10,8,IF(RASANTE!F107&lt;=PERALTE!$AB$10,(10/(PERALTE!$X$10-PERALTE!$AB$10)*(RASANTE!F107-PERALTE!$AB$10)-2))))),IF(AND(AH!$H$14="Derecha",RASANTE!F107&lt;=PERALTE!$AB$12),IF(RASANTE!F107&lt;=PERALTE!$S$12,-2,IF(RASANTE!F107&lt;=PERALTE!$U$12,(-6/(PERALTE!$U$12-PERALTE!$S$12)*(RASANTE!F107-PERALTE!$S$12)-2),IF(RASANTE!F107&lt;=PERALTE!$X$12,-8,IF(RASANTE!F107&lt;=PERALTE!$Z$12,(-6/(PERALTE!$X$12-PERALTE!$Z$12)*(RASANTE!F107-PERALTE!$Z$12)-2),IF(RASANTE!F107&lt;=PERALTE!$AB$12,-2))))),IF(AND(AH!$H$14="Izquierda",RASANTE!F107&lt;=PERALTE!$AB$12),IF(RASANTE!F107&lt;=PERALTE!$Q$12,-2,IF(RASANTE!F107&lt;=PERALTE!$U$12,(10/(PERALTE!$U$12-PERALTE!$Q$12)*(RASANTE!F107-PERALTE!$Q$12)-2),IF(RASANTE!F107&lt;=PERALTE!$X$12,8,IF(RASANTE!F107&lt;=PERALTE!$AB$12,(10/(PERALTE!$X$12-PERALTE!$AB$12)*(RASANTE!F107-PERALTE!$AB$12)-2))))),IF(AND(AH!$H$16="Derecha",RASANTE!F107&lt;=PERALTE!$AB$14),IF(RASANTE!F107&lt;=PERALTE!$S$14,-2,IF(RASANTE!F107&lt;=PERALTE!$U$14,(-6/(PERALTE!$U$14-PERALTE!$S$14)*(RASANTE!F107-PERALTE!$S$14)-2),IF(RASANTE!F107&lt;=PERALTE!$X$14,-8,IF(RASANTE!F107&lt;=PERALTE!$Z$14,(-6/(PERALTE!$X$14-PERALTE!$Z$14)*(RASANTE!F107-PERALTE!$Z$14)-2),IF(RASANTE!F107&lt;=PERALTE!$AB$14,-2))))),IF(AND(AH!$H$16="Izquierda",RASANTE!F107&lt;=PERALTE!$AB$14),IF(RASANTE!F107&lt;=PERALTE!$Q$14,-2,IF(RASANTE!F107&lt;=PERALTE!$U$14,(10/(PERALTE!$U$14-PERALTE!$Q$14)*(RASANTE!F107-PERALTE!$Q$14)-2),IF(RASANTE!F107&lt;=PERALTE!$X$14,8,IF(RASANTE!F107&lt;=PERALTE!$AB$14,(10/(PERALTE!$X$14-PERALTE!$AB$14)*(RASANTE!F107-PERALTE!$AB$14)-2))))),IF(AND(AH!$H$18="Derecha",RASANTE!F107&lt;=PERALTE!$AB$16),IF(RASANTE!F107&lt;=PERALTE!$S$16,-2,IF(RASANTE!F107&lt;=PERALTE!$U$16,(-6/(PERALTE!$U$16-PERALTE!$S$16)*(RASANTE!F107-PERALTE!$S$16)-2),IF(RASANTE!F107&lt;=PERALTE!$X$16,-8,IF(RASANTE!F107&lt;=PERALTE!$Z$16,(-6/(PERALTE!$X$16-PERALTE!$Z$16)*(RASANTE!F107-PERALTE!$Z$16)-2),IF(RASANTE!F107&lt;=PERALTE!$AB$16,-2))))),IF(AND(AH!$H$18="Izquierda",RASANTE!F107&lt;=PERALTE!$AB$16),IF(RASANTE!F107&lt;=PERALTE!$Q$16,-2,IF(RASANTE!F107&lt;=PERALTE!$U$16,(10/(PERALTE!$U$16-PERALTE!$Q$16)*(RASANTE!F107-PERALTE!$Q$16)-2),IF(RASANTE!F107&lt;=PERALTE!$X$16,8,IF(RASANTE!F107&lt;=PERALTE!$AB$16,(10/(PERALTE!$X$16-PERALTE!$AB$16)*(RASANTE!F107-PERALTE!$AB$16)-2))))),IF(AND(AH!$H$20="Derecha",RASANTE!F107&lt;=PERALTE!$AB$18),IF(RASANTE!F107&lt;=PERALTE!$S$18,-2,IF(RASANTE!F107&lt;=PERALTE!$U$18,(-6/(PERALTE!$U$18-PERALTE!$S$18)*(RASANTE!F107-PERALTE!$S$18)-2),IF(RASANTE!F107&lt;=PERALTE!$X$18,-8,IF(RASANTE!F107&lt;=PERALTE!$Z$18,(-6/(PERALTE!$X$18-PERALTE!$Z$18)*(RASANTE!F107-PERALTE!$Z$18)-2),IF(RASANTE!F107&lt;=PERALTE!$AB$18,-2))))),IF(AND(AH!$H$20="Izquierda",RASANTE!F107&lt;=PERALTE!$AB$18),IF(RASANTE!F107&lt;=PERALTE!$Q$18,-2,IF(RASANTE!F107&lt;=PERALTE!$U$18,(10/(PERALTE!$U$18-PERALTE!$Q$18)*(RASANTE!F107-PERALTE!$Q$18)-2),IF(RASANTE!F107&lt;=PERALTE!$X$18,8,IF(RASANTE!F107&lt;=PERALTE!$AB$18,(10/(PERALTE!$X$18-PERALTE!$AB$18)*(RASANTE!F107-PERALTE!$AB$18)-2))))),IF(AND(AH!$H$24="Derecha",RASANTE!F107&lt;=PERALTE!$AB$22),IF(RASANTE!F107&lt;=PERALTE!$S$22,-2,IF(RASANTE!F107&lt;=PERALTE!$U$22,(-6/(PERALTE!$U$22-PERALTE!$S$22)*(RASANTE!F107-PERALTE!$S$22)-2),IF(RASANTE!F107&lt;=PERALTE!$X$22,-8,IF(RASANTE!F107&lt;=PERALTE!$Z$22,(-6/(PERALTE!$X$22-PERALTE!$Z$22)*(RASANTE!F107-PERALTE!$Z$22)-2),IF(RASANTE!F107&lt;=PERALTE!$AB$22,-2))))),IF(AND(AH!$H$24="Izquierda",RASANTE!F107&lt;=PERALTE!$AB$22),IF(RASANTE!F107&lt;=PERALTE!$Q$22,-2,IF(RASANTE!F107&lt;=PERALTE!$U$22,(10/(PERALTE!$U$22-PERALTE!$Q$22)*(RASANTE!F107-PERALTE!$Q$22)-2),IF(RASANTE!F107&lt;=PERALTE!$X$22,8,IF(RASANTE!F107&lt;=PERALTE!$AB$22,(10/(PERALTE!$X$22-PERALTE!$AB$22)*(RASANTE!F107-PERALTE!$AB$22)-2))))),IF(AND(AH!#REF!="Derecha",RASANTE!F107&lt;=PERALTE!#REF!),IF(RASANTE!F107&lt;=PERALTE!#REF!,-2,IF(RASANTE!F107&lt;=PERALTE!#REF!,(-6/(PERALTE!#REF!-PERALTE!#REF!)*(RASANTE!F107-PERALTE!#REF!)-2),IF(RASANTE!F107&lt;=PERALTE!#REF!,-8,IF(RASANTE!F107&lt;=PERALTE!#REF!,(-6/(PERALTE!#REF!-PERALTE!#REF!)*(RASANTE!F107-PERALTE!#REF!)-2),IF(RASANTE!F107&lt;=PERALTE!#REF!,-2))))),IF(AND(AH!#REF!="Izquierda",RASANTE!F107&lt;=PERALTE!#REF!),IF(RASANTE!F107&lt;=PERALTE!#REF!,-2,IF(RASANTE!F107&lt;=PERALTE!#REF!,(10/(PERALTE!#REF!-PERALTE!#REF!)*(RASANTE!F107-PERALTE!#REF!)-2),IF(RASANTE!F107&lt;=PERALTE!#REF!,8,IF(RASANTE!F107&lt;=PERALTE!#REF!,(10/(PERALTE!#REF!-PERALTE!#REF!)*(RASANTE!F107-PERALTE!#REF!)-2))))),IF(AND(AH!#REF!="Derecha",RASANTE!F107&lt;=PERALTE!$AB$26),IF(RASANTE!F107&lt;=PERALTE!$S$26,-2,IF(RASANTE!F107&lt;=PERALTE!$U$26,(-6/(PERALTE!$U$26-PERALTE!$S$26)*(RASANTE!F107-PERALTE!$S$26)-2),IF(RASANTE!F107&lt;=PERALTE!$X$26,-8,IF(RASANTE!F107&lt;=PERALTE!$Z$26,(-6/(PERALTE!$X$26-PERALTE!$Z$26)*(RASANTE!F107-PERALTE!$Z$26)-2),IF(RASANTE!F107&lt;=PERALTE!$AB$26,-2))))),IF(AND(AH!#REF!="Izquierda",RASANTE!F107&lt;=PERALTE!$AB$26),IF(RASANTE!F107&lt;=PERALTE!$Q$26,-2,IF(RASANTE!F107&lt;=PERALTE!$U$26,(10/(PERALTE!$U$26-PERALTE!$Q$26)*(RASANTE!F107-PERALTE!$Q$26)-2),IF(RASANTE!F107&lt;=PERALTE!$X$26,8,IF(RASANTE!F107&lt;=PERALTE!$AB$26,(10/(PERALTE!$X$26-PERALTE!$AB$26)*(RASANTE!F107-PERALTE!$AB$26)-2))))),IF(F107&lt;=PERALTE!#REF!,-2,"Abscisa fuera de la vía")))))))))))))))))))))</f>
        <v>8</v>
      </c>
      <c r="J107" s="28">
        <f t="shared" si="4"/>
        <v>1631.8603268069699</v>
      </c>
      <c r="K107" s="28">
        <f>+IF(AND(AV!$S$6&lt;F204,F204&lt;=AV!$T$6),AV!$P$6*((AV!$S$6-RASANTE!F204)/(AV!$N$6))^2,IF(AND(AV!$T$6&lt;RASANTE!F204,F204&lt;AV!$U$6),AV!$P$6*((AV!$U$6-RASANTE!F204)/(AV!$O$6))^2,IF(AND(AV!$S$8&lt;F204,F204&lt;=AV!$T$8),AV!$P$8*((AV!$S$8-RASANTE!F204)/(AV!$N$8))^2,IF(AND(AV!$T$8&lt;RASANTE!F204,F204&lt;AV!$U$8),AV!$P$8*((AV!$U$8-RASANTE!F204)/(AV!$O$8))^2,IF(AND(AV!$S$10&lt;F204,F204&lt;=AV!$T$10),AV!$P$10*((AV!$S$10-RASANTE!F204)/(AV!$N$10))^2,IF(AND(AV!$T$10&lt;RASANTE!F204,F204&lt;AV!$U$10),AV!$P$10*((AV!$U$10-RASANTE!F204)/(AV!$O$10))^2,IF(AND(AV!$S$12&lt;F204,F204&lt;=AV!$T$12),AV!$P$12*((AV!$S$12-RASANTE!F204)/(AV!$N$12))^2,IF(AND(AV!$T$12&lt;RASANTE!F204,F204&lt;AV!$U$12),AV!$P$12*((AV!$U$12-RASANTE!F204)/(AV!$O$12))^2,IF(AND(AV!$S$14&lt;F204,F204&lt;=AV!$T$14),AV!$P$14*((AV!$S$14-RASANTE!F204)/(AV!$N$14))^2,IF(AND(AV!$T$14&lt;RASANTE!F204,F204&lt;AV!$U$14),AV!$P$14*((AV!$U$14-RASANTE!F204)/(AV!$O$14))^2,IF(AND(AV!$S$16&lt;F204,F204&lt;=AV!$T$16),AV!$P$16*((AV!$S$16-RASANTE!F204)/(AV!$N$16))^2,IF(AND(AV!$T$16&lt;RASANTE!F204,F204&lt;AV!$U$16),AV!$P$16*((AV!$U$16-RASANTE!F204)/(AV!$O$16))^2,IF(AND(AV!$S$18&lt;F204,F204&lt;=AV!$T$18),AV!$P$18*((AV!$S$18-RASANTE!F204)/(AV!$N$18))^2,IF(AND(AV!$T$18&lt;RASANTE!F204,F204&lt;AV!$U$18),AV!$P$18*((AV!$U$18-RASANTE!F204)/(AV!$O$18))^2,IF(AND(AV!$S$20&lt;F204,F204&lt;=AV!$T$20),AV!$P$20*((AV!$S$20-RASANTE!F204)/(AV!$N$20))^2,IF(AND(AV!$T$20&lt;RASANTE!F204,F204&lt;AV!$U$20),AV!$P$20*((AV!$U$20-RASANTE!F204)/(AV!$O$20))^2,IF(AND(AV!$S$22&lt;F204,F204&lt;=AV!$T$22),AV!$P$22*((AV!$S$22-RASANTE!F204)/(AV!$N$22))^2,IF(AND(AV!$T$22&lt;RASANTE!F204,F204&lt;AV!$U$22),AV!$P$22*((AV!$U$22-RASANTE!F204)/(AV!$O$22))^2,IF(AND(AV!$S$24&lt;F204,F204&lt;=AV!$T$24),AV!$P$24*((AV!$S$24-RASANTE!F204)/(AV!$N$24))^2,IF(AND(AV!$T$24&lt;RASANTE!F204,F204&lt;AV!$U$24),AV!$P$24*((AV!$U$24-RASANTE!F204)/(AV!$O$24))^2,0))))))))))))))))))))</f>
        <v>-2.0883140100000062E-2</v>
      </c>
      <c r="L107" s="28">
        <f>+M107+H107%*PERALTE!$C$32</f>
        <v>1631.5594436668698</v>
      </c>
      <c r="M107" s="28">
        <f t="shared" si="5"/>
        <v>1631.8394436668698</v>
      </c>
      <c r="N107" s="28">
        <f>+M107+I107%*PERALTE!$C$32</f>
        <v>1632.1194436668698</v>
      </c>
      <c r="O107" s="92"/>
      <c r="P107" s="84"/>
      <c r="Q107" s="84"/>
      <c r="R107" s="84"/>
      <c r="S107" s="84"/>
      <c r="T107" s="84"/>
      <c r="U107" s="84"/>
      <c r="V107" s="84"/>
      <c r="W107" s="84"/>
      <c r="X107" s="84"/>
      <c r="Y107" s="84"/>
    </row>
    <row r="108" spans="1:25" ht="15.75" customHeight="1" x14ac:dyDescent="0.2">
      <c r="A108" s="109" t="s">
        <v>205</v>
      </c>
      <c r="B108" s="167">
        <f>AH!S12</f>
        <v>81.863841334485116</v>
      </c>
      <c r="C108" s="168">
        <f>PERALTE!C34</f>
        <v>8</v>
      </c>
      <c r="D108" s="169"/>
      <c r="E108" s="115"/>
      <c r="F108" s="34">
        <f>PERALTE!W10</f>
        <v>664.20243976770257</v>
      </c>
      <c r="G108" s="88">
        <f>IF(F108&lt;=AV!$T$6,AV!$C$5,IF(RASANTE!F108&lt;=AV!$T$8,AV!$C$7,IF(RASANTE!F108&lt;=AV!$T$10,AV!$C$9,IF(RASANTE!F108&lt;=AV!$T$12,AV!#REF!,IF(RASANTE!F108&lt;=AV!$T$14,AV!$C$11,IF(RASANTE!F108&lt;=AV!$T$16,AV!$C$13, IF(RASANTE!F108&lt;=AV!$T$18,AV!$C$15,IF(RASANTE!F108&lt;=AV!$T$20,AV!$C$19,IF(RASANTE!F108&lt;=AV!$T$22,AV!$C$21,IF(RASANTE!F108&lt;=AV!$T$24,AV!$C$23,AV!$C$25))))))))))</f>
        <v>-3</v>
      </c>
      <c r="H108" s="28">
        <f>+IF(AND(AH!$H$8="Izquierda",RASANTE!F108&lt;=PERALTE!$AB$6),IF(RASANTE!F108&lt;=PERALTE!$S$6,-2,IF(RASANTE!F108&lt;=PERALTE!$U$6,(-6/(PERALTE!$U$6-PERALTE!$S$6)*(RASANTE!F108-PERALTE!$S$6)-2),IF(RASANTE!F108&lt;=PERALTE!$X$6,-8,IF(RASANTE!F108&lt;=PERALTE!$Z$6,(-6/(PERALTE!$X$6-PERALTE!$Z$6)*(RASANTE!F108-PERALTE!$Z$6)-2),IF(RASANTE!F108&lt;=PERALTE!$AB$6,-2))))),IF(AND(AH!$H$8="Derecha",RASANTE!F108&lt;=PERALTE!$AB$6),IF(RASANTE!F108&lt;=PERALTE!$Q$6,-2,IF(RASANTE!F108&lt;=PERALTE!$U$6,(10/(PERALTE!$U$6-PERALTE!$Q$6)*(RASANTE!F108-PERALTE!$Q$6)-2),IF(RASANTE!F108&lt;=PERALTE!$X$6,8,IF(RASANTE!F108&lt;=PERALTE!$AB$6,(10/(PERALTE!$X$6-PERALTE!$AB$6)*(RASANTE!F108-PERALTE!$AB$6)-2))))),IF(AND(AH!$H$10="Izquierda",RASANTE!F108&lt;=PERALTE!$AB$8),IF(RASANTE!F108&lt;=PERALTE!$S$8,-2,IF(RASANTE!F108&lt;=PERALTE!$U$8,(-6/(PERALTE!$U$8-PERALTE!$S$8)*(RASANTE!F108-PERALTE!$S$8)-2),IF(RASANTE!F108&lt;=PERALTE!$X$8,-8,IF(RASANTE!F108&lt;=PERALTE!$Z$8,(-6/(PERALTE!$X$8-PERALTE!$Z$8)*(RASANTE!F108-PERALTE!$Z$8)-2),IF(RASANTE!F108&lt;=PERALTE!$AB$8,-2))))),IF(AND(AH!$H$10="Derecha",RASANTE!F108&lt;=PERALTE!$AB$8),IF(RASANTE!F108&lt;=PERALTE!$Q$8,-2,IF(RASANTE!F108&lt;=PERALTE!$U$8,(10/(PERALTE!$U$8-PERALTE!$Q$8)*(RASANTE!F108-PERALTE!$Q$8)-2),IF(RASANTE!F108&lt;=PERALTE!$X$8,8,IF(RASANTE!F108&lt;=PERALTE!$AB$8,(10/(PERALTE!$X$8-PERALTE!$AB$8)*(RASANTE!F108-PERALTE!$AB$8)-2))))),IF(AND(AH!$H$12="Izquierda",RASANTE!F108&lt;=PERALTE!$AB$10),IF(RASANTE!F108&lt;=PERALTE!$S$10,-2,IF(RASANTE!F108&lt;=PERALTE!$U$10,(-6/(PERALTE!$U$10-PERALTE!$S$10)*(RASANTE!F108-PERALTE!$S$10)-2),IF(RASANTE!F108&lt;=PERALTE!$X$10,-8,IF(RASANTE!F108&lt;=PERALTE!$Z$10,(-6/(PERALTE!$X$10-PERALTE!$Z$10)*(RASANTE!F108-PERALTE!$Z$10)-2),IF(RASANTE!F108&lt;=PERALTE!$AB$10,-2))))),IF(AND(AH!$H$12="Derecha",RASANTE!F108&lt;=PERALTE!$AB$10),IF(RASANTE!F108&lt;=PERALTE!$Q$10,-2,IF(RASANTE!F108&lt;=PERALTE!$U$10,(10/(PERALTE!$U$10-PERALTE!$Q$10)*(RASANTE!F108-PERALTE!$Q$10)-2),IF(RASANTE!F108&lt;=PERALTE!$X$10,8,IF(RASANTE!F108&lt;=PERALTE!$AB$10,(10/(PERALTE!$X$10-PERALTE!$AB$10)*(RASANTE!F108-PERALTE!$AB$10)-2))))),IF(AND(AH!$H$14="Izquierda",RASANTE!F108&lt;=PERALTE!$AB$12),IF(RASANTE!F108&lt;=PERALTE!$S$12,-2,IF(RASANTE!F108&lt;=PERALTE!$U$12,(-6/(PERALTE!$U$12-PERALTE!$S$12)*(RASANTE!F108-PERALTE!$S$12)-2),IF(RASANTE!F108&lt;=PERALTE!$X$12,-8,IF(RASANTE!F108&lt;=PERALTE!$Z$12,(-6/(PERALTE!$X$12-PERALTE!$Z$12)*(RASANTE!F108-PERALTE!$Z$12)-2),IF(RASANTE!F108&lt;=PERALTE!$AB$12,-2))))),IF(AND(AH!$H$14="Derecha",RASANTE!F108&lt;=PERALTE!$AB$12),IF(RASANTE!F108&lt;=PERALTE!$Q$12,-2,IF(RASANTE!F108&lt;=PERALTE!$U$12,(10/(PERALTE!$U$12-PERALTE!$Q$12)*(RASANTE!F108-PERALTE!$Q$12)-2),IF(RASANTE!F108&lt;=PERALTE!$X$12,8,IF(RASANTE!F108&lt;=PERALTE!$AB$12,(10/(PERALTE!$X$12-PERALTE!$AB$12)*(RASANTE!F108-PERALTE!$AB$12)-2))))),IF(AND(AH!$H$16="Izquierda",RASANTE!F108&lt;=PERALTE!$AB$14),IF(RASANTE!F108&lt;=PERALTE!$S$14,-2,IF(RASANTE!F108&lt;=PERALTE!$U$14,(-6/(PERALTE!$U$14-PERALTE!$S$14)*(RASANTE!F108-PERALTE!$S$14)-2),IF(RASANTE!F108&lt;=PERALTE!$X$14,-8,IF(RASANTE!F108&lt;=PERALTE!$Z$14,(-6/(PERALTE!$X$14-PERALTE!$Z$14)*(RASANTE!F108-PERALTE!$Z$14)-2),IF(RASANTE!F108&lt;=PERALTE!$AB$14,-2))))),IF(AND(AH!$H$16="Derecha",RASANTE!F108&lt;=PERALTE!$AB$14),IF(RASANTE!F108&lt;=PERALTE!$Q$14,-2,IF(RASANTE!F108&lt;=PERALTE!$U$14,(10/(PERALTE!$U$14-PERALTE!$Q$14)*(RASANTE!F108-PERALTE!$Q$14)-2),IF(RASANTE!F108&lt;=PERALTE!$X$14,8,IF(RASANTE!F108&lt;=PERALTE!$AB$14,(10/(PERALTE!$X$14-PERALTE!$AB$14)*(RASANTE!F108-PERALTE!$AB$14)-2))))),IF(AND(AH!$H$18="Izquierda",RASANTE!F108&lt;=PERALTE!$AB$16),IF(RASANTE!F108&lt;=PERALTE!$S$16,-2,IF(RASANTE!F108&lt;=PERALTE!$U$16,(-6/(PERALTE!$U$16-PERALTE!$S$16)*(RASANTE!F108-PERALTE!$S$16)-2),IF(RASANTE!F108&lt;=PERALTE!$X$16,-8,IF(RASANTE!F108&lt;=PERALTE!$Z$16,(-6/(PERALTE!$X$16-PERALTE!$Z$16)*(RASANTE!F108-PERALTE!$Z$16)-2),IF(RASANTE!F108&lt;=PERALTE!$AB$16,-2))))),IF(AND(AH!$H$18="Derecha",RASANTE!F108&lt;=PERALTE!$AB$16),IF(RASANTE!F108&lt;=PERALTE!$Q$16,-2,IF(RASANTE!F108&lt;=PERALTE!$U$16,(10/(PERALTE!$U$16-PERALTE!$Q$16)*(RASANTE!F108-PERALTE!$Q$16)-2),IF(RASANTE!F108&lt;=PERALTE!$X$16,8,IF(RASANTE!F108&lt;=PERALTE!$AB$16,(10/(PERALTE!$X$16-PERALTE!$AB$16)*(RASANTE!F108-PERALTE!$AB$16)-2))))),IF(AND(AH!$H$20="Izquierda",RASANTE!F108&lt;=PERALTE!$AB$18),IF(RASANTE!F108&lt;=PERALTE!$S$18,-2,IF(RASANTE!F108&lt;=PERALTE!$U$18,(-6/(PERALTE!$U$18-PERALTE!$S$18)*(RASANTE!F108-PERALTE!$S$18)-2),IF(RASANTE!F108&lt;=PERALTE!$X$18,-8,IF(RASANTE!F108&lt;=PERALTE!$Z$18,(-6/(PERALTE!$X$18-PERALTE!$Z$18)*(RASANTE!F108-PERALTE!$Z$18)-2),IF(RASANTE!F108&lt;=PERALTE!$AB$18,-2))))),IF(AND(AH!$H$20="Derecha",RASANTE!F108&lt;=PERALTE!$AB$18),IF(RASANTE!F108&lt;=PERALTE!$Q$18,-2,IF(RASANTE!F108&lt;=PERALTE!$U$18,(10/(PERALTE!$U$18-PERALTE!$Q$18)*(RASANTE!F108-PERALTE!$Q$18)-2),IF(RASANTE!F108&lt;=PERALTE!$X$18,8,IF(RASANTE!F108&lt;=PERALTE!$AB$18,(10/(PERALTE!$X$18-PERALTE!$AB$18)*(RASANTE!F108-PERALTE!$AB$18)-2))))),IF(AND(AH!$H$24="Izquierda",RASANTE!F108&lt;=PERALTE!$AB$22),IF(RASANTE!F108&lt;=PERALTE!$S$22,-2,IF(RASANTE!F108&lt;=PERALTE!$U$22,(-6/(PERALTE!$U$22-PERALTE!$S$22)*(RASANTE!F108-PERALTE!$S$22)-2),IF(RASANTE!F108&lt;=PERALTE!$X$22,-8,IF(RASANTE!F108&lt;=PERALTE!$Z$22,(-6/(PERALTE!$X$22-PERALTE!$Z$22)*(RASANTE!F108-PERALTE!$Z$22)-2),IF(RASANTE!F108&lt;=PERALTE!$AB$22,-2))))),IF(AND(AH!$H$24="Derecha",RASANTE!F108&lt;=PERALTE!$AB$22),IF(RASANTE!F108&lt;=PERALTE!$Q$22,-2,IF(RASANTE!F108&lt;=PERALTE!$U$22,(10/(PERALTE!$U$22-PERALTE!$Q$22)*(RASANTE!F108-PERALTE!$Q$22)-2),IF(RASANTE!F108&lt;=PERALTE!$X$22,8,IF(RASANTE!F108&lt;=PERALTE!$AB$22,(10/(PERALTE!$X$22-PERALTE!$AB$22)*(RASANTE!F108-PERALTE!$AB$22)-2))))),IF(AND(AH!#REF!="Izquierda",RASANTE!F108&lt;=PERALTE!#REF!),IF(RASANTE!F108&lt;=PERALTE!#REF!,-2,IF(RASANTE!F108&lt;=PERALTE!#REF!,(-6/(PERALTE!#REF!-PERALTE!#REF!)*(RASANTE!F108-PERALTE!#REF!)-2),IF(RASANTE!F108&lt;=PERALTE!#REF!,-8,IF(RASANTE!F108&lt;=PERALTE!#REF!,(-6/(PERALTE!#REF!-PERALTE!#REF!)*(RASANTE!F108-PERALTE!#REF!)-2),IF(RASANTE!F108&lt;=PERALTE!#REF!,-2))))),IF(AND(AH!#REF!="Derecha",RASANTE!F108&lt;=PERALTE!#REF!),IF(RASANTE!F108&lt;=PERALTE!#REF!,-2,IF(RASANTE!F108&lt;=PERALTE!#REF!,(10/(PERALTE!#REF!-PERALTE!#REF!)*(RASANTE!F108-PERALTE!#REF!)-2),IF(RASANTE!F108&lt;=PERALTE!#REF!,8,IF(RASANTE!F108&lt;=PERALTE!#REF!,(10/(PERALTE!#REF!-PERALTE!#REF!)*(RASANTE!F108-PERALTE!#REF!)-2))))),IF(AND(AH!#REF!="Izquierda",RASANTE!F108&lt;=PERALTE!$AB$26),IF(RASANTE!F108&lt;=PERALTE!$S$26,-2,IF(RASANTE!F108&lt;=PERALTE!$U$26,(-6/(PERALTE!$U$26-PERALTE!$S$26)*(RASANTE!F108-PERALTE!$S$26)-2),IF(RASANTE!F108&lt;=PERALTE!$X$26,-8,IF(RASANTE!F108&lt;=PERALTE!$Z$26,(-6/(PERALTE!$X$26-PERALTE!$Z$26)*(RASANTE!F108-PERALTE!$Z$26)-2),IF(RASANTE!F108&lt;=PERALTE!$AB$26,-2))))),IF(AND(AH!#REF!="Derecha",RASANTE!F108&lt;=PERALTE!$AB$26),IF(RASANTE!F108&lt;=PERALTE!$Q$26,-2,IF(RASANTE!F108&lt;=PERALTE!$U$26,(10/(PERALTE!$U$26-PERALTE!$Q$26)*(RASANTE!F108-PERALTE!$Q$26)-2),IF(RASANTE!F108&lt;=PERALTE!$X$26,8,IF(RASANTE!F108&lt;=PERALTE!$AB$26,(10/(PERALTE!$X$26-PERALTE!$AB$26)*(RASANTE!F108-PERALTE!$AB$26)-2))))),IF(F108&lt;=PERALTE!#REF!,-2,"Abscisa fuera de la vía")))))))))))))))))))))</f>
        <v>-8</v>
      </c>
      <c r="I108" s="28">
        <f>+IF(AND(AH!$H$8="Derecha",RASANTE!F108&lt;=PERALTE!$AB$6),IF(RASANTE!F108&lt;=PERALTE!$S$6,-2,IF(RASANTE!F108&lt;=PERALTE!$U$6,(-6/(PERALTE!$U$6-PERALTE!$S$6)*(RASANTE!F108-PERALTE!$S$6)-2),IF(RASANTE!F108&lt;=PERALTE!$X$6,-8,IF(RASANTE!F108&lt;=PERALTE!$Z$6,(-6/(PERALTE!$X$6-PERALTE!$Z$6)*(RASANTE!F108-PERALTE!$Z$6)-2),IF(RASANTE!F108&lt;=PERALTE!$AB$6,-2))))),IF(AND(AH!$H$8="Izquierda",RASANTE!F108&lt;=PERALTE!$AB$6),IF(RASANTE!F108&lt;=PERALTE!$Q$6,-2,IF(RASANTE!F108&lt;=PERALTE!$U$6,(10/(PERALTE!$U$6-PERALTE!$Q$6)*(RASANTE!F108-PERALTE!$Q$6)-2),IF(RASANTE!F108&lt;=PERALTE!$X$6,8,IF(RASANTE!F108&lt;=PERALTE!$AB$6,(10/(PERALTE!$X$6-PERALTE!$AB$6)*(RASANTE!F108-PERALTE!$AB$6)-2))))),IF(AND(AH!$H$10="Derecha",RASANTE!F108&lt;=PERALTE!$AB$8),IF(RASANTE!F108&lt;=PERALTE!$S$8,-2,IF(RASANTE!F108&lt;=PERALTE!$U$8,(-6/(PERALTE!$U$8-PERALTE!$S$8)*(RASANTE!F108-PERALTE!$S$8)-2),IF(RASANTE!F108&lt;=PERALTE!$X$8,-8,IF(RASANTE!F108&lt;=PERALTE!$Z$8,(-6/(PERALTE!$X$8-PERALTE!$Z$8)*(RASANTE!F108-PERALTE!$Z$8)-2),IF(RASANTE!F108&lt;=PERALTE!$AB$8,-2))))),IF(AND(AH!$H$10="Izquierda",RASANTE!F108&lt;=PERALTE!$AB$8),IF(RASANTE!F108&lt;=PERALTE!$Q$8,-2,IF(RASANTE!F108&lt;=PERALTE!$U$8,(10/(PERALTE!$U$8-PERALTE!$Q$8)*(RASANTE!F108-PERALTE!$Q$8)-2),IF(RASANTE!F108&lt;=PERALTE!$X$8,8,IF(RASANTE!F108&lt;=PERALTE!$AB$8,(10/(PERALTE!$X$8-PERALTE!$AB$8)*(RASANTE!F108-PERALTE!$AB$8)-2))))),IF(AND(AH!$H$12="Derecha",RASANTE!F108&lt;=PERALTE!$AB$10),IF(RASANTE!F108&lt;=PERALTE!$S$10,-2,IF(RASANTE!F108&lt;=PERALTE!$U$10,(-6/(PERALTE!$U$10-PERALTE!$S$10)*(RASANTE!F108-PERALTE!$S$10)-2),IF(RASANTE!F108&lt;=PERALTE!$X$10,-8,IF(RASANTE!F108&lt;=PERALTE!$Z$10,(-6/(PERALTE!$X$10-PERALTE!$Z$10)*(RASANTE!F108-PERALTE!$Z$10)-2),IF(RASANTE!F108&lt;=PERALTE!$AB$10,-2))))),IF(AND(AH!$H$12="Izquierda",RASANTE!F108&lt;=PERALTE!$AB$10),IF(RASANTE!F108&lt;=PERALTE!$Q$10,-2,IF(RASANTE!F108&lt;=PERALTE!$U$10,(10/(PERALTE!$U$10-PERALTE!$Q$10)*(RASANTE!F108-PERALTE!$Q$10)-2),IF(RASANTE!F108&lt;=PERALTE!$X$10,8,IF(RASANTE!F108&lt;=PERALTE!$AB$10,(10/(PERALTE!$X$10-PERALTE!$AB$10)*(RASANTE!F108-PERALTE!$AB$10)-2))))),IF(AND(AH!$H$14="Derecha",RASANTE!F108&lt;=PERALTE!$AB$12),IF(RASANTE!F108&lt;=PERALTE!$S$12,-2,IF(RASANTE!F108&lt;=PERALTE!$U$12,(-6/(PERALTE!$U$12-PERALTE!$S$12)*(RASANTE!F108-PERALTE!$S$12)-2),IF(RASANTE!F108&lt;=PERALTE!$X$12,-8,IF(RASANTE!F108&lt;=PERALTE!$Z$12,(-6/(PERALTE!$X$12-PERALTE!$Z$12)*(RASANTE!F108-PERALTE!$Z$12)-2),IF(RASANTE!F108&lt;=PERALTE!$AB$12,-2))))),IF(AND(AH!$H$14="Izquierda",RASANTE!F108&lt;=PERALTE!$AB$12),IF(RASANTE!F108&lt;=PERALTE!$Q$12,-2,IF(RASANTE!F108&lt;=PERALTE!$U$12,(10/(PERALTE!$U$12-PERALTE!$Q$12)*(RASANTE!F108-PERALTE!$Q$12)-2),IF(RASANTE!F108&lt;=PERALTE!$X$12,8,IF(RASANTE!F108&lt;=PERALTE!$AB$12,(10/(PERALTE!$X$12-PERALTE!$AB$12)*(RASANTE!F108-PERALTE!$AB$12)-2))))),IF(AND(AH!$H$16="Derecha",RASANTE!F108&lt;=PERALTE!$AB$14),IF(RASANTE!F108&lt;=PERALTE!$S$14,-2,IF(RASANTE!F108&lt;=PERALTE!$U$14,(-6/(PERALTE!$U$14-PERALTE!$S$14)*(RASANTE!F108-PERALTE!$S$14)-2),IF(RASANTE!F108&lt;=PERALTE!$X$14,-8,IF(RASANTE!F108&lt;=PERALTE!$Z$14,(-6/(PERALTE!$X$14-PERALTE!$Z$14)*(RASANTE!F108-PERALTE!$Z$14)-2),IF(RASANTE!F108&lt;=PERALTE!$AB$14,-2))))),IF(AND(AH!$H$16="Izquierda",RASANTE!F108&lt;=PERALTE!$AB$14),IF(RASANTE!F108&lt;=PERALTE!$Q$14,-2,IF(RASANTE!F108&lt;=PERALTE!$U$14,(10/(PERALTE!$U$14-PERALTE!$Q$14)*(RASANTE!F108-PERALTE!$Q$14)-2),IF(RASANTE!F108&lt;=PERALTE!$X$14,8,IF(RASANTE!F108&lt;=PERALTE!$AB$14,(10/(PERALTE!$X$14-PERALTE!$AB$14)*(RASANTE!F108-PERALTE!$AB$14)-2))))),IF(AND(AH!$H$18="Derecha",RASANTE!F108&lt;=PERALTE!$AB$16),IF(RASANTE!F108&lt;=PERALTE!$S$16,-2,IF(RASANTE!F108&lt;=PERALTE!$U$16,(-6/(PERALTE!$U$16-PERALTE!$S$16)*(RASANTE!F108-PERALTE!$S$16)-2),IF(RASANTE!F108&lt;=PERALTE!$X$16,-8,IF(RASANTE!F108&lt;=PERALTE!$Z$16,(-6/(PERALTE!$X$16-PERALTE!$Z$16)*(RASANTE!F108-PERALTE!$Z$16)-2),IF(RASANTE!F108&lt;=PERALTE!$AB$16,-2))))),IF(AND(AH!$H$18="Izquierda",RASANTE!F108&lt;=PERALTE!$AB$16),IF(RASANTE!F108&lt;=PERALTE!$Q$16,-2,IF(RASANTE!F108&lt;=PERALTE!$U$16,(10/(PERALTE!$U$16-PERALTE!$Q$16)*(RASANTE!F108-PERALTE!$Q$16)-2),IF(RASANTE!F108&lt;=PERALTE!$X$16,8,IF(RASANTE!F108&lt;=PERALTE!$AB$16,(10/(PERALTE!$X$16-PERALTE!$AB$16)*(RASANTE!F108-PERALTE!$AB$16)-2))))),IF(AND(AH!$H$20="Derecha",RASANTE!F108&lt;=PERALTE!$AB$18),IF(RASANTE!F108&lt;=PERALTE!$S$18,-2,IF(RASANTE!F108&lt;=PERALTE!$U$18,(-6/(PERALTE!$U$18-PERALTE!$S$18)*(RASANTE!F108-PERALTE!$S$18)-2),IF(RASANTE!F108&lt;=PERALTE!$X$18,-8,IF(RASANTE!F108&lt;=PERALTE!$Z$18,(-6/(PERALTE!$X$18-PERALTE!$Z$18)*(RASANTE!F108-PERALTE!$Z$18)-2),IF(RASANTE!F108&lt;=PERALTE!$AB$18,-2))))),IF(AND(AH!$H$20="Izquierda",RASANTE!F108&lt;=PERALTE!$AB$18),IF(RASANTE!F108&lt;=PERALTE!$Q$18,-2,IF(RASANTE!F108&lt;=PERALTE!$U$18,(10/(PERALTE!$U$18-PERALTE!$Q$18)*(RASANTE!F108-PERALTE!$Q$18)-2),IF(RASANTE!F108&lt;=PERALTE!$X$18,8,IF(RASANTE!F108&lt;=PERALTE!$AB$18,(10/(PERALTE!$X$18-PERALTE!$AB$18)*(RASANTE!F108-PERALTE!$AB$18)-2))))),IF(AND(AH!$H$24="Derecha",RASANTE!F108&lt;=PERALTE!$AB$22),IF(RASANTE!F108&lt;=PERALTE!$S$22,-2,IF(RASANTE!F108&lt;=PERALTE!$U$22,(-6/(PERALTE!$U$22-PERALTE!$S$22)*(RASANTE!F108-PERALTE!$S$22)-2),IF(RASANTE!F108&lt;=PERALTE!$X$22,-8,IF(RASANTE!F108&lt;=PERALTE!$Z$22,(-6/(PERALTE!$X$22-PERALTE!$Z$22)*(RASANTE!F108-PERALTE!$Z$22)-2),IF(RASANTE!F108&lt;=PERALTE!$AB$22,-2))))),IF(AND(AH!$H$24="Izquierda",RASANTE!F108&lt;=PERALTE!$AB$22),IF(RASANTE!F108&lt;=PERALTE!$Q$22,-2,IF(RASANTE!F108&lt;=PERALTE!$U$22,(10/(PERALTE!$U$22-PERALTE!$Q$22)*(RASANTE!F108-PERALTE!$Q$22)-2),IF(RASANTE!F108&lt;=PERALTE!$X$22,8,IF(RASANTE!F108&lt;=PERALTE!$AB$22,(10/(PERALTE!$X$22-PERALTE!$AB$22)*(RASANTE!F108-PERALTE!$AB$22)-2))))),IF(AND(AH!#REF!="Derecha",RASANTE!F108&lt;=PERALTE!#REF!),IF(RASANTE!F108&lt;=PERALTE!#REF!,-2,IF(RASANTE!F108&lt;=PERALTE!#REF!,(-6/(PERALTE!#REF!-PERALTE!#REF!)*(RASANTE!F108-PERALTE!#REF!)-2),IF(RASANTE!F108&lt;=PERALTE!#REF!,-8,IF(RASANTE!F108&lt;=PERALTE!#REF!,(-6/(PERALTE!#REF!-PERALTE!#REF!)*(RASANTE!F108-PERALTE!#REF!)-2),IF(RASANTE!F108&lt;=PERALTE!#REF!,-2))))),IF(AND(AH!#REF!="Izquierda",RASANTE!F108&lt;=PERALTE!#REF!),IF(RASANTE!F108&lt;=PERALTE!#REF!,-2,IF(RASANTE!F108&lt;=PERALTE!#REF!,(10/(PERALTE!#REF!-PERALTE!#REF!)*(RASANTE!F108-PERALTE!#REF!)-2),IF(RASANTE!F108&lt;=PERALTE!#REF!,8,IF(RASANTE!F108&lt;=PERALTE!#REF!,(10/(PERALTE!#REF!-PERALTE!#REF!)*(RASANTE!F108-PERALTE!#REF!)-2))))),IF(AND(AH!#REF!="Derecha",RASANTE!F108&lt;=PERALTE!$AB$26),IF(RASANTE!F108&lt;=PERALTE!$S$26,-2,IF(RASANTE!F108&lt;=PERALTE!$U$26,(-6/(PERALTE!$U$26-PERALTE!$S$26)*(RASANTE!F108-PERALTE!$S$26)-2),IF(RASANTE!F108&lt;=PERALTE!$X$26,-8,IF(RASANTE!F108&lt;=PERALTE!$Z$26,(-6/(PERALTE!$X$26-PERALTE!$Z$26)*(RASANTE!F108-PERALTE!$Z$26)-2),IF(RASANTE!F108&lt;=PERALTE!$AB$26,-2))))),IF(AND(AH!#REF!="Izquierda",RASANTE!F108&lt;=PERALTE!$AB$26),IF(RASANTE!F108&lt;=PERALTE!$Q$26,-2,IF(RASANTE!F108&lt;=PERALTE!$U$26,(10/(PERALTE!$U$26-PERALTE!$Q$26)*(RASANTE!F108-PERALTE!$Q$26)-2),IF(RASANTE!F108&lt;=PERALTE!$X$26,8,IF(RASANTE!F108&lt;=PERALTE!$AB$26,(10/(PERALTE!$X$26-PERALTE!$AB$26)*(RASANTE!F108-PERALTE!$AB$26)-2))))),IF(F108&lt;=PERALTE!#REF!,-2,"Abscisa fuera de la vía")))))))))))))))))))))</f>
        <v>8</v>
      </c>
      <c r="J108" s="28">
        <f t="shared" si="4"/>
        <v>1631.8603268069699</v>
      </c>
      <c r="K108" s="28">
        <f>+IF(AND(AV!$S$6&lt;F205,F205&lt;=AV!$T$6),AV!$P$6*((AV!$S$6-RASANTE!F205)/(AV!$N$6))^2,IF(AND(AV!$T$6&lt;RASANTE!F205,F205&lt;AV!$U$6),AV!$P$6*((AV!$U$6-RASANTE!F205)/(AV!$O$6))^2,IF(AND(AV!$S$8&lt;F205,F205&lt;=AV!$T$8),AV!$P$8*((AV!$S$8-RASANTE!F205)/(AV!$N$8))^2,IF(AND(AV!$T$8&lt;RASANTE!F205,F205&lt;AV!$U$8),AV!$P$8*((AV!$U$8-RASANTE!F205)/(AV!$O$8))^2,IF(AND(AV!$S$10&lt;F205,F205&lt;=AV!$T$10),AV!$P$10*((AV!$S$10-RASANTE!F205)/(AV!$N$10))^2,IF(AND(AV!$T$10&lt;RASANTE!F205,F205&lt;AV!$U$10),AV!$P$10*((AV!$U$10-RASANTE!F205)/(AV!$O$10))^2,IF(AND(AV!$S$12&lt;F205,F205&lt;=AV!$T$12),AV!$P$12*((AV!$S$12-RASANTE!F205)/(AV!$N$12))^2,IF(AND(AV!$T$12&lt;RASANTE!F205,F205&lt;AV!$U$12),AV!$P$12*((AV!$U$12-RASANTE!F205)/(AV!$O$12))^2,IF(AND(AV!$S$14&lt;F205,F205&lt;=AV!$T$14),AV!$P$14*((AV!$S$14-RASANTE!F205)/(AV!$N$14))^2,IF(AND(AV!$T$14&lt;RASANTE!F205,F205&lt;AV!$U$14),AV!$P$14*((AV!$U$14-RASANTE!F205)/(AV!$O$14))^2,IF(AND(AV!$S$16&lt;F205,F205&lt;=AV!$T$16),AV!$P$16*((AV!$S$16-RASANTE!F205)/(AV!$N$16))^2,IF(AND(AV!$T$16&lt;RASANTE!F205,F205&lt;AV!$U$16),AV!$P$16*((AV!$U$16-RASANTE!F205)/(AV!$O$16))^2,IF(AND(AV!$S$18&lt;F205,F205&lt;=AV!$T$18),AV!$P$18*((AV!$S$18-RASANTE!F205)/(AV!$N$18))^2,IF(AND(AV!$T$18&lt;RASANTE!F205,F205&lt;AV!$U$18),AV!$P$18*((AV!$U$18-RASANTE!F205)/(AV!$O$18))^2,IF(AND(AV!$S$20&lt;F205,F205&lt;=AV!$T$20),AV!$P$20*((AV!$S$20-RASANTE!F205)/(AV!$N$20))^2,IF(AND(AV!$T$20&lt;RASANTE!F205,F205&lt;AV!$U$20),AV!$P$20*((AV!$U$20-RASANTE!F205)/(AV!$O$20))^2,IF(AND(AV!$S$22&lt;F205,F205&lt;=AV!$T$22),AV!$P$22*((AV!$S$22-RASANTE!F205)/(AV!$N$22))^2,IF(AND(AV!$T$22&lt;RASANTE!F205,F205&lt;AV!$U$22),AV!$P$22*((AV!$U$22-RASANTE!F205)/(AV!$O$22))^2,IF(AND(AV!$S$24&lt;F205,F205&lt;=AV!$T$24),AV!$P$24*((AV!$S$24-RASANTE!F205)/(AV!$N$24))^2,IF(AND(AV!$T$24&lt;RASANTE!F205,F205&lt;AV!$U$24),AV!$P$24*((AV!$U$24-RASANTE!F205)/(AV!$O$24))^2,0))))))))))))))))))))</f>
        <v>0</v>
      </c>
      <c r="L108" s="28">
        <f>+M108+H108%*PERALTE!$C$32</f>
        <v>1631.5803268069699</v>
      </c>
      <c r="M108" s="28">
        <f t="shared" si="5"/>
        <v>1631.8603268069699</v>
      </c>
      <c r="N108" s="28">
        <f>+M108+I108%*PERALTE!$C$32</f>
        <v>1632.1403268069698</v>
      </c>
      <c r="O108" s="92"/>
      <c r="P108" s="84"/>
      <c r="Q108" s="84"/>
      <c r="R108" s="84"/>
      <c r="S108" s="84"/>
      <c r="T108" s="84"/>
      <c r="U108" s="84"/>
      <c r="V108" s="84"/>
      <c r="W108" s="84"/>
      <c r="X108" s="84"/>
      <c r="Y108" s="84"/>
    </row>
    <row r="109" spans="1:25" ht="15.75" customHeight="1" x14ac:dyDescent="0.2">
      <c r="A109" s="90"/>
      <c r="B109" s="170">
        <f>AH!U12</f>
        <v>3.1608594397704732</v>
      </c>
      <c r="C109" s="171">
        <f>PERALTE!N10</f>
        <v>36.36363636363636</v>
      </c>
      <c r="D109" s="172"/>
      <c r="E109" s="91"/>
      <c r="F109" s="34">
        <v>670</v>
      </c>
      <c r="G109" s="88">
        <f>IF(F109&lt;=AV!$T$6,AV!$C$5,IF(RASANTE!F109&lt;=AV!$T$8,AV!$C$7,IF(RASANTE!F109&lt;=AV!$T$10,AV!$C$9,IF(RASANTE!F109&lt;=AV!$T$12,AV!#REF!,IF(RASANTE!F109&lt;=AV!$T$14,AV!$C$11,IF(RASANTE!F109&lt;=AV!$T$16,AV!$C$13, IF(RASANTE!F109&lt;=AV!$T$18,AV!$C$15,IF(RASANTE!F109&lt;=AV!$T$20,AV!$C$19,IF(RASANTE!F109&lt;=AV!$T$22,AV!$C$21,IF(RASANTE!F109&lt;=AV!$T$24,AV!$C$23,AV!$C$25))))))))))</f>
        <v>-3</v>
      </c>
      <c r="H109" s="28">
        <f>+IF(AND(AH!$H$8="Izquierda",RASANTE!F109&lt;=PERALTE!$AB$6),IF(RASANTE!F109&lt;=PERALTE!$S$6,-2,IF(RASANTE!F109&lt;=PERALTE!$U$6,(-6/(PERALTE!$U$6-PERALTE!$S$6)*(RASANTE!F109-PERALTE!$S$6)-2),IF(RASANTE!F109&lt;=PERALTE!$X$6,-8,IF(RASANTE!F109&lt;=PERALTE!$Z$6,(-6/(PERALTE!$X$6-PERALTE!$Z$6)*(RASANTE!F109-PERALTE!$Z$6)-2),IF(RASANTE!F109&lt;=PERALTE!$AB$6,-2))))),IF(AND(AH!$H$8="Derecha",RASANTE!F109&lt;=PERALTE!$AB$6),IF(RASANTE!F109&lt;=PERALTE!$Q$6,-2,IF(RASANTE!F109&lt;=PERALTE!$U$6,(10/(PERALTE!$U$6-PERALTE!$Q$6)*(RASANTE!F109-PERALTE!$Q$6)-2),IF(RASANTE!F109&lt;=PERALTE!$X$6,8,IF(RASANTE!F109&lt;=PERALTE!$AB$6,(10/(PERALTE!$X$6-PERALTE!$AB$6)*(RASANTE!F109-PERALTE!$AB$6)-2))))),IF(AND(AH!$H$10="Izquierda",RASANTE!F109&lt;=PERALTE!$AB$8),IF(RASANTE!F109&lt;=PERALTE!$S$8,-2,IF(RASANTE!F109&lt;=PERALTE!$U$8,(-6/(PERALTE!$U$8-PERALTE!$S$8)*(RASANTE!F109-PERALTE!$S$8)-2),IF(RASANTE!F109&lt;=PERALTE!$X$8,-8,IF(RASANTE!F109&lt;=PERALTE!$Z$8,(-6/(PERALTE!$X$8-PERALTE!$Z$8)*(RASANTE!F109-PERALTE!$Z$8)-2),IF(RASANTE!F109&lt;=PERALTE!$AB$8,-2))))),IF(AND(AH!$H$10="Derecha",RASANTE!F109&lt;=PERALTE!$AB$8),IF(RASANTE!F109&lt;=PERALTE!$Q$8,-2,IF(RASANTE!F109&lt;=PERALTE!$U$8,(10/(PERALTE!$U$8-PERALTE!$Q$8)*(RASANTE!F109-PERALTE!$Q$8)-2),IF(RASANTE!F109&lt;=PERALTE!$X$8,8,IF(RASANTE!F109&lt;=PERALTE!$AB$8,(10/(PERALTE!$X$8-PERALTE!$AB$8)*(RASANTE!F109-PERALTE!$AB$8)-2))))),IF(AND(AH!$H$12="Izquierda",RASANTE!F109&lt;=PERALTE!$AB$10),IF(RASANTE!F109&lt;=PERALTE!$S$10,-2,IF(RASANTE!F109&lt;=PERALTE!$U$10,(-6/(PERALTE!$U$10-PERALTE!$S$10)*(RASANTE!F109-PERALTE!$S$10)-2),IF(RASANTE!F109&lt;=PERALTE!$X$10,-8,IF(RASANTE!F109&lt;=PERALTE!$Z$10,(-6/(PERALTE!$X$10-PERALTE!$Z$10)*(RASANTE!F109-PERALTE!$Z$10)-2),IF(RASANTE!F109&lt;=PERALTE!$AB$10,-2))))),IF(AND(AH!$H$12="Derecha",RASANTE!F109&lt;=PERALTE!$AB$10),IF(RASANTE!F109&lt;=PERALTE!$Q$10,-2,IF(RASANTE!F109&lt;=PERALTE!$U$10,(10/(PERALTE!$U$10-PERALTE!$Q$10)*(RASANTE!F109-PERALTE!$Q$10)-2),IF(RASANTE!F109&lt;=PERALTE!$X$10,8,IF(RASANTE!F109&lt;=PERALTE!$AB$10,(10/(PERALTE!$X$10-PERALTE!$AB$10)*(RASANTE!F109-PERALTE!$AB$10)-2))))),IF(AND(AH!$H$14="Izquierda",RASANTE!F109&lt;=PERALTE!$AB$12),IF(RASANTE!F109&lt;=PERALTE!$S$12,-2,IF(RASANTE!F109&lt;=PERALTE!$U$12,(-6/(PERALTE!$U$12-PERALTE!$S$12)*(RASANTE!F109-PERALTE!$S$12)-2),IF(RASANTE!F109&lt;=PERALTE!$X$12,-8,IF(RASANTE!F109&lt;=PERALTE!$Z$12,(-6/(PERALTE!$X$12-PERALTE!$Z$12)*(RASANTE!F109-PERALTE!$Z$12)-2),IF(RASANTE!F109&lt;=PERALTE!$AB$12,-2))))),IF(AND(AH!$H$14="Derecha",RASANTE!F109&lt;=PERALTE!$AB$12),IF(RASANTE!F109&lt;=PERALTE!$Q$12,-2,IF(RASANTE!F109&lt;=PERALTE!$U$12,(10/(PERALTE!$U$12-PERALTE!$Q$12)*(RASANTE!F109-PERALTE!$Q$12)-2),IF(RASANTE!F109&lt;=PERALTE!$X$12,8,IF(RASANTE!F109&lt;=PERALTE!$AB$12,(10/(PERALTE!$X$12-PERALTE!$AB$12)*(RASANTE!F109-PERALTE!$AB$12)-2))))),IF(AND(AH!$H$16="Izquierda",RASANTE!F109&lt;=PERALTE!$AB$14),IF(RASANTE!F109&lt;=PERALTE!$S$14,-2,IF(RASANTE!F109&lt;=PERALTE!$U$14,(-6/(PERALTE!$U$14-PERALTE!$S$14)*(RASANTE!F109-PERALTE!$S$14)-2),IF(RASANTE!F109&lt;=PERALTE!$X$14,-8,IF(RASANTE!F109&lt;=PERALTE!$Z$14,(-6/(PERALTE!$X$14-PERALTE!$Z$14)*(RASANTE!F109-PERALTE!$Z$14)-2),IF(RASANTE!F109&lt;=PERALTE!$AB$14,-2))))),IF(AND(AH!$H$16="Derecha",RASANTE!F109&lt;=PERALTE!$AB$14),IF(RASANTE!F109&lt;=PERALTE!$Q$14,-2,IF(RASANTE!F109&lt;=PERALTE!$U$14,(10/(PERALTE!$U$14-PERALTE!$Q$14)*(RASANTE!F109-PERALTE!$Q$14)-2),IF(RASANTE!F109&lt;=PERALTE!$X$14,8,IF(RASANTE!F109&lt;=PERALTE!$AB$14,(10/(PERALTE!$X$14-PERALTE!$AB$14)*(RASANTE!F109-PERALTE!$AB$14)-2))))),IF(AND(AH!$H$18="Izquierda",RASANTE!F109&lt;=PERALTE!$AB$16),IF(RASANTE!F109&lt;=PERALTE!$S$16,-2,IF(RASANTE!F109&lt;=PERALTE!$U$16,(-6/(PERALTE!$U$16-PERALTE!$S$16)*(RASANTE!F109-PERALTE!$S$16)-2),IF(RASANTE!F109&lt;=PERALTE!$X$16,-8,IF(RASANTE!F109&lt;=PERALTE!$Z$16,(-6/(PERALTE!$X$16-PERALTE!$Z$16)*(RASANTE!F109-PERALTE!$Z$16)-2),IF(RASANTE!F109&lt;=PERALTE!$AB$16,-2))))),IF(AND(AH!$H$18="Derecha",RASANTE!F109&lt;=PERALTE!$AB$16),IF(RASANTE!F109&lt;=PERALTE!$Q$16,-2,IF(RASANTE!F109&lt;=PERALTE!$U$16,(10/(PERALTE!$U$16-PERALTE!$Q$16)*(RASANTE!F109-PERALTE!$Q$16)-2),IF(RASANTE!F109&lt;=PERALTE!$X$16,8,IF(RASANTE!F109&lt;=PERALTE!$AB$16,(10/(PERALTE!$X$16-PERALTE!$AB$16)*(RASANTE!F109-PERALTE!$AB$16)-2))))),IF(AND(AH!$H$20="Izquierda",RASANTE!F109&lt;=PERALTE!$AB$18),IF(RASANTE!F109&lt;=PERALTE!$S$18,-2,IF(RASANTE!F109&lt;=PERALTE!$U$18,(-6/(PERALTE!$U$18-PERALTE!$S$18)*(RASANTE!F109-PERALTE!$S$18)-2),IF(RASANTE!F109&lt;=PERALTE!$X$18,-8,IF(RASANTE!F109&lt;=PERALTE!$Z$18,(-6/(PERALTE!$X$18-PERALTE!$Z$18)*(RASANTE!F109-PERALTE!$Z$18)-2),IF(RASANTE!F109&lt;=PERALTE!$AB$18,-2))))),IF(AND(AH!$H$20="Derecha",RASANTE!F109&lt;=PERALTE!$AB$18),IF(RASANTE!F109&lt;=PERALTE!$Q$18,-2,IF(RASANTE!F109&lt;=PERALTE!$U$18,(10/(PERALTE!$U$18-PERALTE!$Q$18)*(RASANTE!F109-PERALTE!$Q$18)-2),IF(RASANTE!F109&lt;=PERALTE!$X$18,8,IF(RASANTE!F109&lt;=PERALTE!$AB$18,(10/(PERALTE!$X$18-PERALTE!$AB$18)*(RASANTE!F109-PERALTE!$AB$18)-2))))),IF(AND(AH!$H$24="Izquierda",RASANTE!F109&lt;=PERALTE!$AB$22),IF(RASANTE!F109&lt;=PERALTE!$S$22,-2,IF(RASANTE!F109&lt;=PERALTE!$U$22,(-6/(PERALTE!$U$22-PERALTE!$S$22)*(RASANTE!F109-PERALTE!$S$22)-2),IF(RASANTE!F109&lt;=PERALTE!$X$22,-8,IF(RASANTE!F109&lt;=PERALTE!$Z$22,(-6/(PERALTE!$X$22-PERALTE!$Z$22)*(RASANTE!F109-PERALTE!$Z$22)-2),IF(RASANTE!F109&lt;=PERALTE!$AB$22,-2))))),IF(AND(AH!$H$24="Derecha",RASANTE!F109&lt;=PERALTE!$AB$22),IF(RASANTE!F109&lt;=PERALTE!$Q$22,-2,IF(RASANTE!F109&lt;=PERALTE!$U$22,(10/(PERALTE!$U$22-PERALTE!$Q$22)*(RASANTE!F109-PERALTE!$Q$22)-2),IF(RASANTE!F109&lt;=PERALTE!$X$22,8,IF(RASANTE!F109&lt;=PERALTE!$AB$22,(10/(PERALTE!$X$22-PERALTE!$AB$22)*(RASANTE!F109-PERALTE!$AB$22)-2))))),IF(AND(AH!#REF!="Izquierda",RASANTE!F109&lt;=PERALTE!#REF!),IF(RASANTE!F109&lt;=PERALTE!#REF!,-2,IF(RASANTE!F109&lt;=PERALTE!#REF!,(-6/(PERALTE!#REF!-PERALTE!#REF!)*(RASANTE!F109-PERALTE!#REF!)-2),IF(RASANTE!F109&lt;=PERALTE!#REF!,-8,IF(RASANTE!F109&lt;=PERALTE!#REF!,(-6/(PERALTE!#REF!-PERALTE!#REF!)*(RASANTE!F109-PERALTE!#REF!)-2),IF(RASANTE!F109&lt;=PERALTE!#REF!,-2))))),IF(AND(AH!#REF!="Derecha",RASANTE!F109&lt;=PERALTE!#REF!),IF(RASANTE!F109&lt;=PERALTE!#REF!,-2,IF(RASANTE!F109&lt;=PERALTE!#REF!,(10/(PERALTE!#REF!-PERALTE!#REF!)*(RASANTE!F109-PERALTE!#REF!)-2),IF(RASANTE!F109&lt;=PERALTE!#REF!,8,IF(RASANTE!F109&lt;=PERALTE!#REF!,(10/(PERALTE!#REF!-PERALTE!#REF!)*(RASANTE!F109-PERALTE!#REF!)-2))))),IF(AND(AH!#REF!="Izquierda",RASANTE!F109&lt;=PERALTE!$AB$26),IF(RASANTE!F109&lt;=PERALTE!$S$26,-2,IF(RASANTE!F109&lt;=PERALTE!$U$26,(-6/(PERALTE!$U$26-PERALTE!$S$26)*(RASANTE!F109-PERALTE!$S$26)-2),IF(RASANTE!F109&lt;=PERALTE!$X$26,-8,IF(RASANTE!F109&lt;=PERALTE!$Z$26,(-6/(PERALTE!$X$26-PERALTE!$Z$26)*(RASANTE!F109-PERALTE!$Z$26)-2),IF(RASANTE!F109&lt;=PERALTE!$AB$26,-2))))),IF(AND(AH!#REF!="Derecha",RASANTE!F109&lt;=PERALTE!$AB$26),IF(RASANTE!F109&lt;=PERALTE!$Q$26,-2,IF(RASANTE!F109&lt;=PERALTE!$U$26,(10/(PERALTE!$U$26-PERALTE!$Q$26)*(RASANTE!F109-PERALTE!$Q$26)-2),IF(RASANTE!F109&lt;=PERALTE!$X$26,8,IF(RASANTE!F109&lt;=PERALTE!$AB$26,(10/(PERALTE!$X$26-PERALTE!$AB$26)*(RASANTE!F109-PERALTE!$AB$26)-2))))),IF(F109&lt;=PERALTE!#REF!,-2,"Abscisa fuera de la vía")))))))))))))))))))))</f>
        <v>-6.7245367488945647</v>
      </c>
      <c r="I109" s="28">
        <f>+IF(AND(AH!$H$8="Derecha",RASANTE!F109&lt;=PERALTE!$AB$6),IF(RASANTE!F109&lt;=PERALTE!$S$6,-2,IF(RASANTE!F109&lt;=PERALTE!$U$6,(-6/(PERALTE!$U$6-PERALTE!$S$6)*(RASANTE!F109-PERALTE!$S$6)-2),IF(RASANTE!F109&lt;=PERALTE!$X$6,-8,IF(RASANTE!F109&lt;=PERALTE!$Z$6,(-6/(PERALTE!$X$6-PERALTE!$Z$6)*(RASANTE!F109-PERALTE!$Z$6)-2),IF(RASANTE!F109&lt;=PERALTE!$AB$6,-2))))),IF(AND(AH!$H$8="Izquierda",RASANTE!F109&lt;=PERALTE!$AB$6),IF(RASANTE!F109&lt;=PERALTE!$Q$6,-2,IF(RASANTE!F109&lt;=PERALTE!$U$6,(10/(PERALTE!$U$6-PERALTE!$Q$6)*(RASANTE!F109-PERALTE!$Q$6)-2),IF(RASANTE!F109&lt;=PERALTE!$X$6,8,IF(RASANTE!F109&lt;=PERALTE!$AB$6,(10/(PERALTE!$X$6-PERALTE!$AB$6)*(RASANTE!F109-PERALTE!$AB$6)-2))))),IF(AND(AH!$H$10="Derecha",RASANTE!F109&lt;=PERALTE!$AB$8),IF(RASANTE!F109&lt;=PERALTE!$S$8,-2,IF(RASANTE!F109&lt;=PERALTE!$U$8,(-6/(PERALTE!$U$8-PERALTE!$S$8)*(RASANTE!F109-PERALTE!$S$8)-2),IF(RASANTE!F109&lt;=PERALTE!$X$8,-8,IF(RASANTE!F109&lt;=PERALTE!$Z$8,(-6/(PERALTE!$X$8-PERALTE!$Z$8)*(RASANTE!F109-PERALTE!$Z$8)-2),IF(RASANTE!F109&lt;=PERALTE!$AB$8,-2))))),IF(AND(AH!$H$10="Izquierda",RASANTE!F109&lt;=PERALTE!$AB$8),IF(RASANTE!F109&lt;=PERALTE!$Q$8,-2,IF(RASANTE!F109&lt;=PERALTE!$U$8,(10/(PERALTE!$U$8-PERALTE!$Q$8)*(RASANTE!F109-PERALTE!$Q$8)-2),IF(RASANTE!F109&lt;=PERALTE!$X$8,8,IF(RASANTE!F109&lt;=PERALTE!$AB$8,(10/(PERALTE!$X$8-PERALTE!$AB$8)*(RASANTE!F109-PERALTE!$AB$8)-2))))),IF(AND(AH!$H$12="Derecha",RASANTE!F109&lt;=PERALTE!$AB$10),IF(RASANTE!F109&lt;=PERALTE!$S$10,-2,IF(RASANTE!F109&lt;=PERALTE!$U$10,(-6/(PERALTE!$U$10-PERALTE!$S$10)*(RASANTE!F109-PERALTE!$S$10)-2),IF(RASANTE!F109&lt;=PERALTE!$X$10,-8,IF(RASANTE!F109&lt;=PERALTE!$Z$10,(-6/(PERALTE!$X$10-PERALTE!$Z$10)*(RASANTE!F109-PERALTE!$Z$10)-2),IF(RASANTE!F109&lt;=PERALTE!$AB$10,-2))))),IF(AND(AH!$H$12="Izquierda",RASANTE!F109&lt;=PERALTE!$AB$10),IF(RASANTE!F109&lt;=PERALTE!$Q$10,-2,IF(RASANTE!F109&lt;=PERALTE!$U$10,(10/(PERALTE!$U$10-PERALTE!$Q$10)*(RASANTE!F109-PERALTE!$Q$10)-2),IF(RASANTE!F109&lt;=PERALTE!$X$10,8,IF(RASANTE!F109&lt;=PERALTE!$AB$10,(10/(PERALTE!$X$10-PERALTE!$AB$10)*(RASANTE!F109-PERALTE!$AB$10)-2))))),IF(AND(AH!$H$14="Derecha",RASANTE!F109&lt;=PERALTE!$AB$12),IF(RASANTE!F109&lt;=PERALTE!$S$12,-2,IF(RASANTE!F109&lt;=PERALTE!$U$12,(-6/(PERALTE!$U$12-PERALTE!$S$12)*(RASANTE!F109-PERALTE!$S$12)-2),IF(RASANTE!F109&lt;=PERALTE!$X$12,-8,IF(RASANTE!F109&lt;=PERALTE!$Z$12,(-6/(PERALTE!$X$12-PERALTE!$Z$12)*(RASANTE!F109-PERALTE!$Z$12)-2),IF(RASANTE!F109&lt;=PERALTE!$AB$12,-2))))),IF(AND(AH!$H$14="Izquierda",RASANTE!F109&lt;=PERALTE!$AB$12),IF(RASANTE!F109&lt;=PERALTE!$Q$12,-2,IF(RASANTE!F109&lt;=PERALTE!$U$12,(10/(PERALTE!$U$12-PERALTE!$Q$12)*(RASANTE!F109-PERALTE!$Q$12)-2),IF(RASANTE!F109&lt;=PERALTE!$X$12,8,IF(RASANTE!F109&lt;=PERALTE!$AB$12,(10/(PERALTE!$X$12-PERALTE!$AB$12)*(RASANTE!F109-PERALTE!$AB$12)-2))))),IF(AND(AH!$H$16="Derecha",RASANTE!F109&lt;=PERALTE!$AB$14),IF(RASANTE!F109&lt;=PERALTE!$S$14,-2,IF(RASANTE!F109&lt;=PERALTE!$U$14,(-6/(PERALTE!$U$14-PERALTE!$S$14)*(RASANTE!F109-PERALTE!$S$14)-2),IF(RASANTE!F109&lt;=PERALTE!$X$14,-8,IF(RASANTE!F109&lt;=PERALTE!$Z$14,(-6/(PERALTE!$X$14-PERALTE!$Z$14)*(RASANTE!F109-PERALTE!$Z$14)-2),IF(RASANTE!F109&lt;=PERALTE!$AB$14,-2))))),IF(AND(AH!$H$16="Izquierda",RASANTE!F109&lt;=PERALTE!$AB$14),IF(RASANTE!F109&lt;=PERALTE!$Q$14,-2,IF(RASANTE!F109&lt;=PERALTE!$U$14,(10/(PERALTE!$U$14-PERALTE!$Q$14)*(RASANTE!F109-PERALTE!$Q$14)-2),IF(RASANTE!F109&lt;=PERALTE!$X$14,8,IF(RASANTE!F109&lt;=PERALTE!$AB$14,(10/(PERALTE!$X$14-PERALTE!$AB$14)*(RASANTE!F109-PERALTE!$AB$14)-2))))),IF(AND(AH!$H$18="Derecha",RASANTE!F109&lt;=PERALTE!$AB$16),IF(RASANTE!F109&lt;=PERALTE!$S$16,-2,IF(RASANTE!F109&lt;=PERALTE!$U$16,(-6/(PERALTE!$U$16-PERALTE!$S$16)*(RASANTE!F109-PERALTE!$S$16)-2),IF(RASANTE!F109&lt;=PERALTE!$X$16,-8,IF(RASANTE!F109&lt;=PERALTE!$Z$16,(-6/(PERALTE!$X$16-PERALTE!$Z$16)*(RASANTE!F109-PERALTE!$Z$16)-2),IF(RASANTE!F109&lt;=PERALTE!$AB$16,-2))))),IF(AND(AH!$H$18="Izquierda",RASANTE!F109&lt;=PERALTE!$AB$16),IF(RASANTE!F109&lt;=PERALTE!$Q$16,-2,IF(RASANTE!F109&lt;=PERALTE!$U$16,(10/(PERALTE!$U$16-PERALTE!$Q$16)*(RASANTE!F109-PERALTE!$Q$16)-2),IF(RASANTE!F109&lt;=PERALTE!$X$16,8,IF(RASANTE!F109&lt;=PERALTE!$AB$16,(10/(PERALTE!$X$16-PERALTE!$AB$16)*(RASANTE!F109-PERALTE!$AB$16)-2))))),IF(AND(AH!$H$20="Derecha",RASANTE!F109&lt;=PERALTE!$AB$18),IF(RASANTE!F109&lt;=PERALTE!$S$18,-2,IF(RASANTE!F109&lt;=PERALTE!$U$18,(-6/(PERALTE!$U$18-PERALTE!$S$18)*(RASANTE!F109-PERALTE!$S$18)-2),IF(RASANTE!F109&lt;=PERALTE!$X$18,-8,IF(RASANTE!F109&lt;=PERALTE!$Z$18,(-6/(PERALTE!$X$18-PERALTE!$Z$18)*(RASANTE!F109-PERALTE!$Z$18)-2),IF(RASANTE!F109&lt;=PERALTE!$AB$18,-2))))),IF(AND(AH!$H$20="Izquierda",RASANTE!F109&lt;=PERALTE!$AB$18),IF(RASANTE!F109&lt;=PERALTE!$Q$18,-2,IF(RASANTE!F109&lt;=PERALTE!$U$18,(10/(PERALTE!$U$18-PERALTE!$Q$18)*(RASANTE!F109-PERALTE!$Q$18)-2),IF(RASANTE!F109&lt;=PERALTE!$X$18,8,IF(RASANTE!F109&lt;=PERALTE!$AB$18,(10/(PERALTE!$X$18-PERALTE!$AB$18)*(RASANTE!F109-PERALTE!$AB$18)-2))))),IF(AND(AH!$H$24="Derecha",RASANTE!F109&lt;=PERALTE!$AB$22),IF(RASANTE!F109&lt;=PERALTE!$S$22,-2,IF(RASANTE!F109&lt;=PERALTE!$U$22,(-6/(PERALTE!$U$22-PERALTE!$S$22)*(RASANTE!F109-PERALTE!$S$22)-2),IF(RASANTE!F109&lt;=PERALTE!$X$22,-8,IF(RASANTE!F109&lt;=PERALTE!$Z$22,(-6/(PERALTE!$X$22-PERALTE!$Z$22)*(RASANTE!F109-PERALTE!$Z$22)-2),IF(RASANTE!F109&lt;=PERALTE!$AB$22,-2))))),IF(AND(AH!$H$24="Izquierda",RASANTE!F109&lt;=PERALTE!$AB$22),IF(RASANTE!F109&lt;=PERALTE!$Q$22,-2,IF(RASANTE!F109&lt;=PERALTE!$U$22,(10/(PERALTE!$U$22-PERALTE!$Q$22)*(RASANTE!F109-PERALTE!$Q$22)-2),IF(RASANTE!F109&lt;=PERALTE!$X$22,8,IF(RASANTE!F109&lt;=PERALTE!$AB$22,(10/(PERALTE!$X$22-PERALTE!$AB$22)*(RASANTE!F109-PERALTE!$AB$22)-2))))),IF(AND(AH!#REF!="Derecha",RASANTE!F109&lt;=PERALTE!#REF!),IF(RASANTE!F109&lt;=PERALTE!#REF!,-2,IF(RASANTE!F109&lt;=PERALTE!#REF!,(-6/(PERALTE!#REF!-PERALTE!#REF!)*(RASANTE!F109-PERALTE!#REF!)-2),IF(RASANTE!F109&lt;=PERALTE!#REF!,-8,IF(RASANTE!F109&lt;=PERALTE!#REF!,(-6/(PERALTE!#REF!-PERALTE!#REF!)*(RASANTE!F109-PERALTE!#REF!)-2),IF(RASANTE!F109&lt;=PERALTE!#REF!,-2))))),IF(AND(AH!#REF!="Izquierda",RASANTE!F109&lt;=PERALTE!#REF!),IF(RASANTE!F109&lt;=PERALTE!#REF!,-2,IF(RASANTE!F109&lt;=PERALTE!#REF!,(10/(PERALTE!#REF!-PERALTE!#REF!)*(RASANTE!F109-PERALTE!#REF!)-2),IF(RASANTE!F109&lt;=PERALTE!#REF!,8,IF(RASANTE!F109&lt;=PERALTE!#REF!,(10/(PERALTE!#REF!-PERALTE!#REF!)*(RASANTE!F109-PERALTE!#REF!)-2))))),IF(AND(AH!#REF!="Derecha",RASANTE!F109&lt;=PERALTE!$AB$26),IF(RASANTE!F109&lt;=PERALTE!$S$26,-2,IF(RASANTE!F109&lt;=PERALTE!$U$26,(-6/(PERALTE!$U$26-PERALTE!$S$26)*(RASANTE!F109-PERALTE!$S$26)-2),IF(RASANTE!F109&lt;=PERALTE!$X$26,-8,IF(RASANTE!F109&lt;=PERALTE!$Z$26,(-6/(PERALTE!$X$26-PERALTE!$Z$26)*(RASANTE!F109-PERALTE!$Z$26)-2),IF(RASANTE!F109&lt;=PERALTE!$AB$26,-2))))),IF(AND(AH!#REF!="Izquierda",RASANTE!F109&lt;=PERALTE!$AB$26),IF(RASANTE!F109&lt;=PERALTE!$Q$26,-2,IF(RASANTE!F109&lt;=PERALTE!$U$26,(10/(PERALTE!$U$26-PERALTE!$Q$26)*(RASANTE!F109-PERALTE!$Q$26)-2),IF(RASANTE!F109&lt;=PERALTE!$X$26,8,IF(RASANTE!F109&lt;=PERALTE!$AB$26,(10/(PERALTE!$X$26-PERALTE!$AB$26)*(RASANTE!F109-PERALTE!$AB$26)-2))))),IF(F109&lt;=PERALTE!#REF!,-2,"Abscisa fuera de la vía")))))))))))))))))))))</f>
        <v>6.7245367488945664</v>
      </c>
      <c r="J109" s="28">
        <f t="shared" si="4"/>
        <v>1631.686400000001</v>
      </c>
      <c r="K109" s="28">
        <f>+IF(AND(AV!$S$6&lt;F206,F206&lt;=AV!$T$6),AV!$P$6*((AV!$S$6-RASANTE!F206)/(AV!$N$6))^2,IF(AND(AV!$T$6&lt;RASANTE!F206,F206&lt;AV!$U$6),AV!$P$6*((AV!$U$6-RASANTE!F206)/(AV!$O$6))^2,IF(AND(AV!$S$8&lt;F206,F206&lt;=AV!$T$8),AV!$P$8*((AV!$S$8-RASANTE!F206)/(AV!$N$8))^2,IF(AND(AV!$T$8&lt;RASANTE!F206,F206&lt;AV!$U$8),AV!$P$8*((AV!$U$8-RASANTE!F206)/(AV!$O$8))^2,IF(AND(AV!$S$10&lt;F206,F206&lt;=AV!$T$10),AV!$P$10*((AV!$S$10-RASANTE!F206)/(AV!$N$10))^2,IF(AND(AV!$T$10&lt;RASANTE!F206,F206&lt;AV!$U$10),AV!$P$10*((AV!$U$10-RASANTE!F206)/(AV!$O$10))^2,IF(AND(AV!$S$12&lt;F206,F206&lt;=AV!$T$12),AV!$P$12*((AV!$S$12-RASANTE!F206)/(AV!$N$12))^2,IF(AND(AV!$T$12&lt;RASANTE!F206,F206&lt;AV!$U$12),AV!$P$12*((AV!$U$12-RASANTE!F206)/(AV!$O$12))^2,IF(AND(AV!$S$14&lt;F206,F206&lt;=AV!$T$14),AV!$P$14*((AV!$S$14-RASANTE!F206)/(AV!$N$14))^2,IF(AND(AV!$T$14&lt;RASANTE!F206,F206&lt;AV!$U$14),AV!$P$14*((AV!$U$14-RASANTE!F206)/(AV!$O$14))^2,IF(AND(AV!$S$16&lt;F206,F206&lt;=AV!$T$16),AV!$P$16*((AV!$S$16-RASANTE!F206)/(AV!$N$16))^2,IF(AND(AV!$T$16&lt;RASANTE!F206,F206&lt;AV!$U$16),AV!$P$16*((AV!$U$16-RASANTE!F206)/(AV!$O$16))^2,IF(AND(AV!$S$18&lt;F206,F206&lt;=AV!$T$18),AV!$P$18*((AV!$S$18-RASANTE!F206)/(AV!$N$18))^2,IF(AND(AV!$T$18&lt;RASANTE!F206,F206&lt;AV!$U$18),AV!$P$18*((AV!$U$18-RASANTE!F206)/(AV!$O$18))^2,IF(AND(AV!$S$20&lt;F206,F206&lt;=AV!$T$20),AV!$P$20*((AV!$S$20-RASANTE!F206)/(AV!$N$20))^2,IF(AND(AV!$T$20&lt;RASANTE!F206,F206&lt;AV!$U$20),AV!$P$20*((AV!$U$20-RASANTE!F206)/(AV!$O$20))^2,IF(AND(AV!$S$22&lt;F206,F206&lt;=AV!$T$22),AV!$P$22*((AV!$S$22-RASANTE!F206)/(AV!$N$22))^2,IF(AND(AV!$T$22&lt;RASANTE!F206,F206&lt;AV!$U$22),AV!$P$22*((AV!$U$22-RASANTE!F206)/(AV!$O$22))^2,IF(AND(AV!$S$24&lt;F206,F206&lt;=AV!$T$24),AV!$P$24*((AV!$S$24-RASANTE!F206)/(AV!$N$24))^2,IF(AND(AV!$T$24&lt;RASANTE!F206,F206&lt;AV!$U$24),AV!$P$24*((AV!$U$24-RASANTE!F206)/(AV!$O$24))^2,0))))))))))))))))))))</f>
        <v>-9.3643057927464133E-5</v>
      </c>
      <c r="L109" s="28">
        <f>+M109+H109%*PERALTE!$C$32</f>
        <v>1631.4509475707318</v>
      </c>
      <c r="M109" s="28">
        <f t="shared" si="5"/>
        <v>1631.6863063569431</v>
      </c>
      <c r="N109" s="28">
        <f>+M109+I109%*PERALTE!$C$32</f>
        <v>1631.9216651431543</v>
      </c>
      <c r="O109" s="92"/>
      <c r="P109" s="84"/>
      <c r="Q109" s="84"/>
      <c r="R109" s="84"/>
      <c r="S109" s="84"/>
      <c r="T109" s="84"/>
      <c r="U109" s="84"/>
      <c r="V109" s="84"/>
      <c r="W109" s="84"/>
      <c r="X109" s="84"/>
      <c r="Y109" s="84"/>
    </row>
    <row r="110" spans="1:25" ht="15.75" customHeight="1" x14ac:dyDescent="0.2">
      <c r="A110" s="90"/>
      <c r="B110" s="173"/>
      <c r="C110" s="174" t="str">
        <f>AH!H12</f>
        <v>Izquierda</v>
      </c>
      <c r="D110" s="175"/>
      <c r="E110" s="91"/>
      <c r="F110" s="34">
        <v>680</v>
      </c>
      <c r="G110" s="88">
        <f>IF(F110&lt;=AV!$T$6,AV!$C$5,IF(RASANTE!F110&lt;=AV!$T$8,AV!$C$7,IF(RASANTE!F110&lt;=AV!$T$10,AV!$C$9,IF(RASANTE!F110&lt;=AV!$T$12,AV!#REF!,IF(RASANTE!F110&lt;=AV!$T$14,AV!$C$11,IF(RASANTE!F110&lt;=AV!$T$16,AV!$C$13, IF(RASANTE!F110&lt;=AV!$T$18,AV!$C$15,IF(RASANTE!F110&lt;=AV!$T$20,AV!$C$19,IF(RASANTE!F110&lt;=AV!$T$22,AV!$C$21,IF(RASANTE!F110&lt;=AV!$T$24,AV!$C$23,AV!$C$25))))))))))</f>
        <v>-3</v>
      </c>
      <c r="H110" s="28">
        <f>+IF(AND(AH!$H$8="Izquierda",RASANTE!F110&lt;=PERALTE!$AB$6),IF(RASANTE!F110&lt;=PERALTE!$S$6,-2,IF(RASANTE!F110&lt;=PERALTE!$U$6,(-6/(PERALTE!$U$6-PERALTE!$S$6)*(RASANTE!F110-PERALTE!$S$6)-2),IF(RASANTE!F110&lt;=PERALTE!$X$6,-8,IF(RASANTE!F110&lt;=PERALTE!$Z$6,(-6/(PERALTE!$X$6-PERALTE!$Z$6)*(RASANTE!F110-PERALTE!$Z$6)-2),IF(RASANTE!F110&lt;=PERALTE!$AB$6,-2))))),IF(AND(AH!$H$8="Derecha",RASANTE!F110&lt;=PERALTE!$AB$6),IF(RASANTE!F110&lt;=PERALTE!$Q$6,-2,IF(RASANTE!F110&lt;=PERALTE!$U$6,(10/(PERALTE!$U$6-PERALTE!$Q$6)*(RASANTE!F110-PERALTE!$Q$6)-2),IF(RASANTE!F110&lt;=PERALTE!$X$6,8,IF(RASANTE!F110&lt;=PERALTE!$AB$6,(10/(PERALTE!$X$6-PERALTE!$AB$6)*(RASANTE!F110-PERALTE!$AB$6)-2))))),IF(AND(AH!$H$10="Izquierda",RASANTE!F110&lt;=PERALTE!$AB$8),IF(RASANTE!F110&lt;=PERALTE!$S$8,-2,IF(RASANTE!F110&lt;=PERALTE!$U$8,(-6/(PERALTE!$U$8-PERALTE!$S$8)*(RASANTE!F110-PERALTE!$S$8)-2),IF(RASANTE!F110&lt;=PERALTE!$X$8,-8,IF(RASANTE!F110&lt;=PERALTE!$Z$8,(-6/(PERALTE!$X$8-PERALTE!$Z$8)*(RASANTE!F110-PERALTE!$Z$8)-2),IF(RASANTE!F110&lt;=PERALTE!$AB$8,-2))))),IF(AND(AH!$H$10="Derecha",RASANTE!F110&lt;=PERALTE!$AB$8),IF(RASANTE!F110&lt;=PERALTE!$Q$8,-2,IF(RASANTE!F110&lt;=PERALTE!$U$8,(10/(PERALTE!$U$8-PERALTE!$Q$8)*(RASANTE!F110-PERALTE!$Q$8)-2),IF(RASANTE!F110&lt;=PERALTE!$X$8,8,IF(RASANTE!F110&lt;=PERALTE!$AB$8,(10/(PERALTE!$X$8-PERALTE!$AB$8)*(RASANTE!F110-PERALTE!$AB$8)-2))))),IF(AND(AH!$H$12="Izquierda",RASANTE!F110&lt;=PERALTE!$AB$10),IF(RASANTE!F110&lt;=PERALTE!$S$10,-2,IF(RASANTE!F110&lt;=PERALTE!$U$10,(-6/(PERALTE!$U$10-PERALTE!$S$10)*(RASANTE!F110-PERALTE!$S$10)-2),IF(RASANTE!F110&lt;=PERALTE!$X$10,-8,IF(RASANTE!F110&lt;=PERALTE!$Z$10,(-6/(PERALTE!$X$10-PERALTE!$Z$10)*(RASANTE!F110-PERALTE!$Z$10)-2),IF(RASANTE!F110&lt;=PERALTE!$AB$10,-2))))),IF(AND(AH!$H$12="Derecha",RASANTE!F110&lt;=PERALTE!$AB$10),IF(RASANTE!F110&lt;=PERALTE!$Q$10,-2,IF(RASANTE!F110&lt;=PERALTE!$U$10,(10/(PERALTE!$U$10-PERALTE!$Q$10)*(RASANTE!F110-PERALTE!$Q$10)-2),IF(RASANTE!F110&lt;=PERALTE!$X$10,8,IF(RASANTE!F110&lt;=PERALTE!$AB$10,(10/(PERALTE!$X$10-PERALTE!$AB$10)*(RASANTE!F110-PERALTE!$AB$10)-2))))),IF(AND(AH!$H$14="Izquierda",RASANTE!F110&lt;=PERALTE!$AB$12),IF(RASANTE!F110&lt;=PERALTE!$S$12,-2,IF(RASANTE!F110&lt;=PERALTE!$U$12,(-6/(PERALTE!$U$12-PERALTE!$S$12)*(RASANTE!F110-PERALTE!$S$12)-2),IF(RASANTE!F110&lt;=PERALTE!$X$12,-8,IF(RASANTE!F110&lt;=PERALTE!$Z$12,(-6/(PERALTE!$X$12-PERALTE!$Z$12)*(RASANTE!F110-PERALTE!$Z$12)-2),IF(RASANTE!F110&lt;=PERALTE!$AB$12,-2))))),IF(AND(AH!$H$14="Derecha",RASANTE!F110&lt;=PERALTE!$AB$12),IF(RASANTE!F110&lt;=PERALTE!$Q$12,-2,IF(RASANTE!F110&lt;=PERALTE!$U$12,(10/(PERALTE!$U$12-PERALTE!$Q$12)*(RASANTE!F110-PERALTE!$Q$12)-2),IF(RASANTE!F110&lt;=PERALTE!$X$12,8,IF(RASANTE!F110&lt;=PERALTE!$AB$12,(10/(PERALTE!$X$12-PERALTE!$AB$12)*(RASANTE!F110-PERALTE!$AB$12)-2))))),IF(AND(AH!$H$16="Izquierda",RASANTE!F110&lt;=PERALTE!$AB$14),IF(RASANTE!F110&lt;=PERALTE!$S$14,-2,IF(RASANTE!F110&lt;=PERALTE!$U$14,(-6/(PERALTE!$U$14-PERALTE!$S$14)*(RASANTE!F110-PERALTE!$S$14)-2),IF(RASANTE!F110&lt;=PERALTE!$X$14,-8,IF(RASANTE!F110&lt;=PERALTE!$Z$14,(-6/(PERALTE!$X$14-PERALTE!$Z$14)*(RASANTE!F110-PERALTE!$Z$14)-2),IF(RASANTE!F110&lt;=PERALTE!$AB$14,-2))))),IF(AND(AH!$H$16="Derecha",RASANTE!F110&lt;=PERALTE!$AB$14),IF(RASANTE!F110&lt;=PERALTE!$Q$14,-2,IF(RASANTE!F110&lt;=PERALTE!$U$14,(10/(PERALTE!$U$14-PERALTE!$Q$14)*(RASANTE!F110-PERALTE!$Q$14)-2),IF(RASANTE!F110&lt;=PERALTE!$X$14,8,IF(RASANTE!F110&lt;=PERALTE!$AB$14,(10/(PERALTE!$X$14-PERALTE!$AB$14)*(RASANTE!F110-PERALTE!$AB$14)-2))))),IF(AND(AH!$H$18="Izquierda",RASANTE!F110&lt;=PERALTE!$AB$16),IF(RASANTE!F110&lt;=PERALTE!$S$16,-2,IF(RASANTE!F110&lt;=PERALTE!$U$16,(-6/(PERALTE!$U$16-PERALTE!$S$16)*(RASANTE!F110-PERALTE!$S$16)-2),IF(RASANTE!F110&lt;=PERALTE!$X$16,-8,IF(RASANTE!F110&lt;=PERALTE!$Z$16,(-6/(PERALTE!$X$16-PERALTE!$Z$16)*(RASANTE!F110-PERALTE!$Z$16)-2),IF(RASANTE!F110&lt;=PERALTE!$AB$16,-2))))),IF(AND(AH!$H$18="Derecha",RASANTE!F110&lt;=PERALTE!$AB$16),IF(RASANTE!F110&lt;=PERALTE!$Q$16,-2,IF(RASANTE!F110&lt;=PERALTE!$U$16,(10/(PERALTE!$U$16-PERALTE!$Q$16)*(RASANTE!F110-PERALTE!$Q$16)-2),IF(RASANTE!F110&lt;=PERALTE!$X$16,8,IF(RASANTE!F110&lt;=PERALTE!$AB$16,(10/(PERALTE!$X$16-PERALTE!$AB$16)*(RASANTE!F110-PERALTE!$AB$16)-2))))),IF(AND(AH!$H$20="Izquierda",RASANTE!F110&lt;=PERALTE!$AB$18),IF(RASANTE!F110&lt;=PERALTE!$S$18,-2,IF(RASANTE!F110&lt;=PERALTE!$U$18,(-6/(PERALTE!$U$18-PERALTE!$S$18)*(RASANTE!F110-PERALTE!$S$18)-2),IF(RASANTE!F110&lt;=PERALTE!$X$18,-8,IF(RASANTE!F110&lt;=PERALTE!$Z$18,(-6/(PERALTE!$X$18-PERALTE!$Z$18)*(RASANTE!F110-PERALTE!$Z$18)-2),IF(RASANTE!F110&lt;=PERALTE!$AB$18,-2))))),IF(AND(AH!$H$20="Derecha",RASANTE!F110&lt;=PERALTE!$AB$18),IF(RASANTE!F110&lt;=PERALTE!$Q$18,-2,IF(RASANTE!F110&lt;=PERALTE!$U$18,(10/(PERALTE!$U$18-PERALTE!$Q$18)*(RASANTE!F110-PERALTE!$Q$18)-2),IF(RASANTE!F110&lt;=PERALTE!$X$18,8,IF(RASANTE!F110&lt;=PERALTE!$AB$18,(10/(PERALTE!$X$18-PERALTE!$AB$18)*(RASANTE!F110-PERALTE!$AB$18)-2))))),IF(AND(AH!$H$24="Izquierda",RASANTE!F110&lt;=PERALTE!$AB$22),IF(RASANTE!F110&lt;=PERALTE!$S$22,-2,IF(RASANTE!F110&lt;=PERALTE!$U$22,(-6/(PERALTE!$U$22-PERALTE!$S$22)*(RASANTE!F110-PERALTE!$S$22)-2),IF(RASANTE!F110&lt;=PERALTE!$X$22,-8,IF(RASANTE!F110&lt;=PERALTE!$Z$22,(-6/(PERALTE!$X$22-PERALTE!$Z$22)*(RASANTE!F110-PERALTE!$Z$22)-2),IF(RASANTE!F110&lt;=PERALTE!$AB$22,-2))))),IF(AND(AH!$H$24="Derecha",RASANTE!F110&lt;=PERALTE!$AB$22),IF(RASANTE!F110&lt;=PERALTE!$Q$22,-2,IF(RASANTE!F110&lt;=PERALTE!$U$22,(10/(PERALTE!$U$22-PERALTE!$Q$22)*(RASANTE!F110-PERALTE!$Q$22)-2),IF(RASANTE!F110&lt;=PERALTE!$X$22,8,IF(RASANTE!F110&lt;=PERALTE!$AB$22,(10/(PERALTE!$X$22-PERALTE!$AB$22)*(RASANTE!F110-PERALTE!$AB$22)-2))))),IF(AND(AH!#REF!="Izquierda",RASANTE!F110&lt;=PERALTE!#REF!),IF(RASANTE!F110&lt;=PERALTE!#REF!,-2,IF(RASANTE!F110&lt;=PERALTE!#REF!,(-6/(PERALTE!#REF!-PERALTE!#REF!)*(RASANTE!F110-PERALTE!#REF!)-2),IF(RASANTE!F110&lt;=PERALTE!#REF!,-8,IF(RASANTE!F110&lt;=PERALTE!#REF!,(-6/(PERALTE!#REF!-PERALTE!#REF!)*(RASANTE!F110-PERALTE!#REF!)-2),IF(RASANTE!F110&lt;=PERALTE!#REF!,-2))))),IF(AND(AH!#REF!="Derecha",RASANTE!F110&lt;=PERALTE!#REF!),IF(RASANTE!F110&lt;=PERALTE!#REF!,-2,IF(RASANTE!F110&lt;=PERALTE!#REF!,(10/(PERALTE!#REF!-PERALTE!#REF!)*(RASANTE!F110-PERALTE!#REF!)-2),IF(RASANTE!F110&lt;=PERALTE!#REF!,8,IF(RASANTE!F110&lt;=PERALTE!#REF!,(10/(PERALTE!#REF!-PERALTE!#REF!)*(RASANTE!F110-PERALTE!#REF!)-2))))),IF(AND(AH!#REF!="Izquierda",RASANTE!F110&lt;=PERALTE!$AB$26),IF(RASANTE!F110&lt;=PERALTE!$S$26,-2,IF(RASANTE!F110&lt;=PERALTE!$U$26,(-6/(PERALTE!$U$26-PERALTE!$S$26)*(RASANTE!F110-PERALTE!$S$26)-2),IF(RASANTE!F110&lt;=PERALTE!$X$26,-8,IF(RASANTE!F110&lt;=PERALTE!$Z$26,(-6/(PERALTE!$X$26-PERALTE!$Z$26)*(RASANTE!F110-PERALTE!$Z$26)-2),IF(RASANTE!F110&lt;=PERALTE!$AB$26,-2))))),IF(AND(AH!#REF!="Derecha",RASANTE!F110&lt;=PERALTE!$AB$26),IF(RASANTE!F110&lt;=PERALTE!$Q$26,-2,IF(RASANTE!F110&lt;=PERALTE!$U$26,(10/(PERALTE!$U$26-PERALTE!$Q$26)*(RASANTE!F110-PERALTE!$Q$26)-2),IF(RASANTE!F110&lt;=PERALTE!$X$26,8,IF(RASANTE!F110&lt;=PERALTE!$AB$26,(10/(PERALTE!$X$26-PERALTE!$AB$26)*(RASANTE!F110-PERALTE!$AB$26)-2))))),IF(F110&lt;=PERALTE!#REF!,-2,"Abscisa fuera de la vía")))))))))))))))))))))</f>
        <v>-4.5245367488945636</v>
      </c>
      <c r="I110" s="28">
        <f>+IF(AND(AH!$H$8="Derecha",RASANTE!F110&lt;=PERALTE!$AB$6),IF(RASANTE!F110&lt;=PERALTE!$S$6,-2,IF(RASANTE!F110&lt;=PERALTE!$U$6,(-6/(PERALTE!$U$6-PERALTE!$S$6)*(RASANTE!F110-PERALTE!$S$6)-2),IF(RASANTE!F110&lt;=PERALTE!$X$6,-8,IF(RASANTE!F110&lt;=PERALTE!$Z$6,(-6/(PERALTE!$X$6-PERALTE!$Z$6)*(RASANTE!F110-PERALTE!$Z$6)-2),IF(RASANTE!F110&lt;=PERALTE!$AB$6,-2))))),IF(AND(AH!$H$8="Izquierda",RASANTE!F110&lt;=PERALTE!$AB$6),IF(RASANTE!F110&lt;=PERALTE!$Q$6,-2,IF(RASANTE!F110&lt;=PERALTE!$U$6,(10/(PERALTE!$U$6-PERALTE!$Q$6)*(RASANTE!F110-PERALTE!$Q$6)-2),IF(RASANTE!F110&lt;=PERALTE!$X$6,8,IF(RASANTE!F110&lt;=PERALTE!$AB$6,(10/(PERALTE!$X$6-PERALTE!$AB$6)*(RASANTE!F110-PERALTE!$AB$6)-2))))),IF(AND(AH!$H$10="Derecha",RASANTE!F110&lt;=PERALTE!$AB$8),IF(RASANTE!F110&lt;=PERALTE!$S$8,-2,IF(RASANTE!F110&lt;=PERALTE!$U$8,(-6/(PERALTE!$U$8-PERALTE!$S$8)*(RASANTE!F110-PERALTE!$S$8)-2),IF(RASANTE!F110&lt;=PERALTE!$X$8,-8,IF(RASANTE!F110&lt;=PERALTE!$Z$8,(-6/(PERALTE!$X$8-PERALTE!$Z$8)*(RASANTE!F110-PERALTE!$Z$8)-2),IF(RASANTE!F110&lt;=PERALTE!$AB$8,-2))))),IF(AND(AH!$H$10="Izquierda",RASANTE!F110&lt;=PERALTE!$AB$8),IF(RASANTE!F110&lt;=PERALTE!$Q$8,-2,IF(RASANTE!F110&lt;=PERALTE!$U$8,(10/(PERALTE!$U$8-PERALTE!$Q$8)*(RASANTE!F110-PERALTE!$Q$8)-2),IF(RASANTE!F110&lt;=PERALTE!$X$8,8,IF(RASANTE!F110&lt;=PERALTE!$AB$8,(10/(PERALTE!$X$8-PERALTE!$AB$8)*(RASANTE!F110-PERALTE!$AB$8)-2))))),IF(AND(AH!$H$12="Derecha",RASANTE!F110&lt;=PERALTE!$AB$10),IF(RASANTE!F110&lt;=PERALTE!$S$10,-2,IF(RASANTE!F110&lt;=PERALTE!$U$10,(-6/(PERALTE!$U$10-PERALTE!$S$10)*(RASANTE!F110-PERALTE!$S$10)-2),IF(RASANTE!F110&lt;=PERALTE!$X$10,-8,IF(RASANTE!F110&lt;=PERALTE!$Z$10,(-6/(PERALTE!$X$10-PERALTE!$Z$10)*(RASANTE!F110-PERALTE!$Z$10)-2),IF(RASANTE!F110&lt;=PERALTE!$AB$10,-2))))),IF(AND(AH!$H$12="Izquierda",RASANTE!F110&lt;=PERALTE!$AB$10),IF(RASANTE!F110&lt;=PERALTE!$Q$10,-2,IF(RASANTE!F110&lt;=PERALTE!$U$10,(10/(PERALTE!$U$10-PERALTE!$Q$10)*(RASANTE!F110-PERALTE!$Q$10)-2),IF(RASANTE!F110&lt;=PERALTE!$X$10,8,IF(RASANTE!F110&lt;=PERALTE!$AB$10,(10/(PERALTE!$X$10-PERALTE!$AB$10)*(RASANTE!F110-PERALTE!$AB$10)-2))))),IF(AND(AH!$H$14="Derecha",RASANTE!F110&lt;=PERALTE!$AB$12),IF(RASANTE!F110&lt;=PERALTE!$S$12,-2,IF(RASANTE!F110&lt;=PERALTE!$U$12,(-6/(PERALTE!$U$12-PERALTE!$S$12)*(RASANTE!F110-PERALTE!$S$12)-2),IF(RASANTE!F110&lt;=PERALTE!$X$12,-8,IF(RASANTE!F110&lt;=PERALTE!$Z$12,(-6/(PERALTE!$X$12-PERALTE!$Z$12)*(RASANTE!F110-PERALTE!$Z$12)-2),IF(RASANTE!F110&lt;=PERALTE!$AB$12,-2))))),IF(AND(AH!$H$14="Izquierda",RASANTE!F110&lt;=PERALTE!$AB$12),IF(RASANTE!F110&lt;=PERALTE!$Q$12,-2,IF(RASANTE!F110&lt;=PERALTE!$U$12,(10/(PERALTE!$U$12-PERALTE!$Q$12)*(RASANTE!F110-PERALTE!$Q$12)-2),IF(RASANTE!F110&lt;=PERALTE!$X$12,8,IF(RASANTE!F110&lt;=PERALTE!$AB$12,(10/(PERALTE!$X$12-PERALTE!$AB$12)*(RASANTE!F110-PERALTE!$AB$12)-2))))),IF(AND(AH!$H$16="Derecha",RASANTE!F110&lt;=PERALTE!$AB$14),IF(RASANTE!F110&lt;=PERALTE!$S$14,-2,IF(RASANTE!F110&lt;=PERALTE!$U$14,(-6/(PERALTE!$U$14-PERALTE!$S$14)*(RASANTE!F110-PERALTE!$S$14)-2),IF(RASANTE!F110&lt;=PERALTE!$X$14,-8,IF(RASANTE!F110&lt;=PERALTE!$Z$14,(-6/(PERALTE!$X$14-PERALTE!$Z$14)*(RASANTE!F110-PERALTE!$Z$14)-2),IF(RASANTE!F110&lt;=PERALTE!$AB$14,-2))))),IF(AND(AH!$H$16="Izquierda",RASANTE!F110&lt;=PERALTE!$AB$14),IF(RASANTE!F110&lt;=PERALTE!$Q$14,-2,IF(RASANTE!F110&lt;=PERALTE!$U$14,(10/(PERALTE!$U$14-PERALTE!$Q$14)*(RASANTE!F110-PERALTE!$Q$14)-2),IF(RASANTE!F110&lt;=PERALTE!$X$14,8,IF(RASANTE!F110&lt;=PERALTE!$AB$14,(10/(PERALTE!$X$14-PERALTE!$AB$14)*(RASANTE!F110-PERALTE!$AB$14)-2))))),IF(AND(AH!$H$18="Derecha",RASANTE!F110&lt;=PERALTE!$AB$16),IF(RASANTE!F110&lt;=PERALTE!$S$16,-2,IF(RASANTE!F110&lt;=PERALTE!$U$16,(-6/(PERALTE!$U$16-PERALTE!$S$16)*(RASANTE!F110-PERALTE!$S$16)-2),IF(RASANTE!F110&lt;=PERALTE!$X$16,-8,IF(RASANTE!F110&lt;=PERALTE!$Z$16,(-6/(PERALTE!$X$16-PERALTE!$Z$16)*(RASANTE!F110-PERALTE!$Z$16)-2),IF(RASANTE!F110&lt;=PERALTE!$AB$16,-2))))),IF(AND(AH!$H$18="Izquierda",RASANTE!F110&lt;=PERALTE!$AB$16),IF(RASANTE!F110&lt;=PERALTE!$Q$16,-2,IF(RASANTE!F110&lt;=PERALTE!$U$16,(10/(PERALTE!$U$16-PERALTE!$Q$16)*(RASANTE!F110-PERALTE!$Q$16)-2),IF(RASANTE!F110&lt;=PERALTE!$X$16,8,IF(RASANTE!F110&lt;=PERALTE!$AB$16,(10/(PERALTE!$X$16-PERALTE!$AB$16)*(RASANTE!F110-PERALTE!$AB$16)-2))))),IF(AND(AH!$H$20="Derecha",RASANTE!F110&lt;=PERALTE!$AB$18),IF(RASANTE!F110&lt;=PERALTE!$S$18,-2,IF(RASANTE!F110&lt;=PERALTE!$U$18,(-6/(PERALTE!$U$18-PERALTE!$S$18)*(RASANTE!F110-PERALTE!$S$18)-2),IF(RASANTE!F110&lt;=PERALTE!$X$18,-8,IF(RASANTE!F110&lt;=PERALTE!$Z$18,(-6/(PERALTE!$X$18-PERALTE!$Z$18)*(RASANTE!F110-PERALTE!$Z$18)-2),IF(RASANTE!F110&lt;=PERALTE!$AB$18,-2))))),IF(AND(AH!$H$20="Izquierda",RASANTE!F110&lt;=PERALTE!$AB$18),IF(RASANTE!F110&lt;=PERALTE!$Q$18,-2,IF(RASANTE!F110&lt;=PERALTE!$U$18,(10/(PERALTE!$U$18-PERALTE!$Q$18)*(RASANTE!F110-PERALTE!$Q$18)-2),IF(RASANTE!F110&lt;=PERALTE!$X$18,8,IF(RASANTE!F110&lt;=PERALTE!$AB$18,(10/(PERALTE!$X$18-PERALTE!$AB$18)*(RASANTE!F110-PERALTE!$AB$18)-2))))),IF(AND(AH!$H$24="Derecha",RASANTE!F110&lt;=PERALTE!$AB$22),IF(RASANTE!F110&lt;=PERALTE!$S$22,-2,IF(RASANTE!F110&lt;=PERALTE!$U$22,(-6/(PERALTE!$U$22-PERALTE!$S$22)*(RASANTE!F110-PERALTE!$S$22)-2),IF(RASANTE!F110&lt;=PERALTE!$X$22,-8,IF(RASANTE!F110&lt;=PERALTE!$Z$22,(-6/(PERALTE!$X$22-PERALTE!$Z$22)*(RASANTE!F110-PERALTE!$Z$22)-2),IF(RASANTE!F110&lt;=PERALTE!$AB$22,-2))))),IF(AND(AH!$H$24="Izquierda",RASANTE!F110&lt;=PERALTE!$AB$22),IF(RASANTE!F110&lt;=PERALTE!$Q$22,-2,IF(RASANTE!F110&lt;=PERALTE!$U$22,(10/(PERALTE!$U$22-PERALTE!$Q$22)*(RASANTE!F110-PERALTE!$Q$22)-2),IF(RASANTE!F110&lt;=PERALTE!$X$22,8,IF(RASANTE!F110&lt;=PERALTE!$AB$22,(10/(PERALTE!$X$22-PERALTE!$AB$22)*(RASANTE!F110-PERALTE!$AB$22)-2))))),IF(AND(AH!#REF!="Derecha",RASANTE!F110&lt;=PERALTE!#REF!),IF(RASANTE!F110&lt;=PERALTE!#REF!,-2,IF(RASANTE!F110&lt;=PERALTE!#REF!,(-6/(PERALTE!#REF!-PERALTE!#REF!)*(RASANTE!F110-PERALTE!#REF!)-2),IF(RASANTE!F110&lt;=PERALTE!#REF!,-8,IF(RASANTE!F110&lt;=PERALTE!#REF!,(-6/(PERALTE!#REF!-PERALTE!#REF!)*(RASANTE!F110-PERALTE!#REF!)-2),IF(RASANTE!F110&lt;=PERALTE!#REF!,-2))))),IF(AND(AH!#REF!="Izquierda",RASANTE!F110&lt;=PERALTE!#REF!),IF(RASANTE!F110&lt;=PERALTE!#REF!,-2,IF(RASANTE!F110&lt;=PERALTE!#REF!,(10/(PERALTE!#REF!-PERALTE!#REF!)*(RASANTE!F110-PERALTE!#REF!)-2),IF(RASANTE!F110&lt;=PERALTE!#REF!,8,IF(RASANTE!F110&lt;=PERALTE!#REF!,(10/(PERALTE!#REF!-PERALTE!#REF!)*(RASANTE!F110-PERALTE!#REF!)-2))))),IF(AND(AH!#REF!="Derecha",RASANTE!F110&lt;=PERALTE!$AB$26),IF(RASANTE!F110&lt;=PERALTE!$S$26,-2,IF(RASANTE!F110&lt;=PERALTE!$U$26,(-6/(PERALTE!$U$26-PERALTE!$S$26)*(RASANTE!F110-PERALTE!$S$26)-2),IF(RASANTE!F110&lt;=PERALTE!$X$26,-8,IF(RASANTE!F110&lt;=PERALTE!$Z$26,(-6/(PERALTE!$X$26-PERALTE!$Z$26)*(RASANTE!F110-PERALTE!$Z$26)-2),IF(RASANTE!F110&lt;=PERALTE!$AB$26,-2))))),IF(AND(AH!#REF!="Izquierda",RASANTE!F110&lt;=PERALTE!$AB$26),IF(RASANTE!F110&lt;=PERALTE!$Q$26,-2,IF(RASANTE!F110&lt;=PERALTE!$U$26,(10/(PERALTE!$U$26-PERALTE!$Q$26)*(RASANTE!F110-PERALTE!$Q$26)-2),IF(RASANTE!F110&lt;=PERALTE!$X$26,8,IF(RASANTE!F110&lt;=PERALTE!$AB$26,(10/(PERALTE!$X$26-PERALTE!$AB$26)*(RASANTE!F110-PERALTE!$AB$26)-2))))),IF(F110&lt;=PERALTE!#REF!,-2,"Abscisa fuera de la vía")))))))))))))))))))))</f>
        <v>4.5245367488945689</v>
      </c>
      <c r="J110" s="28">
        <f t="shared" si="4"/>
        <v>1631.386400000001</v>
      </c>
      <c r="K110" s="28">
        <f>+IF(AND(AV!$S$6&lt;F207,F207&lt;=AV!$T$6),AV!$P$6*((AV!$S$6-RASANTE!F207)/(AV!$N$6))^2,IF(AND(AV!$T$6&lt;RASANTE!F207,F207&lt;AV!$U$6),AV!$P$6*((AV!$U$6-RASANTE!F207)/(AV!$O$6))^2,IF(AND(AV!$S$8&lt;F207,F207&lt;=AV!$T$8),AV!$P$8*((AV!$S$8-RASANTE!F207)/(AV!$N$8))^2,IF(AND(AV!$T$8&lt;RASANTE!F207,F207&lt;AV!$U$8),AV!$P$8*((AV!$U$8-RASANTE!F207)/(AV!$O$8))^2,IF(AND(AV!$S$10&lt;F207,F207&lt;=AV!$T$10),AV!$P$10*((AV!$S$10-RASANTE!F207)/(AV!$N$10))^2,IF(AND(AV!$T$10&lt;RASANTE!F207,F207&lt;AV!$U$10),AV!$P$10*((AV!$U$10-RASANTE!F207)/(AV!$O$10))^2,IF(AND(AV!$S$12&lt;F207,F207&lt;=AV!$T$12),AV!$P$12*((AV!$S$12-RASANTE!F207)/(AV!$N$12))^2,IF(AND(AV!$T$12&lt;RASANTE!F207,F207&lt;AV!$U$12),AV!$P$12*((AV!$U$12-RASANTE!F207)/(AV!$O$12))^2,IF(AND(AV!$S$14&lt;F207,F207&lt;=AV!$T$14),AV!$P$14*((AV!$S$14-RASANTE!F207)/(AV!$N$14))^2,IF(AND(AV!$T$14&lt;RASANTE!F207,F207&lt;AV!$U$14),AV!$P$14*((AV!$U$14-RASANTE!F207)/(AV!$O$14))^2,IF(AND(AV!$S$16&lt;F207,F207&lt;=AV!$T$16),AV!$P$16*((AV!$S$16-RASANTE!F207)/(AV!$N$16))^2,IF(AND(AV!$T$16&lt;RASANTE!F207,F207&lt;AV!$U$16),AV!$P$16*((AV!$U$16-RASANTE!F207)/(AV!$O$16))^2,IF(AND(AV!$S$18&lt;F207,F207&lt;=AV!$T$18),AV!$P$18*((AV!$S$18-RASANTE!F207)/(AV!$N$18))^2,IF(AND(AV!$T$18&lt;RASANTE!F207,F207&lt;AV!$U$18),AV!$P$18*((AV!$U$18-RASANTE!F207)/(AV!$O$18))^2,IF(AND(AV!$S$20&lt;F207,F207&lt;=AV!$T$20),AV!$P$20*((AV!$S$20-RASANTE!F207)/(AV!$N$20))^2,IF(AND(AV!$T$20&lt;RASANTE!F207,F207&lt;AV!$U$20),AV!$P$20*((AV!$U$20-RASANTE!F207)/(AV!$O$20))^2,IF(AND(AV!$S$22&lt;F207,F207&lt;=AV!$T$22),AV!$P$22*((AV!$S$22-RASANTE!F207)/(AV!$N$22))^2,IF(AND(AV!$T$22&lt;RASANTE!F207,F207&lt;AV!$U$22),AV!$P$22*((AV!$U$22-RASANTE!F207)/(AV!$O$22))^2,IF(AND(AV!$S$24&lt;F207,F207&lt;=AV!$T$24),AV!$P$24*((AV!$S$24-RASANTE!F207)/(AV!$N$24))^2,IF(AND(AV!$T$24&lt;RASANTE!F207,F207&lt;AV!$U$24),AV!$P$24*((AV!$U$24-RASANTE!F207)/(AV!$O$24))^2,0))))))))))))))))))))</f>
        <v>0</v>
      </c>
      <c r="L110" s="28">
        <f>+M110+H110%*PERALTE!$C$32</f>
        <v>1631.2280412137898</v>
      </c>
      <c r="M110" s="28">
        <f t="shared" si="5"/>
        <v>1631.386400000001</v>
      </c>
      <c r="N110" s="28">
        <f>+M110+I110%*PERALTE!$C$32</f>
        <v>1631.5447587862122</v>
      </c>
      <c r="O110" s="92"/>
      <c r="P110" s="84"/>
      <c r="Q110" s="84"/>
      <c r="R110" s="84"/>
      <c r="S110" s="84"/>
      <c r="T110" s="84"/>
      <c r="U110" s="84"/>
      <c r="V110" s="84"/>
      <c r="W110" s="84"/>
      <c r="X110" s="84"/>
      <c r="Y110" s="84"/>
    </row>
    <row r="111" spans="1:25" ht="15.75" customHeight="1" x14ac:dyDescent="0.2">
      <c r="A111" s="90" t="s">
        <v>335</v>
      </c>
      <c r="B111" s="86"/>
      <c r="C111" s="86"/>
      <c r="D111" s="86"/>
      <c r="F111" s="34">
        <f>PERALTE!Y10</f>
        <v>682.3842579495207</v>
      </c>
      <c r="G111" s="88">
        <f>IF(F111&lt;=AV!$T$6,AV!$C$5,IF(RASANTE!F111&lt;=AV!$T$8,AV!$C$7,IF(RASANTE!F111&lt;=AV!$T$10,AV!$C$9,IF(RASANTE!F111&lt;=AV!$T$12,AV!#REF!,IF(RASANTE!F111&lt;=AV!$T$14,AV!$C$11,IF(RASANTE!F111&lt;=AV!$T$16,AV!$C$13, IF(RASANTE!F111&lt;=AV!$T$18,AV!$C$15,IF(RASANTE!F111&lt;=AV!$T$20,AV!$C$19,IF(RASANTE!F111&lt;=AV!$T$22,AV!$C$21,IF(RASANTE!F111&lt;=AV!$T$24,AV!$C$23,AV!$C$25))))))))))</f>
        <v>-3</v>
      </c>
      <c r="H111" s="28">
        <f>+IF(AND(AH!$H$8="Izquierda",RASANTE!F111&lt;=PERALTE!$AB$6),IF(RASANTE!F111&lt;=PERALTE!$S$6,-2,IF(RASANTE!F111&lt;=PERALTE!$U$6,(-6/(PERALTE!$U$6-PERALTE!$S$6)*(RASANTE!F111-PERALTE!$S$6)-2),IF(RASANTE!F111&lt;=PERALTE!$X$6,-8,IF(RASANTE!F111&lt;=PERALTE!$Z$6,(-6/(PERALTE!$X$6-PERALTE!$Z$6)*(RASANTE!F111-PERALTE!$Z$6)-2),IF(RASANTE!F111&lt;=PERALTE!$AB$6,-2))))),IF(AND(AH!$H$8="Derecha",RASANTE!F111&lt;=PERALTE!$AB$6),IF(RASANTE!F111&lt;=PERALTE!$Q$6,-2,IF(RASANTE!F111&lt;=PERALTE!$U$6,(10/(PERALTE!$U$6-PERALTE!$Q$6)*(RASANTE!F111-PERALTE!$Q$6)-2),IF(RASANTE!F111&lt;=PERALTE!$X$6,8,IF(RASANTE!F111&lt;=PERALTE!$AB$6,(10/(PERALTE!$X$6-PERALTE!$AB$6)*(RASANTE!F111-PERALTE!$AB$6)-2))))),IF(AND(AH!$H$10="Izquierda",RASANTE!F111&lt;=PERALTE!$AB$8),IF(RASANTE!F111&lt;=PERALTE!$S$8,-2,IF(RASANTE!F111&lt;=PERALTE!$U$8,(-6/(PERALTE!$U$8-PERALTE!$S$8)*(RASANTE!F111-PERALTE!$S$8)-2),IF(RASANTE!F111&lt;=PERALTE!$X$8,-8,IF(RASANTE!F111&lt;=PERALTE!$Z$8,(-6/(PERALTE!$X$8-PERALTE!$Z$8)*(RASANTE!F111-PERALTE!$Z$8)-2),IF(RASANTE!F111&lt;=PERALTE!$AB$8,-2))))),IF(AND(AH!$H$10="Derecha",RASANTE!F111&lt;=PERALTE!$AB$8),IF(RASANTE!F111&lt;=PERALTE!$Q$8,-2,IF(RASANTE!F111&lt;=PERALTE!$U$8,(10/(PERALTE!$U$8-PERALTE!$Q$8)*(RASANTE!F111-PERALTE!$Q$8)-2),IF(RASANTE!F111&lt;=PERALTE!$X$8,8,IF(RASANTE!F111&lt;=PERALTE!$AB$8,(10/(PERALTE!$X$8-PERALTE!$AB$8)*(RASANTE!F111-PERALTE!$AB$8)-2))))),IF(AND(AH!$H$12="Izquierda",RASANTE!F111&lt;=PERALTE!$AB$10),IF(RASANTE!F111&lt;=PERALTE!$S$10,-2,IF(RASANTE!F111&lt;=PERALTE!$U$10,(-6/(PERALTE!$U$10-PERALTE!$S$10)*(RASANTE!F111-PERALTE!$S$10)-2),IF(RASANTE!F111&lt;=PERALTE!$X$10,-8,IF(RASANTE!F111&lt;=PERALTE!$Z$10,(-6/(PERALTE!$X$10-PERALTE!$Z$10)*(RASANTE!F111-PERALTE!$Z$10)-2),IF(RASANTE!F111&lt;=PERALTE!$AB$10,-2))))),IF(AND(AH!$H$12="Derecha",RASANTE!F111&lt;=PERALTE!$AB$10),IF(RASANTE!F111&lt;=PERALTE!$Q$10,-2,IF(RASANTE!F111&lt;=PERALTE!$U$10,(10/(PERALTE!$U$10-PERALTE!$Q$10)*(RASANTE!F111-PERALTE!$Q$10)-2),IF(RASANTE!F111&lt;=PERALTE!$X$10,8,IF(RASANTE!F111&lt;=PERALTE!$AB$10,(10/(PERALTE!$X$10-PERALTE!$AB$10)*(RASANTE!F111-PERALTE!$AB$10)-2))))),IF(AND(AH!$H$14="Izquierda",RASANTE!F111&lt;=PERALTE!$AB$12),IF(RASANTE!F111&lt;=PERALTE!$S$12,-2,IF(RASANTE!F111&lt;=PERALTE!$U$12,(-6/(PERALTE!$U$12-PERALTE!$S$12)*(RASANTE!F111-PERALTE!$S$12)-2),IF(RASANTE!F111&lt;=PERALTE!$X$12,-8,IF(RASANTE!F111&lt;=PERALTE!$Z$12,(-6/(PERALTE!$X$12-PERALTE!$Z$12)*(RASANTE!F111-PERALTE!$Z$12)-2),IF(RASANTE!F111&lt;=PERALTE!$AB$12,-2))))),IF(AND(AH!$H$14="Derecha",RASANTE!F111&lt;=PERALTE!$AB$12),IF(RASANTE!F111&lt;=PERALTE!$Q$12,-2,IF(RASANTE!F111&lt;=PERALTE!$U$12,(10/(PERALTE!$U$12-PERALTE!$Q$12)*(RASANTE!F111-PERALTE!$Q$12)-2),IF(RASANTE!F111&lt;=PERALTE!$X$12,8,IF(RASANTE!F111&lt;=PERALTE!$AB$12,(10/(PERALTE!$X$12-PERALTE!$AB$12)*(RASANTE!F111-PERALTE!$AB$12)-2))))),IF(AND(AH!$H$16="Izquierda",RASANTE!F111&lt;=PERALTE!$AB$14),IF(RASANTE!F111&lt;=PERALTE!$S$14,-2,IF(RASANTE!F111&lt;=PERALTE!$U$14,(-6/(PERALTE!$U$14-PERALTE!$S$14)*(RASANTE!F111-PERALTE!$S$14)-2),IF(RASANTE!F111&lt;=PERALTE!$X$14,-8,IF(RASANTE!F111&lt;=PERALTE!$Z$14,(-6/(PERALTE!$X$14-PERALTE!$Z$14)*(RASANTE!F111-PERALTE!$Z$14)-2),IF(RASANTE!F111&lt;=PERALTE!$AB$14,-2))))),IF(AND(AH!$H$16="Derecha",RASANTE!F111&lt;=PERALTE!$AB$14),IF(RASANTE!F111&lt;=PERALTE!$Q$14,-2,IF(RASANTE!F111&lt;=PERALTE!$U$14,(10/(PERALTE!$U$14-PERALTE!$Q$14)*(RASANTE!F111-PERALTE!$Q$14)-2),IF(RASANTE!F111&lt;=PERALTE!$X$14,8,IF(RASANTE!F111&lt;=PERALTE!$AB$14,(10/(PERALTE!$X$14-PERALTE!$AB$14)*(RASANTE!F111-PERALTE!$AB$14)-2))))),IF(AND(AH!$H$18="Izquierda",RASANTE!F111&lt;=PERALTE!$AB$16),IF(RASANTE!F111&lt;=PERALTE!$S$16,-2,IF(RASANTE!F111&lt;=PERALTE!$U$16,(-6/(PERALTE!$U$16-PERALTE!$S$16)*(RASANTE!F111-PERALTE!$S$16)-2),IF(RASANTE!F111&lt;=PERALTE!$X$16,-8,IF(RASANTE!F111&lt;=PERALTE!$Z$16,(-6/(PERALTE!$X$16-PERALTE!$Z$16)*(RASANTE!F111-PERALTE!$Z$16)-2),IF(RASANTE!F111&lt;=PERALTE!$AB$16,-2))))),IF(AND(AH!$H$18="Derecha",RASANTE!F111&lt;=PERALTE!$AB$16),IF(RASANTE!F111&lt;=PERALTE!$Q$16,-2,IF(RASANTE!F111&lt;=PERALTE!$U$16,(10/(PERALTE!$U$16-PERALTE!$Q$16)*(RASANTE!F111-PERALTE!$Q$16)-2),IF(RASANTE!F111&lt;=PERALTE!$X$16,8,IF(RASANTE!F111&lt;=PERALTE!$AB$16,(10/(PERALTE!$X$16-PERALTE!$AB$16)*(RASANTE!F111-PERALTE!$AB$16)-2))))),IF(AND(AH!$H$20="Izquierda",RASANTE!F111&lt;=PERALTE!$AB$18),IF(RASANTE!F111&lt;=PERALTE!$S$18,-2,IF(RASANTE!F111&lt;=PERALTE!$U$18,(-6/(PERALTE!$U$18-PERALTE!$S$18)*(RASANTE!F111-PERALTE!$S$18)-2),IF(RASANTE!F111&lt;=PERALTE!$X$18,-8,IF(RASANTE!F111&lt;=PERALTE!$Z$18,(-6/(PERALTE!$X$18-PERALTE!$Z$18)*(RASANTE!F111-PERALTE!$Z$18)-2),IF(RASANTE!F111&lt;=PERALTE!$AB$18,-2))))),IF(AND(AH!$H$20="Derecha",RASANTE!F111&lt;=PERALTE!$AB$18),IF(RASANTE!F111&lt;=PERALTE!$Q$18,-2,IF(RASANTE!F111&lt;=PERALTE!$U$18,(10/(PERALTE!$U$18-PERALTE!$Q$18)*(RASANTE!F111-PERALTE!$Q$18)-2),IF(RASANTE!F111&lt;=PERALTE!$X$18,8,IF(RASANTE!F111&lt;=PERALTE!$AB$18,(10/(PERALTE!$X$18-PERALTE!$AB$18)*(RASANTE!F111-PERALTE!$AB$18)-2))))),IF(AND(AH!$H$24="Izquierda",RASANTE!F111&lt;=PERALTE!$AB$22),IF(RASANTE!F111&lt;=PERALTE!$S$22,-2,IF(RASANTE!F111&lt;=PERALTE!$U$22,(-6/(PERALTE!$U$22-PERALTE!$S$22)*(RASANTE!F111-PERALTE!$S$22)-2),IF(RASANTE!F111&lt;=PERALTE!$X$22,-8,IF(RASANTE!F111&lt;=PERALTE!$Z$22,(-6/(PERALTE!$X$22-PERALTE!$Z$22)*(RASANTE!F111-PERALTE!$Z$22)-2),IF(RASANTE!F111&lt;=PERALTE!$AB$22,-2))))),IF(AND(AH!$H$24="Derecha",RASANTE!F111&lt;=PERALTE!$AB$22),IF(RASANTE!F111&lt;=PERALTE!$Q$22,-2,IF(RASANTE!F111&lt;=PERALTE!$U$22,(10/(PERALTE!$U$22-PERALTE!$Q$22)*(RASANTE!F111-PERALTE!$Q$22)-2),IF(RASANTE!F111&lt;=PERALTE!$X$22,8,IF(RASANTE!F111&lt;=PERALTE!$AB$22,(10/(PERALTE!$X$22-PERALTE!$AB$22)*(RASANTE!F111-PERALTE!$AB$22)-2))))),IF(AND(AH!#REF!="Izquierda",RASANTE!F111&lt;=PERALTE!#REF!),IF(RASANTE!F111&lt;=PERALTE!#REF!,-2,IF(RASANTE!F111&lt;=PERALTE!#REF!,(-6/(PERALTE!#REF!-PERALTE!#REF!)*(RASANTE!F111-PERALTE!#REF!)-2),IF(RASANTE!F111&lt;=PERALTE!#REF!,-8,IF(RASANTE!F111&lt;=PERALTE!#REF!,(-6/(PERALTE!#REF!-PERALTE!#REF!)*(RASANTE!F111-PERALTE!#REF!)-2),IF(RASANTE!F111&lt;=PERALTE!#REF!,-2))))),IF(AND(AH!#REF!="Derecha",RASANTE!F111&lt;=PERALTE!#REF!),IF(RASANTE!F111&lt;=PERALTE!#REF!,-2,IF(RASANTE!F111&lt;=PERALTE!#REF!,(10/(PERALTE!#REF!-PERALTE!#REF!)*(RASANTE!F111-PERALTE!#REF!)-2),IF(RASANTE!F111&lt;=PERALTE!#REF!,8,IF(RASANTE!F111&lt;=PERALTE!#REF!,(10/(PERALTE!#REF!-PERALTE!#REF!)*(RASANTE!F111-PERALTE!#REF!)-2))))),IF(AND(AH!#REF!="Izquierda",RASANTE!F111&lt;=PERALTE!$AB$26),IF(RASANTE!F111&lt;=PERALTE!$S$26,-2,IF(RASANTE!F111&lt;=PERALTE!$U$26,(-6/(PERALTE!$U$26-PERALTE!$S$26)*(RASANTE!F111-PERALTE!$S$26)-2),IF(RASANTE!F111&lt;=PERALTE!$X$26,-8,IF(RASANTE!F111&lt;=PERALTE!$Z$26,(-6/(PERALTE!$X$26-PERALTE!$Z$26)*(RASANTE!F111-PERALTE!$Z$26)-2),IF(RASANTE!F111&lt;=PERALTE!$AB$26,-2))))),IF(AND(AH!#REF!="Derecha",RASANTE!F111&lt;=PERALTE!$AB$26),IF(RASANTE!F111&lt;=PERALTE!$Q$26,-2,IF(RASANTE!F111&lt;=PERALTE!$U$26,(10/(PERALTE!$U$26-PERALTE!$Q$26)*(RASANTE!F111-PERALTE!$Q$26)-2),IF(RASANTE!F111&lt;=PERALTE!$X$26,8,IF(RASANTE!F111&lt;=PERALTE!$AB$26,(10/(PERALTE!$X$26-PERALTE!$AB$26)*(RASANTE!F111-PERALTE!$AB$26)-2))))),IF(F111&lt;=PERALTE!#REF!,-2,"Abscisa fuera de la vía")))))))))))))))))))))</f>
        <v>-4.0000000000000089</v>
      </c>
      <c r="I111" s="28">
        <f>+IF(AND(AH!$H$8="Derecha",RASANTE!F111&lt;=PERALTE!$AB$6),IF(RASANTE!F111&lt;=PERALTE!$S$6,-2,IF(RASANTE!F111&lt;=PERALTE!$U$6,(-6/(PERALTE!$U$6-PERALTE!$S$6)*(RASANTE!F111-PERALTE!$S$6)-2),IF(RASANTE!F111&lt;=PERALTE!$X$6,-8,IF(RASANTE!F111&lt;=PERALTE!$Z$6,(-6/(PERALTE!$X$6-PERALTE!$Z$6)*(RASANTE!F111-PERALTE!$Z$6)-2),IF(RASANTE!F111&lt;=PERALTE!$AB$6,-2))))),IF(AND(AH!$H$8="Izquierda",RASANTE!F111&lt;=PERALTE!$AB$6),IF(RASANTE!F111&lt;=PERALTE!$Q$6,-2,IF(RASANTE!F111&lt;=PERALTE!$U$6,(10/(PERALTE!$U$6-PERALTE!$Q$6)*(RASANTE!F111-PERALTE!$Q$6)-2),IF(RASANTE!F111&lt;=PERALTE!$X$6,8,IF(RASANTE!F111&lt;=PERALTE!$AB$6,(10/(PERALTE!$X$6-PERALTE!$AB$6)*(RASANTE!F111-PERALTE!$AB$6)-2))))),IF(AND(AH!$H$10="Derecha",RASANTE!F111&lt;=PERALTE!$AB$8),IF(RASANTE!F111&lt;=PERALTE!$S$8,-2,IF(RASANTE!F111&lt;=PERALTE!$U$8,(-6/(PERALTE!$U$8-PERALTE!$S$8)*(RASANTE!F111-PERALTE!$S$8)-2),IF(RASANTE!F111&lt;=PERALTE!$X$8,-8,IF(RASANTE!F111&lt;=PERALTE!$Z$8,(-6/(PERALTE!$X$8-PERALTE!$Z$8)*(RASANTE!F111-PERALTE!$Z$8)-2),IF(RASANTE!F111&lt;=PERALTE!$AB$8,-2))))),IF(AND(AH!$H$10="Izquierda",RASANTE!F111&lt;=PERALTE!$AB$8),IF(RASANTE!F111&lt;=PERALTE!$Q$8,-2,IF(RASANTE!F111&lt;=PERALTE!$U$8,(10/(PERALTE!$U$8-PERALTE!$Q$8)*(RASANTE!F111-PERALTE!$Q$8)-2),IF(RASANTE!F111&lt;=PERALTE!$X$8,8,IF(RASANTE!F111&lt;=PERALTE!$AB$8,(10/(PERALTE!$X$8-PERALTE!$AB$8)*(RASANTE!F111-PERALTE!$AB$8)-2))))),IF(AND(AH!$H$12="Derecha",RASANTE!F111&lt;=PERALTE!$AB$10),IF(RASANTE!F111&lt;=PERALTE!$S$10,-2,IF(RASANTE!F111&lt;=PERALTE!$U$10,(-6/(PERALTE!$U$10-PERALTE!$S$10)*(RASANTE!F111-PERALTE!$S$10)-2),IF(RASANTE!F111&lt;=PERALTE!$X$10,-8,IF(RASANTE!F111&lt;=PERALTE!$Z$10,(-6/(PERALTE!$X$10-PERALTE!$Z$10)*(RASANTE!F111-PERALTE!$Z$10)-2),IF(RASANTE!F111&lt;=PERALTE!$AB$10,-2))))),IF(AND(AH!$H$12="Izquierda",RASANTE!F111&lt;=PERALTE!$AB$10),IF(RASANTE!F111&lt;=PERALTE!$Q$10,-2,IF(RASANTE!F111&lt;=PERALTE!$U$10,(10/(PERALTE!$U$10-PERALTE!$Q$10)*(RASANTE!F111-PERALTE!$Q$10)-2),IF(RASANTE!F111&lt;=PERALTE!$X$10,8,IF(RASANTE!F111&lt;=PERALTE!$AB$10,(10/(PERALTE!$X$10-PERALTE!$AB$10)*(RASANTE!F111-PERALTE!$AB$10)-2))))),IF(AND(AH!$H$14="Derecha",RASANTE!F111&lt;=PERALTE!$AB$12),IF(RASANTE!F111&lt;=PERALTE!$S$12,-2,IF(RASANTE!F111&lt;=PERALTE!$U$12,(-6/(PERALTE!$U$12-PERALTE!$S$12)*(RASANTE!F111-PERALTE!$S$12)-2),IF(RASANTE!F111&lt;=PERALTE!$X$12,-8,IF(RASANTE!F111&lt;=PERALTE!$Z$12,(-6/(PERALTE!$X$12-PERALTE!$Z$12)*(RASANTE!F111-PERALTE!$Z$12)-2),IF(RASANTE!F111&lt;=PERALTE!$AB$12,-2))))),IF(AND(AH!$H$14="Izquierda",RASANTE!F111&lt;=PERALTE!$AB$12),IF(RASANTE!F111&lt;=PERALTE!$Q$12,-2,IF(RASANTE!F111&lt;=PERALTE!$U$12,(10/(PERALTE!$U$12-PERALTE!$Q$12)*(RASANTE!F111-PERALTE!$Q$12)-2),IF(RASANTE!F111&lt;=PERALTE!$X$12,8,IF(RASANTE!F111&lt;=PERALTE!$AB$12,(10/(PERALTE!$X$12-PERALTE!$AB$12)*(RASANTE!F111-PERALTE!$AB$12)-2))))),IF(AND(AH!$H$16="Derecha",RASANTE!F111&lt;=PERALTE!$AB$14),IF(RASANTE!F111&lt;=PERALTE!$S$14,-2,IF(RASANTE!F111&lt;=PERALTE!$U$14,(-6/(PERALTE!$U$14-PERALTE!$S$14)*(RASANTE!F111-PERALTE!$S$14)-2),IF(RASANTE!F111&lt;=PERALTE!$X$14,-8,IF(RASANTE!F111&lt;=PERALTE!$Z$14,(-6/(PERALTE!$X$14-PERALTE!$Z$14)*(RASANTE!F111-PERALTE!$Z$14)-2),IF(RASANTE!F111&lt;=PERALTE!$AB$14,-2))))),IF(AND(AH!$H$16="Izquierda",RASANTE!F111&lt;=PERALTE!$AB$14),IF(RASANTE!F111&lt;=PERALTE!$Q$14,-2,IF(RASANTE!F111&lt;=PERALTE!$U$14,(10/(PERALTE!$U$14-PERALTE!$Q$14)*(RASANTE!F111-PERALTE!$Q$14)-2),IF(RASANTE!F111&lt;=PERALTE!$X$14,8,IF(RASANTE!F111&lt;=PERALTE!$AB$14,(10/(PERALTE!$X$14-PERALTE!$AB$14)*(RASANTE!F111-PERALTE!$AB$14)-2))))),IF(AND(AH!$H$18="Derecha",RASANTE!F111&lt;=PERALTE!$AB$16),IF(RASANTE!F111&lt;=PERALTE!$S$16,-2,IF(RASANTE!F111&lt;=PERALTE!$U$16,(-6/(PERALTE!$U$16-PERALTE!$S$16)*(RASANTE!F111-PERALTE!$S$16)-2),IF(RASANTE!F111&lt;=PERALTE!$X$16,-8,IF(RASANTE!F111&lt;=PERALTE!$Z$16,(-6/(PERALTE!$X$16-PERALTE!$Z$16)*(RASANTE!F111-PERALTE!$Z$16)-2),IF(RASANTE!F111&lt;=PERALTE!$AB$16,-2))))),IF(AND(AH!$H$18="Izquierda",RASANTE!F111&lt;=PERALTE!$AB$16),IF(RASANTE!F111&lt;=PERALTE!$Q$16,-2,IF(RASANTE!F111&lt;=PERALTE!$U$16,(10/(PERALTE!$U$16-PERALTE!$Q$16)*(RASANTE!F111-PERALTE!$Q$16)-2),IF(RASANTE!F111&lt;=PERALTE!$X$16,8,IF(RASANTE!F111&lt;=PERALTE!$AB$16,(10/(PERALTE!$X$16-PERALTE!$AB$16)*(RASANTE!F111-PERALTE!$AB$16)-2))))),IF(AND(AH!$H$20="Derecha",RASANTE!F111&lt;=PERALTE!$AB$18),IF(RASANTE!F111&lt;=PERALTE!$S$18,-2,IF(RASANTE!F111&lt;=PERALTE!$U$18,(-6/(PERALTE!$U$18-PERALTE!$S$18)*(RASANTE!F111-PERALTE!$S$18)-2),IF(RASANTE!F111&lt;=PERALTE!$X$18,-8,IF(RASANTE!F111&lt;=PERALTE!$Z$18,(-6/(PERALTE!$X$18-PERALTE!$Z$18)*(RASANTE!F111-PERALTE!$Z$18)-2),IF(RASANTE!F111&lt;=PERALTE!$AB$18,-2))))),IF(AND(AH!$H$20="Izquierda",RASANTE!F111&lt;=PERALTE!$AB$18),IF(RASANTE!F111&lt;=PERALTE!$Q$18,-2,IF(RASANTE!F111&lt;=PERALTE!$U$18,(10/(PERALTE!$U$18-PERALTE!$Q$18)*(RASANTE!F111-PERALTE!$Q$18)-2),IF(RASANTE!F111&lt;=PERALTE!$X$18,8,IF(RASANTE!F111&lt;=PERALTE!$AB$18,(10/(PERALTE!$X$18-PERALTE!$AB$18)*(RASANTE!F111-PERALTE!$AB$18)-2))))),IF(AND(AH!$H$24="Derecha",RASANTE!F111&lt;=PERALTE!$AB$22),IF(RASANTE!F111&lt;=PERALTE!$S$22,-2,IF(RASANTE!F111&lt;=PERALTE!$U$22,(-6/(PERALTE!$U$22-PERALTE!$S$22)*(RASANTE!F111-PERALTE!$S$22)-2),IF(RASANTE!F111&lt;=PERALTE!$X$22,-8,IF(RASANTE!F111&lt;=PERALTE!$Z$22,(-6/(PERALTE!$X$22-PERALTE!$Z$22)*(RASANTE!F111-PERALTE!$Z$22)-2),IF(RASANTE!F111&lt;=PERALTE!$AB$22,-2))))),IF(AND(AH!$H$24="Izquierda",RASANTE!F111&lt;=PERALTE!$AB$22),IF(RASANTE!F111&lt;=PERALTE!$Q$22,-2,IF(RASANTE!F111&lt;=PERALTE!$U$22,(10/(PERALTE!$U$22-PERALTE!$Q$22)*(RASANTE!F111-PERALTE!$Q$22)-2),IF(RASANTE!F111&lt;=PERALTE!$X$22,8,IF(RASANTE!F111&lt;=PERALTE!$AB$22,(10/(PERALTE!$X$22-PERALTE!$AB$22)*(RASANTE!F111-PERALTE!$AB$22)-2))))),IF(AND(AH!#REF!="Derecha",RASANTE!F111&lt;=PERALTE!#REF!),IF(RASANTE!F111&lt;=PERALTE!#REF!,-2,IF(RASANTE!F111&lt;=PERALTE!#REF!,(-6/(PERALTE!#REF!-PERALTE!#REF!)*(RASANTE!F111-PERALTE!#REF!)-2),IF(RASANTE!F111&lt;=PERALTE!#REF!,-8,IF(RASANTE!F111&lt;=PERALTE!#REF!,(-6/(PERALTE!#REF!-PERALTE!#REF!)*(RASANTE!F111-PERALTE!#REF!)-2),IF(RASANTE!F111&lt;=PERALTE!#REF!,-2))))),IF(AND(AH!#REF!="Izquierda",RASANTE!F111&lt;=PERALTE!#REF!),IF(RASANTE!F111&lt;=PERALTE!#REF!,-2,IF(RASANTE!F111&lt;=PERALTE!#REF!,(10/(PERALTE!#REF!-PERALTE!#REF!)*(RASANTE!F111-PERALTE!#REF!)-2),IF(RASANTE!F111&lt;=PERALTE!#REF!,8,IF(RASANTE!F111&lt;=PERALTE!#REF!,(10/(PERALTE!#REF!-PERALTE!#REF!)*(RASANTE!F111-PERALTE!#REF!)-2))))),IF(AND(AH!#REF!="Derecha",RASANTE!F111&lt;=PERALTE!$AB$26),IF(RASANTE!F111&lt;=PERALTE!$S$26,-2,IF(RASANTE!F111&lt;=PERALTE!$U$26,(-6/(PERALTE!$U$26-PERALTE!$S$26)*(RASANTE!F111-PERALTE!$S$26)-2),IF(RASANTE!F111&lt;=PERALTE!$X$26,-8,IF(RASANTE!F111&lt;=PERALTE!$Z$26,(-6/(PERALTE!$X$26-PERALTE!$Z$26)*(RASANTE!F111-PERALTE!$Z$26)-2),IF(RASANTE!F111&lt;=PERALTE!$AB$26,-2))))),IF(AND(AH!#REF!="Izquierda",RASANTE!F111&lt;=PERALTE!$AB$26),IF(RASANTE!F111&lt;=PERALTE!$Q$26,-2,IF(RASANTE!F111&lt;=PERALTE!$U$26,(10/(PERALTE!$U$26-PERALTE!$Q$26)*(RASANTE!F111-PERALTE!$Q$26)-2),IF(RASANTE!F111&lt;=PERALTE!$X$26,8,IF(RASANTE!F111&lt;=PERALTE!$AB$26,(10/(PERALTE!$X$26-PERALTE!$AB$26)*(RASANTE!F111-PERALTE!$AB$26)-2))))),IF(F111&lt;=PERALTE!#REF!,-2,"Abscisa fuera de la vía")))))))))))))))))))))</f>
        <v>4.0000000000000151</v>
      </c>
      <c r="J111" s="28">
        <f t="shared" si="4"/>
        <v>1631.3148722615153</v>
      </c>
      <c r="K111" s="28">
        <f>+IF(AND(AV!$S$6&lt;F208,F208&lt;=AV!$T$6),AV!$P$6*((AV!$S$6-RASANTE!F208)/(AV!$N$6))^2,IF(AND(AV!$T$6&lt;RASANTE!F208,F208&lt;AV!$U$6),AV!$P$6*((AV!$U$6-RASANTE!F208)/(AV!$O$6))^2,IF(AND(AV!$S$8&lt;F208,F208&lt;=AV!$T$8),AV!$P$8*((AV!$S$8-RASANTE!F208)/(AV!$N$8))^2,IF(AND(AV!$T$8&lt;RASANTE!F208,F208&lt;AV!$U$8),AV!$P$8*((AV!$U$8-RASANTE!F208)/(AV!$O$8))^2,IF(AND(AV!$S$10&lt;F208,F208&lt;=AV!$T$10),AV!$P$10*((AV!$S$10-RASANTE!F208)/(AV!$N$10))^2,IF(AND(AV!$T$10&lt;RASANTE!F208,F208&lt;AV!$U$10),AV!$P$10*((AV!$U$10-RASANTE!F208)/(AV!$O$10))^2,IF(AND(AV!$S$12&lt;F208,F208&lt;=AV!$T$12),AV!$P$12*((AV!$S$12-RASANTE!F208)/(AV!$N$12))^2,IF(AND(AV!$T$12&lt;RASANTE!F208,F208&lt;AV!$U$12),AV!$P$12*((AV!$U$12-RASANTE!F208)/(AV!$O$12))^2,IF(AND(AV!$S$14&lt;F208,F208&lt;=AV!$T$14),AV!$P$14*((AV!$S$14-RASANTE!F208)/(AV!$N$14))^2,IF(AND(AV!$T$14&lt;RASANTE!F208,F208&lt;AV!$U$14),AV!$P$14*((AV!$U$14-RASANTE!F208)/(AV!$O$14))^2,IF(AND(AV!$S$16&lt;F208,F208&lt;=AV!$T$16),AV!$P$16*((AV!$S$16-RASANTE!F208)/(AV!$N$16))^2,IF(AND(AV!$T$16&lt;RASANTE!F208,F208&lt;AV!$U$16),AV!$P$16*((AV!$U$16-RASANTE!F208)/(AV!$O$16))^2,IF(AND(AV!$S$18&lt;F208,F208&lt;=AV!$T$18),AV!$P$18*((AV!$S$18-RASANTE!F208)/(AV!$N$18))^2,IF(AND(AV!$T$18&lt;RASANTE!F208,F208&lt;AV!$U$18),AV!$P$18*((AV!$U$18-RASANTE!F208)/(AV!$O$18))^2,IF(AND(AV!$S$20&lt;F208,F208&lt;=AV!$T$20),AV!$P$20*((AV!$S$20-RASANTE!F208)/(AV!$N$20))^2,IF(AND(AV!$T$20&lt;RASANTE!F208,F208&lt;AV!$U$20),AV!$P$20*((AV!$U$20-RASANTE!F208)/(AV!$O$20))^2,IF(AND(AV!$S$22&lt;F208,F208&lt;=AV!$T$22),AV!$P$22*((AV!$S$22-RASANTE!F208)/(AV!$N$22))^2,IF(AND(AV!$T$22&lt;RASANTE!F208,F208&lt;AV!$U$22),AV!$P$22*((AV!$U$22-RASANTE!F208)/(AV!$O$22))^2,IF(AND(AV!$S$24&lt;F208,F208&lt;=AV!$T$24),AV!$P$24*((AV!$S$24-RASANTE!F208)/(AV!$N$24))^2,IF(AND(AV!$T$24&lt;RASANTE!F208,F208&lt;AV!$U$24),AV!$P$24*((AV!$U$24-RASANTE!F208)/(AV!$O$24))^2,0))))))))))))))))))))</f>
        <v>0</v>
      </c>
      <c r="L111" s="28">
        <f>+M111+H111%*PERALTE!$C$32</f>
        <v>1631.1748722615152</v>
      </c>
      <c r="M111" s="28">
        <f t="shared" si="5"/>
        <v>1631.3148722615153</v>
      </c>
      <c r="N111" s="28">
        <f>+M111+I111%*PERALTE!$C$32</f>
        <v>1631.4548722615154</v>
      </c>
      <c r="O111" s="92"/>
      <c r="P111" s="84"/>
      <c r="Q111" s="84"/>
      <c r="R111" s="84"/>
      <c r="S111" s="84"/>
      <c r="T111" s="84"/>
      <c r="U111" s="84"/>
      <c r="V111" s="84"/>
      <c r="W111" s="84"/>
      <c r="X111" s="84"/>
      <c r="Y111" s="84"/>
    </row>
    <row r="112" spans="1:25" ht="15.75" customHeight="1" x14ac:dyDescent="0.2">
      <c r="A112" s="320"/>
      <c r="B112" s="86"/>
      <c r="C112" s="86"/>
      <c r="D112" s="86"/>
      <c r="E112" s="91"/>
      <c r="F112" s="34">
        <v>690</v>
      </c>
      <c r="G112" s="88">
        <f>IF(F112&lt;=AV!$T$6,AV!$C$5,IF(RASANTE!F112&lt;=AV!$T$8,AV!$C$7,IF(RASANTE!F112&lt;=AV!$T$10,AV!$C$9,IF(RASANTE!F112&lt;=AV!$T$12,AV!#REF!,IF(RASANTE!F112&lt;=AV!$T$14,AV!$C$11,IF(RASANTE!F112&lt;=AV!$T$16,AV!$C$13, IF(RASANTE!F112&lt;=AV!$T$18,AV!$C$15,IF(RASANTE!F112&lt;=AV!$T$20,AV!$C$19,IF(RASANTE!F112&lt;=AV!$T$22,AV!$C$21,IF(RASANTE!F112&lt;=AV!$T$24,AV!$C$23,AV!$C$25))))))))))</f>
        <v>-3</v>
      </c>
      <c r="H112" s="28">
        <f>+IF(AND(AH!$H$8="Izquierda",RASANTE!F112&lt;=PERALTE!$AB$6),IF(RASANTE!F112&lt;=PERALTE!$S$6,-2,IF(RASANTE!F112&lt;=PERALTE!$U$6,(-6/(PERALTE!$U$6-PERALTE!$S$6)*(RASANTE!F112-PERALTE!$S$6)-2),IF(RASANTE!F112&lt;=PERALTE!$X$6,-8,IF(RASANTE!F112&lt;=PERALTE!$Z$6,(-6/(PERALTE!$X$6-PERALTE!$Z$6)*(RASANTE!F112-PERALTE!$Z$6)-2),IF(RASANTE!F112&lt;=PERALTE!$AB$6,-2))))),IF(AND(AH!$H$8="Derecha",RASANTE!F112&lt;=PERALTE!$AB$6),IF(RASANTE!F112&lt;=PERALTE!$Q$6,-2,IF(RASANTE!F112&lt;=PERALTE!$U$6,(10/(PERALTE!$U$6-PERALTE!$Q$6)*(RASANTE!F112-PERALTE!$Q$6)-2),IF(RASANTE!F112&lt;=PERALTE!$X$6,8,IF(RASANTE!F112&lt;=PERALTE!$AB$6,(10/(PERALTE!$X$6-PERALTE!$AB$6)*(RASANTE!F112-PERALTE!$AB$6)-2))))),IF(AND(AH!$H$10="Izquierda",RASANTE!F112&lt;=PERALTE!$AB$8),IF(RASANTE!F112&lt;=PERALTE!$S$8,-2,IF(RASANTE!F112&lt;=PERALTE!$U$8,(-6/(PERALTE!$U$8-PERALTE!$S$8)*(RASANTE!F112-PERALTE!$S$8)-2),IF(RASANTE!F112&lt;=PERALTE!$X$8,-8,IF(RASANTE!F112&lt;=PERALTE!$Z$8,(-6/(PERALTE!$X$8-PERALTE!$Z$8)*(RASANTE!F112-PERALTE!$Z$8)-2),IF(RASANTE!F112&lt;=PERALTE!$AB$8,-2))))),IF(AND(AH!$H$10="Derecha",RASANTE!F112&lt;=PERALTE!$AB$8),IF(RASANTE!F112&lt;=PERALTE!$Q$8,-2,IF(RASANTE!F112&lt;=PERALTE!$U$8,(10/(PERALTE!$U$8-PERALTE!$Q$8)*(RASANTE!F112-PERALTE!$Q$8)-2),IF(RASANTE!F112&lt;=PERALTE!$X$8,8,IF(RASANTE!F112&lt;=PERALTE!$AB$8,(10/(PERALTE!$X$8-PERALTE!$AB$8)*(RASANTE!F112-PERALTE!$AB$8)-2))))),IF(AND(AH!$H$12="Izquierda",RASANTE!F112&lt;=PERALTE!$AB$10),IF(RASANTE!F112&lt;=PERALTE!$S$10,-2,IF(RASANTE!F112&lt;=PERALTE!$U$10,(-6/(PERALTE!$U$10-PERALTE!$S$10)*(RASANTE!F112-PERALTE!$S$10)-2),IF(RASANTE!F112&lt;=PERALTE!$X$10,-8,IF(RASANTE!F112&lt;=PERALTE!$Z$10,(-6/(PERALTE!$X$10-PERALTE!$Z$10)*(RASANTE!F112-PERALTE!$Z$10)-2),IF(RASANTE!F112&lt;=PERALTE!$AB$10,-2))))),IF(AND(AH!$H$12="Derecha",RASANTE!F112&lt;=PERALTE!$AB$10),IF(RASANTE!F112&lt;=PERALTE!$Q$10,-2,IF(RASANTE!F112&lt;=PERALTE!$U$10,(10/(PERALTE!$U$10-PERALTE!$Q$10)*(RASANTE!F112-PERALTE!$Q$10)-2),IF(RASANTE!F112&lt;=PERALTE!$X$10,8,IF(RASANTE!F112&lt;=PERALTE!$AB$10,(10/(PERALTE!$X$10-PERALTE!$AB$10)*(RASANTE!F112-PERALTE!$AB$10)-2))))),IF(AND(AH!$H$14="Izquierda",RASANTE!F112&lt;=PERALTE!$AB$12),IF(RASANTE!F112&lt;=PERALTE!$S$12,-2,IF(RASANTE!F112&lt;=PERALTE!$U$12,(-6/(PERALTE!$U$12-PERALTE!$S$12)*(RASANTE!F112-PERALTE!$S$12)-2),IF(RASANTE!F112&lt;=PERALTE!$X$12,-8,IF(RASANTE!F112&lt;=PERALTE!$Z$12,(-6/(PERALTE!$X$12-PERALTE!$Z$12)*(RASANTE!F112-PERALTE!$Z$12)-2),IF(RASANTE!F112&lt;=PERALTE!$AB$12,-2))))),IF(AND(AH!$H$14="Derecha",RASANTE!F112&lt;=PERALTE!$AB$12),IF(RASANTE!F112&lt;=PERALTE!$Q$12,-2,IF(RASANTE!F112&lt;=PERALTE!$U$12,(10/(PERALTE!$U$12-PERALTE!$Q$12)*(RASANTE!F112-PERALTE!$Q$12)-2),IF(RASANTE!F112&lt;=PERALTE!$X$12,8,IF(RASANTE!F112&lt;=PERALTE!$AB$12,(10/(PERALTE!$X$12-PERALTE!$AB$12)*(RASANTE!F112-PERALTE!$AB$12)-2))))),IF(AND(AH!$H$16="Izquierda",RASANTE!F112&lt;=PERALTE!$AB$14),IF(RASANTE!F112&lt;=PERALTE!$S$14,-2,IF(RASANTE!F112&lt;=PERALTE!$U$14,(-6/(PERALTE!$U$14-PERALTE!$S$14)*(RASANTE!F112-PERALTE!$S$14)-2),IF(RASANTE!F112&lt;=PERALTE!$X$14,-8,IF(RASANTE!F112&lt;=PERALTE!$Z$14,(-6/(PERALTE!$X$14-PERALTE!$Z$14)*(RASANTE!F112-PERALTE!$Z$14)-2),IF(RASANTE!F112&lt;=PERALTE!$AB$14,-2))))),IF(AND(AH!$H$16="Derecha",RASANTE!F112&lt;=PERALTE!$AB$14),IF(RASANTE!F112&lt;=PERALTE!$Q$14,-2,IF(RASANTE!F112&lt;=PERALTE!$U$14,(10/(PERALTE!$U$14-PERALTE!$Q$14)*(RASANTE!F112-PERALTE!$Q$14)-2),IF(RASANTE!F112&lt;=PERALTE!$X$14,8,IF(RASANTE!F112&lt;=PERALTE!$AB$14,(10/(PERALTE!$X$14-PERALTE!$AB$14)*(RASANTE!F112-PERALTE!$AB$14)-2))))),IF(AND(AH!$H$18="Izquierda",RASANTE!F112&lt;=PERALTE!$AB$16),IF(RASANTE!F112&lt;=PERALTE!$S$16,-2,IF(RASANTE!F112&lt;=PERALTE!$U$16,(-6/(PERALTE!$U$16-PERALTE!$S$16)*(RASANTE!F112-PERALTE!$S$16)-2),IF(RASANTE!F112&lt;=PERALTE!$X$16,-8,IF(RASANTE!F112&lt;=PERALTE!$Z$16,(-6/(PERALTE!$X$16-PERALTE!$Z$16)*(RASANTE!F112-PERALTE!$Z$16)-2),IF(RASANTE!F112&lt;=PERALTE!$AB$16,-2))))),IF(AND(AH!$H$18="Derecha",RASANTE!F112&lt;=PERALTE!$AB$16),IF(RASANTE!F112&lt;=PERALTE!$Q$16,-2,IF(RASANTE!F112&lt;=PERALTE!$U$16,(10/(PERALTE!$U$16-PERALTE!$Q$16)*(RASANTE!F112-PERALTE!$Q$16)-2),IF(RASANTE!F112&lt;=PERALTE!$X$16,8,IF(RASANTE!F112&lt;=PERALTE!$AB$16,(10/(PERALTE!$X$16-PERALTE!$AB$16)*(RASANTE!F112-PERALTE!$AB$16)-2))))),IF(AND(AH!$H$20="Izquierda",RASANTE!F112&lt;=PERALTE!$AB$18),IF(RASANTE!F112&lt;=PERALTE!$S$18,-2,IF(RASANTE!F112&lt;=PERALTE!$U$18,(-6/(PERALTE!$U$18-PERALTE!$S$18)*(RASANTE!F112-PERALTE!$S$18)-2),IF(RASANTE!F112&lt;=PERALTE!$X$18,-8,IF(RASANTE!F112&lt;=PERALTE!$Z$18,(-6/(PERALTE!$X$18-PERALTE!$Z$18)*(RASANTE!F112-PERALTE!$Z$18)-2),IF(RASANTE!F112&lt;=PERALTE!$AB$18,-2))))),IF(AND(AH!$H$20="Derecha",RASANTE!F112&lt;=PERALTE!$AB$18),IF(RASANTE!F112&lt;=PERALTE!$Q$18,-2,IF(RASANTE!F112&lt;=PERALTE!$U$18,(10/(PERALTE!$U$18-PERALTE!$Q$18)*(RASANTE!F112-PERALTE!$Q$18)-2),IF(RASANTE!F112&lt;=PERALTE!$X$18,8,IF(RASANTE!F112&lt;=PERALTE!$AB$18,(10/(PERALTE!$X$18-PERALTE!$AB$18)*(RASANTE!F112-PERALTE!$AB$18)-2))))),IF(AND(AH!$H$24="Izquierda",RASANTE!F112&lt;=PERALTE!$AB$22),IF(RASANTE!F112&lt;=PERALTE!$S$22,-2,IF(RASANTE!F112&lt;=PERALTE!$U$22,(-6/(PERALTE!$U$22-PERALTE!$S$22)*(RASANTE!F112-PERALTE!$S$22)-2),IF(RASANTE!F112&lt;=PERALTE!$X$22,-8,IF(RASANTE!F112&lt;=PERALTE!$Z$22,(-6/(PERALTE!$X$22-PERALTE!$Z$22)*(RASANTE!F112-PERALTE!$Z$22)-2),IF(RASANTE!F112&lt;=PERALTE!$AB$22,-2))))),IF(AND(AH!$H$24="Derecha",RASANTE!F112&lt;=PERALTE!$AB$22),IF(RASANTE!F112&lt;=PERALTE!$Q$22,-2,IF(RASANTE!F112&lt;=PERALTE!$U$22,(10/(PERALTE!$U$22-PERALTE!$Q$22)*(RASANTE!F112-PERALTE!$Q$22)-2),IF(RASANTE!F112&lt;=PERALTE!$X$22,8,IF(RASANTE!F112&lt;=PERALTE!$AB$22,(10/(PERALTE!$X$22-PERALTE!$AB$22)*(RASANTE!F112-PERALTE!$AB$22)-2))))),IF(AND(AH!#REF!="Izquierda",RASANTE!F112&lt;=PERALTE!#REF!),IF(RASANTE!F112&lt;=PERALTE!#REF!,-2,IF(RASANTE!F112&lt;=PERALTE!#REF!,(-6/(PERALTE!#REF!-PERALTE!#REF!)*(RASANTE!F112-PERALTE!#REF!)-2),IF(RASANTE!F112&lt;=PERALTE!#REF!,-8,IF(RASANTE!F112&lt;=PERALTE!#REF!,(-6/(PERALTE!#REF!-PERALTE!#REF!)*(RASANTE!F112-PERALTE!#REF!)-2),IF(RASANTE!F112&lt;=PERALTE!#REF!,-2))))),IF(AND(AH!#REF!="Derecha",RASANTE!F112&lt;=PERALTE!#REF!),IF(RASANTE!F112&lt;=PERALTE!#REF!,-2,IF(RASANTE!F112&lt;=PERALTE!#REF!,(10/(PERALTE!#REF!-PERALTE!#REF!)*(RASANTE!F112-PERALTE!#REF!)-2),IF(RASANTE!F112&lt;=PERALTE!#REF!,8,IF(RASANTE!F112&lt;=PERALTE!#REF!,(10/(PERALTE!#REF!-PERALTE!#REF!)*(RASANTE!F112-PERALTE!#REF!)-2))))),IF(AND(AH!#REF!="Izquierda",RASANTE!F112&lt;=PERALTE!$AB$26),IF(RASANTE!F112&lt;=PERALTE!$S$26,-2,IF(RASANTE!F112&lt;=PERALTE!$U$26,(-6/(PERALTE!$U$26-PERALTE!$S$26)*(RASANTE!F112-PERALTE!$S$26)-2),IF(RASANTE!F112&lt;=PERALTE!$X$26,-8,IF(RASANTE!F112&lt;=PERALTE!$Z$26,(-6/(PERALTE!$X$26-PERALTE!$Z$26)*(RASANTE!F112-PERALTE!$Z$26)-2),IF(RASANTE!F112&lt;=PERALTE!$AB$26,-2))))),IF(AND(AH!#REF!="Derecha",RASANTE!F112&lt;=PERALTE!$AB$26),IF(RASANTE!F112&lt;=PERALTE!$Q$26,-2,IF(RASANTE!F112&lt;=PERALTE!$U$26,(10/(PERALTE!$U$26-PERALTE!$Q$26)*(RASANTE!F112-PERALTE!$Q$26)-2),IF(RASANTE!F112&lt;=PERALTE!$X$26,8,IF(RASANTE!F112&lt;=PERALTE!$AB$26,(10/(PERALTE!$X$26-PERALTE!$AB$26)*(RASANTE!F112-PERALTE!$AB$26)-2))))),IF(F112&lt;=PERALTE!#REF!,-2,"Abscisa fuera de la vía")))))))))))))))))))))</f>
        <v>-2.3245367488945616</v>
      </c>
      <c r="I112" s="28">
        <f>+IF(AND(AH!$H$8="Derecha",RASANTE!F112&lt;=PERALTE!$AB$6),IF(RASANTE!F112&lt;=PERALTE!$S$6,-2,IF(RASANTE!F112&lt;=PERALTE!$U$6,(-6/(PERALTE!$U$6-PERALTE!$S$6)*(RASANTE!F112-PERALTE!$S$6)-2),IF(RASANTE!F112&lt;=PERALTE!$X$6,-8,IF(RASANTE!F112&lt;=PERALTE!$Z$6,(-6/(PERALTE!$X$6-PERALTE!$Z$6)*(RASANTE!F112-PERALTE!$Z$6)-2),IF(RASANTE!F112&lt;=PERALTE!$AB$6,-2))))),IF(AND(AH!$H$8="Izquierda",RASANTE!F112&lt;=PERALTE!$AB$6),IF(RASANTE!F112&lt;=PERALTE!$Q$6,-2,IF(RASANTE!F112&lt;=PERALTE!$U$6,(10/(PERALTE!$U$6-PERALTE!$Q$6)*(RASANTE!F112-PERALTE!$Q$6)-2),IF(RASANTE!F112&lt;=PERALTE!$X$6,8,IF(RASANTE!F112&lt;=PERALTE!$AB$6,(10/(PERALTE!$X$6-PERALTE!$AB$6)*(RASANTE!F112-PERALTE!$AB$6)-2))))),IF(AND(AH!$H$10="Derecha",RASANTE!F112&lt;=PERALTE!$AB$8),IF(RASANTE!F112&lt;=PERALTE!$S$8,-2,IF(RASANTE!F112&lt;=PERALTE!$U$8,(-6/(PERALTE!$U$8-PERALTE!$S$8)*(RASANTE!F112-PERALTE!$S$8)-2),IF(RASANTE!F112&lt;=PERALTE!$X$8,-8,IF(RASANTE!F112&lt;=PERALTE!$Z$8,(-6/(PERALTE!$X$8-PERALTE!$Z$8)*(RASANTE!F112-PERALTE!$Z$8)-2),IF(RASANTE!F112&lt;=PERALTE!$AB$8,-2))))),IF(AND(AH!$H$10="Izquierda",RASANTE!F112&lt;=PERALTE!$AB$8),IF(RASANTE!F112&lt;=PERALTE!$Q$8,-2,IF(RASANTE!F112&lt;=PERALTE!$U$8,(10/(PERALTE!$U$8-PERALTE!$Q$8)*(RASANTE!F112-PERALTE!$Q$8)-2),IF(RASANTE!F112&lt;=PERALTE!$X$8,8,IF(RASANTE!F112&lt;=PERALTE!$AB$8,(10/(PERALTE!$X$8-PERALTE!$AB$8)*(RASANTE!F112-PERALTE!$AB$8)-2))))),IF(AND(AH!$H$12="Derecha",RASANTE!F112&lt;=PERALTE!$AB$10),IF(RASANTE!F112&lt;=PERALTE!$S$10,-2,IF(RASANTE!F112&lt;=PERALTE!$U$10,(-6/(PERALTE!$U$10-PERALTE!$S$10)*(RASANTE!F112-PERALTE!$S$10)-2),IF(RASANTE!F112&lt;=PERALTE!$X$10,-8,IF(RASANTE!F112&lt;=PERALTE!$Z$10,(-6/(PERALTE!$X$10-PERALTE!$Z$10)*(RASANTE!F112-PERALTE!$Z$10)-2),IF(RASANTE!F112&lt;=PERALTE!$AB$10,-2))))),IF(AND(AH!$H$12="Izquierda",RASANTE!F112&lt;=PERALTE!$AB$10),IF(RASANTE!F112&lt;=PERALTE!$Q$10,-2,IF(RASANTE!F112&lt;=PERALTE!$U$10,(10/(PERALTE!$U$10-PERALTE!$Q$10)*(RASANTE!F112-PERALTE!$Q$10)-2),IF(RASANTE!F112&lt;=PERALTE!$X$10,8,IF(RASANTE!F112&lt;=PERALTE!$AB$10,(10/(PERALTE!$X$10-PERALTE!$AB$10)*(RASANTE!F112-PERALTE!$AB$10)-2))))),IF(AND(AH!$H$14="Derecha",RASANTE!F112&lt;=PERALTE!$AB$12),IF(RASANTE!F112&lt;=PERALTE!$S$12,-2,IF(RASANTE!F112&lt;=PERALTE!$U$12,(-6/(PERALTE!$U$12-PERALTE!$S$12)*(RASANTE!F112-PERALTE!$S$12)-2),IF(RASANTE!F112&lt;=PERALTE!$X$12,-8,IF(RASANTE!F112&lt;=PERALTE!$Z$12,(-6/(PERALTE!$X$12-PERALTE!$Z$12)*(RASANTE!F112-PERALTE!$Z$12)-2),IF(RASANTE!F112&lt;=PERALTE!$AB$12,-2))))),IF(AND(AH!$H$14="Izquierda",RASANTE!F112&lt;=PERALTE!$AB$12),IF(RASANTE!F112&lt;=PERALTE!$Q$12,-2,IF(RASANTE!F112&lt;=PERALTE!$U$12,(10/(PERALTE!$U$12-PERALTE!$Q$12)*(RASANTE!F112-PERALTE!$Q$12)-2),IF(RASANTE!F112&lt;=PERALTE!$X$12,8,IF(RASANTE!F112&lt;=PERALTE!$AB$12,(10/(PERALTE!$X$12-PERALTE!$AB$12)*(RASANTE!F112-PERALTE!$AB$12)-2))))),IF(AND(AH!$H$16="Derecha",RASANTE!F112&lt;=PERALTE!$AB$14),IF(RASANTE!F112&lt;=PERALTE!$S$14,-2,IF(RASANTE!F112&lt;=PERALTE!$U$14,(-6/(PERALTE!$U$14-PERALTE!$S$14)*(RASANTE!F112-PERALTE!$S$14)-2),IF(RASANTE!F112&lt;=PERALTE!$X$14,-8,IF(RASANTE!F112&lt;=PERALTE!$Z$14,(-6/(PERALTE!$X$14-PERALTE!$Z$14)*(RASANTE!F112-PERALTE!$Z$14)-2),IF(RASANTE!F112&lt;=PERALTE!$AB$14,-2))))),IF(AND(AH!$H$16="Izquierda",RASANTE!F112&lt;=PERALTE!$AB$14),IF(RASANTE!F112&lt;=PERALTE!$Q$14,-2,IF(RASANTE!F112&lt;=PERALTE!$U$14,(10/(PERALTE!$U$14-PERALTE!$Q$14)*(RASANTE!F112-PERALTE!$Q$14)-2),IF(RASANTE!F112&lt;=PERALTE!$X$14,8,IF(RASANTE!F112&lt;=PERALTE!$AB$14,(10/(PERALTE!$X$14-PERALTE!$AB$14)*(RASANTE!F112-PERALTE!$AB$14)-2))))),IF(AND(AH!$H$18="Derecha",RASANTE!F112&lt;=PERALTE!$AB$16),IF(RASANTE!F112&lt;=PERALTE!$S$16,-2,IF(RASANTE!F112&lt;=PERALTE!$U$16,(-6/(PERALTE!$U$16-PERALTE!$S$16)*(RASANTE!F112-PERALTE!$S$16)-2),IF(RASANTE!F112&lt;=PERALTE!$X$16,-8,IF(RASANTE!F112&lt;=PERALTE!$Z$16,(-6/(PERALTE!$X$16-PERALTE!$Z$16)*(RASANTE!F112-PERALTE!$Z$16)-2),IF(RASANTE!F112&lt;=PERALTE!$AB$16,-2))))),IF(AND(AH!$H$18="Izquierda",RASANTE!F112&lt;=PERALTE!$AB$16),IF(RASANTE!F112&lt;=PERALTE!$Q$16,-2,IF(RASANTE!F112&lt;=PERALTE!$U$16,(10/(PERALTE!$U$16-PERALTE!$Q$16)*(RASANTE!F112-PERALTE!$Q$16)-2),IF(RASANTE!F112&lt;=PERALTE!$X$16,8,IF(RASANTE!F112&lt;=PERALTE!$AB$16,(10/(PERALTE!$X$16-PERALTE!$AB$16)*(RASANTE!F112-PERALTE!$AB$16)-2))))),IF(AND(AH!$H$20="Derecha",RASANTE!F112&lt;=PERALTE!$AB$18),IF(RASANTE!F112&lt;=PERALTE!$S$18,-2,IF(RASANTE!F112&lt;=PERALTE!$U$18,(-6/(PERALTE!$U$18-PERALTE!$S$18)*(RASANTE!F112-PERALTE!$S$18)-2),IF(RASANTE!F112&lt;=PERALTE!$X$18,-8,IF(RASANTE!F112&lt;=PERALTE!$Z$18,(-6/(PERALTE!$X$18-PERALTE!$Z$18)*(RASANTE!F112-PERALTE!$Z$18)-2),IF(RASANTE!F112&lt;=PERALTE!$AB$18,-2))))),IF(AND(AH!$H$20="Izquierda",RASANTE!F112&lt;=PERALTE!$AB$18),IF(RASANTE!F112&lt;=PERALTE!$Q$18,-2,IF(RASANTE!F112&lt;=PERALTE!$U$18,(10/(PERALTE!$U$18-PERALTE!$Q$18)*(RASANTE!F112-PERALTE!$Q$18)-2),IF(RASANTE!F112&lt;=PERALTE!$X$18,8,IF(RASANTE!F112&lt;=PERALTE!$AB$18,(10/(PERALTE!$X$18-PERALTE!$AB$18)*(RASANTE!F112-PERALTE!$AB$18)-2))))),IF(AND(AH!$H$24="Derecha",RASANTE!F112&lt;=PERALTE!$AB$22),IF(RASANTE!F112&lt;=PERALTE!$S$22,-2,IF(RASANTE!F112&lt;=PERALTE!$U$22,(-6/(PERALTE!$U$22-PERALTE!$S$22)*(RASANTE!F112-PERALTE!$S$22)-2),IF(RASANTE!F112&lt;=PERALTE!$X$22,-8,IF(RASANTE!F112&lt;=PERALTE!$Z$22,(-6/(PERALTE!$X$22-PERALTE!$Z$22)*(RASANTE!F112-PERALTE!$Z$22)-2),IF(RASANTE!F112&lt;=PERALTE!$AB$22,-2))))),IF(AND(AH!$H$24="Izquierda",RASANTE!F112&lt;=PERALTE!$AB$22),IF(RASANTE!F112&lt;=PERALTE!$Q$22,-2,IF(RASANTE!F112&lt;=PERALTE!$U$22,(10/(PERALTE!$U$22-PERALTE!$Q$22)*(RASANTE!F112-PERALTE!$Q$22)-2),IF(RASANTE!F112&lt;=PERALTE!$X$22,8,IF(RASANTE!F112&lt;=PERALTE!$AB$22,(10/(PERALTE!$X$22-PERALTE!$AB$22)*(RASANTE!F112-PERALTE!$AB$22)-2))))),IF(AND(AH!#REF!="Derecha",RASANTE!F112&lt;=PERALTE!#REF!),IF(RASANTE!F112&lt;=PERALTE!#REF!,-2,IF(RASANTE!F112&lt;=PERALTE!#REF!,(-6/(PERALTE!#REF!-PERALTE!#REF!)*(RASANTE!F112-PERALTE!#REF!)-2),IF(RASANTE!F112&lt;=PERALTE!#REF!,-8,IF(RASANTE!F112&lt;=PERALTE!#REF!,(-6/(PERALTE!#REF!-PERALTE!#REF!)*(RASANTE!F112-PERALTE!#REF!)-2),IF(RASANTE!F112&lt;=PERALTE!#REF!,-2))))),IF(AND(AH!#REF!="Izquierda",RASANTE!F112&lt;=PERALTE!#REF!),IF(RASANTE!F112&lt;=PERALTE!#REF!,-2,IF(RASANTE!F112&lt;=PERALTE!#REF!,(10/(PERALTE!#REF!-PERALTE!#REF!)*(RASANTE!F112-PERALTE!#REF!)-2),IF(RASANTE!F112&lt;=PERALTE!#REF!,8,IF(RASANTE!F112&lt;=PERALTE!#REF!,(10/(PERALTE!#REF!-PERALTE!#REF!)*(RASANTE!F112-PERALTE!#REF!)-2))))),IF(AND(AH!#REF!="Derecha",RASANTE!F112&lt;=PERALTE!$AB$26),IF(RASANTE!F112&lt;=PERALTE!$S$26,-2,IF(RASANTE!F112&lt;=PERALTE!$U$26,(-6/(PERALTE!$U$26-PERALTE!$S$26)*(RASANTE!F112-PERALTE!$S$26)-2),IF(RASANTE!F112&lt;=PERALTE!$X$26,-8,IF(RASANTE!F112&lt;=PERALTE!$Z$26,(-6/(PERALTE!$X$26-PERALTE!$Z$26)*(RASANTE!F112-PERALTE!$Z$26)-2),IF(RASANTE!F112&lt;=PERALTE!$AB$26,-2))))),IF(AND(AH!#REF!="Izquierda",RASANTE!F112&lt;=PERALTE!$AB$26),IF(RASANTE!F112&lt;=PERALTE!$Q$26,-2,IF(RASANTE!F112&lt;=PERALTE!$U$26,(10/(PERALTE!$U$26-PERALTE!$Q$26)*(RASANTE!F112-PERALTE!$Q$26)-2),IF(RASANTE!F112&lt;=PERALTE!$X$26,8,IF(RASANTE!F112&lt;=PERALTE!$AB$26,(10/(PERALTE!$X$26-PERALTE!$AB$26)*(RASANTE!F112-PERALTE!$AB$26)-2))))),IF(F112&lt;=PERALTE!#REF!,-2,"Abscisa fuera de la vía")))))))))))))))))))))</f>
        <v>2.3245367488945714</v>
      </c>
      <c r="J112" s="28">
        <f t="shared" si="4"/>
        <v>1631.086400000001</v>
      </c>
      <c r="K112" s="28">
        <f>+IF(AND(AV!$S$6&lt;F209,F209&lt;=AV!$T$6),AV!$P$6*((AV!$S$6-RASANTE!F209)/(AV!$N$6))^2,IF(AND(AV!$T$6&lt;RASANTE!F209,F209&lt;AV!$U$6),AV!$P$6*((AV!$U$6-RASANTE!F209)/(AV!$O$6))^2,IF(AND(AV!$S$8&lt;F209,F209&lt;=AV!$T$8),AV!$P$8*((AV!$S$8-RASANTE!F209)/(AV!$N$8))^2,IF(AND(AV!$T$8&lt;RASANTE!F209,F209&lt;AV!$U$8),AV!$P$8*((AV!$U$8-RASANTE!F209)/(AV!$O$8))^2,IF(AND(AV!$S$10&lt;F209,F209&lt;=AV!$T$10),AV!$P$10*((AV!$S$10-RASANTE!F209)/(AV!$N$10))^2,IF(AND(AV!$T$10&lt;RASANTE!F209,F209&lt;AV!$U$10),AV!$P$10*((AV!$U$10-RASANTE!F209)/(AV!$O$10))^2,IF(AND(AV!$S$12&lt;F209,F209&lt;=AV!$T$12),AV!$P$12*((AV!$S$12-RASANTE!F209)/(AV!$N$12))^2,IF(AND(AV!$T$12&lt;RASANTE!F209,F209&lt;AV!$U$12),AV!$P$12*((AV!$U$12-RASANTE!F209)/(AV!$O$12))^2,IF(AND(AV!$S$14&lt;F209,F209&lt;=AV!$T$14),AV!$P$14*((AV!$S$14-RASANTE!F209)/(AV!$N$14))^2,IF(AND(AV!$T$14&lt;RASANTE!F209,F209&lt;AV!$U$14),AV!$P$14*((AV!$U$14-RASANTE!F209)/(AV!$O$14))^2,IF(AND(AV!$S$16&lt;F209,F209&lt;=AV!$T$16),AV!$P$16*((AV!$S$16-RASANTE!F209)/(AV!$N$16))^2,IF(AND(AV!$T$16&lt;RASANTE!F209,F209&lt;AV!$U$16),AV!$P$16*((AV!$U$16-RASANTE!F209)/(AV!$O$16))^2,IF(AND(AV!$S$18&lt;F209,F209&lt;=AV!$T$18),AV!$P$18*((AV!$S$18-RASANTE!F209)/(AV!$N$18))^2,IF(AND(AV!$T$18&lt;RASANTE!F209,F209&lt;AV!$U$18),AV!$P$18*((AV!$U$18-RASANTE!F209)/(AV!$O$18))^2,IF(AND(AV!$S$20&lt;F209,F209&lt;=AV!$T$20),AV!$P$20*((AV!$S$20-RASANTE!F209)/(AV!$N$20))^2,IF(AND(AV!$T$20&lt;RASANTE!F209,F209&lt;AV!$U$20),AV!$P$20*((AV!$U$20-RASANTE!F209)/(AV!$O$20))^2,IF(AND(AV!$S$22&lt;F209,F209&lt;=AV!$T$22),AV!$P$22*((AV!$S$22-RASANTE!F209)/(AV!$N$22))^2,IF(AND(AV!$T$22&lt;RASANTE!F209,F209&lt;AV!$U$22),AV!$P$22*((AV!$U$22-RASANTE!F209)/(AV!$O$22))^2,IF(AND(AV!$S$24&lt;F209,F209&lt;=AV!$T$24),AV!$P$24*((AV!$S$24-RASANTE!F209)/(AV!$N$24))^2,IF(AND(AV!$T$24&lt;RASANTE!F209,F209&lt;AV!$U$24),AV!$P$24*((AV!$U$24-RASANTE!F209)/(AV!$O$24))^2,0))))))))))))))))))))</f>
        <v>0</v>
      </c>
      <c r="L112" s="28">
        <f>+M112+H112%*PERALTE!$C$32</f>
        <v>1631.0050412137898</v>
      </c>
      <c r="M112" s="28">
        <f t="shared" si="5"/>
        <v>1631.086400000001</v>
      </c>
      <c r="N112" s="28">
        <f>+M112+I112%*PERALTE!$C$32</f>
        <v>1631.1677587862123</v>
      </c>
      <c r="O112" s="92"/>
      <c r="P112" s="84"/>
      <c r="Q112" s="84"/>
      <c r="R112" s="84"/>
      <c r="S112" s="84"/>
      <c r="T112" s="84"/>
      <c r="U112" s="84"/>
      <c r="V112" s="84"/>
      <c r="W112" s="84"/>
      <c r="X112" s="84"/>
      <c r="Y112" s="84"/>
    </row>
    <row r="113" spans="1:25" ht="15.75" customHeight="1" x14ac:dyDescent="0.2">
      <c r="A113" s="322" t="s">
        <v>336</v>
      </c>
      <c r="F113" s="34">
        <f>PERALTE!Z10</f>
        <v>691.47516704042982</v>
      </c>
      <c r="G113" s="88">
        <f>IF(F113&lt;=AV!$T$6,AV!$C$5,IF(RASANTE!F113&lt;=AV!$T$8,AV!$C$7,IF(RASANTE!F113&lt;=AV!$T$10,AV!$C$9,IF(RASANTE!F113&lt;=AV!$T$12,AV!#REF!,IF(RASANTE!F113&lt;=AV!$T$14,AV!$C$11,IF(RASANTE!F113&lt;=AV!$T$16,AV!$C$13, IF(RASANTE!F113&lt;=AV!$T$18,AV!$C$15,IF(RASANTE!F113&lt;=AV!$T$20,AV!$C$19,IF(RASANTE!F113&lt;=AV!$T$22,AV!$C$21,IF(RASANTE!F113&lt;=AV!$T$24,AV!$C$23,AV!$C$25))))))))))</f>
        <v>-3</v>
      </c>
      <c r="H113" s="28">
        <f>+IF(AND(AH!$H$8="Izquierda",RASANTE!F113&lt;=PERALTE!$AB$6),IF(RASANTE!F113&lt;=PERALTE!$S$6,-2,IF(RASANTE!F113&lt;=PERALTE!$U$6,(-6/(PERALTE!$U$6-PERALTE!$S$6)*(RASANTE!F113-PERALTE!$S$6)-2),IF(RASANTE!F113&lt;=PERALTE!$X$6,-8,IF(RASANTE!F113&lt;=PERALTE!$Z$6,(-6/(PERALTE!$X$6-PERALTE!$Z$6)*(RASANTE!F113-PERALTE!$Z$6)-2),IF(RASANTE!F113&lt;=PERALTE!$AB$6,-2))))),IF(AND(AH!$H$8="Derecha",RASANTE!F113&lt;=PERALTE!$AB$6),IF(RASANTE!F113&lt;=PERALTE!$Q$6,-2,IF(RASANTE!F113&lt;=PERALTE!$U$6,(10/(PERALTE!$U$6-PERALTE!$Q$6)*(RASANTE!F113-PERALTE!$Q$6)-2),IF(RASANTE!F113&lt;=PERALTE!$X$6,8,IF(RASANTE!F113&lt;=PERALTE!$AB$6,(10/(PERALTE!$X$6-PERALTE!$AB$6)*(RASANTE!F113-PERALTE!$AB$6)-2))))),IF(AND(AH!$H$10="Izquierda",RASANTE!F113&lt;=PERALTE!$AB$8),IF(RASANTE!F113&lt;=PERALTE!$S$8,-2,IF(RASANTE!F113&lt;=PERALTE!$U$8,(-6/(PERALTE!$U$8-PERALTE!$S$8)*(RASANTE!F113-PERALTE!$S$8)-2),IF(RASANTE!F113&lt;=PERALTE!$X$8,-8,IF(RASANTE!F113&lt;=PERALTE!$Z$8,(-6/(PERALTE!$X$8-PERALTE!$Z$8)*(RASANTE!F113-PERALTE!$Z$8)-2),IF(RASANTE!F113&lt;=PERALTE!$AB$8,-2))))),IF(AND(AH!$H$10="Derecha",RASANTE!F113&lt;=PERALTE!$AB$8),IF(RASANTE!F113&lt;=PERALTE!$Q$8,-2,IF(RASANTE!F113&lt;=PERALTE!$U$8,(10/(PERALTE!$U$8-PERALTE!$Q$8)*(RASANTE!F113-PERALTE!$Q$8)-2),IF(RASANTE!F113&lt;=PERALTE!$X$8,8,IF(RASANTE!F113&lt;=PERALTE!$AB$8,(10/(PERALTE!$X$8-PERALTE!$AB$8)*(RASANTE!F113-PERALTE!$AB$8)-2))))),IF(AND(AH!$H$12="Izquierda",RASANTE!F113&lt;=PERALTE!$AB$10),IF(RASANTE!F113&lt;=PERALTE!$S$10,-2,IF(RASANTE!F113&lt;=PERALTE!$U$10,(-6/(PERALTE!$U$10-PERALTE!$S$10)*(RASANTE!F113-PERALTE!$S$10)-2),IF(RASANTE!F113&lt;=PERALTE!$X$10,-8,IF(RASANTE!F113&lt;=PERALTE!$Z$10,(-6/(PERALTE!$X$10-PERALTE!$Z$10)*(RASANTE!F113-PERALTE!$Z$10)-2),IF(RASANTE!F113&lt;=PERALTE!$AB$10,-2))))),IF(AND(AH!$H$12="Derecha",RASANTE!F113&lt;=PERALTE!$AB$10),IF(RASANTE!F113&lt;=PERALTE!$Q$10,-2,IF(RASANTE!F113&lt;=PERALTE!$U$10,(10/(PERALTE!$U$10-PERALTE!$Q$10)*(RASANTE!F113-PERALTE!$Q$10)-2),IF(RASANTE!F113&lt;=PERALTE!$X$10,8,IF(RASANTE!F113&lt;=PERALTE!$AB$10,(10/(PERALTE!$X$10-PERALTE!$AB$10)*(RASANTE!F113-PERALTE!$AB$10)-2))))),IF(AND(AH!$H$14="Izquierda",RASANTE!F113&lt;=PERALTE!$AB$12),IF(RASANTE!F113&lt;=PERALTE!$S$12,-2,IF(RASANTE!F113&lt;=PERALTE!$U$12,(-6/(PERALTE!$U$12-PERALTE!$S$12)*(RASANTE!F113-PERALTE!$S$12)-2),IF(RASANTE!F113&lt;=PERALTE!$X$12,-8,IF(RASANTE!F113&lt;=PERALTE!$Z$12,(-6/(PERALTE!$X$12-PERALTE!$Z$12)*(RASANTE!F113-PERALTE!$Z$12)-2),IF(RASANTE!F113&lt;=PERALTE!$AB$12,-2))))),IF(AND(AH!$H$14="Derecha",RASANTE!F113&lt;=PERALTE!$AB$12),IF(RASANTE!F113&lt;=PERALTE!$Q$12,-2,IF(RASANTE!F113&lt;=PERALTE!$U$12,(10/(PERALTE!$U$12-PERALTE!$Q$12)*(RASANTE!F113-PERALTE!$Q$12)-2),IF(RASANTE!F113&lt;=PERALTE!$X$12,8,IF(RASANTE!F113&lt;=PERALTE!$AB$12,(10/(PERALTE!$X$12-PERALTE!$AB$12)*(RASANTE!F113-PERALTE!$AB$12)-2))))),IF(AND(AH!$H$16="Izquierda",RASANTE!F113&lt;=PERALTE!$AB$14),IF(RASANTE!F113&lt;=PERALTE!$S$14,-2,IF(RASANTE!F113&lt;=PERALTE!$U$14,(-6/(PERALTE!$U$14-PERALTE!$S$14)*(RASANTE!F113-PERALTE!$S$14)-2),IF(RASANTE!F113&lt;=PERALTE!$X$14,-8,IF(RASANTE!F113&lt;=PERALTE!$Z$14,(-6/(PERALTE!$X$14-PERALTE!$Z$14)*(RASANTE!F113-PERALTE!$Z$14)-2),IF(RASANTE!F113&lt;=PERALTE!$AB$14,-2))))),IF(AND(AH!$H$16="Derecha",RASANTE!F113&lt;=PERALTE!$AB$14),IF(RASANTE!F113&lt;=PERALTE!$Q$14,-2,IF(RASANTE!F113&lt;=PERALTE!$U$14,(10/(PERALTE!$U$14-PERALTE!$Q$14)*(RASANTE!F113-PERALTE!$Q$14)-2),IF(RASANTE!F113&lt;=PERALTE!$X$14,8,IF(RASANTE!F113&lt;=PERALTE!$AB$14,(10/(PERALTE!$X$14-PERALTE!$AB$14)*(RASANTE!F113-PERALTE!$AB$14)-2))))),IF(AND(AH!$H$18="Izquierda",RASANTE!F113&lt;=PERALTE!$AB$16),IF(RASANTE!F113&lt;=PERALTE!$S$16,-2,IF(RASANTE!F113&lt;=PERALTE!$U$16,(-6/(PERALTE!$U$16-PERALTE!$S$16)*(RASANTE!F113-PERALTE!$S$16)-2),IF(RASANTE!F113&lt;=PERALTE!$X$16,-8,IF(RASANTE!F113&lt;=PERALTE!$Z$16,(-6/(PERALTE!$X$16-PERALTE!$Z$16)*(RASANTE!F113-PERALTE!$Z$16)-2),IF(RASANTE!F113&lt;=PERALTE!$AB$16,-2))))),IF(AND(AH!$H$18="Derecha",RASANTE!F113&lt;=PERALTE!$AB$16),IF(RASANTE!F113&lt;=PERALTE!$Q$16,-2,IF(RASANTE!F113&lt;=PERALTE!$U$16,(10/(PERALTE!$U$16-PERALTE!$Q$16)*(RASANTE!F113-PERALTE!$Q$16)-2),IF(RASANTE!F113&lt;=PERALTE!$X$16,8,IF(RASANTE!F113&lt;=PERALTE!$AB$16,(10/(PERALTE!$X$16-PERALTE!$AB$16)*(RASANTE!F113-PERALTE!$AB$16)-2))))),IF(AND(AH!$H$20="Izquierda",RASANTE!F113&lt;=PERALTE!$AB$18),IF(RASANTE!F113&lt;=PERALTE!$S$18,-2,IF(RASANTE!F113&lt;=PERALTE!$U$18,(-6/(PERALTE!$U$18-PERALTE!$S$18)*(RASANTE!F113-PERALTE!$S$18)-2),IF(RASANTE!F113&lt;=PERALTE!$X$18,-8,IF(RASANTE!F113&lt;=PERALTE!$Z$18,(-6/(PERALTE!$X$18-PERALTE!$Z$18)*(RASANTE!F113-PERALTE!$Z$18)-2),IF(RASANTE!F113&lt;=PERALTE!$AB$18,-2))))),IF(AND(AH!$H$20="Derecha",RASANTE!F113&lt;=PERALTE!$AB$18),IF(RASANTE!F113&lt;=PERALTE!$Q$18,-2,IF(RASANTE!F113&lt;=PERALTE!$U$18,(10/(PERALTE!$U$18-PERALTE!$Q$18)*(RASANTE!F113-PERALTE!$Q$18)-2),IF(RASANTE!F113&lt;=PERALTE!$X$18,8,IF(RASANTE!F113&lt;=PERALTE!$AB$18,(10/(PERALTE!$X$18-PERALTE!$AB$18)*(RASANTE!F113-PERALTE!$AB$18)-2))))),IF(AND(AH!$H$24="Izquierda",RASANTE!F113&lt;=PERALTE!$AB$22),IF(RASANTE!F113&lt;=PERALTE!$S$22,-2,IF(RASANTE!F113&lt;=PERALTE!$U$22,(-6/(PERALTE!$U$22-PERALTE!$S$22)*(RASANTE!F113-PERALTE!$S$22)-2),IF(RASANTE!F113&lt;=PERALTE!$X$22,-8,IF(RASANTE!F113&lt;=PERALTE!$Z$22,(-6/(PERALTE!$X$22-PERALTE!$Z$22)*(RASANTE!F113-PERALTE!$Z$22)-2),IF(RASANTE!F113&lt;=PERALTE!$AB$22,-2))))),IF(AND(AH!$H$24="Derecha",RASANTE!F113&lt;=PERALTE!$AB$22),IF(RASANTE!F113&lt;=PERALTE!$Q$22,-2,IF(RASANTE!F113&lt;=PERALTE!$U$22,(10/(PERALTE!$U$22-PERALTE!$Q$22)*(RASANTE!F113-PERALTE!$Q$22)-2),IF(RASANTE!F113&lt;=PERALTE!$X$22,8,IF(RASANTE!F113&lt;=PERALTE!$AB$22,(10/(PERALTE!$X$22-PERALTE!$AB$22)*(RASANTE!F113-PERALTE!$AB$22)-2))))),IF(AND(AH!#REF!="Izquierda",RASANTE!F113&lt;=PERALTE!#REF!),IF(RASANTE!F113&lt;=PERALTE!#REF!,-2,IF(RASANTE!F113&lt;=PERALTE!#REF!,(-6/(PERALTE!#REF!-PERALTE!#REF!)*(RASANTE!F113-PERALTE!#REF!)-2),IF(RASANTE!F113&lt;=PERALTE!#REF!,-8,IF(RASANTE!F113&lt;=PERALTE!#REF!,(-6/(PERALTE!#REF!-PERALTE!#REF!)*(RASANTE!F113-PERALTE!#REF!)-2),IF(RASANTE!F113&lt;=PERALTE!#REF!,-2))))),IF(AND(AH!#REF!="Derecha",RASANTE!F113&lt;=PERALTE!#REF!),IF(RASANTE!F113&lt;=PERALTE!#REF!,-2,IF(RASANTE!F113&lt;=PERALTE!#REF!,(10/(PERALTE!#REF!-PERALTE!#REF!)*(RASANTE!F113-PERALTE!#REF!)-2),IF(RASANTE!F113&lt;=PERALTE!#REF!,8,IF(RASANTE!F113&lt;=PERALTE!#REF!,(10/(PERALTE!#REF!-PERALTE!#REF!)*(RASANTE!F113-PERALTE!#REF!)-2))))),IF(AND(AH!#REF!="Izquierda",RASANTE!F113&lt;=PERALTE!$AB$26),IF(RASANTE!F113&lt;=PERALTE!$S$26,-2,IF(RASANTE!F113&lt;=PERALTE!$U$26,(-6/(PERALTE!$U$26-PERALTE!$S$26)*(RASANTE!F113-PERALTE!$S$26)-2),IF(RASANTE!F113&lt;=PERALTE!$X$26,-8,IF(RASANTE!F113&lt;=PERALTE!$Z$26,(-6/(PERALTE!$X$26-PERALTE!$Z$26)*(RASANTE!F113-PERALTE!$Z$26)-2),IF(RASANTE!F113&lt;=PERALTE!$AB$26,-2))))),IF(AND(AH!#REF!="Derecha",RASANTE!F113&lt;=PERALTE!$AB$26),IF(RASANTE!F113&lt;=PERALTE!$Q$26,-2,IF(RASANTE!F113&lt;=PERALTE!$U$26,(10/(PERALTE!$U$26-PERALTE!$Q$26)*(RASANTE!F113-PERALTE!$Q$26)-2),IF(RASANTE!F113&lt;=PERALTE!$X$26,8,IF(RASANTE!F113&lt;=PERALTE!$AB$26,(10/(PERALTE!$X$26-PERALTE!$AB$26)*(RASANTE!F113-PERALTE!$AB$26)-2))))),IF(F113&lt;=PERALTE!#REF!,-2,"Abscisa fuera de la vía")))))))))))))))))))))</f>
        <v>-2</v>
      </c>
      <c r="I113" s="28">
        <f>+IF(AND(AH!$H$8="Derecha",RASANTE!F113&lt;=PERALTE!$AB$6),IF(RASANTE!F113&lt;=PERALTE!$S$6,-2,IF(RASANTE!F113&lt;=PERALTE!$U$6,(-6/(PERALTE!$U$6-PERALTE!$S$6)*(RASANTE!F113-PERALTE!$S$6)-2),IF(RASANTE!F113&lt;=PERALTE!$X$6,-8,IF(RASANTE!F113&lt;=PERALTE!$Z$6,(-6/(PERALTE!$X$6-PERALTE!$Z$6)*(RASANTE!F113-PERALTE!$Z$6)-2),IF(RASANTE!F113&lt;=PERALTE!$AB$6,-2))))),IF(AND(AH!$H$8="Izquierda",RASANTE!F113&lt;=PERALTE!$AB$6),IF(RASANTE!F113&lt;=PERALTE!$Q$6,-2,IF(RASANTE!F113&lt;=PERALTE!$U$6,(10/(PERALTE!$U$6-PERALTE!$Q$6)*(RASANTE!F113-PERALTE!$Q$6)-2),IF(RASANTE!F113&lt;=PERALTE!$X$6,8,IF(RASANTE!F113&lt;=PERALTE!$AB$6,(10/(PERALTE!$X$6-PERALTE!$AB$6)*(RASANTE!F113-PERALTE!$AB$6)-2))))),IF(AND(AH!$H$10="Derecha",RASANTE!F113&lt;=PERALTE!$AB$8),IF(RASANTE!F113&lt;=PERALTE!$S$8,-2,IF(RASANTE!F113&lt;=PERALTE!$U$8,(-6/(PERALTE!$U$8-PERALTE!$S$8)*(RASANTE!F113-PERALTE!$S$8)-2),IF(RASANTE!F113&lt;=PERALTE!$X$8,-8,IF(RASANTE!F113&lt;=PERALTE!$Z$8,(-6/(PERALTE!$X$8-PERALTE!$Z$8)*(RASANTE!F113-PERALTE!$Z$8)-2),IF(RASANTE!F113&lt;=PERALTE!$AB$8,-2))))),IF(AND(AH!$H$10="Izquierda",RASANTE!F113&lt;=PERALTE!$AB$8),IF(RASANTE!F113&lt;=PERALTE!$Q$8,-2,IF(RASANTE!F113&lt;=PERALTE!$U$8,(10/(PERALTE!$U$8-PERALTE!$Q$8)*(RASANTE!F113-PERALTE!$Q$8)-2),IF(RASANTE!F113&lt;=PERALTE!$X$8,8,IF(RASANTE!F113&lt;=PERALTE!$AB$8,(10/(PERALTE!$X$8-PERALTE!$AB$8)*(RASANTE!F113-PERALTE!$AB$8)-2))))),IF(AND(AH!$H$12="Derecha",RASANTE!F113&lt;=PERALTE!$AB$10),IF(RASANTE!F113&lt;=PERALTE!$S$10,-2,IF(RASANTE!F113&lt;=PERALTE!$U$10,(-6/(PERALTE!$U$10-PERALTE!$S$10)*(RASANTE!F113-PERALTE!$S$10)-2),IF(RASANTE!F113&lt;=PERALTE!$X$10,-8,IF(RASANTE!F113&lt;=PERALTE!$Z$10,(-6/(PERALTE!$X$10-PERALTE!$Z$10)*(RASANTE!F113-PERALTE!$Z$10)-2),IF(RASANTE!F113&lt;=PERALTE!$AB$10,-2))))),IF(AND(AH!$H$12="Izquierda",RASANTE!F113&lt;=PERALTE!$AB$10),IF(RASANTE!F113&lt;=PERALTE!$Q$10,-2,IF(RASANTE!F113&lt;=PERALTE!$U$10,(10/(PERALTE!$U$10-PERALTE!$Q$10)*(RASANTE!F113-PERALTE!$Q$10)-2),IF(RASANTE!F113&lt;=PERALTE!$X$10,8,IF(RASANTE!F113&lt;=PERALTE!$AB$10,(10/(PERALTE!$X$10-PERALTE!$AB$10)*(RASANTE!F113-PERALTE!$AB$10)-2))))),IF(AND(AH!$H$14="Derecha",RASANTE!F113&lt;=PERALTE!$AB$12),IF(RASANTE!F113&lt;=PERALTE!$S$12,-2,IF(RASANTE!F113&lt;=PERALTE!$U$12,(-6/(PERALTE!$U$12-PERALTE!$S$12)*(RASANTE!F113-PERALTE!$S$12)-2),IF(RASANTE!F113&lt;=PERALTE!$X$12,-8,IF(RASANTE!F113&lt;=PERALTE!$Z$12,(-6/(PERALTE!$X$12-PERALTE!$Z$12)*(RASANTE!F113-PERALTE!$Z$12)-2),IF(RASANTE!F113&lt;=PERALTE!$AB$12,-2))))),IF(AND(AH!$H$14="Izquierda",RASANTE!F113&lt;=PERALTE!$AB$12),IF(RASANTE!F113&lt;=PERALTE!$Q$12,-2,IF(RASANTE!F113&lt;=PERALTE!$U$12,(10/(PERALTE!$U$12-PERALTE!$Q$12)*(RASANTE!F113-PERALTE!$Q$12)-2),IF(RASANTE!F113&lt;=PERALTE!$X$12,8,IF(RASANTE!F113&lt;=PERALTE!$AB$12,(10/(PERALTE!$X$12-PERALTE!$AB$12)*(RASANTE!F113-PERALTE!$AB$12)-2))))),IF(AND(AH!$H$16="Derecha",RASANTE!F113&lt;=PERALTE!$AB$14),IF(RASANTE!F113&lt;=PERALTE!$S$14,-2,IF(RASANTE!F113&lt;=PERALTE!$U$14,(-6/(PERALTE!$U$14-PERALTE!$S$14)*(RASANTE!F113-PERALTE!$S$14)-2),IF(RASANTE!F113&lt;=PERALTE!$X$14,-8,IF(RASANTE!F113&lt;=PERALTE!$Z$14,(-6/(PERALTE!$X$14-PERALTE!$Z$14)*(RASANTE!F113-PERALTE!$Z$14)-2),IF(RASANTE!F113&lt;=PERALTE!$AB$14,-2))))),IF(AND(AH!$H$16="Izquierda",RASANTE!F113&lt;=PERALTE!$AB$14),IF(RASANTE!F113&lt;=PERALTE!$Q$14,-2,IF(RASANTE!F113&lt;=PERALTE!$U$14,(10/(PERALTE!$U$14-PERALTE!$Q$14)*(RASANTE!F113-PERALTE!$Q$14)-2),IF(RASANTE!F113&lt;=PERALTE!$X$14,8,IF(RASANTE!F113&lt;=PERALTE!$AB$14,(10/(PERALTE!$X$14-PERALTE!$AB$14)*(RASANTE!F113-PERALTE!$AB$14)-2))))),IF(AND(AH!$H$18="Derecha",RASANTE!F113&lt;=PERALTE!$AB$16),IF(RASANTE!F113&lt;=PERALTE!$S$16,-2,IF(RASANTE!F113&lt;=PERALTE!$U$16,(-6/(PERALTE!$U$16-PERALTE!$S$16)*(RASANTE!F113-PERALTE!$S$16)-2),IF(RASANTE!F113&lt;=PERALTE!$X$16,-8,IF(RASANTE!F113&lt;=PERALTE!$Z$16,(-6/(PERALTE!$X$16-PERALTE!$Z$16)*(RASANTE!F113-PERALTE!$Z$16)-2),IF(RASANTE!F113&lt;=PERALTE!$AB$16,-2))))),IF(AND(AH!$H$18="Izquierda",RASANTE!F113&lt;=PERALTE!$AB$16),IF(RASANTE!F113&lt;=PERALTE!$Q$16,-2,IF(RASANTE!F113&lt;=PERALTE!$U$16,(10/(PERALTE!$U$16-PERALTE!$Q$16)*(RASANTE!F113-PERALTE!$Q$16)-2),IF(RASANTE!F113&lt;=PERALTE!$X$16,8,IF(RASANTE!F113&lt;=PERALTE!$AB$16,(10/(PERALTE!$X$16-PERALTE!$AB$16)*(RASANTE!F113-PERALTE!$AB$16)-2))))),IF(AND(AH!$H$20="Derecha",RASANTE!F113&lt;=PERALTE!$AB$18),IF(RASANTE!F113&lt;=PERALTE!$S$18,-2,IF(RASANTE!F113&lt;=PERALTE!$U$18,(-6/(PERALTE!$U$18-PERALTE!$S$18)*(RASANTE!F113-PERALTE!$S$18)-2),IF(RASANTE!F113&lt;=PERALTE!$X$18,-8,IF(RASANTE!F113&lt;=PERALTE!$Z$18,(-6/(PERALTE!$X$18-PERALTE!$Z$18)*(RASANTE!F113-PERALTE!$Z$18)-2),IF(RASANTE!F113&lt;=PERALTE!$AB$18,-2))))),IF(AND(AH!$H$20="Izquierda",RASANTE!F113&lt;=PERALTE!$AB$18),IF(RASANTE!F113&lt;=PERALTE!$Q$18,-2,IF(RASANTE!F113&lt;=PERALTE!$U$18,(10/(PERALTE!$U$18-PERALTE!$Q$18)*(RASANTE!F113-PERALTE!$Q$18)-2),IF(RASANTE!F113&lt;=PERALTE!$X$18,8,IF(RASANTE!F113&lt;=PERALTE!$AB$18,(10/(PERALTE!$X$18-PERALTE!$AB$18)*(RASANTE!F113-PERALTE!$AB$18)-2))))),IF(AND(AH!$H$24="Derecha",RASANTE!F113&lt;=PERALTE!$AB$22),IF(RASANTE!F113&lt;=PERALTE!$S$22,-2,IF(RASANTE!F113&lt;=PERALTE!$U$22,(-6/(PERALTE!$U$22-PERALTE!$S$22)*(RASANTE!F113-PERALTE!$S$22)-2),IF(RASANTE!F113&lt;=PERALTE!$X$22,-8,IF(RASANTE!F113&lt;=PERALTE!$Z$22,(-6/(PERALTE!$X$22-PERALTE!$Z$22)*(RASANTE!F113-PERALTE!$Z$22)-2),IF(RASANTE!F113&lt;=PERALTE!$AB$22,-2))))),IF(AND(AH!$H$24="Izquierda",RASANTE!F113&lt;=PERALTE!$AB$22),IF(RASANTE!F113&lt;=PERALTE!$Q$22,-2,IF(RASANTE!F113&lt;=PERALTE!$U$22,(10/(PERALTE!$U$22-PERALTE!$Q$22)*(RASANTE!F113-PERALTE!$Q$22)-2),IF(RASANTE!F113&lt;=PERALTE!$X$22,8,IF(RASANTE!F113&lt;=PERALTE!$AB$22,(10/(PERALTE!$X$22-PERALTE!$AB$22)*(RASANTE!F113-PERALTE!$AB$22)-2))))),IF(AND(AH!#REF!="Derecha",RASANTE!F113&lt;=PERALTE!#REF!),IF(RASANTE!F113&lt;=PERALTE!#REF!,-2,IF(RASANTE!F113&lt;=PERALTE!#REF!,(-6/(PERALTE!#REF!-PERALTE!#REF!)*(RASANTE!F113-PERALTE!#REF!)-2),IF(RASANTE!F113&lt;=PERALTE!#REF!,-8,IF(RASANTE!F113&lt;=PERALTE!#REF!,(-6/(PERALTE!#REF!-PERALTE!#REF!)*(RASANTE!F113-PERALTE!#REF!)-2),IF(RASANTE!F113&lt;=PERALTE!#REF!,-2))))),IF(AND(AH!#REF!="Izquierda",RASANTE!F113&lt;=PERALTE!#REF!),IF(RASANTE!F113&lt;=PERALTE!#REF!,-2,IF(RASANTE!F113&lt;=PERALTE!#REF!,(10/(PERALTE!#REF!-PERALTE!#REF!)*(RASANTE!F113-PERALTE!#REF!)-2),IF(RASANTE!F113&lt;=PERALTE!#REF!,8,IF(RASANTE!F113&lt;=PERALTE!#REF!,(10/(PERALTE!#REF!-PERALTE!#REF!)*(RASANTE!F113-PERALTE!#REF!)-2))))),IF(AND(AH!#REF!="Derecha",RASANTE!F113&lt;=PERALTE!$AB$26),IF(RASANTE!F113&lt;=PERALTE!$S$26,-2,IF(RASANTE!F113&lt;=PERALTE!$U$26,(-6/(PERALTE!$U$26-PERALTE!$S$26)*(RASANTE!F113-PERALTE!$S$26)-2),IF(RASANTE!F113&lt;=PERALTE!$X$26,-8,IF(RASANTE!F113&lt;=PERALTE!$Z$26,(-6/(PERALTE!$X$26-PERALTE!$Z$26)*(RASANTE!F113-PERALTE!$Z$26)-2),IF(RASANTE!F113&lt;=PERALTE!$AB$26,-2))))),IF(AND(AH!#REF!="Izquierda",RASANTE!F113&lt;=PERALTE!$AB$26),IF(RASANTE!F113&lt;=PERALTE!$Q$26,-2,IF(RASANTE!F113&lt;=PERALTE!$U$26,(10/(PERALTE!$U$26-PERALTE!$Q$26)*(RASANTE!F113-PERALTE!$Q$26)-2),IF(RASANTE!F113&lt;=PERALTE!$X$26,8,IF(RASANTE!F113&lt;=PERALTE!$AB$26,(10/(PERALTE!$X$26-PERALTE!$AB$26)*(RASANTE!F113-PERALTE!$AB$26)-2))))),IF(F113&lt;=PERALTE!#REF!,-2,"Abscisa fuera de la vía")))))))))))))))))))))</f>
        <v>2.0000000000000098</v>
      </c>
      <c r="J113" s="28">
        <f t="shared" si="4"/>
        <v>1631.0421449887881</v>
      </c>
      <c r="K113" s="28">
        <f>+IF(AND(AV!$S$6&lt;F210,F210&lt;=AV!$T$6),AV!$P$6*((AV!$S$6-RASANTE!F210)/(AV!$N$6))^2,IF(AND(AV!$T$6&lt;RASANTE!F210,F210&lt;AV!$U$6),AV!$P$6*((AV!$U$6-RASANTE!F210)/(AV!$O$6))^2,IF(AND(AV!$S$8&lt;F210,F210&lt;=AV!$T$8),AV!$P$8*((AV!$S$8-RASANTE!F210)/(AV!$N$8))^2,IF(AND(AV!$T$8&lt;RASANTE!F210,F210&lt;AV!$U$8),AV!$P$8*((AV!$U$8-RASANTE!F210)/(AV!$O$8))^2,IF(AND(AV!$S$10&lt;F210,F210&lt;=AV!$T$10),AV!$P$10*((AV!$S$10-RASANTE!F210)/(AV!$N$10))^2,IF(AND(AV!$T$10&lt;RASANTE!F210,F210&lt;AV!$U$10),AV!$P$10*((AV!$U$10-RASANTE!F210)/(AV!$O$10))^2,IF(AND(AV!$S$12&lt;F210,F210&lt;=AV!$T$12),AV!$P$12*((AV!$S$12-RASANTE!F210)/(AV!$N$12))^2,IF(AND(AV!$T$12&lt;RASANTE!F210,F210&lt;AV!$U$12),AV!$P$12*((AV!$U$12-RASANTE!F210)/(AV!$O$12))^2,IF(AND(AV!$S$14&lt;F210,F210&lt;=AV!$T$14),AV!$P$14*((AV!$S$14-RASANTE!F210)/(AV!$N$14))^2,IF(AND(AV!$T$14&lt;RASANTE!F210,F210&lt;AV!$U$14),AV!$P$14*((AV!$U$14-RASANTE!F210)/(AV!$O$14))^2,IF(AND(AV!$S$16&lt;F210,F210&lt;=AV!$T$16),AV!$P$16*((AV!$S$16-RASANTE!F210)/(AV!$N$16))^2,IF(AND(AV!$T$16&lt;RASANTE!F210,F210&lt;AV!$U$16),AV!$P$16*((AV!$U$16-RASANTE!F210)/(AV!$O$16))^2,IF(AND(AV!$S$18&lt;F210,F210&lt;=AV!$T$18),AV!$P$18*((AV!$S$18-RASANTE!F210)/(AV!$N$18))^2,IF(AND(AV!$T$18&lt;RASANTE!F210,F210&lt;AV!$U$18),AV!$P$18*((AV!$U$18-RASANTE!F210)/(AV!$O$18))^2,IF(AND(AV!$S$20&lt;F210,F210&lt;=AV!$T$20),AV!$P$20*((AV!$S$20-RASANTE!F210)/(AV!$N$20))^2,IF(AND(AV!$T$20&lt;RASANTE!F210,F210&lt;AV!$U$20),AV!$P$20*((AV!$U$20-RASANTE!F210)/(AV!$O$20))^2,IF(AND(AV!$S$22&lt;F210,F210&lt;=AV!$T$22),AV!$P$22*((AV!$S$22-RASANTE!F210)/(AV!$N$22))^2,IF(AND(AV!$T$22&lt;RASANTE!F210,F210&lt;AV!$U$22),AV!$P$22*((AV!$U$22-RASANTE!F210)/(AV!$O$22))^2,IF(AND(AV!$S$24&lt;F210,F210&lt;=AV!$T$24),AV!$P$24*((AV!$S$24-RASANTE!F210)/(AV!$N$24))^2,IF(AND(AV!$T$24&lt;RASANTE!F210,F210&lt;AV!$U$24),AV!$P$24*((AV!$U$24-RASANTE!F210)/(AV!$O$24))^2,0))))))))))))))))))))</f>
        <v>0</v>
      </c>
      <c r="L113" s="28">
        <f>+M113+H113%*PERALTE!$C$32</f>
        <v>1630.9721449887882</v>
      </c>
      <c r="M113" s="28">
        <f t="shared" si="5"/>
        <v>1631.0421449887881</v>
      </c>
      <c r="N113" s="28">
        <f>+M113+I113%*PERALTE!$C$32</f>
        <v>1631.112144988788</v>
      </c>
      <c r="O113" s="92"/>
      <c r="P113" s="84"/>
      <c r="Q113" s="84"/>
      <c r="R113" s="84"/>
      <c r="S113" s="84"/>
      <c r="T113" s="84"/>
      <c r="U113" s="84"/>
      <c r="V113" s="84"/>
      <c r="W113" s="84"/>
      <c r="X113" s="84"/>
      <c r="Y113" s="84"/>
    </row>
    <row r="114" spans="1:25" ht="15.75" customHeight="1" x14ac:dyDescent="0.2">
      <c r="A114" s="322"/>
      <c r="B114" s="86"/>
      <c r="C114" s="86"/>
      <c r="D114" s="86"/>
      <c r="E114" s="91"/>
      <c r="F114" s="34">
        <v>700</v>
      </c>
      <c r="G114" s="88">
        <f>IF(F114&lt;=AV!$T$6,AV!$C$5,IF(RASANTE!F114&lt;=AV!$T$8,AV!$C$7,IF(RASANTE!F114&lt;=AV!$T$10,AV!$C$9,IF(RASANTE!F114&lt;=AV!$T$12,AV!#REF!,IF(RASANTE!F114&lt;=AV!$T$14,AV!$C$11,IF(RASANTE!F114&lt;=AV!$T$16,AV!$C$13, IF(RASANTE!F114&lt;=AV!$T$18,AV!$C$15,IF(RASANTE!F114&lt;=AV!$T$20,AV!$C$19,IF(RASANTE!F114&lt;=AV!$T$22,AV!$C$21,IF(RASANTE!F114&lt;=AV!$T$24,AV!$C$23,AV!$C$25))))))))))</f>
        <v>-3</v>
      </c>
      <c r="H114" s="28">
        <f>+IF(AND(AH!$H$8="Izquierda",RASANTE!F114&lt;=PERALTE!$AB$6),IF(RASANTE!F114&lt;=PERALTE!$S$6,-2,IF(RASANTE!F114&lt;=PERALTE!$U$6,(-6/(PERALTE!$U$6-PERALTE!$S$6)*(RASANTE!F114-PERALTE!$S$6)-2),IF(RASANTE!F114&lt;=PERALTE!$X$6,-8,IF(RASANTE!F114&lt;=PERALTE!$Z$6,(-6/(PERALTE!$X$6-PERALTE!$Z$6)*(RASANTE!F114-PERALTE!$Z$6)-2),IF(RASANTE!F114&lt;=PERALTE!$AB$6,-2))))),IF(AND(AH!$H$8="Derecha",RASANTE!F114&lt;=PERALTE!$AB$6),IF(RASANTE!F114&lt;=PERALTE!$Q$6,-2,IF(RASANTE!F114&lt;=PERALTE!$U$6,(10/(PERALTE!$U$6-PERALTE!$Q$6)*(RASANTE!F114-PERALTE!$Q$6)-2),IF(RASANTE!F114&lt;=PERALTE!$X$6,8,IF(RASANTE!F114&lt;=PERALTE!$AB$6,(10/(PERALTE!$X$6-PERALTE!$AB$6)*(RASANTE!F114-PERALTE!$AB$6)-2))))),IF(AND(AH!$H$10="Izquierda",RASANTE!F114&lt;=PERALTE!$AB$8),IF(RASANTE!F114&lt;=PERALTE!$S$8,-2,IF(RASANTE!F114&lt;=PERALTE!$U$8,(-6/(PERALTE!$U$8-PERALTE!$S$8)*(RASANTE!F114-PERALTE!$S$8)-2),IF(RASANTE!F114&lt;=PERALTE!$X$8,-8,IF(RASANTE!F114&lt;=PERALTE!$Z$8,(-6/(PERALTE!$X$8-PERALTE!$Z$8)*(RASANTE!F114-PERALTE!$Z$8)-2),IF(RASANTE!F114&lt;=PERALTE!$AB$8,-2))))),IF(AND(AH!$H$10="Derecha",RASANTE!F114&lt;=PERALTE!$AB$8),IF(RASANTE!F114&lt;=PERALTE!$Q$8,-2,IF(RASANTE!F114&lt;=PERALTE!$U$8,(10/(PERALTE!$U$8-PERALTE!$Q$8)*(RASANTE!F114-PERALTE!$Q$8)-2),IF(RASANTE!F114&lt;=PERALTE!$X$8,8,IF(RASANTE!F114&lt;=PERALTE!$AB$8,(10/(PERALTE!$X$8-PERALTE!$AB$8)*(RASANTE!F114-PERALTE!$AB$8)-2))))),IF(AND(AH!$H$12="Izquierda",RASANTE!F114&lt;=PERALTE!$AB$10),IF(RASANTE!F114&lt;=PERALTE!$S$10,-2,IF(RASANTE!F114&lt;=PERALTE!$U$10,(-6/(PERALTE!$U$10-PERALTE!$S$10)*(RASANTE!F114-PERALTE!$S$10)-2),IF(RASANTE!F114&lt;=PERALTE!$X$10,-8,IF(RASANTE!F114&lt;=PERALTE!$Z$10,(-6/(PERALTE!$X$10-PERALTE!$Z$10)*(RASANTE!F114-PERALTE!$Z$10)-2),IF(RASANTE!F114&lt;=PERALTE!$AB$10,-2))))),IF(AND(AH!$H$12="Derecha",RASANTE!F114&lt;=PERALTE!$AB$10),IF(RASANTE!F114&lt;=PERALTE!$Q$10,-2,IF(RASANTE!F114&lt;=PERALTE!$U$10,(10/(PERALTE!$U$10-PERALTE!$Q$10)*(RASANTE!F114-PERALTE!$Q$10)-2),IF(RASANTE!F114&lt;=PERALTE!$X$10,8,IF(RASANTE!F114&lt;=PERALTE!$AB$10,(10/(PERALTE!$X$10-PERALTE!$AB$10)*(RASANTE!F114-PERALTE!$AB$10)-2))))),IF(AND(AH!$H$14="Izquierda",RASANTE!F114&lt;=PERALTE!$AB$12),IF(RASANTE!F114&lt;=PERALTE!$S$12,-2,IF(RASANTE!F114&lt;=PERALTE!$U$12,(-6/(PERALTE!$U$12-PERALTE!$S$12)*(RASANTE!F114-PERALTE!$S$12)-2),IF(RASANTE!F114&lt;=PERALTE!$X$12,-8,IF(RASANTE!F114&lt;=PERALTE!$Z$12,(-6/(PERALTE!$X$12-PERALTE!$Z$12)*(RASANTE!F114-PERALTE!$Z$12)-2),IF(RASANTE!F114&lt;=PERALTE!$AB$12,-2))))),IF(AND(AH!$H$14="Derecha",RASANTE!F114&lt;=PERALTE!$AB$12),IF(RASANTE!F114&lt;=PERALTE!$Q$12,-2,IF(RASANTE!F114&lt;=PERALTE!$U$12,(10/(PERALTE!$U$12-PERALTE!$Q$12)*(RASANTE!F114-PERALTE!$Q$12)-2),IF(RASANTE!F114&lt;=PERALTE!$X$12,8,IF(RASANTE!F114&lt;=PERALTE!$AB$12,(10/(PERALTE!$X$12-PERALTE!$AB$12)*(RASANTE!F114-PERALTE!$AB$12)-2))))),IF(AND(AH!$H$16="Izquierda",RASANTE!F114&lt;=PERALTE!$AB$14),IF(RASANTE!F114&lt;=PERALTE!$S$14,-2,IF(RASANTE!F114&lt;=PERALTE!$U$14,(-6/(PERALTE!$U$14-PERALTE!$S$14)*(RASANTE!F114-PERALTE!$S$14)-2),IF(RASANTE!F114&lt;=PERALTE!$X$14,-8,IF(RASANTE!F114&lt;=PERALTE!$Z$14,(-6/(PERALTE!$X$14-PERALTE!$Z$14)*(RASANTE!F114-PERALTE!$Z$14)-2),IF(RASANTE!F114&lt;=PERALTE!$AB$14,-2))))),IF(AND(AH!$H$16="Derecha",RASANTE!F114&lt;=PERALTE!$AB$14),IF(RASANTE!F114&lt;=PERALTE!$Q$14,-2,IF(RASANTE!F114&lt;=PERALTE!$U$14,(10/(PERALTE!$U$14-PERALTE!$Q$14)*(RASANTE!F114-PERALTE!$Q$14)-2),IF(RASANTE!F114&lt;=PERALTE!$X$14,8,IF(RASANTE!F114&lt;=PERALTE!$AB$14,(10/(PERALTE!$X$14-PERALTE!$AB$14)*(RASANTE!F114-PERALTE!$AB$14)-2))))),IF(AND(AH!$H$18="Izquierda",RASANTE!F114&lt;=PERALTE!$AB$16),IF(RASANTE!F114&lt;=PERALTE!$S$16,-2,IF(RASANTE!F114&lt;=PERALTE!$U$16,(-6/(PERALTE!$U$16-PERALTE!$S$16)*(RASANTE!F114-PERALTE!$S$16)-2),IF(RASANTE!F114&lt;=PERALTE!$X$16,-8,IF(RASANTE!F114&lt;=PERALTE!$Z$16,(-6/(PERALTE!$X$16-PERALTE!$Z$16)*(RASANTE!F114-PERALTE!$Z$16)-2),IF(RASANTE!F114&lt;=PERALTE!$AB$16,-2))))),IF(AND(AH!$H$18="Derecha",RASANTE!F114&lt;=PERALTE!$AB$16),IF(RASANTE!F114&lt;=PERALTE!$Q$16,-2,IF(RASANTE!F114&lt;=PERALTE!$U$16,(10/(PERALTE!$U$16-PERALTE!$Q$16)*(RASANTE!F114-PERALTE!$Q$16)-2),IF(RASANTE!F114&lt;=PERALTE!$X$16,8,IF(RASANTE!F114&lt;=PERALTE!$AB$16,(10/(PERALTE!$X$16-PERALTE!$AB$16)*(RASANTE!F114-PERALTE!$AB$16)-2))))),IF(AND(AH!$H$20="Izquierda",RASANTE!F114&lt;=PERALTE!$AB$18),IF(RASANTE!F114&lt;=PERALTE!$S$18,-2,IF(RASANTE!F114&lt;=PERALTE!$U$18,(-6/(PERALTE!$U$18-PERALTE!$S$18)*(RASANTE!F114-PERALTE!$S$18)-2),IF(RASANTE!F114&lt;=PERALTE!$X$18,-8,IF(RASANTE!F114&lt;=PERALTE!$Z$18,(-6/(PERALTE!$X$18-PERALTE!$Z$18)*(RASANTE!F114-PERALTE!$Z$18)-2),IF(RASANTE!F114&lt;=PERALTE!$AB$18,-2))))),IF(AND(AH!$H$20="Derecha",RASANTE!F114&lt;=PERALTE!$AB$18),IF(RASANTE!F114&lt;=PERALTE!$Q$18,-2,IF(RASANTE!F114&lt;=PERALTE!$U$18,(10/(PERALTE!$U$18-PERALTE!$Q$18)*(RASANTE!F114-PERALTE!$Q$18)-2),IF(RASANTE!F114&lt;=PERALTE!$X$18,8,IF(RASANTE!F114&lt;=PERALTE!$AB$18,(10/(PERALTE!$X$18-PERALTE!$AB$18)*(RASANTE!F114-PERALTE!$AB$18)-2))))),IF(AND(AH!$H$24="Izquierda",RASANTE!F114&lt;=PERALTE!$AB$22),IF(RASANTE!F114&lt;=PERALTE!$S$22,-2,IF(RASANTE!F114&lt;=PERALTE!$U$22,(-6/(PERALTE!$U$22-PERALTE!$S$22)*(RASANTE!F114-PERALTE!$S$22)-2),IF(RASANTE!F114&lt;=PERALTE!$X$22,-8,IF(RASANTE!F114&lt;=PERALTE!$Z$22,(-6/(PERALTE!$X$22-PERALTE!$Z$22)*(RASANTE!F114-PERALTE!$Z$22)-2),IF(RASANTE!F114&lt;=PERALTE!$AB$22,-2))))),IF(AND(AH!$H$24="Derecha",RASANTE!F114&lt;=PERALTE!$AB$22),IF(RASANTE!F114&lt;=PERALTE!$Q$22,-2,IF(RASANTE!F114&lt;=PERALTE!$U$22,(10/(PERALTE!$U$22-PERALTE!$Q$22)*(RASANTE!F114-PERALTE!$Q$22)-2),IF(RASANTE!F114&lt;=PERALTE!$X$22,8,IF(RASANTE!F114&lt;=PERALTE!$AB$22,(10/(PERALTE!$X$22-PERALTE!$AB$22)*(RASANTE!F114-PERALTE!$AB$22)-2))))),IF(AND(AH!#REF!="Izquierda",RASANTE!F114&lt;=PERALTE!#REF!),IF(RASANTE!F114&lt;=PERALTE!#REF!,-2,IF(RASANTE!F114&lt;=PERALTE!#REF!,(-6/(PERALTE!#REF!-PERALTE!#REF!)*(RASANTE!F114-PERALTE!#REF!)-2),IF(RASANTE!F114&lt;=PERALTE!#REF!,-8,IF(RASANTE!F114&lt;=PERALTE!#REF!,(-6/(PERALTE!#REF!-PERALTE!#REF!)*(RASANTE!F114-PERALTE!#REF!)-2),IF(RASANTE!F114&lt;=PERALTE!#REF!,-2))))),IF(AND(AH!#REF!="Derecha",RASANTE!F114&lt;=PERALTE!#REF!),IF(RASANTE!F114&lt;=PERALTE!#REF!,-2,IF(RASANTE!F114&lt;=PERALTE!#REF!,(10/(PERALTE!#REF!-PERALTE!#REF!)*(RASANTE!F114-PERALTE!#REF!)-2),IF(RASANTE!F114&lt;=PERALTE!#REF!,8,IF(RASANTE!F114&lt;=PERALTE!#REF!,(10/(PERALTE!#REF!-PERALTE!#REF!)*(RASANTE!F114-PERALTE!#REF!)-2))))),IF(AND(AH!#REF!="Izquierda",RASANTE!F114&lt;=PERALTE!$AB$26),IF(RASANTE!F114&lt;=PERALTE!$S$26,-2,IF(RASANTE!F114&lt;=PERALTE!$U$26,(-6/(PERALTE!$U$26-PERALTE!$S$26)*(RASANTE!F114-PERALTE!$S$26)-2),IF(RASANTE!F114&lt;=PERALTE!$X$26,-8,IF(RASANTE!F114&lt;=PERALTE!$Z$26,(-6/(PERALTE!$X$26-PERALTE!$Z$26)*(RASANTE!F114-PERALTE!$Z$26)-2),IF(RASANTE!F114&lt;=PERALTE!$AB$26,-2))))),IF(AND(AH!#REF!="Derecha",RASANTE!F114&lt;=PERALTE!$AB$26),IF(RASANTE!F114&lt;=PERALTE!$Q$26,-2,IF(RASANTE!F114&lt;=PERALTE!$U$26,(10/(PERALTE!$U$26-PERALTE!$Q$26)*(RASANTE!F114-PERALTE!$Q$26)-2),IF(RASANTE!F114&lt;=PERALTE!$X$26,8,IF(RASANTE!F114&lt;=PERALTE!$AB$26,(10/(PERALTE!$X$26-PERALTE!$AB$26)*(RASANTE!F114-PERALTE!$AB$26)-2))))),IF(F114&lt;=PERALTE!#REF!,-2,"Abscisa fuera de la vía")))))))))))))))))))))</f>
        <v>-2</v>
      </c>
      <c r="I114" s="28">
        <f>+IF(AND(AH!$H$8="Derecha",RASANTE!F114&lt;=PERALTE!$AB$6),IF(RASANTE!F114&lt;=PERALTE!$S$6,-2,IF(RASANTE!F114&lt;=PERALTE!$U$6,(-6/(PERALTE!$U$6-PERALTE!$S$6)*(RASANTE!F114-PERALTE!$S$6)-2),IF(RASANTE!F114&lt;=PERALTE!$X$6,-8,IF(RASANTE!F114&lt;=PERALTE!$Z$6,(-6/(PERALTE!$X$6-PERALTE!$Z$6)*(RASANTE!F114-PERALTE!$Z$6)-2),IF(RASANTE!F114&lt;=PERALTE!$AB$6,-2))))),IF(AND(AH!$H$8="Izquierda",RASANTE!F114&lt;=PERALTE!$AB$6),IF(RASANTE!F114&lt;=PERALTE!$Q$6,-2,IF(RASANTE!F114&lt;=PERALTE!$U$6,(10/(PERALTE!$U$6-PERALTE!$Q$6)*(RASANTE!F114-PERALTE!$Q$6)-2),IF(RASANTE!F114&lt;=PERALTE!$X$6,8,IF(RASANTE!F114&lt;=PERALTE!$AB$6,(10/(PERALTE!$X$6-PERALTE!$AB$6)*(RASANTE!F114-PERALTE!$AB$6)-2))))),IF(AND(AH!$H$10="Derecha",RASANTE!F114&lt;=PERALTE!$AB$8),IF(RASANTE!F114&lt;=PERALTE!$S$8,-2,IF(RASANTE!F114&lt;=PERALTE!$U$8,(-6/(PERALTE!$U$8-PERALTE!$S$8)*(RASANTE!F114-PERALTE!$S$8)-2),IF(RASANTE!F114&lt;=PERALTE!$X$8,-8,IF(RASANTE!F114&lt;=PERALTE!$Z$8,(-6/(PERALTE!$X$8-PERALTE!$Z$8)*(RASANTE!F114-PERALTE!$Z$8)-2),IF(RASANTE!F114&lt;=PERALTE!$AB$8,-2))))),IF(AND(AH!$H$10="Izquierda",RASANTE!F114&lt;=PERALTE!$AB$8),IF(RASANTE!F114&lt;=PERALTE!$Q$8,-2,IF(RASANTE!F114&lt;=PERALTE!$U$8,(10/(PERALTE!$U$8-PERALTE!$Q$8)*(RASANTE!F114-PERALTE!$Q$8)-2),IF(RASANTE!F114&lt;=PERALTE!$X$8,8,IF(RASANTE!F114&lt;=PERALTE!$AB$8,(10/(PERALTE!$X$8-PERALTE!$AB$8)*(RASANTE!F114-PERALTE!$AB$8)-2))))),IF(AND(AH!$H$12="Derecha",RASANTE!F114&lt;=PERALTE!$AB$10),IF(RASANTE!F114&lt;=PERALTE!$S$10,-2,IF(RASANTE!F114&lt;=PERALTE!$U$10,(-6/(PERALTE!$U$10-PERALTE!$S$10)*(RASANTE!F114-PERALTE!$S$10)-2),IF(RASANTE!F114&lt;=PERALTE!$X$10,-8,IF(RASANTE!F114&lt;=PERALTE!$Z$10,(-6/(PERALTE!$X$10-PERALTE!$Z$10)*(RASANTE!F114-PERALTE!$Z$10)-2),IF(RASANTE!F114&lt;=PERALTE!$AB$10,-2))))),IF(AND(AH!$H$12="Izquierda",RASANTE!F114&lt;=PERALTE!$AB$10),IF(RASANTE!F114&lt;=PERALTE!$Q$10,-2,IF(RASANTE!F114&lt;=PERALTE!$U$10,(10/(PERALTE!$U$10-PERALTE!$Q$10)*(RASANTE!F114-PERALTE!$Q$10)-2),IF(RASANTE!F114&lt;=PERALTE!$X$10,8,IF(RASANTE!F114&lt;=PERALTE!$AB$10,(10/(PERALTE!$X$10-PERALTE!$AB$10)*(RASANTE!F114-PERALTE!$AB$10)-2))))),IF(AND(AH!$H$14="Derecha",RASANTE!F114&lt;=PERALTE!$AB$12),IF(RASANTE!F114&lt;=PERALTE!$S$12,-2,IF(RASANTE!F114&lt;=PERALTE!$U$12,(-6/(PERALTE!$U$12-PERALTE!$S$12)*(RASANTE!F114-PERALTE!$S$12)-2),IF(RASANTE!F114&lt;=PERALTE!$X$12,-8,IF(RASANTE!F114&lt;=PERALTE!$Z$12,(-6/(PERALTE!$X$12-PERALTE!$Z$12)*(RASANTE!F114-PERALTE!$Z$12)-2),IF(RASANTE!F114&lt;=PERALTE!$AB$12,-2))))),IF(AND(AH!$H$14="Izquierda",RASANTE!F114&lt;=PERALTE!$AB$12),IF(RASANTE!F114&lt;=PERALTE!$Q$12,-2,IF(RASANTE!F114&lt;=PERALTE!$U$12,(10/(PERALTE!$U$12-PERALTE!$Q$12)*(RASANTE!F114-PERALTE!$Q$12)-2),IF(RASANTE!F114&lt;=PERALTE!$X$12,8,IF(RASANTE!F114&lt;=PERALTE!$AB$12,(10/(PERALTE!$X$12-PERALTE!$AB$12)*(RASANTE!F114-PERALTE!$AB$12)-2))))),IF(AND(AH!$H$16="Derecha",RASANTE!F114&lt;=PERALTE!$AB$14),IF(RASANTE!F114&lt;=PERALTE!$S$14,-2,IF(RASANTE!F114&lt;=PERALTE!$U$14,(-6/(PERALTE!$U$14-PERALTE!$S$14)*(RASANTE!F114-PERALTE!$S$14)-2),IF(RASANTE!F114&lt;=PERALTE!$X$14,-8,IF(RASANTE!F114&lt;=PERALTE!$Z$14,(-6/(PERALTE!$X$14-PERALTE!$Z$14)*(RASANTE!F114-PERALTE!$Z$14)-2),IF(RASANTE!F114&lt;=PERALTE!$AB$14,-2))))),IF(AND(AH!$H$16="Izquierda",RASANTE!F114&lt;=PERALTE!$AB$14),IF(RASANTE!F114&lt;=PERALTE!$Q$14,-2,IF(RASANTE!F114&lt;=PERALTE!$U$14,(10/(PERALTE!$U$14-PERALTE!$Q$14)*(RASANTE!F114-PERALTE!$Q$14)-2),IF(RASANTE!F114&lt;=PERALTE!$X$14,8,IF(RASANTE!F114&lt;=PERALTE!$AB$14,(10/(PERALTE!$X$14-PERALTE!$AB$14)*(RASANTE!F114-PERALTE!$AB$14)-2))))),IF(AND(AH!$H$18="Derecha",RASANTE!F114&lt;=PERALTE!$AB$16),IF(RASANTE!F114&lt;=PERALTE!$S$16,-2,IF(RASANTE!F114&lt;=PERALTE!$U$16,(-6/(PERALTE!$U$16-PERALTE!$S$16)*(RASANTE!F114-PERALTE!$S$16)-2),IF(RASANTE!F114&lt;=PERALTE!$X$16,-8,IF(RASANTE!F114&lt;=PERALTE!$Z$16,(-6/(PERALTE!$X$16-PERALTE!$Z$16)*(RASANTE!F114-PERALTE!$Z$16)-2),IF(RASANTE!F114&lt;=PERALTE!$AB$16,-2))))),IF(AND(AH!$H$18="Izquierda",RASANTE!F114&lt;=PERALTE!$AB$16),IF(RASANTE!F114&lt;=PERALTE!$Q$16,-2,IF(RASANTE!F114&lt;=PERALTE!$U$16,(10/(PERALTE!$U$16-PERALTE!$Q$16)*(RASANTE!F114-PERALTE!$Q$16)-2),IF(RASANTE!F114&lt;=PERALTE!$X$16,8,IF(RASANTE!F114&lt;=PERALTE!$AB$16,(10/(PERALTE!$X$16-PERALTE!$AB$16)*(RASANTE!F114-PERALTE!$AB$16)-2))))),IF(AND(AH!$H$20="Derecha",RASANTE!F114&lt;=PERALTE!$AB$18),IF(RASANTE!F114&lt;=PERALTE!$S$18,-2,IF(RASANTE!F114&lt;=PERALTE!$U$18,(-6/(PERALTE!$U$18-PERALTE!$S$18)*(RASANTE!F114-PERALTE!$S$18)-2),IF(RASANTE!F114&lt;=PERALTE!$X$18,-8,IF(RASANTE!F114&lt;=PERALTE!$Z$18,(-6/(PERALTE!$X$18-PERALTE!$Z$18)*(RASANTE!F114-PERALTE!$Z$18)-2),IF(RASANTE!F114&lt;=PERALTE!$AB$18,-2))))),IF(AND(AH!$H$20="Izquierda",RASANTE!F114&lt;=PERALTE!$AB$18),IF(RASANTE!F114&lt;=PERALTE!$Q$18,-2,IF(RASANTE!F114&lt;=PERALTE!$U$18,(10/(PERALTE!$U$18-PERALTE!$Q$18)*(RASANTE!F114-PERALTE!$Q$18)-2),IF(RASANTE!F114&lt;=PERALTE!$X$18,8,IF(RASANTE!F114&lt;=PERALTE!$AB$18,(10/(PERALTE!$X$18-PERALTE!$AB$18)*(RASANTE!F114-PERALTE!$AB$18)-2))))),IF(AND(AH!$H$24="Derecha",RASANTE!F114&lt;=PERALTE!$AB$22),IF(RASANTE!F114&lt;=PERALTE!$S$22,-2,IF(RASANTE!F114&lt;=PERALTE!$U$22,(-6/(PERALTE!$U$22-PERALTE!$S$22)*(RASANTE!F114-PERALTE!$S$22)-2),IF(RASANTE!F114&lt;=PERALTE!$X$22,-8,IF(RASANTE!F114&lt;=PERALTE!$Z$22,(-6/(PERALTE!$X$22-PERALTE!$Z$22)*(RASANTE!F114-PERALTE!$Z$22)-2),IF(RASANTE!F114&lt;=PERALTE!$AB$22,-2))))),IF(AND(AH!$H$24="Izquierda",RASANTE!F114&lt;=PERALTE!$AB$22),IF(RASANTE!F114&lt;=PERALTE!$Q$22,-2,IF(RASANTE!F114&lt;=PERALTE!$U$22,(10/(PERALTE!$U$22-PERALTE!$Q$22)*(RASANTE!F114-PERALTE!$Q$22)-2),IF(RASANTE!F114&lt;=PERALTE!$X$22,8,IF(RASANTE!F114&lt;=PERALTE!$AB$22,(10/(PERALTE!$X$22-PERALTE!$AB$22)*(RASANTE!F114-PERALTE!$AB$22)-2))))),IF(AND(AH!#REF!="Derecha",RASANTE!F114&lt;=PERALTE!#REF!),IF(RASANTE!F114&lt;=PERALTE!#REF!,-2,IF(RASANTE!F114&lt;=PERALTE!#REF!,(-6/(PERALTE!#REF!-PERALTE!#REF!)*(RASANTE!F114-PERALTE!#REF!)-2),IF(RASANTE!F114&lt;=PERALTE!#REF!,-8,IF(RASANTE!F114&lt;=PERALTE!#REF!,(-6/(PERALTE!#REF!-PERALTE!#REF!)*(RASANTE!F114-PERALTE!#REF!)-2),IF(RASANTE!F114&lt;=PERALTE!#REF!,-2))))),IF(AND(AH!#REF!="Izquierda",RASANTE!F114&lt;=PERALTE!#REF!),IF(RASANTE!F114&lt;=PERALTE!#REF!,-2,IF(RASANTE!F114&lt;=PERALTE!#REF!,(10/(PERALTE!#REF!-PERALTE!#REF!)*(RASANTE!F114-PERALTE!#REF!)-2),IF(RASANTE!F114&lt;=PERALTE!#REF!,8,IF(RASANTE!F114&lt;=PERALTE!#REF!,(10/(PERALTE!#REF!-PERALTE!#REF!)*(RASANTE!F114-PERALTE!#REF!)-2))))),IF(AND(AH!#REF!="Derecha",RASANTE!F114&lt;=PERALTE!$AB$26),IF(RASANTE!F114&lt;=PERALTE!$S$26,-2,IF(RASANTE!F114&lt;=PERALTE!$U$26,(-6/(PERALTE!$U$26-PERALTE!$S$26)*(RASANTE!F114-PERALTE!$S$26)-2),IF(RASANTE!F114&lt;=PERALTE!$X$26,-8,IF(RASANTE!F114&lt;=PERALTE!$Z$26,(-6/(PERALTE!$X$26-PERALTE!$Z$26)*(RASANTE!F114-PERALTE!$Z$26)-2),IF(RASANTE!F114&lt;=PERALTE!$AB$26,-2))))),IF(AND(AH!#REF!="Izquierda",RASANTE!F114&lt;=PERALTE!$AB$26),IF(RASANTE!F114&lt;=PERALTE!$Q$26,-2,IF(RASANTE!F114&lt;=PERALTE!$U$26,(10/(PERALTE!$U$26-PERALTE!$Q$26)*(RASANTE!F114-PERALTE!$Q$26)-2),IF(RASANTE!F114&lt;=PERALTE!$X$26,8,IF(RASANTE!F114&lt;=PERALTE!$AB$26,(10/(PERALTE!$X$26-PERALTE!$AB$26)*(RASANTE!F114-PERALTE!$AB$26)-2))))),IF(F114&lt;=PERALTE!#REF!,-2,"Abscisa fuera de la vía")))))))))))))))))))))</f>
        <v>0.124536748894573</v>
      </c>
      <c r="J114" s="28">
        <f t="shared" si="4"/>
        <v>1630.7864000000011</v>
      </c>
      <c r="K114" s="28">
        <f>+IF(AND(AV!$S$6&lt;F211,F211&lt;=AV!$T$6),AV!$P$6*((AV!$S$6-RASANTE!F211)/(AV!$N$6))^2,IF(AND(AV!$T$6&lt;RASANTE!F211,F211&lt;AV!$U$6),AV!$P$6*((AV!$U$6-RASANTE!F211)/(AV!$O$6))^2,IF(AND(AV!$S$8&lt;F211,F211&lt;=AV!$T$8),AV!$P$8*((AV!$S$8-RASANTE!F211)/(AV!$N$8))^2,IF(AND(AV!$T$8&lt;RASANTE!F211,F211&lt;AV!$U$8),AV!$P$8*((AV!$U$8-RASANTE!F211)/(AV!$O$8))^2,IF(AND(AV!$S$10&lt;F211,F211&lt;=AV!$T$10),AV!$P$10*((AV!$S$10-RASANTE!F211)/(AV!$N$10))^2,IF(AND(AV!$T$10&lt;RASANTE!F211,F211&lt;AV!$U$10),AV!$P$10*((AV!$U$10-RASANTE!F211)/(AV!$O$10))^2,IF(AND(AV!$S$12&lt;F211,F211&lt;=AV!$T$12),AV!$P$12*((AV!$S$12-RASANTE!F211)/(AV!$N$12))^2,IF(AND(AV!$T$12&lt;RASANTE!F211,F211&lt;AV!$U$12),AV!$P$12*((AV!$U$12-RASANTE!F211)/(AV!$O$12))^2,IF(AND(AV!$S$14&lt;F211,F211&lt;=AV!$T$14),AV!$P$14*((AV!$S$14-RASANTE!F211)/(AV!$N$14))^2,IF(AND(AV!$T$14&lt;RASANTE!F211,F211&lt;AV!$U$14),AV!$P$14*((AV!$U$14-RASANTE!F211)/(AV!$O$14))^2,IF(AND(AV!$S$16&lt;F211,F211&lt;=AV!$T$16),AV!$P$16*((AV!$S$16-RASANTE!F211)/(AV!$N$16))^2,IF(AND(AV!$T$16&lt;RASANTE!F211,F211&lt;AV!$U$16),AV!$P$16*((AV!$U$16-RASANTE!F211)/(AV!$O$16))^2,IF(AND(AV!$S$18&lt;F211,F211&lt;=AV!$T$18),AV!$P$18*((AV!$S$18-RASANTE!F211)/(AV!$N$18))^2,IF(AND(AV!$T$18&lt;RASANTE!F211,F211&lt;AV!$U$18),AV!$P$18*((AV!$U$18-RASANTE!F211)/(AV!$O$18))^2,IF(AND(AV!$S$20&lt;F211,F211&lt;=AV!$T$20),AV!$P$20*((AV!$S$20-RASANTE!F211)/(AV!$N$20))^2,IF(AND(AV!$T$20&lt;RASANTE!F211,F211&lt;AV!$U$20),AV!$P$20*((AV!$U$20-RASANTE!F211)/(AV!$O$20))^2,IF(AND(AV!$S$22&lt;F211,F211&lt;=AV!$T$22),AV!$P$22*((AV!$S$22-RASANTE!F211)/(AV!$N$22))^2,IF(AND(AV!$T$22&lt;RASANTE!F211,F211&lt;AV!$U$22),AV!$P$22*((AV!$U$22-RASANTE!F211)/(AV!$O$22))^2,IF(AND(AV!$S$24&lt;F211,F211&lt;=AV!$T$24),AV!$P$24*((AV!$S$24-RASANTE!F211)/(AV!$N$24))^2,IF(AND(AV!$T$24&lt;RASANTE!F211,F211&lt;AV!$U$24),AV!$P$24*((AV!$U$24-RASANTE!F211)/(AV!$O$24))^2,0))))))))))))))))))))</f>
        <v>0</v>
      </c>
      <c r="L114" s="28">
        <f>+M114+H114%*PERALTE!$C$32</f>
        <v>1630.7164000000012</v>
      </c>
      <c r="M114" s="28">
        <f t="shared" si="5"/>
        <v>1630.7864000000011</v>
      </c>
      <c r="N114" s="28">
        <f>+M114+I114%*PERALTE!$C$32</f>
        <v>1630.7907587862123</v>
      </c>
      <c r="O114" s="92"/>
      <c r="P114" s="84"/>
      <c r="Q114" s="84"/>
      <c r="R114" s="84"/>
      <c r="S114" s="84"/>
      <c r="T114" s="84"/>
      <c r="U114" s="84"/>
      <c r="V114" s="84"/>
      <c r="W114" s="84"/>
      <c r="X114" s="84"/>
      <c r="Y114" s="84"/>
    </row>
    <row r="115" spans="1:25" ht="15.75" customHeight="1" x14ac:dyDescent="0.2">
      <c r="A115" s="322" t="s">
        <v>337</v>
      </c>
      <c r="F115" s="34">
        <f>PERALTE!AA10</f>
        <v>700.56607613133895</v>
      </c>
      <c r="G115" s="88">
        <f>IF(F115&lt;=AV!$T$6,AV!$C$5,IF(RASANTE!F115&lt;=AV!$T$8,AV!$C$7,IF(RASANTE!F115&lt;=AV!$T$10,AV!$C$9,IF(RASANTE!F115&lt;=AV!$T$12,AV!#REF!,IF(RASANTE!F115&lt;=AV!$T$14,AV!$C$11,IF(RASANTE!F115&lt;=AV!$T$16,AV!$C$13, IF(RASANTE!F115&lt;=AV!$T$18,AV!$C$15,IF(RASANTE!F115&lt;=AV!$T$20,AV!$C$19,IF(RASANTE!F115&lt;=AV!$T$22,AV!$C$21,IF(RASANTE!F115&lt;=AV!$T$24,AV!$C$23,AV!$C$25))))))))))</f>
        <v>-3</v>
      </c>
      <c r="H115" s="28">
        <f>+IF(AND(AH!$H$8="Izquierda",RASANTE!F115&lt;=PERALTE!$AB$6),IF(RASANTE!F115&lt;=PERALTE!$S$6,-2,IF(RASANTE!F115&lt;=PERALTE!$U$6,(-6/(PERALTE!$U$6-PERALTE!$S$6)*(RASANTE!F115-PERALTE!$S$6)-2),IF(RASANTE!F115&lt;=PERALTE!$X$6,-8,IF(RASANTE!F115&lt;=PERALTE!$Z$6,(-6/(PERALTE!$X$6-PERALTE!$Z$6)*(RASANTE!F115-PERALTE!$Z$6)-2),IF(RASANTE!F115&lt;=PERALTE!$AB$6,-2))))),IF(AND(AH!$H$8="Derecha",RASANTE!F115&lt;=PERALTE!$AB$6),IF(RASANTE!F115&lt;=PERALTE!$Q$6,-2,IF(RASANTE!F115&lt;=PERALTE!$U$6,(10/(PERALTE!$U$6-PERALTE!$Q$6)*(RASANTE!F115-PERALTE!$Q$6)-2),IF(RASANTE!F115&lt;=PERALTE!$X$6,8,IF(RASANTE!F115&lt;=PERALTE!$AB$6,(10/(PERALTE!$X$6-PERALTE!$AB$6)*(RASANTE!F115-PERALTE!$AB$6)-2))))),IF(AND(AH!$H$10="Izquierda",RASANTE!F115&lt;=PERALTE!$AB$8),IF(RASANTE!F115&lt;=PERALTE!$S$8,-2,IF(RASANTE!F115&lt;=PERALTE!$U$8,(-6/(PERALTE!$U$8-PERALTE!$S$8)*(RASANTE!F115-PERALTE!$S$8)-2),IF(RASANTE!F115&lt;=PERALTE!$X$8,-8,IF(RASANTE!F115&lt;=PERALTE!$Z$8,(-6/(PERALTE!$X$8-PERALTE!$Z$8)*(RASANTE!F115-PERALTE!$Z$8)-2),IF(RASANTE!F115&lt;=PERALTE!$AB$8,-2))))),IF(AND(AH!$H$10="Derecha",RASANTE!F115&lt;=PERALTE!$AB$8),IF(RASANTE!F115&lt;=PERALTE!$Q$8,-2,IF(RASANTE!F115&lt;=PERALTE!$U$8,(10/(PERALTE!$U$8-PERALTE!$Q$8)*(RASANTE!F115-PERALTE!$Q$8)-2),IF(RASANTE!F115&lt;=PERALTE!$X$8,8,IF(RASANTE!F115&lt;=PERALTE!$AB$8,(10/(PERALTE!$X$8-PERALTE!$AB$8)*(RASANTE!F115-PERALTE!$AB$8)-2))))),IF(AND(AH!$H$12="Izquierda",RASANTE!F115&lt;=PERALTE!$AB$10),IF(RASANTE!F115&lt;=PERALTE!$S$10,-2,IF(RASANTE!F115&lt;=PERALTE!$U$10,(-6/(PERALTE!$U$10-PERALTE!$S$10)*(RASANTE!F115-PERALTE!$S$10)-2),IF(RASANTE!F115&lt;=PERALTE!$X$10,-8,IF(RASANTE!F115&lt;=PERALTE!$Z$10,(-6/(PERALTE!$X$10-PERALTE!$Z$10)*(RASANTE!F115-PERALTE!$Z$10)-2),IF(RASANTE!F115&lt;=PERALTE!$AB$10,-2))))),IF(AND(AH!$H$12="Derecha",RASANTE!F115&lt;=PERALTE!$AB$10),IF(RASANTE!F115&lt;=PERALTE!$Q$10,-2,IF(RASANTE!F115&lt;=PERALTE!$U$10,(10/(PERALTE!$U$10-PERALTE!$Q$10)*(RASANTE!F115-PERALTE!$Q$10)-2),IF(RASANTE!F115&lt;=PERALTE!$X$10,8,IF(RASANTE!F115&lt;=PERALTE!$AB$10,(10/(PERALTE!$X$10-PERALTE!$AB$10)*(RASANTE!F115-PERALTE!$AB$10)-2))))),IF(AND(AH!$H$14="Izquierda",RASANTE!F115&lt;=PERALTE!$AB$12),IF(RASANTE!F115&lt;=PERALTE!$S$12,-2,IF(RASANTE!F115&lt;=PERALTE!$U$12,(-6/(PERALTE!$U$12-PERALTE!$S$12)*(RASANTE!F115-PERALTE!$S$12)-2),IF(RASANTE!F115&lt;=PERALTE!$X$12,-8,IF(RASANTE!F115&lt;=PERALTE!$Z$12,(-6/(PERALTE!$X$12-PERALTE!$Z$12)*(RASANTE!F115-PERALTE!$Z$12)-2),IF(RASANTE!F115&lt;=PERALTE!$AB$12,-2))))),IF(AND(AH!$H$14="Derecha",RASANTE!F115&lt;=PERALTE!$AB$12),IF(RASANTE!F115&lt;=PERALTE!$Q$12,-2,IF(RASANTE!F115&lt;=PERALTE!$U$12,(10/(PERALTE!$U$12-PERALTE!$Q$12)*(RASANTE!F115-PERALTE!$Q$12)-2),IF(RASANTE!F115&lt;=PERALTE!$X$12,8,IF(RASANTE!F115&lt;=PERALTE!$AB$12,(10/(PERALTE!$X$12-PERALTE!$AB$12)*(RASANTE!F115-PERALTE!$AB$12)-2))))),IF(AND(AH!$H$16="Izquierda",RASANTE!F115&lt;=PERALTE!$AB$14),IF(RASANTE!F115&lt;=PERALTE!$S$14,-2,IF(RASANTE!F115&lt;=PERALTE!$U$14,(-6/(PERALTE!$U$14-PERALTE!$S$14)*(RASANTE!F115-PERALTE!$S$14)-2),IF(RASANTE!F115&lt;=PERALTE!$X$14,-8,IF(RASANTE!F115&lt;=PERALTE!$Z$14,(-6/(PERALTE!$X$14-PERALTE!$Z$14)*(RASANTE!F115-PERALTE!$Z$14)-2),IF(RASANTE!F115&lt;=PERALTE!$AB$14,-2))))),IF(AND(AH!$H$16="Derecha",RASANTE!F115&lt;=PERALTE!$AB$14),IF(RASANTE!F115&lt;=PERALTE!$Q$14,-2,IF(RASANTE!F115&lt;=PERALTE!$U$14,(10/(PERALTE!$U$14-PERALTE!$Q$14)*(RASANTE!F115-PERALTE!$Q$14)-2),IF(RASANTE!F115&lt;=PERALTE!$X$14,8,IF(RASANTE!F115&lt;=PERALTE!$AB$14,(10/(PERALTE!$X$14-PERALTE!$AB$14)*(RASANTE!F115-PERALTE!$AB$14)-2))))),IF(AND(AH!$H$18="Izquierda",RASANTE!F115&lt;=PERALTE!$AB$16),IF(RASANTE!F115&lt;=PERALTE!$S$16,-2,IF(RASANTE!F115&lt;=PERALTE!$U$16,(-6/(PERALTE!$U$16-PERALTE!$S$16)*(RASANTE!F115-PERALTE!$S$16)-2),IF(RASANTE!F115&lt;=PERALTE!$X$16,-8,IF(RASANTE!F115&lt;=PERALTE!$Z$16,(-6/(PERALTE!$X$16-PERALTE!$Z$16)*(RASANTE!F115-PERALTE!$Z$16)-2),IF(RASANTE!F115&lt;=PERALTE!$AB$16,-2))))),IF(AND(AH!$H$18="Derecha",RASANTE!F115&lt;=PERALTE!$AB$16),IF(RASANTE!F115&lt;=PERALTE!$Q$16,-2,IF(RASANTE!F115&lt;=PERALTE!$U$16,(10/(PERALTE!$U$16-PERALTE!$Q$16)*(RASANTE!F115-PERALTE!$Q$16)-2),IF(RASANTE!F115&lt;=PERALTE!$X$16,8,IF(RASANTE!F115&lt;=PERALTE!$AB$16,(10/(PERALTE!$X$16-PERALTE!$AB$16)*(RASANTE!F115-PERALTE!$AB$16)-2))))),IF(AND(AH!$H$20="Izquierda",RASANTE!F115&lt;=PERALTE!$AB$18),IF(RASANTE!F115&lt;=PERALTE!$S$18,-2,IF(RASANTE!F115&lt;=PERALTE!$U$18,(-6/(PERALTE!$U$18-PERALTE!$S$18)*(RASANTE!F115-PERALTE!$S$18)-2),IF(RASANTE!F115&lt;=PERALTE!$X$18,-8,IF(RASANTE!F115&lt;=PERALTE!$Z$18,(-6/(PERALTE!$X$18-PERALTE!$Z$18)*(RASANTE!F115-PERALTE!$Z$18)-2),IF(RASANTE!F115&lt;=PERALTE!$AB$18,-2))))),IF(AND(AH!$H$20="Derecha",RASANTE!F115&lt;=PERALTE!$AB$18),IF(RASANTE!F115&lt;=PERALTE!$Q$18,-2,IF(RASANTE!F115&lt;=PERALTE!$U$18,(10/(PERALTE!$U$18-PERALTE!$Q$18)*(RASANTE!F115-PERALTE!$Q$18)-2),IF(RASANTE!F115&lt;=PERALTE!$X$18,8,IF(RASANTE!F115&lt;=PERALTE!$AB$18,(10/(PERALTE!$X$18-PERALTE!$AB$18)*(RASANTE!F115-PERALTE!$AB$18)-2))))),IF(AND(AH!$H$24="Izquierda",RASANTE!F115&lt;=PERALTE!$AB$22),IF(RASANTE!F115&lt;=PERALTE!$S$22,-2,IF(RASANTE!F115&lt;=PERALTE!$U$22,(-6/(PERALTE!$U$22-PERALTE!$S$22)*(RASANTE!F115-PERALTE!$S$22)-2),IF(RASANTE!F115&lt;=PERALTE!$X$22,-8,IF(RASANTE!F115&lt;=PERALTE!$Z$22,(-6/(PERALTE!$X$22-PERALTE!$Z$22)*(RASANTE!F115-PERALTE!$Z$22)-2),IF(RASANTE!F115&lt;=PERALTE!$AB$22,-2))))),IF(AND(AH!$H$24="Derecha",RASANTE!F115&lt;=PERALTE!$AB$22),IF(RASANTE!F115&lt;=PERALTE!$Q$22,-2,IF(RASANTE!F115&lt;=PERALTE!$U$22,(10/(PERALTE!$U$22-PERALTE!$Q$22)*(RASANTE!F115-PERALTE!$Q$22)-2),IF(RASANTE!F115&lt;=PERALTE!$X$22,8,IF(RASANTE!F115&lt;=PERALTE!$AB$22,(10/(PERALTE!$X$22-PERALTE!$AB$22)*(RASANTE!F115-PERALTE!$AB$22)-2))))),IF(AND(AH!#REF!="Izquierda",RASANTE!F115&lt;=PERALTE!#REF!),IF(RASANTE!F115&lt;=PERALTE!#REF!,-2,IF(RASANTE!F115&lt;=PERALTE!#REF!,(-6/(PERALTE!#REF!-PERALTE!#REF!)*(RASANTE!F115-PERALTE!#REF!)-2),IF(RASANTE!F115&lt;=PERALTE!#REF!,-8,IF(RASANTE!F115&lt;=PERALTE!#REF!,(-6/(PERALTE!#REF!-PERALTE!#REF!)*(RASANTE!F115-PERALTE!#REF!)-2),IF(RASANTE!F115&lt;=PERALTE!#REF!,-2))))),IF(AND(AH!#REF!="Derecha",RASANTE!F115&lt;=PERALTE!#REF!),IF(RASANTE!F115&lt;=PERALTE!#REF!,-2,IF(RASANTE!F115&lt;=PERALTE!#REF!,(10/(PERALTE!#REF!-PERALTE!#REF!)*(RASANTE!F115-PERALTE!#REF!)-2),IF(RASANTE!F115&lt;=PERALTE!#REF!,8,IF(RASANTE!F115&lt;=PERALTE!#REF!,(10/(PERALTE!#REF!-PERALTE!#REF!)*(RASANTE!F115-PERALTE!#REF!)-2))))),IF(AND(AH!#REF!="Izquierda",RASANTE!F115&lt;=PERALTE!$AB$26),IF(RASANTE!F115&lt;=PERALTE!$S$26,-2,IF(RASANTE!F115&lt;=PERALTE!$U$26,(-6/(PERALTE!$U$26-PERALTE!$S$26)*(RASANTE!F115-PERALTE!$S$26)-2),IF(RASANTE!F115&lt;=PERALTE!$X$26,-8,IF(RASANTE!F115&lt;=PERALTE!$Z$26,(-6/(PERALTE!$X$26-PERALTE!$Z$26)*(RASANTE!F115-PERALTE!$Z$26)-2),IF(RASANTE!F115&lt;=PERALTE!$AB$26,-2))))),IF(AND(AH!#REF!="Derecha",RASANTE!F115&lt;=PERALTE!$AB$26),IF(RASANTE!F115&lt;=PERALTE!$Q$26,-2,IF(RASANTE!F115&lt;=PERALTE!$U$26,(10/(PERALTE!$U$26-PERALTE!$Q$26)*(RASANTE!F115-PERALTE!$Q$26)-2),IF(RASANTE!F115&lt;=PERALTE!$X$26,8,IF(RASANTE!F115&lt;=PERALTE!$AB$26,(10/(PERALTE!$X$26-PERALTE!$AB$26)*(RASANTE!F115-PERALTE!$AB$26)-2))))),IF(F115&lt;=PERALTE!#REF!,-2,"Abscisa fuera de la vía")))))))))))))))))))))</f>
        <v>-2</v>
      </c>
      <c r="I115" s="28">
        <f>+IF(AND(AH!$H$8="Derecha",RASANTE!F115&lt;=PERALTE!$AB$6),IF(RASANTE!F115&lt;=PERALTE!$S$6,-2,IF(RASANTE!F115&lt;=PERALTE!$U$6,(-6/(PERALTE!$U$6-PERALTE!$S$6)*(RASANTE!F115-PERALTE!$S$6)-2),IF(RASANTE!F115&lt;=PERALTE!$X$6,-8,IF(RASANTE!F115&lt;=PERALTE!$Z$6,(-6/(PERALTE!$X$6-PERALTE!$Z$6)*(RASANTE!F115-PERALTE!$Z$6)-2),IF(RASANTE!F115&lt;=PERALTE!$AB$6,-2))))),IF(AND(AH!$H$8="Izquierda",RASANTE!F115&lt;=PERALTE!$AB$6),IF(RASANTE!F115&lt;=PERALTE!$Q$6,-2,IF(RASANTE!F115&lt;=PERALTE!$U$6,(10/(PERALTE!$U$6-PERALTE!$Q$6)*(RASANTE!F115-PERALTE!$Q$6)-2),IF(RASANTE!F115&lt;=PERALTE!$X$6,8,IF(RASANTE!F115&lt;=PERALTE!$AB$6,(10/(PERALTE!$X$6-PERALTE!$AB$6)*(RASANTE!F115-PERALTE!$AB$6)-2))))),IF(AND(AH!$H$10="Derecha",RASANTE!F115&lt;=PERALTE!$AB$8),IF(RASANTE!F115&lt;=PERALTE!$S$8,-2,IF(RASANTE!F115&lt;=PERALTE!$U$8,(-6/(PERALTE!$U$8-PERALTE!$S$8)*(RASANTE!F115-PERALTE!$S$8)-2),IF(RASANTE!F115&lt;=PERALTE!$X$8,-8,IF(RASANTE!F115&lt;=PERALTE!$Z$8,(-6/(PERALTE!$X$8-PERALTE!$Z$8)*(RASANTE!F115-PERALTE!$Z$8)-2),IF(RASANTE!F115&lt;=PERALTE!$AB$8,-2))))),IF(AND(AH!$H$10="Izquierda",RASANTE!F115&lt;=PERALTE!$AB$8),IF(RASANTE!F115&lt;=PERALTE!$Q$8,-2,IF(RASANTE!F115&lt;=PERALTE!$U$8,(10/(PERALTE!$U$8-PERALTE!$Q$8)*(RASANTE!F115-PERALTE!$Q$8)-2),IF(RASANTE!F115&lt;=PERALTE!$X$8,8,IF(RASANTE!F115&lt;=PERALTE!$AB$8,(10/(PERALTE!$X$8-PERALTE!$AB$8)*(RASANTE!F115-PERALTE!$AB$8)-2))))),IF(AND(AH!$H$12="Derecha",RASANTE!F115&lt;=PERALTE!$AB$10),IF(RASANTE!F115&lt;=PERALTE!$S$10,-2,IF(RASANTE!F115&lt;=PERALTE!$U$10,(-6/(PERALTE!$U$10-PERALTE!$S$10)*(RASANTE!F115-PERALTE!$S$10)-2),IF(RASANTE!F115&lt;=PERALTE!$X$10,-8,IF(RASANTE!F115&lt;=PERALTE!$Z$10,(-6/(PERALTE!$X$10-PERALTE!$Z$10)*(RASANTE!F115-PERALTE!$Z$10)-2),IF(RASANTE!F115&lt;=PERALTE!$AB$10,-2))))),IF(AND(AH!$H$12="Izquierda",RASANTE!F115&lt;=PERALTE!$AB$10),IF(RASANTE!F115&lt;=PERALTE!$Q$10,-2,IF(RASANTE!F115&lt;=PERALTE!$U$10,(10/(PERALTE!$U$10-PERALTE!$Q$10)*(RASANTE!F115-PERALTE!$Q$10)-2),IF(RASANTE!F115&lt;=PERALTE!$X$10,8,IF(RASANTE!F115&lt;=PERALTE!$AB$10,(10/(PERALTE!$X$10-PERALTE!$AB$10)*(RASANTE!F115-PERALTE!$AB$10)-2))))),IF(AND(AH!$H$14="Derecha",RASANTE!F115&lt;=PERALTE!$AB$12),IF(RASANTE!F115&lt;=PERALTE!$S$12,-2,IF(RASANTE!F115&lt;=PERALTE!$U$12,(-6/(PERALTE!$U$12-PERALTE!$S$12)*(RASANTE!F115-PERALTE!$S$12)-2),IF(RASANTE!F115&lt;=PERALTE!$X$12,-8,IF(RASANTE!F115&lt;=PERALTE!$Z$12,(-6/(PERALTE!$X$12-PERALTE!$Z$12)*(RASANTE!F115-PERALTE!$Z$12)-2),IF(RASANTE!F115&lt;=PERALTE!$AB$12,-2))))),IF(AND(AH!$H$14="Izquierda",RASANTE!F115&lt;=PERALTE!$AB$12),IF(RASANTE!F115&lt;=PERALTE!$Q$12,-2,IF(RASANTE!F115&lt;=PERALTE!$U$12,(10/(PERALTE!$U$12-PERALTE!$Q$12)*(RASANTE!F115-PERALTE!$Q$12)-2),IF(RASANTE!F115&lt;=PERALTE!$X$12,8,IF(RASANTE!F115&lt;=PERALTE!$AB$12,(10/(PERALTE!$X$12-PERALTE!$AB$12)*(RASANTE!F115-PERALTE!$AB$12)-2))))),IF(AND(AH!$H$16="Derecha",RASANTE!F115&lt;=PERALTE!$AB$14),IF(RASANTE!F115&lt;=PERALTE!$S$14,-2,IF(RASANTE!F115&lt;=PERALTE!$U$14,(-6/(PERALTE!$U$14-PERALTE!$S$14)*(RASANTE!F115-PERALTE!$S$14)-2),IF(RASANTE!F115&lt;=PERALTE!$X$14,-8,IF(RASANTE!F115&lt;=PERALTE!$Z$14,(-6/(PERALTE!$X$14-PERALTE!$Z$14)*(RASANTE!F115-PERALTE!$Z$14)-2),IF(RASANTE!F115&lt;=PERALTE!$AB$14,-2))))),IF(AND(AH!$H$16="Izquierda",RASANTE!F115&lt;=PERALTE!$AB$14),IF(RASANTE!F115&lt;=PERALTE!$Q$14,-2,IF(RASANTE!F115&lt;=PERALTE!$U$14,(10/(PERALTE!$U$14-PERALTE!$Q$14)*(RASANTE!F115-PERALTE!$Q$14)-2),IF(RASANTE!F115&lt;=PERALTE!$X$14,8,IF(RASANTE!F115&lt;=PERALTE!$AB$14,(10/(PERALTE!$X$14-PERALTE!$AB$14)*(RASANTE!F115-PERALTE!$AB$14)-2))))),IF(AND(AH!$H$18="Derecha",RASANTE!F115&lt;=PERALTE!$AB$16),IF(RASANTE!F115&lt;=PERALTE!$S$16,-2,IF(RASANTE!F115&lt;=PERALTE!$U$16,(-6/(PERALTE!$U$16-PERALTE!$S$16)*(RASANTE!F115-PERALTE!$S$16)-2),IF(RASANTE!F115&lt;=PERALTE!$X$16,-8,IF(RASANTE!F115&lt;=PERALTE!$Z$16,(-6/(PERALTE!$X$16-PERALTE!$Z$16)*(RASANTE!F115-PERALTE!$Z$16)-2),IF(RASANTE!F115&lt;=PERALTE!$AB$16,-2))))),IF(AND(AH!$H$18="Izquierda",RASANTE!F115&lt;=PERALTE!$AB$16),IF(RASANTE!F115&lt;=PERALTE!$Q$16,-2,IF(RASANTE!F115&lt;=PERALTE!$U$16,(10/(PERALTE!$U$16-PERALTE!$Q$16)*(RASANTE!F115-PERALTE!$Q$16)-2),IF(RASANTE!F115&lt;=PERALTE!$X$16,8,IF(RASANTE!F115&lt;=PERALTE!$AB$16,(10/(PERALTE!$X$16-PERALTE!$AB$16)*(RASANTE!F115-PERALTE!$AB$16)-2))))),IF(AND(AH!$H$20="Derecha",RASANTE!F115&lt;=PERALTE!$AB$18),IF(RASANTE!F115&lt;=PERALTE!$S$18,-2,IF(RASANTE!F115&lt;=PERALTE!$U$18,(-6/(PERALTE!$U$18-PERALTE!$S$18)*(RASANTE!F115-PERALTE!$S$18)-2),IF(RASANTE!F115&lt;=PERALTE!$X$18,-8,IF(RASANTE!F115&lt;=PERALTE!$Z$18,(-6/(PERALTE!$X$18-PERALTE!$Z$18)*(RASANTE!F115-PERALTE!$Z$18)-2),IF(RASANTE!F115&lt;=PERALTE!$AB$18,-2))))),IF(AND(AH!$H$20="Izquierda",RASANTE!F115&lt;=PERALTE!$AB$18),IF(RASANTE!F115&lt;=PERALTE!$Q$18,-2,IF(RASANTE!F115&lt;=PERALTE!$U$18,(10/(PERALTE!$U$18-PERALTE!$Q$18)*(RASANTE!F115-PERALTE!$Q$18)-2),IF(RASANTE!F115&lt;=PERALTE!$X$18,8,IF(RASANTE!F115&lt;=PERALTE!$AB$18,(10/(PERALTE!$X$18-PERALTE!$AB$18)*(RASANTE!F115-PERALTE!$AB$18)-2))))),IF(AND(AH!$H$24="Derecha",RASANTE!F115&lt;=PERALTE!$AB$22),IF(RASANTE!F115&lt;=PERALTE!$S$22,-2,IF(RASANTE!F115&lt;=PERALTE!$U$22,(-6/(PERALTE!$U$22-PERALTE!$S$22)*(RASANTE!F115-PERALTE!$S$22)-2),IF(RASANTE!F115&lt;=PERALTE!$X$22,-8,IF(RASANTE!F115&lt;=PERALTE!$Z$22,(-6/(PERALTE!$X$22-PERALTE!$Z$22)*(RASANTE!F115-PERALTE!$Z$22)-2),IF(RASANTE!F115&lt;=PERALTE!$AB$22,-2))))),IF(AND(AH!$H$24="Izquierda",RASANTE!F115&lt;=PERALTE!$AB$22),IF(RASANTE!F115&lt;=PERALTE!$Q$22,-2,IF(RASANTE!F115&lt;=PERALTE!$U$22,(10/(PERALTE!$U$22-PERALTE!$Q$22)*(RASANTE!F115-PERALTE!$Q$22)-2),IF(RASANTE!F115&lt;=PERALTE!$X$22,8,IF(RASANTE!F115&lt;=PERALTE!$AB$22,(10/(PERALTE!$X$22-PERALTE!$AB$22)*(RASANTE!F115-PERALTE!$AB$22)-2))))),IF(AND(AH!#REF!="Derecha",RASANTE!F115&lt;=PERALTE!#REF!),IF(RASANTE!F115&lt;=PERALTE!#REF!,-2,IF(RASANTE!F115&lt;=PERALTE!#REF!,(-6/(PERALTE!#REF!-PERALTE!#REF!)*(RASANTE!F115-PERALTE!#REF!)-2),IF(RASANTE!F115&lt;=PERALTE!#REF!,-8,IF(RASANTE!F115&lt;=PERALTE!#REF!,(-6/(PERALTE!#REF!-PERALTE!#REF!)*(RASANTE!F115-PERALTE!#REF!)-2),IF(RASANTE!F115&lt;=PERALTE!#REF!,-2))))),IF(AND(AH!#REF!="Izquierda",RASANTE!F115&lt;=PERALTE!#REF!),IF(RASANTE!F115&lt;=PERALTE!#REF!,-2,IF(RASANTE!F115&lt;=PERALTE!#REF!,(10/(PERALTE!#REF!-PERALTE!#REF!)*(RASANTE!F115-PERALTE!#REF!)-2),IF(RASANTE!F115&lt;=PERALTE!#REF!,8,IF(RASANTE!F115&lt;=PERALTE!#REF!,(10/(PERALTE!#REF!-PERALTE!#REF!)*(RASANTE!F115-PERALTE!#REF!)-2))))),IF(AND(AH!#REF!="Derecha",RASANTE!F115&lt;=PERALTE!$AB$26),IF(RASANTE!F115&lt;=PERALTE!$S$26,-2,IF(RASANTE!F115&lt;=PERALTE!$U$26,(-6/(PERALTE!$U$26-PERALTE!$S$26)*(RASANTE!F115-PERALTE!$S$26)-2),IF(RASANTE!F115&lt;=PERALTE!$X$26,-8,IF(RASANTE!F115&lt;=PERALTE!$Z$26,(-6/(PERALTE!$X$26-PERALTE!$Z$26)*(RASANTE!F115-PERALTE!$Z$26)-2),IF(RASANTE!F115&lt;=PERALTE!$AB$26,-2))))),IF(AND(AH!#REF!="Izquierda",RASANTE!F115&lt;=PERALTE!$AB$26),IF(RASANTE!F115&lt;=PERALTE!$Q$26,-2,IF(RASANTE!F115&lt;=PERALTE!$U$26,(10/(PERALTE!$U$26-PERALTE!$Q$26)*(RASANTE!F115-PERALTE!$Q$26)-2),IF(RASANTE!F115&lt;=PERALTE!$X$26,8,IF(RASANTE!F115&lt;=PERALTE!$AB$26,(10/(PERALTE!$X$26-PERALTE!$AB$26)*(RASANTE!F115-PERALTE!$AB$26)-2))))),IF(F115&lt;=PERALTE!#REF!,-2,"Abscisa fuera de la vía")))))))))))))))))))))</f>
        <v>4.8849813083506888E-15</v>
      </c>
      <c r="J115" s="28">
        <f t="shared" si="4"/>
        <v>1630.7694177160608</v>
      </c>
      <c r="K115" s="28">
        <f>+IF(AND(AV!$S$6&lt;F212,F212&lt;=AV!$T$6),AV!$P$6*((AV!$S$6-RASANTE!F212)/(AV!$N$6))^2,IF(AND(AV!$T$6&lt;RASANTE!F212,F212&lt;AV!$U$6),AV!$P$6*((AV!$U$6-RASANTE!F212)/(AV!$O$6))^2,IF(AND(AV!$S$8&lt;F212,F212&lt;=AV!$T$8),AV!$P$8*((AV!$S$8-RASANTE!F212)/(AV!$N$8))^2,IF(AND(AV!$T$8&lt;RASANTE!F212,F212&lt;AV!$U$8),AV!$P$8*((AV!$U$8-RASANTE!F212)/(AV!$O$8))^2,IF(AND(AV!$S$10&lt;F212,F212&lt;=AV!$T$10),AV!$P$10*((AV!$S$10-RASANTE!F212)/(AV!$N$10))^2,IF(AND(AV!$T$10&lt;RASANTE!F212,F212&lt;AV!$U$10),AV!$P$10*((AV!$U$10-RASANTE!F212)/(AV!$O$10))^2,IF(AND(AV!$S$12&lt;F212,F212&lt;=AV!$T$12),AV!$P$12*((AV!$S$12-RASANTE!F212)/(AV!$N$12))^2,IF(AND(AV!$T$12&lt;RASANTE!F212,F212&lt;AV!$U$12),AV!$P$12*((AV!$U$12-RASANTE!F212)/(AV!$O$12))^2,IF(AND(AV!$S$14&lt;F212,F212&lt;=AV!$T$14),AV!$P$14*((AV!$S$14-RASANTE!F212)/(AV!$N$14))^2,IF(AND(AV!$T$14&lt;RASANTE!F212,F212&lt;AV!$U$14),AV!$P$14*((AV!$U$14-RASANTE!F212)/(AV!$O$14))^2,IF(AND(AV!$S$16&lt;F212,F212&lt;=AV!$T$16),AV!$P$16*((AV!$S$16-RASANTE!F212)/(AV!$N$16))^2,IF(AND(AV!$T$16&lt;RASANTE!F212,F212&lt;AV!$U$16),AV!$P$16*((AV!$U$16-RASANTE!F212)/(AV!$O$16))^2,IF(AND(AV!$S$18&lt;F212,F212&lt;=AV!$T$18),AV!$P$18*((AV!$S$18-RASANTE!F212)/(AV!$N$18))^2,IF(AND(AV!$T$18&lt;RASANTE!F212,F212&lt;AV!$U$18),AV!$P$18*((AV!$U$18-RASANTE!F212)/(AV!$O$18))^2,IF(AND(AV!$S$20&lt;F212,F212&lt;=AV!$T$20),AV!$P$20*((AV!$S$20-RASANTE!F212)/(AV!$N$20))^2,IF(AND(AV!$T$20&lt;RASANTE!F212,F212&lt;AV!$U$20),AV!$P$20*((AV!$U$20-RASANTE!F212)/(AV!$O$20))^2,IF(AND(AV!$S$22&lt;F212,F212&lt;=AV!$T$22),AV!$P$22*((AV!$S$22-RASANTE!F212)/(AV!$N$22))^2,IF(AND(AV!$T$22&lt;RASANTE!F212,F212&lt;AV!$U$22),AV!$P$22*((AV!$U$22-RASANTE!F212)/(AV!$O$22))^2,IF(AND(AV!$S$24&lt;F212,F212&lt;=AV!$T$24),AV!$P$24*((AV!$S$24-RASANTE!F212)/(AV!$N$24))^2,IF(AND(AV!$T$24&lt;RASANTE!F212,F212&lt;AV!$U$24),AV!$P$24*((AV!$U$24-RASANTE!F212)/(AV!$O$24))^2,0))))))))))))))))))))</f>
        <v>0</v>
      </c>
      <c r="L115" s="28">
        <f>+M115+H115%*PERALTE!$C$32</f>
        <v>1630.6994177160609</v>
      </c>
      <c r="M115" s="28">
        <f t="shared" si="5"/>
        <v>1630.7694177160608</v>
      </c>
      <c r="N115" s="28">
        <f>+M115+I115%*PERALTE!$C$32</f>
        <v>1630.7694177160608</v>
      </c>
      <c r="O115" s="92"/>
      <c r="P115" s="84"/>
      <c r="Q115" s="84"/>
      <c r="R115" s="84"/>
      <c r="S115" s="84"/>
      <c r="T115" s="84"/>
      <c r="U115" s="84"/>
      <c r="V115" s="84"/>
      <c r="W115" s="84"/>
      <c r="X115" s="84"/>
      <c r="Y115" s="84"/>
    </row>
    <row r="116" spans="1:25" ht="15.75" customHeight="1" x14ac:dyDescent="0.2">
      <c r="A116" s="322" t="s">
        <v>338</v>
      </c>
      <c r="E116" s="91"/>
      <c r="F116" s="34">
        <f>PERALTE!AB10</f>
        <v>709.65698522224807</v>
      </c>
      <c r="G116" s="88">
        <f>IF(F116&lt;=AV!$T$6,AV!$C$5,IF(RASANTE!F116&lt;=AV!$T$8,AV!$C$7,IF(RASANTE!F116&lt;=AV!$T$10,AV!$C$9,IF(RASANTE!F116&lt;=AV!$T$12,AV!#REF!,IF(RASANTE!F116&lt;=AV!$T$14,AV!$C$11,IF(RASANTE!F116&lt;=AV!$T$16,AV!$C$13, IF(RASANTE!F116&lt;=AV!$T$18,AV!$C$15,IF(RASANTE!F116&lt;=AV!$T$20,AV!$C$19,IF(RASANTE!F116&lt;=AV!$T$22,AV!$C$21,IF(RASANTE!F116&lt;=AV!$T$24,AV!$C$23,AV!$C$25))))))))))</f>
        <v>-3</v>
      </c>
      <c r="H116" s="28">
        <f>+IF(AND(AH!$H$8="Izquierda",RASANTE!F116&lt;=PERALTE!$AB$6),IF(RASANTE!F116&lt;=PERALTE!$S$6,-2,IF(RASANTE!F116&lt;=PERALTE!$U$6,(-6/(PERALTE!$U$6-PERALTE!$S$6)*(RASANTE!F116-PERALTE!$S$6)-2),IF(RASANTE!F116&lt;=PERALTE!$X$6,-8,IF(RASANTE!F116&lt;=PERALTE!$Z$6,(-6/(PERALTE!$X$6-PERALTE!$Z$6)*(RASANTE!F116-PERALTE!$Z$6)-2),IF(RASANTE!F116&lt;=PERALTE!$AB$6,-2))))),IF(AND(AH!$H$8="Derecha",RASANTE!F116&lt;=PERALTE!$AB$6),IF(RASANTE!F116&lt;=PERALTE!$Q$6,-2,IF(RASANTE!F116&lt;=PERALTE!$U$6,(10/(PERALTE!$U$6-PERALTE!$Q$6)*(RASANTE!F116-PERALTE!$Q$6)-2),IF(RASANTE!F116&lt;=PERALTE!$X$6,8,IF(RASANTE!F116&lt;=PERALTE!$AB$6,(10/(PERALTE!$X$6-PERALTE!$AB$6)*(RASANTE!F116-PERALTE!$AB$6)-2))))),IF(AND(AH!$H$10="Izquierda",RASANTE!F116&lt;=PERALTE!$AB$8),IF(RASANTE!F116&lt;=PERALTE!$S$8,-2,IF(RASANTE!F116&lt;=PERALTE!$U$8,(-6/(PERALTE!$U$8-PERALTE!$S$8)*(RASANTE!F116-PERALTE!$S$8)-2),IF(RASANTE!F116&lt;=PERALTE!$X$8,-8,IF(RASANTE!F116&lt;=PERALTE!$Z$8,(-6/(PERALTE!$X$8-PERALTE!$Z$8)*(RASANTE!F116-PERALTE!$Z$8)-2),IF(RASANTE!F116&lt;=PERALTE!$AB$8,-2))))),IF(AND(AH!$H$10="Derecha",RASANTE!F116&lt;=PERALTE!$AB$8),IF(RASANTE!F116&lt;=PERALTE!$Q$8,-2,IF(RASANTE!F116&lt;=PERALTE!$U$8,(10/(PERALTE!$U$8-PERALTE!$Q$8)*(RASANTE!F116-PERALTE!$Q$8)-2),IF(RASANTE!F116&lt;=PERALTE!$X$8,8,IF(RASANTE!F116&lt;=PERALTE!$AB$8,(10/(PERALTE!$X$8-PERALTE!$AB$8)*(RASANTE!F116-PERALTE!$AB$8)-2))))),IF(AND(AH!$H$12="Izquierda",RASANTE!F116&lt;=PERALTE!$AB$10),IF(RASANTE!F116&lt;=PERALTE!$S$10,-2,IF(RASANTE!F116&lt;=PERALTE!$U$10,(-6/(PERALTE!$U$10-PERALTE!$S$10)*(RASANTE!F116-PERALTE!$S$10)-2),IF(RASANTE!F116&lt;=PERALTE!$X$10,-8,IF(RASANTE!F116&lt;=PERALTE!$Z$10,(-6/(PERALTE!$X$10-PERALTE!$Z$10)*(RASANTE!F116-PERALTE!$Z$10)-2),IF(RASANTE!F116&lt;=PERALTE!$AB$10,-2))))),IF(AND(AH!$H$12="Derecha",RASANTE!F116&lt;=PERALTE!$AB$10),IF(RASANTE!F116&lt;=PERALTE!$Q$10,-2,IF(RASANTE!F116&lt;=PERALTE!$U$10,(10/(PERALTE!$U$10-PERALTE!$Q$10)*(RASANTE!F116-PERALTE!$Q$10)-2),IF(RASANTE!F116&lt;=PERALTE!$X$10,8,IF(RASANTE!F116&lt;=PERALTE!$AB$10,(10/(PERALTE!$X$10-PERALTE!$AB$10)*(RASANTE!F116-PERALTE!$AB$10)-2))))),IF(AND(AH!$H$14="Izquierda",RASANTE!F116&lt;=PERALTE!$AB$12),IF(RASANTE!F116&lt;=PERALTE!$S$12,-2,IF(RASANTE!F116&lt;=PERALTE!$U$12,(-6/(PERALTE!$U$12-PERALTE!$S$12)*(RASANTE!F116-PERALTE!$S$12)-2),IF(RASANTE!F116&lt;=PERALTE!$X$12,-8,IF(RASANTE!F116&lt;=PERALTE!$Z$12,(-6/(PERALTE!$X$12-PERALTE!$Z$12)*(RASANTE!F116-PERALTE!$Z$12)-2),IF(RASANTE!F116&lt;=PERALTE!$AB$12,-2))))),IF(AND(AH!$H$14="Derecha",RASANTE!F116&lt;=PERALTE!$AB$12),IF(RASANTE!F116&lt;=PERALTE!$Q$12,-2,IF(RASANTE!F116&lt;=PERALTE!$U$12,(10/(PERALTE!$U$12-PERALTE!$Q$12)*(RASANTE!F116-PERALTE!$Q$12)-2),IF(RASANTE!F116&lt;=PERALTE!$X$12,8,IF(RASANTE!F116&lt;=PERALTE!$AB$12,(10/(PERALTE!$X$12-PERALTE!$AB$12)*(RASANTE!F116-PERALTE!$AB$12)-2))))),IF(AND(AH!$H$16="Izquierda",RASANTE!F116&lt;=PERALTE!$AB$14),IF(RASANTE!F116&lt;=PERALTE!$S$14,-2,IF(RASANTE!F116&lt;=PERALTE!$U$14,(-6/(PERALTE!$U$14-PERALTE!$S$14)*(RASANTE!F116-PERALTE!$S$14)-2),IF(RASANTE!F116&lt;=PERALTE!$X$14,-8,IF(RASANTE!F116&lt;=PERALTE!$Z$14,(-6/(PERALTE!$X$14-PERALTE!$Z$14)*(RASANTE!F116-PERALTE!$Z$14)-2),IF(RASANTE!F116&lt;=PERALTE!$AB$14,-2))))),IF(AND(AH!$H$16="Derecha",RASANTE!F116&lt;=PERALTE!$AB$14),IF(RASANTE!F116&lt;=PERALTE!$Q$14,-2,IF(RASANTE!F116&lt;=PERALTE!$U$14,(10/(PERALTE!$U$14-PERALTE!$Q$14)*(RASANTE!F116-PERALTE!$Q$14)-2),IF(RASANTE!F116&lt;=PERALTE!$X$14,8,IF(RASANTE!F116&lt;=PERALTE!$AB$14,(10/(PERALTE!$X$14-PERALTE!$AB$14)*(RASANTE!F116-PERALTE!$AB$14)-2))))),IF(AND(AH!$H$18="Izquierda",RASANTE!F116&lt;=PERALTE!$AB$16),IF(RASANTE!F116&lt;=PERALTE!$S$16,-2,IF(RASANTE!F116&lt;=PERALTE!$U$16,(-6/(PERALTE!$U$16-PERALTE!$S$16)*(RASANTE!F116-PERALTE!$S$16)-2),IF(RASANTE!F116&lt;=PERALTE!$X$16,-8,IF(RASANTE!F116&lt;=PERALTE!$Z$16,(-6/(PERALTE!$X$16-PERALTE!$Z$16)*(RASANTE!F116-PERALTE!$Z$16)-2),IF(RASANTE!F116&lt;=PERALTE!$AB$16,-2))))),IF(AND(AH!$H$18="Derecha",RASANTE!F116&lt;=PERALTE!$AB$16),IF(RASANTE!F116&lt;=PERALTE!$Q$16,-2,IF(RASANTE!F116&lt;=PERALTE!$U$16,(10/(PERALTE!$U$16-PERALTE!$Q$16)*(RASANTE!F116-PERALTE!$Q$16)-2),IF(RASANTE!F116&lt;=PERALTE!$X$16,8,IF(RASANTE!F116&lt;=PERALTE!$AB$16,(10/(PERALTE!$X$16-PERALTE!$AB$16)*(RASANTE!F116-PERALTE!$AB$16)-2))))),IF(AND(AH!$H$20="Izquierda",RASANTE!F116&lt;=PERALTE!$AB$18),IF(RASANTE!F116&lt;=PERALTE!$S$18,-2,IF(RASANTE!F116&lt;=PERALTE!$U$18,(-6/(PERALTE!$U$18-PERALTE!$S$18)*(RASANTE!F116-PERALTE!$S$18)-2),IF(RASANTE!F116&lt;=PERALTE!$X$18,-8,IF(RASANTE!F116&lt;=PERALTE!$Z$18,(-6/(PERALTE!$X$18-PERALTE!$Z$18)*(RASANTE!F116-PERALTE!$Z$18)-2),IF(RASANTE!F116&lt;=PERALTE!$AB$18,-2))))),IF(AND(AH!$H$20="Derecha",RASANTE!F116&lt;=PERALTE!$AB$18),IF(RASANTE!F116&lt;=PERALTE!$Q$18,-2,IF(RASANTE!F116&lt;=PERALTE!$U$18,(10/(PERALTE!$U$18-PERALTE!$Q$18)*(RASANTE!F116-PERALTE!$Q$18)-2),IF(RASANTE!F116&lt;=PERALTE!$X$18,8,IF(RASANTE!F116&lt;=PERALTE!$AB$18,(10/(PERALTE!$X$18-PERALTE!$AB$18)*(RASANTE!F116-PERALTE!$AB$18)-2))))),IF(AND(AH!$H$24="Izquierda",RASANTE!F116&lt;=PERALTE!$AB$22),IF(RASANTE!F116&lt;=PERALTE!$S$22,-2,IF(RASANTE!F116&lt;=PERALTE!$U$22,(-6/(PERALTE!$U$22-PERALTE!$S$22)*(RASANTE!F116-PERALTE!$S$22)-2),IF(RASANTE!F116&lt;=PERALTE!$X$22,-8,IF(RASANTE!F116&lt;=PERALTE!$Z$22,(-6/(PERALTE!$X$22-PERALTE!$Z$22)*(RASANTE!F116-PERALTE!$Z$22)-2),IF(RASANTE!F116&lt;=PERALTE!$AB$22,-2))))),IF(AND(AH!$H$24="Derecha",RASANTE!F116&lt;=PERALTE!$AB$22),IF(RASANTE!F116&lt;=PERALTE!$Q$22,-2,IF(RASANTE!F116&lt;=PERALTE!$U$22,(10/(PERALTE!$U$22-PERALTE!$Q$22)*(RASANTE!F116-PERALTE!$Q$22)-2),IF(RASANTE!F116&lt;=PERALTE!$X$22,8,IF(RASANTE!F116&lt;=PERALTE!$AB$22,(10/(PERALTE!$X$22-PERALTE!$AB$22)*(RASANTE!F116-PERALTE!$AB$22)-2))))),IF(AND(AH!#REF!="Izquierda",RASANTE!F116&lt;=PERALTE!#REF!),IF(RASANTE!F116&lt;=PERALTE!#REF!,-2,IF(RASANTE!F116&lt;=PERALTE!#REF!,(-6/(PERALTE!#REF!-PERALTE!#REF!)*(RASANTE!F116-PERALTE!#REF!)-2),IF(RASANTE!F116&lt;=PERALTE!#REF!,-8,IF(RASANTE!F116&lt;=PERALTE!#REF!,(-6/(PERALTE!#REF!-PERALTE!#REF!)*(RASANTE!F116-PERALTE!#REF!)-2),IF(RASANTE!F116&lt;=PERALTE!#REF!,-2))))),IF(AND(AH!#REF!="Derecha",RASANTE!F116&lt;=PERALTE!#REF!),IF(RASANTE!F116&lt;=PERALTE!#REF!,-2,IF(RASANTE!F116&lt;=PERALTE!#REF!,(10/(PERALTE!#REF!-PERALTE!#REF!)*(RASANTE!F116-PERALTE!#REF!)-2),IF(RASANTE!F116&lt;=PERALTE!#REF!,8,IF(RASANTE!F116&lt;=PERALTE!#REF!,(10/(PERALTE!#REF!-PERALTE!#REF!)*(RASANTE!F116-PERALTE!#REF!)-2))))),IF(AND(AH!#REF!="Izquierda",RASANTE!F116&lt;=PERALTE!$AB$26),IF(RASANTE!F116&lt;=PERALTE!$S$26,-2,IF(RASANTE!F116&lt;=PERALTE!$U$26,(-6/(PERALTE!$U$26-PERALTE!$S$26)*(RASANTE!F116-PERALTE!$S$26)-2),IF(RASANTE!F116&lt;=PERALTE!$X$26,-8,IF(RASANTE!F116&lt;=PERALTE!$Z$26,(-6/(PERALTE!$X$26-PERALTE!$Z$26)*(RASANTE!F116-PERALTE!$Z$26)-2),IF(RASANTE!F116&lt;=PERALTE!$AB$26,-2))))),IF(AND(AH!#REF!="Derecha",RASANTE!F116&lt;=PERALTE!$AB$26),IF(RASANTE!F116&lt;=PERALTE!$Q$26,-2,IF(RASANTE!F116&lt;=PERALTE!$U$26,(10/(PERALTE!$U$26-PERALTE!$Q$26)*(RASANTE!F116-PERALTE!$Q$26)-2),IF(RASANTE!F116&lt;=PERALTE!$X$26,8,IF(RASANTE!F116&lt;=PERALTE!$AB$26,(10/(PERALTE!$X$26-PERALTE!$AB$26)*(RASANTE!F116-PERALTE!$AB$26)-2))))),IF(F116&lt;=PERALTE!#REF!,-2,"Abscisa fuera de la vía")))))))))))))))))))))</f>
        <v>-2</v>
      </c>
      <c r="I116" s="28">
        <f>+IF(AND(AH!$H$8="Derecha",RASANTE!F116&lt;=PERALTE!$AB$6),IF(RASANTE!F116&lt;=PERALTE!$S$6,-2,IF(RASANTE!F116&lt;=PERALTE!$U$6,(-6/(PERALTE!$U$6-PERALTE!$S$6)*(RASANTE!F116-PERALTE!$S$6)-2),IF(RASANTE!F116&lt;=PERALTE!$X$6,-8,IF(RASANTE!F116&lt;=PERALTE!$Z$6,(-6/(PERALTE!$X$6-PERALTE!$Z$6)*(RASANTE!F116-PERALTE!$Z$6)-2),IF(RASANTE!F116&lt;=PERALTE!$AB$6,-2))))),IF(AND(AH!$H$8="Izquierda",RASANTE!F116&lt;=PERALTE!$AB$6),IF(RASANTE!F116&lt;=PERALTE!$Q$6,-2,IF(RASANTE!F116&lt;=PERALTE!$U$6,(10/(PERALTE!$U$6-PERALTE!$Q$6)*(RASANTE!F116-PERALTE!$Q$6)-2),IF(RASANTE!F116&lt;=PERALTE!$X$6,8,IF(RASANTE!F116&lt;=PERALTE!$AB$6,(10/(PERALTE!$X$6-PERALTE!$AB$6)*(RASANTE!F116-PERALTE!$AB$6)-2))))),IF(AND(AH!$H$10="Derecha",RASANTE!F116&lt;=PERALTE!$AB$8),IF(RASANTE!F116&lt;=PERALTE!$S$8,-2,IF(RASANTE!F116&lt;=PERALTE!$U$8,(-6/(PERALTE!$U$8-PERALTE!$S$8)*(RASANTE!F116-PERALTE!$S$8)-2),IF(RASANTE!F116&lt;=PERALTE!$X$8,-8,IF(RASANTE!F116&lt;=PERALTE!$Z$8,(-6/(PERALTE!$X$8-PERALTE!$Z$8)*(RASANTE!F116-PERALTE!$Z$8)-2),IF(RASANTE!F116&lt;=PERALTE!$AB$8,-2))))),IF(AND(AH!$H$10="Izquierda",RASANTE!F116&lt;=PERALTE!$AB$8),IF(RASANTE!F116&lt;=PERALTE!$Q$8,-2,IF(RASANTE!F116&lt;=PERALTE!$U$8,(10/(PERALTE!$U$8-PERALTE!$Q$8)*(RASANTE!F116-PERALTE!$Q$8)-2),IF(RASANTE!F116&lt;=PERALTE!$X$8,8,IF(RASANTE!F116&lt;=PERALTE!$AB$8,(10/(PERALTE!$X$8-PERALTE!$AB$8)*(RASANTE!F116-PERALTE!$AB$8)-2))))),IF(AND(AH!$H$12="Derecha",RASANTE!F116&lt;=PERALTE!$AB$10),IF(RASANTE!F116&lt;=PERALTE!$S$10,-2,IF(RASANTE!F116&lt;=PERALTE!$U$10,(-6/(PERALTE!$U$10-PERALTE!$S$10)*(RASANTE!F116-PERALTE!$S$10)-2),IF(RASANTE!F116&lt;=PERALTE!$X$10,-8,IF(RASANTE!F116&lt;=PERALTE!$Z$10,(-6/(PERALTE!$X$10-PERALTE!$Z$10)*(RASANTE!F116-PERALTE!$Z$10)-2),IF(RASANTE!F116&lt;=PERALTE!$AB$10,-2))))),IF(AND(AH!$H$12="Izquierda",RASANTE!F116&lt;=PERALTE!$AB$10),IF(RASANTE!F116&lt;=PERALTE!$Q$10,-2,IF(RASANTE!F116&lt;=PERALTE!$U$10,(10/(PERALTE!$U$10-PERALTE!$Q$10)*(RASANTE!F116-PERALTE!$Q$10)-2),IF(RASANTE!F116&lt;=PERALTE!$X$10,8,IF(RASANTE!F116&lt;=PERALTE!$AB$10,(10/(PERALTE!$X$10-PERALTE!$AB$10)*(RASANTE!F116-PERALTE!$AB$10)-2))))),IF(AND(AH!$H$14="Derecha",RASANTE!F116&lt;=PERALTE!$AB$12),IF(RASANTE!F116&lt;=PERALTE!$S$12,-2,IF(RASANTE!F116&lt;=PERALTE!$U$12,(-6/(PERALTE!$U$12-PERALTE!$S$12)*(RASANTE!F116-PERALTE!$S$12)-2),IF(RASANTE!F116&lt;=PERALTE!$X$12,-8,IF(RASANTE!F116&lt;=PERALTE!$Z$12,(-6/(PERALTE!$X$12-PERALTE!$Z$12)*(RASANTE!F116-PERALTE!$Z$12)-2),IF(RASANTE!F116&lt;=PERALTE!$AB$12,-2))))),IF(AND(AH!$H$14="Izquierda",RASANTE!F116&lt;=PERALTE!$AB$12),IF(RASANTE!F116&lt;=PERALTE!$Q$12,-2,IF(RASANTE!F116&lt;=PERALTE!$U$12,(10/(PERALTE!$U$12-PERALTE!$Q$12)*(RASANTE!F116-PERALTE!$Q$12)-2),IF(RASANTE!F116&lt;=PERALTE!$X$12,8,IF(RASANTE!F116&lt;=PERALTE!$AB$12,(10/(PERALTE!$X$12-PERALTE!$AB$12)*(RASANTE!F116-PERALTE!$AB$12)-2))))),IF(AND(AH!$H$16="Derecha",RASANTE!F116&lt;=PERALTE!$AB$14),IF(RASANTE!F116&lt;=PERALTE!$S$14,-2,IF(RASANTE!F116&lt;=PERALTE!$U$14,(-6/(PERALTE!$U$14-PERALTE!$S$14)*(RASANTE!F116-PERALTE!$S$14)-2),IF(RASANTE!F116&lt;=PERALTE!$X$14,-8,IF(RASANTE!F116&lt;=PERALTE!$Z$14,(-6/(PERALTE!$X$14-PERALTE!$Z$14)*(RASANTE!F116-PERALTE!$Z$14)-2),IF(RASANTE!F116&lt;=PERALTE!$AB$14,-2))))),IF(AND(AH!$H$16="Izquierda",RASANTE!F116&lt;=PERALTE!$AB$14),IF(RASANTE!F116&lt;=PERALTE!$Q$14,-2,IF(RASANTE!F116&lt;=PERALTE!$U$14,(10/(PERALTE!$U$14-PERALTE!$Q$14)*(RASANTE!F116-PERALTE!$Q$14)-2),IF(RASANTE!F116&lt;=PERALTE!$X$14,8,IF(RASANTE!F116&lt;=PERALTE!$AB$14,(10/(PERALTE!$X$14-PERALTE!$AB$14)*(RASANTE!F116-PERALTE!$AB$14)-2))))),IF(AND(AH!$H$18="Derecha",RASANTE!F116&lt;=PERALTE!$AB$16),IF(RASANTE!F116&lt;=PERALTE!$S$16,-2,IF(RASANTE!F116&lt;=PERALTE!$U$16,(-6/(PERALTE!$U$16-PERALTE!$S$16)*(RASANTE!F116-PERALTE!$S$16)-2),IF(RASANTE!F116&lt;=PERALTE!$X$16,-8,IF(RASANTE!F116&lt;=PERALTE!$Z$16,(-6/(PERALTE!$X$16-PERALTE!$Z$16)*(RASANTE!F116-PERALTE!$Z$16)-2),IF(RASANTE!F116&lt;=PERALTE!$AB$16,-2))))),IF(AND(AH!$H$18="Izquierda",RASANTE!F116&lt;=PERALTE!$AB$16),IF(RASANTE!F116&lt;=PERALTE!$Q$16,-2,IF(RASANTE!F116&lt;=PERALTE!$U$16,(10/(PERALTE!$U$16-PERALTE!$Q$16)*(RASANTE!F116-PERALTE!$Q$16)-2),IF(RASANTE!F116&lt;=PERALTE!$X$16,8,IF(RASANTE!F116&lt;=PERALTE!$AB$16,(10/(PERALTE!$X$16-PERALTE!$AB$16)*(RASANTE!F116-PERALTE!$AB$16)-2))))),IF(AND(AH!$H$20="Derecha",RASANTE!F116&lt;=PERALTE!$AB$18),IF(RASANTE!F116&lt;=PERALTE!$S$18,-2,IF(RASANTE!F116&lt;=PERALTE!$U$18,(-6/(PERALTE!$U$18-PERALTE!$S$18)*(RASANTE!F116-PERALTE!$S$18)-2),IF(RASANTE!F116&lt;=PERALTE!$X$18,-8,IF(RASANTE!F116&lt;=PERALTE!$Z$18,(-6/(PERALTE!$X$18-PERALTE!$Z$18)*(RASANTE!F116-PERALTE!$Z$18)-2),IF(RASANTE!F116&lt;=PERALTE!$AB$18,-2))))),IF(AND(AH!$H$20="Izquierda",RASANTE!F116&lt;=PERALTE!$AB$18),IF(RASANTE!F116&lt;=PERALTE!$Q$18,-2,IF(RASANTE!F116&lt;=PERALTE!$U$18,(10/(PERALTE!$U$18-PERALTE!$Q$18)*(RASANTE!F116-PERALTE!$Q$18)-2),IF(RASANTE!F116&lt;=PERALTE!$X$18,8,IF(RASANTE!F116&lt;=PERALTE!$AB$18,(10/(PERALTE!$X$18-PERALTE!$AB$18)*(RASANTE!F116-PERALTE!$AB$18)-2))))),IF(AND(AH!$H$24="Derecha",RASANTE!F116&lt;=PERALTE!$AB$22),IF(RASANTE!F116&lt;=PERALTE!$S$22,-2,IF(RASANTE!F116&lt;=PERALTE!$U$22,(-6/(PERALTE!$U$22-PERALTE!$S$22)*(RASANTE!F116-PERALTE!$S$22)-2),IF(RASANTE!F116&lt;=PERALTE!$X$22,-8,IF(RASANTE!F116&lt;=PERALTE!$Z$22,(-6/(PERALTE!$X$22-PERALTE!$Z$22)*(RASANTE!F116-PERALTE!$Z$22)-2),IF(RASANTE!F116&lt;=PERALTE!$AB$22,-2))))),IF(AND(AH!$H$24="Izquierda",RASANTE!F116&lt;=PERALTE!$AB$22),IF(RASANTE!F116&lt;=PERALTE!$Q$22,-2,IF(RASANTE!F116&lt;=PERALTE!$U$22,(10/(PERALTE!$U$22-PERALTE!$Q$22)*(RASANTE!F116-PERALTE!$Q$22)-2),IF(RASANTE!F116&lt;=PERALTE!$X$22,8,IF(RASANTE!F116&lt;=PERALTE!$AB$22,(10/(PERALTE!$X$22-PERALTE!$AB$22)*(RASANTE!F116-PERALTE!$AB$22)-2))))),IF(AND(AH!#REF!="Derecha",RASANTE!F116&lt;=PERALTE!#REF!),IF(RASANTE!F116&lt;=PERALTE!#REF!,-2,IF(RASANTE!F116&lt;=PERALTE!#REF!,(-6/(PERALTE!#REF!-PERALTE!#REF!)*(RASANTE!F116-PERALTE!#REF!)-2),IF(RASANTE!F116&lt;=PERALTE!#REF!,-8,IF(RASANTE!F116&lt;=PERALTE!#REF!,(-6/(PERALTE!#REF!-PERALTE!#REF!)*(RASANTE!F116-PERALTE!#REF!)-2),IF(RASANTE!F116&lt;=PERALTE!#REF!,-2))))),IF(AND(AH!#REF!="Izquierda",RASANTE!F116&lt;=PERALTE!#REF!),IF(RASANTE!F116&lt;=PERALTE!#REF!,-2,IF(RASANTE!F116&lt;=PERALTE!#REF!,(10/(PERALTE!#REF!-PERALTE!#REF!)*(RASANTE!F116-PERALTE!#REF!)-2),IF(RASANTE!F116&lt;=PERALTE!#REF!,8,IF(RASANTE!F116&lt;=PERALTE!#REF!,(10/(PERALTE!#REF!-PERALTE!#REF!)*(RASANTE!F116-PERALTE!#REF!)-2))))),IF(AND(AH!#REF!="Derecha",RASANTE!F116&lt;=PERALTE!$AB$26),IF(RASANTE!F116&lt;=PERALTE!$S$26,-2,IF(RASANTE!F116&lt;=PERALTE!$U$26,(-6/(PERALTE!$U$26-PERALTE!$S$26)*(RASANTE!F116-PERALTE!$S$26)-2),IF(RASANTE!F116&lt;=PERALTE!$X$26,-8,IF(RASANTE!F116&lt;=PERALTE!$Z$26,(-6/(PERALTE!$X$26-PERALTE!$Z$26)*(RASANTE!F116-PERALTE!$Z$26)-2),IF(RASANTE!F116&lt;=PERALTE!$AB$26,-2))))),IF(AND(AH!#REF!="Izquierda",RASANTE!F116&lt;=PERALTE!$AB$26),IF(RASANTE!F116&lt;=PERALTE!$Q$26,-2,IF(RASANTE!F116&lt;=PERALTE!$U$26,(10/(PERALTE!$U$26-PERALTE!$Q$26)*(RASANTE!F116-PERALTE!$Q$26)-2),IF(RASANTE!F116&lt;=PERALTE!$X$26,8,IF(RASANTE!F116&lt;=PERALTE!$AB$26,(10/(PERALTE!$X$26-PERALTE!$AB$26)*(RASANTE!F116-PERALTE!$AB$26)-2))))),IF(F116&lt;=PERALTE!#REF!,-2,"Abscisa fuera de la vía")))))))))))))))))))))</f>
        <v>-2</v>
      </c>
      <c r="J116" s="28">
        <f t="shared" si="4"/>
        <v>1630.4966904433336</v>
      </c>
      <c r="K116" s="28">
        <f>+IF(AND(AV!$S$6&lt;F213,F213&lt;=AV!$T$6),AV!$P$6*((AV!$S$6-RASANTE!F213)/(AV!$N$6))^2,IF(AND(AV!$T$6&lt;RASANTE!F213,F213&lt;AV!$U$6),AV!$P$6*((AV!$U$6-RASANTE!F213)/(AV!$O$6))^2,IF(AND(AV!$S$8&lt;F213,F213&lt;=AV!$T$8),AV!$P$8*((AV!$S$8-RASANTE!F213)/(AV!$N$8))^2,IF(AND(AV!$T$8&lt;RASANTE!F213,F213&lt;AV!$U$8),AV!$P$8*((AV!$U$8-RASANTE!F213)/(AV!$O$8))^2,IF(AND(AV!$S$10&lt;F213,F213&lt;=AV!$T$10),AV!$P$10*((AV!$S$10-RASANTE!F213)/(AV!$N$10))^2,IF(AND(AV!$T$10&lt;RASANTE!F213,F213&lt;AV!$U$10),AV!$P$10*((AV!$U$10-RASANTE!F213)/(AV!$O$10))^2,IF(AND(AV!$S$12&lt;F213,F213&lt;=AV!$T$12),AV!$P$12*((AV!$S$12-RASANTE!F213)/(AV!$N$12))^2,IF(AND(AV!$T$12&lt;RASANTE!F213,F213&lt;AV!$U$12),AV!$P$12*((AV!$U$12-RASANTE!F213)/(AV!$O$12))^2,IF(AND(AV!$S$14&lt;F213,F213&lt;=AV!$T$14),AV!$P$14*((AV!$S$14-RASANTE!F213)/(AV!$N$14))^2,IF(AND(AV!$T$14&lt;RASANTE!F213,F213&lt;AV!$U$14),AV!$P$14*((AV!$U$14-RASANTE!F213)/(AV!$O$14))^2,IF(AND(AV!$S$16&lt;F213,F213&lt;=AV!$T$16),AV!$P$16*((AV!$S$16-RASANTE!F213)/(AV!$N$16))^2,IF(AND(AV!$T$16&lt;RASANTE!F213,F213&lt;AV!$U$16),AV!$P$16*((AV!$U$16-RASANTE!F213)/(AV!$O$16))^2,IF(AND(AV!$S$18&lt;F213,F213&lt;=AV!$T$18),AV!$P$18*((AV!$S$18-RASANTE!F213)/(AV!$N$18))^2,IF(AND(AV!$T$18&lt;RASANTE!F213,F213&lt;AV!$U$18),AV!$P$18*((AV!$U$18-RASANTE!F213)/(AV!$O$18))^2,IF(AND(AV!$S$20&lt;F213,F213&lt;=AV!$T$20),AV!$P$20*((AV!$S$20-RASANTE!F213)/(AV!$N$20))^2,IF(AND(AV!$T$20&lt;RASANTE!F213,F213&lt;AV!$U$20),AV!$P$20*((AV!$U$20-RASANTE!F213)/(AV!$O$20))^2,IF(AND(AV!$S$22&lt;F213,F213&lt;=AV!$T$22),AV!$P$22*((AV!$S$22-RASANTE!F213)/(AV!$N$22))^2,IF(AND(AV!$T$22&lt;RASANTE!F213,F213&lt;AV!$U$22),AV!$P$22*((AV!$U$22-RASANTE!F213)/(AV!$O$22))^2,IF(AND(AV!$S$24&lt;F213,F213&lt;=AV!$T$24),AV!$P$24*((AV!$S$24-RASANTE!F213)/(AV!$N$24))^2,IF(AND(AV!$T$24&lt;RASANTE!F213,F213&lt;AV!$U$24),AV!$P$24*((AV!$U$24-RASANTE!F213)/(AV!$O$24))^2,0))))))))))))))))))))</f>
        <v>0</v>
      </c>
      <c r="L116" s="28">
        <f>+M116+H116%*PERALTE!$C$32</f>
        <v>1630.4266904433337</v>
      </c>
      <c r="M116" s="28">
        <f t="shared" si="5"/>
        <v>1630.4966904433336</v>
      </c>
      <c r="N116" s="28">
        <f>+M116+I116%*PERALTE!$C$32</f>
        <v>1630.4266904433337</v>
      </c>
      <c r="O116" s="92"/>
      <c r="P116" s="84"/>
      <c r="Q116" s="84"/>
      <c r="R116" s="84"/>
      <c r="S116" s="84"/>
      <c r="T116" s="84"/>
      <c r="U116" s="84"/>
      <c r="V116" s="84"/>
      <c r="W116" s="84"/>
      <c r="X116" s="84"/>
      <c r="Y116" s="84"/>
    </row>
    <row r="117" spans="1:25" ht="15.75" customHeight="1" x14ac:dyDescent="0.2">
      <c r="A117" s="322"/>
      <c r="B117" s="86"/>
      <c r="C117" s="86"/>
      <c r="D117" s="86"/>
      <c r="E117" s="91"/>
      <c r="F117" s="34">
        <v>710</v>
      </c>
      <c r="G117" s="88">
        <f>IF(F117&lt;=AV!$T$6,AV!$C$5,IF(RASANTE!F117&lt;=AV!$T$8,AV!$C$7,IF(RASANTE!F117&lt;=AV!$T$10,AV!$C$9,IF(RASANTE!F117&lt;=AV!$T$12,AV!#REF!,IF(RASANTE!F117&lt;=AV!$T$14,AV!$C$11,IF(RASANTE!F117&lt;=AV!$T$16,AV!$C$13, IF(RASANTE!F117&lt;=AV!$T$18,AV!$C$15,IF(RASANTE!F117&lt;=AV!$T$20,AV!$C$19,IF(RASANTE!F117&lt;=AV!$T$22,AV!$C$21,IF(RASANTE!F117&lt;=AV!$T$24,AV!$C$23,AV!$C$25))))))))))</f>
        <v>-3</v>
      </c>
      <c r="H117" s="28">
        <f>+IF(AND(AH!$H$8="Izquierda",RASANTE!F117&lt;=PERALTE!$AB$6),IF(RASANTE!F117&lt;=PERALTE!$S$6,-2,IF(RASANTE!F117&lt;=PERALTE!$U$6,(-6/(PERALTE!$U$6-PERALTE!$S$6)*(RASANTE!F117-PERALTE!$S$6)-2),IF(RASANTE!F117&lt;=PERALTE!$X$6,-8,IF(RASANTE!F117&lt;=PERALTE!$Z$6,(-6/(PERALTE!$X$6-PERALTE!$Z$6)*(RASANTE!F117-PERALTE!$Z$6)-2),IF(RASANTE!F117&lt;=PERALTE!$AB$6,-2))))),IF(AND(AH!$H$8="Derecha",RASANTE!F117&lt;=PERALTE!$AB$6),IF(RASANTE!F117&lt;=PERALTE!$Q$6,-2,IF(RASANTE!F117&lt;=PERALTE!$U$6,(10/(PERALTE!$U$6-PERALTE!$Q$6)*(RASANTE!F117-PERALTE!$Q$6)-2),IF(RASANTE!F117&lt;=PERALTE!$X$6,8,IF(RASANTE!F117&lt;=PERALTE!$AB$6,(10/(PERALTE!$X$6-PERALTE!$AB$6)*(RASANTE!F117-PERALTE!$AB$6)-2))))),IF(AND(AH!$H$10="Izquierda",RASANTE!F117&lt;=PERALTE!$AB$8),IF(RASANTE!F117&lt;=PERALTE!$S$8,-2,IF(RASANTE!F117&lt;=PERALTE!$U$8,(-6/(PERALTE!$U$8-PERALTE!$S$8)*(RASANTE!F117-PERALTE!$S$8)-2),IF(RASANTE!F117&lt;=PERALTE!$X$8,-8,IF(RASANTE!F117&lt;=PERALTE!$Z$8,(-6/(PERALTE!$X$8-PERALTE!$Z$8)*(RASANTE!F117-PERALTE!$Z$8)-2),IF(RASANTE!F117&lt;=PERALTE!$AB$8,-2))))),IF(AND(AH!$H$10="Derecha",RASANTE!F117&lt;=PERALTE!$AB$8),IF(RASANTE!F117&lt;=PERALTE!$Q$8,-2,IF(RASANTE!F117&lt;=PERALTE!$U$8,(10/(PERALTE!$U$8-PERALTE!$Q$8)*(RASANTE!F117-PERALTE!$Q$8)-2),IF(RASANTE!F117&lt;=PERALTE!$X$8,8,IF(RASANTE!F117&lt;=PERALTE!$AB$8,(10/(PERALTE!$X$8-PERALTE!$AB$8)*(RASANTE!F117-PERALTE!$AB$8)-2))))),IF(AND(AH!$H$12="Izquierda",RASANTE!F117&lt;=PERALTE!$AB$10),IF(RASANTE!F117&lt;=PERALTE!$S$10,-2,IF(RASANTE!F117&lt;=PERALTE!$U$10,(-6/(PERALTE!$U$10-PERALTE!$S$10)*(RASANTE!F117-PERALTE!$S$10)-2),IF(RASANTE!F117&lt;=PERALTE!$X$10,-8,IF(RASANTE!F117&lt;=PERALTE!$Z$10,(-6/(PERALTE!$X$10-PERALTE!$Z$10)*(RASANTE!F117-PERALTE!$Z$10)-2),IF(RASANTE!F117&lt;=PERALTE!$AB$10,-2))))),IF(AND(AH!$H$12="Derecha",RASANTE!F117&lt;=PERALTE!$AB$10),IF(RASANTE!F117&lt;=PERALTE!$Q$10,-2,IF(RASANTE!F117&lt;=PERALTE!$U$10,(10/(PERALTE!$U$10-PERALTE!$Q$10)*(RASANTE!F117-PERALTE!$Q$10)-2),IF(RASANTE!F117&lt;=PERALTE!$X$10,8,IF(RASANTE!F117&lt;=PERALTE!$AB$10,(10/(PERALTE!$X$10-PERALTE!$AB$10)*(RASANTE!F117-PERALTE!$AB$10)-2))))),IF(AND(AH!$H$14="Izquierda",RASANTE!F117&lt;=PERALTE!$AB$12),IF(RASANTE!F117&lt;=PERALTE!$S$12,-2,IF(RASANTE!F117&lt;=PERALTE!$U$12,(-6/(PERALTE!$U$12-PERALTE!$S$12)*(RASANTE!F117-PERALTE!$S$12)-2),IF(RASANTE!F117&lt;=PERALTE!$X$12,-8,IF(RASANTE!F117&lt;=PERALTE!$Z$12,(-6/(PERALTE!$X$12-PERALTE!$Z$12)*(RASANTE!F117-PERALTE!$Z$12)-2),IF(RASANTE!F117&lt;=PERALTE!$AB$12,-2))))),IF(AND(AH!$H$14="Derecha",RASANTE!F117&lt;=PERALTE!$AB$12),IF(RASANTE!F117&lt;=PERALTE!$Q$12,-2,IF(RASANTE!F117&lt;=PERALTE!$U$12,(10/(PERALTE!$U$12-PERALTE!$Q$12)*(RASANTE!F117-PERALTE!$Q$12)-2),IF(RASANTE!F117&lt;=PERALTE!$X$12,8,IF(RASANTE!F117&lt;=PERALTE!$AB$12,(10/(PERALTE!$X$12-PERALTE!$AB$12)*(RASANTE!F117-PERALTE!$AB$12)-2))))),IF(AND(AH!$H$16="Izquierda",RASANTE!F117&lt;=PERALTE!$AB$14),IF(RASANTE!F117&lt;=PERALTE!$S$14,-2,IF(RASANTE!F117&lt;=PERALTE!$U$14,(-6/(PERALTE!$U$14-PERALTE!$S$14)*(RASANTE!F117-PERALTE!$S$14)-2),IF(RASANTE!F117&lt;=PERALTE!$X$14,-8,IF(RASANTE!F117&lt;=PERALTE!$Z$14,(-6/(PERALTE!$X$14-PERALTE!$Z$14)*(RASANTE!F117-PERALTE!$Z$14)-2),IF(RASANTE!F117&lt;=PERALTE!$AB$14,-2))))),IF(AND(AH!$H$16="Derecha",RASANTE!F117&lt;=PERALTE!$AB$14),IF(RASANTE!F117&lt;=PERALTE!$Q$14,-2,IF(RASANTE!F117&lt;=PERALTE!$U$14,(10/(PERALTE!$U$14-PERALTE!$Q$14)*(RASANTE!F117-PERALTE!$Q$14)-2),IF(RASANTE!F117&lt;=PERALTE!$X$14,8,IF(RASANTE!F117&lt;=PERALTE!$AB$14,(10/(PERALTE!$X$14-PERALTE!$AB$14)*(RASANTE!F117-PERALTE!$AB$14)-2))))),IF(AND(AH!$H$18="Izquierda",RASANTE!F117&lt;=PERALTE!$AB$16),IF(RASANTE!F117&lt;=PERALTE!$S$16,-2,IF(RASANTE!F117&lt;=PERALTE!$U$16,(-6/(PERALTE!$U$16-PERALTE!$S$16)*(RASANTE!F117-PERALTE!$S$16)-2),IF(RASANTE!F117&lt;=PERALTE!$X$16,-8,IF(RASANTE!F117&lt;=PERALTE!$Z$16,(-6/(PERALTE!$X$16-PERALTE!$Z$16)*(RASANTE!F117-PERALTE!$Z$16)-2),IF(RASANTE!F117&lt;=PERALTE!$AB$16,-2))))),IF(AND(AH!$H$18="Derecha",RASANTE!F117&lt;=PERALTE!$AB$16),IF(RASANTE!F117&lt;=PERALTE!$Q$16,-2,IF(RASANTE!F117&lt;=PERALTE!$U$16,(10/(PERALTE!$U$16-PERALTE!$Q$16)*(RASANTE!F117-PERALTE!$Q$16)-2),IF(RASANTE!F117&lt;=PERALTE!$X$16,8,IF(RASANTE!F117&lt;=PERALTE!$AB$16,(10/(PERALTE!$X$16-PERALTE!$AB$16)*(RASANTE!F117-PERALTE!$AB$16)-2))))),IF(AND(AH!$H$20="Izquierda",RASANTE!F117&lt;=PERALTE!$AB$18),IF(RASANTE!F117&lt;=PERALTE!$S$18,-2,IF(RASANTE!F117&lt;=PERALTE!$U$18,(-6/(PERALTE!$U$18-PERALTE!$S$18)*(RASANTE!F117-PERALTE!$S$18)-2),IF(RASANTE!F117&lt;=PERALTE!$X$18,-8,IF(RASANTE!F117&lt;=PERALTE!$Z$18,(-6/(PERALTE!$X$18-PERALTE!$Z$18)*(RASANTE!F117-PERALTE!$Z$18)-2),IF(RASANTE!F117&lt;=PERALTE!$AB$18,-2))))),IF(AND(AH!$H$20="Derecha",RASANTE!F117&lt;=PERALTE!$AB$18),IF(RASANTE!F117&lt;=PERALTE!$Q$18,-2,IF(RASANTE!F117&lt;=PERALTE!$U$18,(10/(PERALTE!$U$18-PERALTE!$Q$18)*(RASANTE!F117-PERALTE!$Q$18)-2),IF(RASANTE!F117&lt;=PERALTE!$X$18,8,IF(RASANTE!F117&lt;=PERALTE!$AB$18,(10/(PERALTE!$X$18-PERALTE!$AB$18)*(RASANTE!F117-PERALTE!$AB$18)-2))))),IF(AND(AH!$H$24="Izquierda",RASANTE!F117&lt;=PERALTE!$AB$22),IF(RASANTE!F117&lt;=PERALTE!$S$22,-2,IF(RASANTE!F117&lt;=PERALTE!$U$22,(-6/(PERALTE!$U$22-PERALTE!$S$22)*(RASANTE!F117-PERALTE!$S$22)-2),IF(RASANTE!F117&lt;=PERALTE!$X$22,-8,IF(RASANTE!F117&lt;=PERALTE!$Z$22,(-6/(PERALTE!$X$22-PERALTE!$Z$22)*(RASANTE!F117-PERALTE!$Z$22)-2),IF(RASANTE!F117&lt;=PERALTE!$AB$22,-2))))),IF(AND(AH!$H$24="Derecha",RASANTE!F117&lt;=PERALTE!$AB$22),IF(RASANTE!F117&lt;=PERALTE!$Q$22,-2,IF(RASANTE!F117&lt;=PERALTE!$U$22,(10/(PERALTE!$U$22-PERALTE!$Q$22)*(RASANTE!F117-PERALTE!$Q$22)-2),IF(RASANTE!F117&lt;=PERALTE!$X$22,8,IF(RASANTE!F117&lt;=PERALTE!$AB$22,(10/(PERALTE!$X$22-PERALTE!$AB$22)*(RASANTE!F117-PERALTE!$AB$22)-2))))),IF(AND(AH!#REF!="Izquierda",RASANTE!F117&lt;=PERALTE!#REF!),IF(RASANTE!F117&lt;=PERALTE!#REF!,-2,IF(RASANTE!F117&lt;=PERALTE!#REF!,(-6/(PERALTE!#REF!-PERALTE!#REF!)*(RASANTE!F117-PERALTE!#REF!)-2),IF(RASANTE!F117&lt;=PERALTE!#REF!,-8,IF(RASANTE!F117&lt;=PERALTE!#REF!,(-6/(PERALTE!#REF!-PERALTE!#REF!)*(RASANTE!F117-PERALTE!#REF!)-2),IF(RASANTE!F117&lt;=PERALTE!#REF!,-2))))),IF(AND(AH!#REF!="Derecha",RASANTE!F117&lt;=PERALTE!#REF!),IF(RASANTE!F117&lt;=PERALTE!#REF!,-2,IF(RASANTE!F117&lt;=PERALTE!#REF!,(10/(PERALTE!#REF!-PERALTE!#REF!)*(RASANTE!F117-PERALTE!#REF!)-2),IF(RASANTE!F117&lt;=PERALTE!#REF!,8,IF(RASANTE!F117&lt;=PERALTE!#REF!,(10/(PERALTE!#REF!-PERALTE!#REF!)*(RASANTE!F117-PERALTE!#REF!)-2))))),IF(AND(AH!#REF!="Izquierda",RASANTE!F117&lt;=PERALTE!$AB$26),IF(RASANTE!F117&lt;=PERALTE!$S$26,-2,IF(RASANTE!F117&lt;=PERALTE!$U$26,(-6/(PERALTE!$U$26-PERALTE!$S$26)*(RASANTE!F117-PERALTE!$S$26)-2),IF(RASANTE!F117&lt;=PERALTE!$X$26,-8,IF(RASANTE!F117&lt;=PERALTE!$Z$26,(-6/(PERALTE!$X$26-PERALTE!$Z$26)*(RASANTE!F117-PERALTE!$Z$26)-2),IF(RASANTE!F117&lt;=PERALTE!$AB$26,-2))))),IF(AND(AH!#REF!="Derecha",RASANTE!F117&lt;=PERALTE!$AB$26),IF(RASANTE!F117&lt;=PERALTE!$Q$26,-2,IF(RASANTE!F117&lt;=PERALTE!$U$26,(10/(PERALTE!$U$26-PERALTE!$Q$26)*(RASANTE!F117-PERALTE!$Q$26)-2),IF(RASANTE!F117&lt;=PERALTE!$X$26,8,IF(RASANTE!F117&lt;=PERALTE!$AB$26,(10/(PERALTE!$X$26-PERALTE!$AB$26)*(RASANTE!F117-PERALTE!$AB$26)-2))))),IF(F117&lt;=PERALTE!#REF!,-2,"Abscisa fuera de la vía")))))))))))))))))))))</f>
        <v>-2</v>
      </c>
      <c r="I117" s="28">
        <f>+IF(AND(AH!$H$8="Derecha",RASANTE!F117&lt;=PERALTE!$AB$6),IF(RASANTE!F117&lt;=PERALTE!$S$6,-2,IF(RASANTE!F117&lt;=PERALTE!$U$6,(-6/(PERALTE!$U$6-PERALTE!$S$6)*(RASANTE!F117-PERALTE!$S$6)-2),IF(RASANTE!F117&lt;=PERALTE!$X$6,-8,IF(RASANTE!F117&lt;=PERALTE!$Z$6,(-6/(PERALTE!$X$6-PERALTE!$Z$6)*(RASANTE!F117-PERALTE!$Z$6)-2),IF(RASANTE!F117&lt;=PERALTE!$AB$6,-2))))),IF(AND(AH!$H$8="Izquierda",RASANTE!F117&lt;=PERALTE!$AB$6),IF(RASANTE!F117&lt;=PERALTE!$Q$6,-2,IF(RASANTE!F117&lt;=PERALTE!$U$6,(10/(PERALTE!$U$6-PERALTE!$Q$6)*(RASANTE!F117-PERALTE!$Q$6)-2),IF(RASANTE!F117&lt;=PERALTE!$X$6,8,IF(RASANTE!F117&lt;=PERALTE!$AB$6,(10/(PERALTE!$X$6-PERALTE!$AB$6)*(RASANTE!F117-PERALTE!$AB$6)-2))))),IF(AND(AH!$H$10="Derecha",RASANTE!F117&lt;=PERALTE!$AB$8),IF(RASANTE!F117&lt;=PERALTE!$S$8,-2,IF(RASANTE!F117&lt;=PERALTE!$U$8,(-6/(PERALTE!$U$8-PERALTE!$S$8)*(RASANTE!F117-PERALTE!$S$8)-2),IF(RASANTE!F117&lt;=PERALTE!$X$8,-8,IF(RASANTE!F117&lt;=PERALTE!$Z$8,(-6/(PERALTE!$X$8-PERALTE!$Z$8)*(RASANTE!F117-PERALTE!$Z$8)-2),IF(RASANTE!F117&lt;=PERALTE!$AB$8,-2))))),IF(AND(AH!$H$10="Izquierda",RASANTE!F117&lt;=PERALTE!$AB$8),IF(RASANTE!F117&lt;=PERALTE!$Q$8,-2,IF(RASANTE!F117&lt;=PERALTE!$U$8,(10/(PERALTE!$U$8-PERALTE!$Q$8)*(RASANTE!F117-PERALTE!$Q$8)-2),IF(RASANTE!F117&lt;=PERALTE!$X$8,8,IF(RASANTE!F117&lt;=PERALTE!$AB$8,(10/(PERALTE!$X$8-PERALTE!$AB$8)*(RASANTE!F117-PERALTE!$AB$8)-2))))),IF(AND(AH!$H$12="Derecha",RASANTE!F117&lt;=PERALTE!$AB$10),IF(RASANTE!F117&lt;=PERALTE!$S$10,-2,IF(RASANTE!F117&lt;=PERALTE!$U$10,(-6/(PERALTE!$U$10-PERALTE!$S$10)*(RASANTE!F117-PERALTE!$S$10)-2),IF(RASANTE!F117&lt;=PERALTE!$X$10,-8,IF(RASANTE!F117&lt;=PERALTE!$Z$10,(-6/(PERALTE!$X$10-PERALTE!$Z$10)*(RASANTE!F117-PERALTE!$Z$10)-2),IF(RASANTE!F117&lt;=PERALTE!$AB$10,-2))))),IF(AND(AH!$H$12="Izquierda",RASANTE!F117&lt;=PERALTE!$AB$10),IF(RASANTE!F117&lt;=PERALTE!$Q$10,-2,IF(RASANTE!F117&lt;=PERALTE!$U$10,(10/(PERALTE!$U$10-PERALTE!$Q$10)*(RASANTE!F117-PERALTE!$Q$10)-2),IF(RASANTE!F117&lt;=PERALTE!$X$10,8,IF(RASANTE!F117&lt;=PERALTE!$AB$10,(10/(PERALTE!$X$10-PERALTE!$AB$10)*(RASANTE!F117-PERALTE!$AB$10)-2))))),IF(AND(AH!$H$14="Derecha",RASANTE!F117&lt;=PERALTE!$AB$12),IF(RASANTE!F117&lt;=PERALTE!$S$12,-2,IF(RASANTE!F117&lt;=PERALTE!$U$12,(-6/(PERALTE!$U$12-PERALTE!$S$12)*(RASANTE!F117-PERALTE!$S$12)-2),IF(RASANTE!F117&lt;=PERALTE!$X$12,-8,IF(RASANTE!F117&lt;=PERALTE!$Z$12,(-6/(PERALTE!$X$12-PERALTE!$Z$12)*(RASANTE!F117-PERALTE!$Z$12)-2),IF(RASANTE!F117&lt;=PERALTE!$AB$12,-2))))),IF(AND(AH!$H$14="Izquierda",RASANTE!F117&lt;=PERALTE!$AB$12),IF(RASANTE!F117&lt;=PERALTE!$Q$12,-2,IF(RASANTE!F117&lt;=PERALTE!$U$12,(10/(PERALTE!$U$12-PERALTE!$Q$12)*(RASANTE!F117-PERALTE!$Q$12)-2),IF(RASANTE!F117&lt;=PERALTE!$X$12,8,IF(RASANTE!F117&lt;=PERALTE!$AB$12,(10/(PERALTE!$X$12-PERALTE!$AB$12)*(RASANTE!F117-PERALTE!$AB$12)-2))))),IF(AND(AH!$H$16="Derecha",RASANTE!F117&lt;=PERALTE!$AB$14),IF(RASANTE!F117&lt;=PERALTE!$S$14,-2,IF(RASANTE!F117&lt;=PERALTE!$U$14,(-6/(PERALTE!$U$14-PERALTE!$S$14)*(RASANTE!F117-PERALTE!$S$14)-2),IF(RASANTE!F117&lt;=PERALTE!$X$14,-8,IF(RASANTE!F117&lt;=PERALTE!$Z$14,(-6/(PERALTE!$X$14-PERALTE!$Z$14)*(RASANTE!F117-PERALTE!$Z$14)-2),IF(RASANTE!F117&lt;=PERALTE!$AB$14,-2))))),IF(AND(AH!$H$16="Izquierda",RASANTE!F117&lt;=PERALTE!$AB$14),IF(RASANTE!F117&lt;=PERALTE!$Q$14,-2,IF(RASANTE!F117&lt;=PERALTE!$U$14,(10/(PERALTE!$U$14-PERALTE!$Q$14)*(RASANTE!F117-PERALTE!$Q$14)-2),IF(RASANTE!F117&lt;=PERALTE!$X$14,8,IF(RASANTE!F117&lt;=PERALTE!$AB$14,(10/(PERALTE!$X$14-PERALTE!$AB$14)*(RASANTE!F117-PERALTE!$AB$14)-2))))),IF(AND(AH!$H$18="Derecha",RASANTE!F117&lt;=PERALTE!$AB$16),IF(RASANTE!F117&lt;=PERALTE!$S$16,-2,IF(RASANTE!F117&lt;=PERALTE!$U$16,(-6/(PERALTE!$U$16-PERALTE!$S$16)*(RASANTE!F117-PERALTE!$S$16)-2),IF(RASANTE!F117&lt;=PERALTE!$X$16,-8,IF(RASANTE!F117&lt;=PERALTE!$Z$16,(-6/(PERALTE!$X$16-PERALTE!$Z$16)*(RASANTE!F117-PERALTE!$Z$16)-2),IF(RASANTE!F117&lt;=PERALTE!$AB$16,-2))))),IF(AND(AH!$H$18="Izquierda",RASANTE!F117&lt;=PERALTE!$AB$16),IF(RASANTE!F117&lt;=PERALTE!$Q$16,-2,IF(RASANTE!F117&lt;=PERALTE!$U$16,(10/(PERALTE!$U$16-PERALTE!$Q$16)*(RASANTE!F117-PERALTE!$Q$16)-2),IF(RASANTE!F117&lt;=PERALTE!$X$16,8,IF(RASANTE!F117&lt;=PERALTE!$AB$16,(10/(PERALTE!$X$16-PERALTE!$AB$16)*(RASANTE!F117-PERALTE!$AB$16)-2))))),IF(AND(AH!$H$20="Derecha",RASANTE!F117&lt;=PERALTE!$AB$18),IF(RASANTE!F117&lt;=PERALTE!$S$18,-2,IF(RASANTE!F117&lt;=PERALTE!$U$18,(-6/(PERALTE!$U$18-PERALTE!$S$18)*(RASANTE!F117-PERALTE!$S$18)-2),IF(RASANTE!F117&lt;=PERALTE!$X$18,-8,IF(RASANTE!F117&lt;=PERALTE!$Z$18,(-6/(PERALTE!$X$18-PERALTE!$Z$18)*(RASANTE!F117-PERALTE!$Z$18)-2),IF(RASANTE!F117&lt;=PERALTE!$AB$18,-2))))),IF(AND(AH!$H$20="Izquierda",RASANTE!F117&lt;=PERALTE!$AB$18),IF(RASANTE!F117&lt;=PERALTE!$Q$18,-2,IF(RASANTE!F117&lt;=PERALTE!$U$18,(10/(PERALTE!$U$18-PERALTE!$Q$18)*(RASANTE!F117-PERALTE!$Q$18)-2),IF(RASANTE!F117&lt;=PERALTE!$X$18,8,IF(RASANTE!F117&lt;=PERALTE!$AB$18,(10/(PERALTE!$X$18-PERALTE!$AB$18)*(RASANTE!F117-PERALTE!$AB$18)-2))))),IF(AND(AH!$H$24="Derecha",RASANTE!F117&lt;=PERALTE!$AB$22),IF(RASANTE!F117&lt;=PERALTE!$S$22,-2,IF(RASANTE!F117&lt;=PERALTE!$U$22,(-6/(PERALTE!$U$22-PERALTE!$S$22)*(RASANTE!F117-PERALTE!$S$22)-2),IF(RASANTE!F117&lt;=PERALTE!$X$22,-8,IF(RASANTE!F117&lt;=PERALTE!$Z$22,(-6/(PERALTE!$X$22-PERALTE!$Z$22)*(RASANTE!F117-PERALTE!$Z$22)-2),IF(RASANTE!F117&lt;=PERALTE!$AB$22,-2))))),IF(AND(AH!$H$24="Izquierda",RASANTE!F117&lt;=PERALTE!$AB$22),IF(RASANTE!F117&lt;=PERALTE!$Q$22,-2,IF(RASANTE!F117&lt;=PERALTE!$U$22,(10/(PERALTE!$U$22-PERALTE!$Q$22)*(RASANTE!F117-PERALTE!$Q$22)-2),IF(RASANTE!F117&lt;=PERALTE!$X$22,8,IF(RASANTE!F117&lt;=PERALTE!$AB$22,(10/(PERALTE!$X$22-PERALTE!$AB$22)*(RASANTE!F117-PERALTE!$AB$22)-2))))),IF(AND(AH!#REF!="Derecha",RASANTE!F117&lt;=PERALTE!#REF!),IF(RASANTE!F117&lt;=PERALTE!#REF!,-2,IF(RASANTE!F117&lt;=PERALTE!#REF!,(-6/(PERALTE!#REF!-PERALTE!#REF!)*(RASANTE!F117-PERALTE!#REF!)-2),IF(RASANTE!F117&lt;=PERALTE!#REF!,-8,IF(RASANTE!F117&lt;=PERALTE!#REF!,(-6/(PERALTE!#REF!-PERALTE!#REF!)*(RASANTE!F117-PERALTE!#REF!)-2),IF(RASANTE!F117&lt;=PERALTE!#REF!,-2))))),IF(AND(AH!#REF!="Izquierda",RASANTE!F117&lt;=PERALTE!#REF!),IF(RASANTE!F117&lt;=PERALTE!#REF!,-2,IF(RASANTE!F117&lt;=PERALTE!#REF!,(10/(PERALTE!#REF!-PERALTE!#REF!)*(RASANTE!F117-PERALTE!#REF!)-2),IF(RASANTE!F117&lt;=PERALTE!#REF!,8,IF(RASANTE!F117&lt;=PERALTE!#REF!,(10/(PERALTE!#REF!-PERALTE!#REF!)*(RASANTE!F117-PERALTE!#REF!)-2))))),IF(AND(AH!#REF!="Derecha",RASANTE!F117&lt;=PERALTE!$AB$26),IF(RASANTE!F117&lt;=PERALTE!$S$26,-2,IF(RASANTE!F117&lt;=PERALTE!$U$26,(-6/(PERALTE!$U$26-PERALTE!$S$26)*(RASANTE!F117-PERALTE!$S$26)-2),IF(RASANTE!F117&lt;=PERALTE!$X$26,-8,IF(RASANTE!F117&lt;=PERALTE!$Z$26,(-6/(PERALTE!$X$26-PERALTE!$Z$26)*(RASANTE!F117-PERALTE!$Z$26)-2),IF(RASANTE!F117&lt;=PERALTE!$AB$26,-2))))),IF(AND(AH!#REF!="Izquierda",RASANTE!F117&lt;=PERALTE!$AB$26),IF(RASANTE!F117&lt;=PERALTE!$Q$26,-2,IF(RASANTE!F117&lt;=PERALTE!$U$26,(10/(PERALTE!$U$26-PERALTE!$Q$26)*(RASANTE!F117-PERALTE!$Q$26)-2),IF(RASANTE!F117&lt;=PERALTE!$X$26,8,IF(RASANTE!F117&lt;=PERALTE!$AB$26,(10/(PERALTE!$X$26-PERALTE!$AB$26)*(RASANTE!F117-PERALTE!$AB$26)-2))))),IF(F117&lt;=PERALTE!#REF!,-2,"Abscisa fuera de la vía")))))))))))))))))))))</f>
        <v>-2</v>
      </c>
      <c r="J117" s="28">
        <f t="shared" si="4"/>
        <v>1630.4864000000011</v>
      </c>
      <c r="K117" s="28">
        <f>+IF(AND(AV!$S$6&lt;F214,F214&lt;=AV!$T$6),AV!$P$6*((AV!$S$6-RASANTE!F214)/(AV!$N$6))^2,IF(AND(AV!$T$6&lt;RASANTE!F214,F214&lt;AV!$U$6),AV!$P$6*((AV!$U$6-RASANTE!F214)/(AV!$O$6))^2,IF(AND(AV!$S$8&lt;F214,F214&lt;=AV!$T$8),AV!$P$8*((AV!$S$8-RASANTE!F214)/(AV!$N$8))^2,IF(AND(AV!$T$8&lt;RASANTE!F214,F214&lt;AV!$U$8),AV!$P$8*((AV!$U$8-RASANTE!F214)/(AV!$O$8))^2,IF(AND(AV!$S$10&lt;F214,F214&lt;=AV!$T$10),AV!$P$10*((AV!$S$10-RASANTE!F214)/(AV!$N$10))^2,IF(AND(AV!$T$10&lt;RASANTE!F214,F214&lt;AV!$U$10),AV!$P$10*((AV!$U$10-RASANTE!F214)/(AV!$O$10))^2,IF(AND(AV!$S$12&lt;F214,F214&lt;=AV!$T$12),AV!$P$12*((AV!$S$12-RASANTE!F214)/(AV!$N$12))^2,IF(AND(AV!$T$12&lt;RASANTE!F214,F214&lt;AV!$U$12),AV!$P$12*((AV!$U$12-RASANTE!F214)/(AV!$O$12))^2,IF(AND(AV!$S$14&lt;F214,F214&lt;=AV!$T$14),AV!$P$14*((AV!$S$14-RASANTE!F214)/(AV!$N$14))^2,IF(AND(AV!$T$14&lt;RASANTE!F214,F214&lt;AV!$U$14),AV!$P$14*((AV!$U$14-RASANTE!F214)/(AV!$O$14))^2,IF(AND(AV!$S$16&lt;F214,F214&lt;=AV!$T$16),AV!$P$16*((AV!$S$16-RASANTE!F214)/(AV!$N$16))^2,IF(AND(AV!$T$16&lt;RASANTE!F214,F214&lt;AV!$U$16),AV!$P$16*((AV!$U$16-RASANTE!F214)/(AV!$O$16))^2,IF(AND(AV!$S$18&lt;F214,F214&lt;=AV!$T$18),AV!$P$18*((AV!$S$18-RASANTE!F214)/(AV!$N$18))^2,IF(AND(AV!$T$18&lt;RASANTE!F214,F214&lt;AV!$U$18),AV!$P$18*((AV!$U$18-RASANTE!F214)/(AV!$O$18))^2,IF(AND(AV!$S$20&lt;F214,F214&lt;=AV!$T$20),AV!$P$20*((AV!$S$20-RASANTE!F214)/(AV!$N$20))^2,IF(AND(AV!$T$20&lt;RASANTE!F214,F214&lt;AV!$U$20),AV!$P$20*((AV!$U$20-RASANTE!F214)/(AV!$O$20))^2,IF(AND(AV!$S$22&lt;F214,F214&lt;=AV!$T$22),AV!$P$22*((AV!$S$22-RASANTE!F214)/(AV!$N$22))^2,IF(AND(AV!$T$22&lt;RASANTE!F214,F214&lt;AV!$U$22),AV!$P$22*((AV!$U$22-RASANTE!F214)/(AV!$O$22))^2,IF(AND(AV!$S$24&lt;F214,F214&lt;=AV!$T$24),AV!$P$24*((AV!$S$24-RASANTE!F214)/(AV!$N$24))^2,IF(AND(AV!$T$24&lt;RASANTE!F214,F214&lt;AV!$U$24),AV!$P$24*((AV!$U$24-RASANTE!F214)/(AV!$O$24))^2,0))))))))))))))))))))</f>
        <v>0</v>
      </c>
      <c r="L117" s="28">
        <f>+M117+H117%*PERALTE!$C$32</f>
        <v>1630.4164000000012</v>
      </c>
      <c r="M117" s="28">
        <f t="shared" si="5"/>
        <v>1630.4864000000011</v>
      </c>
      <c r="N117" s="28">
        <f>+M117+I117%*PERALTE!$C$32</f>
        <v>1630.4164000000012</v>
      </c>
      <c r="O117" s="92"/>
      <c r="P117" s="84"/>
      <c r="Q117" s="84"/>
      <c r="R117" s="84"/>
      <c r="S117" s="84"/>
      <c r="T117" s="84"/>
      <c r="U117" s="84"/>
      <c r="V117" s="84"/>
      <c r="W117" s="84"/>
      <c r="X117" s="84"/>
      <c r="Y117" s="84"/>
    </row>
    <row r="118" spans="1:25" ht="15.75" customHeight="1" x14ac:dyDescent="0.2">
      <c r="A118" s="322"/>
      <c r="F118" s="34">
        <v>720</v>
      </c>
      <c r="G118" s="88">
        <f>IF(F118&lt;=AV!$T$6,AV!$C$5,IF(RASANTE!F118&lt;=AV!$T$8,AV!$C$7,IF(RASANTE!F118&lt;=AV!$T$10,AV!$C$9,IF(RASANTE!F118&lt;=AV!$T$12,AV!#REF!,IF(RASANTE!F118&lt;=AV!$T$14,AV!$C$11,IF(RASANTE!F118&lt;=AV!$T$16,AV!$C$13, IF(RASANTE!F118&lt;=AV!$T$18,AV!$C$15,IF(RASANTE!F118&lt;=AV!$T$20,AV!$C$19,IF(RASANTE!F118&lt;=AV!$T$22,AV!$C$21,IF(RASANTE!F118&lt;=AV!$T$24,AV!$C$23,AV!$C$25))))))))))</f>
        <v>-3</v>
      </c>
      <c r="H118" s="28">
        <f>+IF(AND(AH!$H$8="Izquierda",RASANTE!F118&lt;=PERALTE!$AB$6),IF(RASANTE!F118&lt;=PERALTE!$S$6,-2,IF(RASANTE!F118&lt;=PERALTE!$U$6,(-6/(PERALTE!$U$6-PERALTE!$S$6)*(RASANTE!F118-PERALTE!$S$6)-2),IF(RASANTE!F118&lt;=PERALTE!$X$6,-8,IF(RASANTE!F118&lt;=PERALTE!$Z$6,(-6/(PERALTE!$X$6-PERALTE!$Z$6)*(RASANTE!F118-PERALTE!$Z$6)-2),IF(RASANTE!F118&lt;=PERALTE!$AB$6,-2))))),IF(AND(AH!$H$8="Derecha",RASANTE!F118&lt;=PERALTE!$AB$6),IF(RASANTE!F118&lt;=PERALTE!$Q$6,-2,IF(RASANTE!F118&lt;=PERALTE!$U$6,(10/(PERALTE!$U$6-PERALTE!$Q$6)*(RASANTE!F118-PERALTE!$Q$6)-2),IF(RASANTE!F118&lt;=PERALTE!$X$6,8,IF(RASANTE!F118&lt;=PERALTE!$AB$6,(10/(PERALTE!$X$6-PERALTE!$AB$6)*(RASANTE!F118-PERALTE!$AB$6)-2))))),IF(AND(AH!$H$10="Izquierda",RASANTE!F118&lt;=PERALTE!$AB$8),IF(RASANTE!F118&lt;=PERALTE!$S$8,-2,IF(RASANTE!F118&lt;=PERALTE!$U$8,(-6/(PERALTE!$U$8-PERALTE!$S$8)*(RASANTE!F118-PERALTE!$S$8)-2),IF(RASANTE!F118&lt;=PERALTE!$X$8,-8,IF(RASANTE!F118&lt;=PERALTE!$Z$8,(-6/(PERALTE!$X$8-PERALTE!$Z$8)*(RASANTE!F118-PERALTE!$Z$8)-2),IF(RASANTE!F118&lt;=PERALTE!$AB$8,-2))))),IF(AND(AH!$H$10="Derecha",RASANTE!F118&lt;=PERALTE!$AB$8),IF(RASANTE!F118&lt;=PERALTE!$Q$8,-2,IF(RASANTE!F118&lt;=PERALTE!$U$8,(10/(PERALTE!$U$8-PERALTE!$Q$8)*(RASANTE!F118-PERALTE!$Q$8)-2),IF(RASANTE!F118&lt;=PERALTE!$X$8,8,IF(RASANTE!F118&lt;=PERALTE!$AB$8,(10/(PERALTE!$X$8-PERALTE!$AB$8)*(RASANTE!F118-PERALTE!$AB$8)-2))))),IF(AND(AH!$H$12="Izquierda",RASANTE!F118&lt;=PERALTE!$AB$10),IF(RASANTE!F118&lt;=PERALTE!$S$10,-2,IF(RASANTE!F118&lt;=PERALTE!$U$10,(-6/(PERALTE!$U$10-PERALTE!$S$10)*(RASANTE!F118-PERALTE!$S$10)-2),IF(RASANTE!F118&lt;=PERALTE!$X$10,-8,IF(RASANTE!F118&lt;=PERALTE!$Z$10,(-6/(PERALTE!$X$10-PERALTE!$Z$10)*(RASANTE!F118-PERALTE!$Z$10)-2),IF(RASANTE!F118&lt;=PERALTE!$AB$10,-2))))),IF(AND(AH!$H$12="Derecha",RASANTE!F118&lt;=PERALTE!$AB$10),IF(RASANTE!F118&lt;=PERALTE!$Q$10,-2,IF(RASANTE!F118&lt;=PERALTE!$U$10,(10/(PERALTE!$U$10-PERALTE!$Q$10)*(RASANTE!F118-PERALTE!$Q$10)-2),IF(RASANTE!F118&lt;=PERALTE!$X$10,8,IF(RASANTE!F118&lt;=PERALTE!$AB$10,(10/(PERALTE!$X$10-PERALTE!$AB$10)*(RASANTE!F118-PERALTE!$AB$10)-2))))),IF(AND(AH!$H$14="Izquierda",RASANTE!F118&lt;=PERALTE!$AB$12),IF(RASANTE!F118&lt;=PERALTE!$S$12,-2,IF(RASANTE!F118&lt;=PERALTE!$U$12,(-6/(PERALTE!$U$12-PERALTE!$S$12)*(RASANTE!F118-PERALTE!$S$12)-2),IF(RASANTE!F118&lt;=PERALTE!$X$12,-8,IF(RASANTE!F118&lt;=PERALTE!$Z$12,(-6/(PERALTE!$X$12-PERALTE!$Z$12)*(RASANTE!F118-PERALTE!$Z$12)-2),IF(RASANTE!F118&lt;=PERALTE!$AB$12,-2))))),IF(AND(AH!$H$14="Derecha",RASANTE!F118&lt;=PERALTE!$AB$12),IF(RASANTE!F118&lt;=PERALTE!$Q$12,-2,IF(RASANTE!F118&lt;=PERALTE!$U$12,(10/(PERALTE!$U$12-PERALTE!$Q$12)*(RASANTE!F118-PERALTE!$Q$12)-2),IF(RASANTE!F118&lt;=PERALTE!$X$12,8,IF(RASANTE!F118&lt;=PERALTE!$AB$12,(10/(PERALTE!$X$12-PERALTE!$AB$12)*(RASANTE!F118-PERALTE!$AB$12)-2))))),IF(AND(AH!$H$16="Izquierda",RASANTE!F118&lt;=PERALTE!$AB$14),IF(RASANTE!F118&lt;=PERALTE!$S$14,-2,IF(RASANTE!F118&lt;=PERALTE!$U$14,(-6/(PERALTE!$U$14-PERALTE!$S$14)*(RASANTE!F118-PERALTE!$S$14)-2),IF(RASANTE!F118&lt;=PERALTE!$X$14,-8,IF(RASANTE!F118&lt;=PERALTE!$Z$14,(-6/(PERALTE!$X$14-PERALTE!$Z$14)*(RASANTE!F118-PERALTE!$Z$14)-2),IF(RASANTE!F118&lt;=PERALTE!$AB$14,-2))))),IF(AND(AH!$H$16="Derecha",RASANTE!F118&lt;=PERALTE!$AB$14),IF(RASANTE!F118&lt;=PERALTE!$Q$14,-2,IF(RASANTE!F118&lt;=PERALTE!$U$14,(10/(PERALTE!$U$14-PERALTE!$Q$14)*(RASANTE!F118-PERALTE!$Q$14)-2),IF(RASANTE!F118&lt;=PERALTE!$X$14,8,IF(RASANTE!F118&lt;=PERALTE!$AB$14,(10/(PERALTE!$X$14-PERALTE!$AB$14)*(RASANTE!F118-PERALTE!$AB$14)-2))))),IF(AND(AH!$H$18="Izquierda",RASANTE!F118&lt;=PERALTE!$AB$16),IF(RASANTE!F118&lt;=PERALTE!$S$16,-2,IF(RASANTE!F118&lt;=PERALTE!$U$16,(-6/(PERALTE!$U$16-PERALTE!$S$16)*(RASANTE!F118-PERALTE!$S$16)-2),IF(RASANTE!F118&lt;=PERALTE!$X$16,-8,IF(RASANTE!F118&lt;=PERALTE!$Z$16,(-6/(PERALTE!$X$16-PERALTE!$Z$16)*(RASANTE!F118-PERALTE!$Z$16)-2),IF(RASANTE!F118&lt;=PERALTE!$AB$16,-2))))),IF(AND(AH!$H$18="Derecha",RASANTE!F118&lt;=PERALTE!$AB$16),IF(RASANTE!F118&lt;=PERALTE!$Q$16,-2,IF(RASANTE!F118&lt;=PERALTE!$U$16,(10/(PERALTE!$U$16-PERALTE!$Q$16)*(RASANTE!F118-PERALTE!$Q$16)-2),IF(RASANTE!F118&lt;=PERALTE!$X$16,8,IF(RASANTE!F118&lt;=PERALTE!$AB$16,(10/(PERALTE!$X$16-PERALTE!$AB$16)*(RASANTE!F118-PERALTE!$AB$16)-2))))),IF(AND(AH!$H$20="Izquierda",RASANTE!F118&lt;=PERALTE!$AB$18),IF(RASANTE!F118&lt;=PERALTE!$S$18,-2,IF(RASANTE!F118&lt;=PERALTE!$U$18,(-6/(PERALTE!$U$18-PERALTE!$S$18)*(RASANTE!F118-PERALTE!$S$18)-2),IF(RASANTE!F118&lt;=PERALTE!$X$18,-8,IF(RASANTE!F118&lt;=PERALTE!$Z$18,(-6/(PERALTE!$X$18-PERALTE!$Z$18)*(RASANTE!F118-PERALTE!$Z$18)-2),IF(RASANTE!F118&lt;=PERALTE!$AB$18,-2))))),IF(AND(AH!$H$20="Derecha",RASANTE!F118&lt;=PERALTE!$AB$18),IF(RASANTE!F118&lt;=PERALTE!$Q$18,-2,IF(RASANTE!F118&lt;=PERALTE!$U$18,(10/(PERALTE!$U$18-PERALTE!$Q$18)*(RASANTE!F118-PERALTE!$Q$18)-2),IF(RASANTE!F118&lt;=PERALTE!$X$18,8,IF(RASANTE!F118&lt;=PERALTE!$AB$18,(10/(PERALTE!$X$18-PERALTE!$AB$18)*(RASANTE!F118-PERALTE!$AB$18)-2))))),IF(AND(AH!$H$24="Izquierda",RASANTE!F118&lt;=PERALTE!$AB$22),IF(RASANTE!F118&lt;=PERALTE!$S$22,-2,IF(RASANTE!F118&lt;=PERALTE!$U$22,(-6/(PERALTE!$U$22-PERALTE!$S$22)*(RASANTE!F118-PERALTE!$S$22)-2),IF(RASANTE!F118&lt;=PERALTE!$X$22,-8,IF(RASANTE!F118&lt;=PERALTE!$Z$22,(-6/(PERALTE!$X$22-PERALTE!$Z$22)*(RASANTE!F118-PERALTE!$Z$22)-2),IF(RASANTE!F118&lt;=PERALTE!$AB$22,-2))))),IF(AND(AH!$H$24="Derecha",RASANTE!F118&lt;=PERALTE!$AB$22),IF(RASANTE!F118&lt;=PERALTE!$Q$22,-2,IF(RASANTE!F118&lt;=PERALTE!$U$22,(10/(PERALTE!$U$22-PERALTE!$Q$22)*(RASANTE!F118-PERALTE!$Q$22)-2),IF(RASANTE!F118&lt;=PERALTE!$X$22,8,IF(RASANTE!F118&lt;=PERALTE!$AB$22,(10/(PERALTE!$X$22-PERALTE!$AB$22)*(RASANTE!F118-PERALTE!$AB$22)-2))))),IF(AND(AH!#REF!="Izquierda",RASANTE!F118&lt;=PERALTE!#REF!),IF(RASANTE!F118&lt;=PERALTE!#REF!,-2,IF(RASANTE!F118&lt;=PERALTE!#REF!,(-6/(PERALTE!#REF!-PERALTE!#REF!)*(RASANTE!F118-PERALTE!#REF!)-2),IF(RASANTE!F118&lt;=PERALTE!#REF!,-8,IF(RASANTE!F118&lt;=PERALTE!#REF!,(-6/(PERALTE!#REF!-PERALTE!#REF!)*(RASANTE!F118-PERALTE!#REF!)-2),IF(RASANTE!F118&lt;=PERALTE!#REF!,-2))))),IF(AND(AH!#REF!="Derecha",RASANTE!F118&lt;=PERALTE!#REF!),IF(RASANTE!F118&lt;=PERALTE!#REF!,-2,IF(RASANTE!F118&lt;=PERALTE!#REF!,(10/(PERALTE!#REF!-PERALTE!#REF!)*(RASANTE!F118-PERALTE!#REF!)-2),IF(RASANTE!F118&lt;=PERALTE!#REF!,8,IF(RASANTE!F118&lt;=PERALTE!#REF!,(10/(PERALTE!#REF!-PERALTE!#REF!)*(RASANTE!F118-PERALTE!#REF!)-2))))),IF(AND(AH!#REF!="Izquierda",RASANTE!F118&lt;=PERALTE!$AB$26),IF(RASANTE!F118&lt;=PERALTE!$S$26,-2,IF(RASANTE!F118&lt;=PERALTE!$U$26,(-6/(PERALTE!$U$26-PERALTE!$S$26)*(RASANTE!F118-PERALTE!$S$26)-2),IF(RASANTE!F118&lt;=PERALTE!$X$26,-8,IF(RASANTE!F118&lt;=PERALTE!$Z$26,(-6/(PERALTE!$X$26-PERALTE!$Z$26)*(RASANTE!F118-PERALTE!$Z$26)-2),IF(RASANTE!F118&lt;=PERALTE!$AB$26,-2))))),IF(AND(AH!#REF!="Derecha",RASANTE!F118&lt;=PERALTE!$AB$26),IF(RASANTE!F118&lt;=PERALTE!$Q$26,-2,IF(RASANTE!F118&lt;=PERALTE!$U$26,(10/(PERALTE!$U$26-PERALTE!$Q$26)*(RASANTE!F118-PERALTE!$Q$26)-2),IF(RASANTE!F118&lt;=PERALTE!$X$26,8,IF(RASANTE!F118&lt;=PERALTE!$AB$26,(10/(PERALTE!$X$26-PERALTE!$AB$26)*(RASANTE!F118-PERALTE!$AB$26)-2))))),IF(F118&lt;=PERALTE!#REF!,-2,"Abscisa fuera de la vía")))))))))))))))))))))</f>
        <v>-2</v>
      </c>
      <c r="I118" s="28">
        <f>+IF(AND(AH!$H$8="Derecha",RASANTE!F118&lt;=PERALTE!$AB$6),IF(RASANTE!F118&lt;=PERALTE!$S$6,-2,IF(RASANTE!F118&lt;=PERALTE!$U$6,(-6/(PERALTE!$U$6-PERALTE!$S$6)*(RASANTE!F118-PERALTE!$S$6)-2),IF(RASANTE!F118&lt;=PERALTE!$X$6,-8,IF(RASANTE!F118&lt;=PERALTE!$Z$6,(-6/(PERALTE!$X$6-PERALTE!$Z$6)*(RASANTE!F118-PERALTE!$Z$6)-2),IF(RASANTE!F118&lt;=PERALTE!$AB$6,-2))))),IF(AND(AH!$H$8="Izquierda",RASANTE!F118&lt;=PERALTE!$AB$6),IF(RASANTE!F118&lt;=PERALTE!$Q$6,-2,IF(RASANTE!F118&lt;=PERALTE!$U$6,(10/(PERALTE!$U$6-PERALTE!$Q$6)*(RASANTE!F118-PERALTE!$Q$6)-2),IF(RASANTE!F118&lt;=PERALTE!$X$6,8,IF(RASANTE!F118&lt;=PERALTE!$AB$6,(10/(PERALTE!$X$6-PERALTE!$AB$6)*(RASANTE!F118-PERALTE!$AB$6)-2))))),IF(AND(AH!$H$10="Derecha",RASANTE!F118&lt;=PERALTE!$AB$8),IF(RASANTE!F118&lt;=PERALTE!$S$8,-2,IF(RASANTE!F118&lt;=PERALTE!$U$8,(-6/(PERALTE!$U$8-PERALTE!$S$8)*(RASANTE!F118-PERALTE!$S$8)-2),IF(RASANTE!F118&lt;=PERALTE!$X$8,-8,IF(RASANTE!F118&lt;=PERALTE!$Z$8,(-6/(PERALTE!$X$8-PERALTE!$Z$8)*(RASANTE!F118-PERALTE!$Z$8)-2),IF(RASANTE!F118&lt;=PERALTE!$AB$8,-2))))),IF(AND(AH!$H$10="Izquierda",RASANTE!F118&lt;=PERALTE!$AB$8),IF(RASANTE!F118&lt;=PERALTE!$Q$8,-2,IF(RASANTE!F118&lt;=PERALTE!$U$8,(10/(PERALTE!$U$8-PERALTE!$Q$8)*(RASANTE!F118-PERALTE!$Q$8)-2),IF(RASANTE!F118&lt;=PERALTE!$X$8,8,IF(RASANTE!F118&lt;=PERALTE!$AB$8,(10/(PERALTE!$X$8-PERALTE!$AB$8)*(RASANTE!F118-PERALTE!$AB$8)-2))))),IF(AND(AH!$H$12="Derecha",RASANTE!F118&lt;=PERALTE!$AB$10),IF(RASANTE!F118&lt;=PERALTE!$S$10,-2,IF(RASANTE!F118&lt;=PERALTE!$U$10,(-6/(PERALTE!$U$10-PERALTE!$S$10)*(RASANTE!F118-PERALTE!$S$10)-2),IF(RASANTE!F118&lt;=PERALTE!$X$10,-8,IF(RASANTE!F118&lt;=PERALTE!$Z$10,(-6/(PERALTE!$X$10-PERALTE!$Z$10)*(RASANTE!F118-PERALTE!$Z$10)-2),IF(RASANTE!F118&lt;=PERALTE!$AB$10,-2))))),IF(AND(AH!$H$12="Izquierda",RASANTE!F118&lt;=PERALTE!$AB$10),IF(RASANTE!F118&lt;=PERALTE!$Q$10,-2,IF(RASANTE!F118&lt;=PERALTE!$U$10,(10/(PERALTE!$U$10-PERALTE!$Q$10)*(RASANTE!F118-PERALTE!$Q$10)-2),IF(RASANTE!F118&lt;=PERALTE!$X$10,8,IF(RASANTE!F118&lt;=PERALTE!$AB$10,(10/(PERALTE!$X$10-PERALTE!$AB$10)*(RASANTE!F118-PERALTE!$AB$10)-2))))),IF(AND(AH!$H$14="Derecha",RASANTE!F118&lt;=PERALTE!$AB$12),IF(RASANTE!F118&lt;=PERALTE!$S$12,-2,IF(RASANTE!F118&lt;=PERALTE!$U$12,(-6/(PERALTE!$U$12-PERALTE!$S$12)*(RASANTE!F118-PERALTE!$S$12)-2),IF(RASANTE!F118&lt;=PERALTE!$X$12,-8,IF(RASANTE!F118&lt;=PERALTE!$Z$12,(-6/(PERALTE!$X$12-PERALTE!$Z$12)*(RASANTE!F118-PERALTE!$Z$12)-2),IF(RASANTE!F118&lt;=PERALTE!$AB$12,-2))))),IF(AND(AH!$H$14="Izquierda",RASANTE!F118&lt;=PERALTE!$AB$12),IF(RASANTE!F118&lt;=PERALTE!$Q$12,-2,IF(RASANTE!F118&lt;=PERALTE!$U$12,(10/(PERALTE!$U$12-PERALTE!$Q$12)*(RASANTE!F118-PERALTE!$Q$12)-2),IF(RASANTE!F118&lt;=PERALTE!$X$12,8,IF(RASANTE!F118&lt;=PERALTE!$AB$12,(10/(PERALTE!$X$12-PERALTE!$AB$12)*(RASANTE!F118-PERALTE!$AB$12)-2))))),IF(AND(AH!$H$16="Derecha",RASANTE!F118&lt;=PERALTE!$AB$14),IF(RASANTE!F118&lt;=PERALTE!$S$14,-2,IF(RASANTE!F118&lt;=PERALTE!$U$14,(-6/(PERALTE!$U$14-PERALTE!$S$14)*(RASANTE!F118-PERALTE!$S$14)-2),IF(RASANTE!F118&lt;=PERALTE!$X$14,-8,IF(RASANTE!F118&lt;=PERALTE!$Z$14,(-6/(PERALTE!$X$14-PERALTE!$Z$14)*(RASANTE!F118-PERALTE!$Z$14)-2),IF(RASANTE!F118&lt;=PERALTE!$AB$14,-2))))),IF(AND(AH!$H$16="Izquierda",RASANTE!F118&lt;=PERALTE!$AB$14),IF(RASANTE!F118&lt;=PERALTE!$Q$14,-2,IF(RASANTE!F118&lt;=PERALTE!$U$14,(10/(PERALTE!$U$14-PERALTE!$Q$14)*(RASANTE!F118-PERALTE!$Q$14)-2),IF(RASANTE!F118&lt;=PERALTE!$X$14,8,IF(RASANTE!F118&lt;=PERALTE!$AB$14,(10/(PERALTE!$X$14-PERALTE!$AB$14)*(RASANTE!F118-PERALTE!$AB$14)-2))))),IF(AND(AH!$H$18="Derecha",RASANTE!F118&lt;=PERALTE!$AB$16),IF(RASANTE!F118&lt;=PERALTE!$S$16,-2,IF(RASANTE!F118&lt;=PERALTE!$U$16,(-6/(PERALTE!$U$16-PERALTE!$S$16)*(RASANTE!F118-PERALTE!$S$16)-2),IF(RASANTE!F118&lt;=PERALTE!$X$16,-8,IF(RASANTE!F118&lt;=PERALTE!$Z$16,(-6/(PERALTE!$X$16-PERALTE!$Z$16)*(RASANTE!F118-PERALTE!$Z$16)-2),IF(RASANTE!F118&lt;=PERALTE!$AB$16,-2))))),IF(AND(AH!$H$18="Izquierda",RASANTE!F118&lt;=PERALTE!$AB$16),IF(RASANTE!F118&lt;=PERALTE!$Q$16,-2,IF(RASANTE!F118&lt;=PERALTE!$U$16,(10/(PERALTE!$U$16-PERALTE!$Q$16)*(RASANTE!F118-PERALTE!$Q$16)-2),IF(RASANTE!F118&lt;=PERALTE!$X$16,8,IF(RASANTE!F118&lt;=PERALTE!$AB$16,(10/(PERALTE!$X$16-PERALTE!$AB$16)*(RASANTE!F118-PERALTE!$AB$16)-2))))),IF(AND(AH!$H$20="Derecha",RASANTE!F118&lt;=PERALTE!$AB$18),IF(RASANTE!F118&lt;=PERALTE!$S$18,-2,IF(RASANTE!F118&lt;=PERALTE!$U$18,(-6/(PERALTE!$U$18-PERALTE!$S$18)*(RASANTE!F118-PERALTE!$S$18)-2),IF(RASANTE!F118&lt;=PERALTE!$X$18,-8,IF(RASANTE!F118&lt;=PERALTE!$Z$18,(-6/(PERALTE!$X$18-PERALTE!$Z$18)*(RASANTE!F118-PERALTE!$Z$18)-2),IF(RASANTE!F118&lt;=PERALTE!$AB$18,-2))))),IF(AND(AH!$H$20="Izquierda",RASANTE!F118&lt;=PERALTE!$AB$18),IF(RASANTE!F118&lt;=PERALTE!$Q$18,-2,IF(RASANTE!F118&lt;=PERALTE!$U$18,(10/(PERALTE!$U$18-PERALTE!$Q$18)*(RASANTE!F118-PERALTE!$Q$18)-2),IF(RASANTE!F118&lt;=PERALTE!$X$18,8,IF(RASANTE!F118&lt;=PERALTE!$AB$18,(10/(PERALTE!$X$18-PERALTE!$AB$18)*(RASANTE!F118-PERALTE!$AB$18)-2))))),IF(AND(AH!$H$24="Derecha",RASANTE!F118&lt;=PERALTE!$AB$22),IF(RASANTE!F118&lt;=PERALTE!$S$22,-2,IF(RASANTE!F118&lt;=PERALTE!$U$22,(-6/(PERALTE!$U$22-PERALTE!$S$22)*(RASANTE!F118-PERALTE!$S$22)-2),IF(RASANTE!F118&lt;=PERALTE!$X$22,-8,IF(RASANTE!F118&lt;=PERALTE!$Z$22,(-6/(PERALTE!$X$22-PERALTE!$Z$22)*(RASANTE!F118-PERALTE!$Z$22)-2),IF(RASANTE!F118&lt;=PERALTE!$AB$22,-2))))),IF(AND(AH!$H$24="Izquierda",RASANTE!F118&lt;=PERALTE!$AB$22),IF(RASANTE!F118&lt;=PERALTE!$Q$22,-2,IF(RASANTE!F118&lt;=PERALTE!$U$22,(10/(PERALTE!$U$22-PERALTE!$Q$22)*(RASANTE!F118-PERALTE!$Q$22)-2),IF(RASANTE!F118&lt;=PERALTE!$X$22,8,IF(RASANTE!F118&lt;=PERALTE!$AB$22,(10/(PERALTE!$X$22-PERALTE!$AB$22)*(RASANTE!F118-PERALTE!$AB$22)-2))))),IF(AND(AH!#REF!="Derecha",RASANTE!F118&lt;=PERALTE!#REF!),IF(RASANTE!F118&lt;=PERALTE!#REF!,-2,IF(RASANTE!F118&lt;=PERALTE!#REF!,(-6/(PERALTE!#REF!-PERALTE!#REF!)*(RASANTE!F118-PERALTE!#REF!)-2),IF(RASANTE!F118&lt;=PERALTE!#REF!,-8,IF(RASANTE!F118&lt;=PERALTE!#REF!,(-6/(PERALTE!#REF!-PERALTE!#REF!)*(RASANTE!F118-PERALTE!#REF!)-2),IF(RASANTE!F118&lt;=PERALTE!#REF!,-2))))),IF(AND(AH!#REF!="Izquierda",RASANTE!F118&lt;=PERALTE!#REF!),IF(RASANTE!F118&lt;=PERALTE!#REF!,-2,IF(RASANTE!F118&lt;=PERALTE!#REF!,(10/(PERALTE!#REF!-PERALTE!#REF!)*(RASANTE!F118-PERALTE!#REF!)-2),IF(RASANTE!F118&lt;=PERALTE!#REF!,8,IF(RASANTE!F118&lt;=PERALTE!#REF!,(10/(PERALTE!#REF!-PERALTE!#REF!)*(RASANTE!F118-PERALTE!#REF!)-2))))),IF(AND(AH!#REF!="Derecha",RASANTE!F118&lt;=PERALTE!$AB$26),IF(RASANTE!F118&lt;=PERALTE!$S$26,-2,IF(RASANTE!F118&lt;=PERALTE!$U$26,(-6/(PERALTE!$U$26-PERALTE!$S$26)*(RASANTE!F118-PERALTE!$S$26)-2),IF(RASANTE!F118&lt;=PERALTE!$X$26,-8,IF(RASANTE!F118&lt;=PERALTE!$Z$26,(-6/(PERALTE!$X$26-PERALTE!$Z$26)*(RASANTE!F118-PERALTE!$Z$26)-2),IF(RASANTE!F118&lt;=PERALTE!$AB$26,-2))))),IF(AND(AH!#REF!="Izquierda",RASANTE!F118&lt;=PERALTE!$AB$26),IF(RASANTE!F118&lt;=PERALTE!$Q$26,-2,IF(RASANTE!F118&lt;=PERALTE!$U$26,(10/(PERALTE!$U$26-PERALTE!$Q$26)*(RASANTE!F118-PERALTE!$Q$26)-2),IF(RASANTE!F118&lt;=PERALTE!$X$26,8,IF(RASANTE!F118&lt;=PERALTE!$AB$26,(10/(PERALTE!$X$26-PERALTE!$AB$26)*(RASANTE!F118-PERALTE!$AB$26)-2))))),IF(F118&lt;=PERALTE!#REF!,-2,"Abscisa fuera de la vía")))))))))))))))))))))</f>
        <v>-2</v>
      </c>
      <c r="J118" s="28">
        <f t="shared" si="4"/>
        <v>1630.1864000000012</v>
      </c>
      <c r="K118" s="28">
        <f>+IF(AND(AV!$S$6&lt;F215,F215&lt;=AV!$T$6),AV!$P$6*((AV!$S$6-RASANTE!F215)/(AV!$N$6))^2,IF(AND(AV!$T$6&lt;RASANTE!F215,F215&lt;AV!$U$6),AV!$P$6*((AV!$U$6-RASANTE!F215)/(AV!$O$6))^2,IF(AND(AV!$S$8&lt;F215,F215&lt;=AV!$T$8),AV!$P$8*((AV!$S$8-RASANTE!F215)/(AV!$N$8))^2,IF(AND(AV!$T$8&lt;RASANTE!F215,F215&lt;AV!$U$8),AV!$P$8*((AV!$U$8-RASANTE!F215)/(AV!$O$8))^2,IF(AND(AV!$S$10&lt;F215,F215&lt;=AV!$T$10),AV!$P$10*((AV!$S$10-RASANTE!F215)/(AV!$N$10))^2,IF(AND(AV!$T$10&lt;RASANTE!F215,F215&lt;AV!$U$10),AV!$P$10*((AV!$U$10-RASANTE!F215)/(AV!$O$10))^2,IF(AND(AV!$S$12&lt;F215,F215&lt;=AV!$T$12),AV!$P$12*((AV!$S$12-RASANTE!F215)/(AV!$N$12))^2,IF(AND(AV!$T$12&lt;RASANTE!F215,F215&lt;AV!$U$12),AV!$P$12*((AV!$U$12-RASANTE!F215)/(AV!$O$12))^2,IF(AND(AV!$S$14&lt;F215,F215&lt;=AV!$T$14),AV!$P$14*((AV!$S$14-RASANTE!F215)/(AV!$N$14))^2,IF(AND(AV!$T$14&lt;RASANTE!F215,F215&lt;AV!$U$14),AV!$P$14*((AV!$U$14-RASANTE!F215)/(AV!$O$14))^2,IF(AND(AV!$S$16&lt;F215,F215&lt;=AV!$T$16),AV!$P$16*((AV!$S$16-RASANTE!F215)/(AV!$N$16))^2,IF(AND(AV!$T$16&lt;RASANTE!F215,F215&lt;AV!$U$16),AV!$P$16*((AV!$U$16-RASANTE!F215)/(AV!$O$16))^2,IF(AND(AV!$S$18&lt;F215,F215&lt;=AV!$T$18),AV!$P$18*((AV!$S$18-RASANTE!F215)/(AV!$N$18))^2,IF(AND(AV!$T$18&lt;RASANTE!F215,F215&lt;AV!$U$18),AV!$P$18*((AV!$U$18-RASANTE!F215)/(AV!$O$18))^2,IF(AND(AV!$S$20&lt;F215,F215&lt;=AV!$T$20),AV!$P$20*((AV!$S$20-RASANTE!F215)/(AV!$N$20))^2,IF(AND(AV!$T$20&lt;RASANTE!F215,F215&lt;AV!$U$20),AV!$P$20*((AV!$U$20-RASANTE!F215)/(AV!$O$20))^2,IF(AND(AV!$S$22&lt;F215,F215&lt;=AV!$T$22),AV!$P$22*((AV!$S$22-RASANTE!F215)/(AV!$N$22))^2,IF(AND(AV!$T$22&lt;RASANTE!F215,F215&lt;AV!$U$22),AV!$P$22*((AV!$U$22-RASANTE!F215)/(AV!$O$22))^2,IF(AND(AV!$S$24&lt;F215,F215&lt;=AV!$T$24),AV!$P$24*((AV!$S$24-RASANTE!F215)/(AV!$N$24))^2,IF(AND(AV!$T$24&lt;RASANTE!F215,F215&lt;AV!$U$24),AV!$P$24*((AV!$U$24-RASANTE!F215)/(AV!$O$24))^2,0))))))))))))))))))))</f>
        <v>0</v>
      </c>
      <c r="L118" s="28">
        <f>+M118+H118%*PERALTE!$C$32</f>
        <v>1630.1164000000012</v>
      </c>
      <c r="M118" s="28">
        <f t="shared" si="5"/>
        <v>1630.1864000000012</v>
      </c>
      <c r="N118" s="28">
        <f>+M118+I118%*PERALTE!$C$32</f>
        <v>1630.1164000000012</v>
      </c>
      <c r="O118" s="92"/>
      <c r="P118" s="84"/>
      <c r="Q118" s="84"/>
      <c r="R118" s="84"/>
      <c r="S118" s="84"/>
      <c r="T118" s="84"/>
      <c r="U118" s="84"/>
      <c r="V118" s="84"/>
      <c r="W118" s="84"/>
      <c r="X118" s="84"/>
      <c r="Y118" s="84"/>
    </row>
    <row r="119" spans="1:25" ht="15.75" customHeight="1" x14ac:dyDescent="0.2">
      <c r="A119" s="322"/>
      <c r="F119" s="34">
        <v>730</v>
      </c>
      <c r="G119" s="88">
        <f>IF(F119&lt;=AV!$T$6,AV!$C$5,IF(RASANTE!F119&lt;=AV!$T$8,AV!$C$7,IF(RASANTE!F119&lt;=AV!$T$10,AV!$C$9,IF(RASANTE!F119&lt;=AV!$T$12,AV!#REF!,IF(RASANTE!F119&lt;=AV!$T$14,AV!$C$11,IF(RASANTE!F119&lt;=AV!$T$16,AV!$C$13, IF(RASANTE!F119&lt;=AV!$T$18,AV!$C$15,IF(RASANTE!F119&lt;=AV!$T$20,AV!$C$19,IF(RASANTE!F119&lt;=AV!$T$22,AV!$C$21,IF(RASANTE!F119&lt;=AV!$T$24,AV!$C$23,AV!$C$25))))))))))</f>
        <v>-3</v>
      </c>
      <c r="H119" s="28">
        <f>+IF(AND(AH!$H$8="Izquierda",RASANTE!F119&lt;=PERALTE!$AB$6),IF(RASANTE!F119&lt;=PERALTE!$S$6,-2,IF(RASANTE!F119&lt;=PERALTE!$U$6,(-6/(PERALTE!$U$6-PERALTE!$S$6)*(RASANTE!F119-PERALTE!$S$6)-2),IF(RASANTE!F119&lt;=PERALTE!$X$6,-8,IF(RASANTE!F119&lt;=PERALTE!$Z$6,(-6/(PERALTE!$X$6-PERALTE!$Z$6)*(RASANTE!F119-PERALTE!$Z$6)-2),IF(RASANTE!F119&lt;=PERALTE!$AB$6,-2))))),IF(AND(AH!$H$8="Derecha",RASANTE!F119&lt;=PERALTE!$AB$6),IF(RASANTE!F119&lt;=PERALTE!$Q$6,-2,IF(RASANTE!F119&lt;=PERALTE!$U$6,(10/(PERALTE!$U$6-PERALTE!$Q$6)*(RASANTE!F119-PERALTE!$Q$6)-2),IF(RASANTE!F119&lt;=PERALTE!$X$6,8,IF(RASANTE!F119&lt;=PERALTE!$AB$6,(10/(PERALTE!$X$6-PERALTE!$AB$6)*(RASANTE!F119-PERALTE!$AB$6)-2))))),IF(AND(AH!$H$10="Izquierda",RASANTE!F119&lt;=PERALTE!$AB$8),IF(RASANTE!F119&lt;=PERALTE!$S$8,-2,IF(RASANTE!F119&lt;=PERALTE!$U$8,(-6/(PERALTE!$U$8-PERALTE!$S$8)*(RASANTE!F119-PERALTE!$S$8)-2),IF(RASANTE!F119&lt;=PERALTE!$X$8,-8,IF(RASANTE!F119&lt;=PERALTE!$Z$8,(-6/(PERALTE!$X$8-PERALTE!$Z$8)*(RASANTE!F119-PERALTE!$Z$8)-2),IF(RASANTE!F119&lt;=PERALTE!$AB$8,-2))))),IF(AND(AH!$H$10="Derecha",RASANTE!F119&lt;=PERALTE!$AB$8),IF(RASANTE!F119&lt;=PERALTE!$Q$8,-2,IF(RASANTE!F119&lt;=PERALTE!$U$8,(10/(PERALTE!$U$8-PERALTE!$Q$8)*(RASANTE!F119-PERALTE!$Q$8)-2),IF(RASANTE!F119&lt;=PERALTE!$X$8,8,IF(RASANTE!F119&lt;=PERALTE!$AB$8,(10/(PERALTE!$X$8-PERALTE!$AB$8)*(RASANTE!F119-PERALTE!$AB$8)-2))))),IF(AND(AH!$H$12="Izquierda",RASANTE!F119&lt;=PERALTE!$AB$10),IF(RASANTE!F119&lt;=PERALTE!$S$10,-2,IF(RASANTE!F119&lt;=PERALTE!$U$10,(-6/(PERALTE!$U$10-PERALTE!$S$10)*(RASANTE!F119-PERALTE!$S$10)-2),IF(RASANTE!F119&lt;=PERALTE!$X$10,-8,IF(RASANTE!F119&lt;=PERALTE!$Z$10,(-6/(PERALTE!$X$10-PERALTE!$Z$10)*(RASANTE!F119-PERALTE!$Z$10)-2),IF(RASANTE!F119&lt;=PERALTE!$AB$10,-2))))),IF(AND(AH!$H$12="Derecha",RASANTE!F119&lt;=PERALTE!$AB$10),IF(RASANTE!F119&lt;=PERALTE!$Q$10,-2,IF(RASANTE!F119&lt;=PERALTE!$U$10,(10/(PERALTE!$U$10-PERALTE!$Q$10)*(RASANTE!F119-PERALTE!$Q$10)-2),IF(RASANTE!F119&lt;=PERALTE!$X$10,8,IF(RASANTE!F119&lt;=PERALTE!$AB$10,(10/(PERALTE!$X$10-PERALTE!$AB$10)*(RASANTE!F119-PERALTE!$AB$10)-2))))),IF(AND(AH!$H$14="Izquierda",RASANTE!F119&lt;=PERALTE!$AB$12),IF(RASANTE!F119&lt;=PERALTE!$S$12,-2,IF(RASANTE!F119&lt;=PERALTE!$U$12,(-6/(PERALTE!$U$12-PERALTE!$S$12)*(RASANTE!F119-PERALTE!$S$12)-2),IF(RASANTE!F119&lt;=PERALTE!$X$12,-8,IF(RASANTE!F119&lt;=PERALTE!$Z$12,(-6/(PERALTE!$X$12-PERALTE!$Z$12)*(RASANTE!F119-PERALTE!$Z$12)-2),IF(RASANTE!F119&lt;=PERALTE!$AB$12,-2))))),IF(AND(AH!$H$14="Derecha",RASANTE!F119&lt;=PERALTE!$AB$12),IF(RASANTE!F119&lt;=PERALTE!$Q$12,-2,IF(RASANTE!F119&lt;=PERALTE!$U$12,(10/(PERALTE!$U$12-PERALTE!$Q$12)*(RASANTE!F119-PERALTE!$Q$12)-2),IF(RASANTE!F119&lt;=PERALTE!$X$12,8,IF(RASANTE!F119&lt;=PERALTE!$AB$12,(10/(PERALTE!$X$12-PERALTE!$AB$12)*(RASANTE!F119-PERALTE!$AB$12)-2))))),IF(AND(AH!$H$16="Izquierda",RASANTE!F119&lt;=PERALTE!$AB$14),IF(RASANTE!F119&lt;=PERALTE!$S$14,-2,IF(RASANTE!F119&lt;=PERALTE!$U$14,(-6/(PERALTE!$U$14-PERALTE!$S$14)*(RASANTE!F119-PERALTE!$S$14)-2),IF(RASANTE!F119&lt;=PERALTE!$X$14,-8,IF(RASANTE!F119&lt;=PERALTE!$Z$14,(-6/(PERALTE!$X$14-PERALTE!$Z$14)*(RASANTE!F119-PERALTE!$Z$14)-2),IF(RASANTE!F119&lt;=PERALTE!$AB$14,-2))))),IF(AND(AH!$H$16="Derecha",RASANTE!F119&lt;=PERALTE!$AB$14),IF(RASANTE!F119&lt;=PERALTE!$Q$14,-2,IF(RASANTE!F119&lt;=PERALTE!$U$14,(10/(PERALTE!$U$14-PERALTE!$Q$14)*(RASANTE!F119-PERALTE!$Q$14)-2),IF(RASANTE!F119&lt;=PERALTE!$X$14,8,IF(RASANTE!F119&lt;=PERALTE!$AB$14,(10/(PERALTE!$X$14-PERALTE!$AB$14)*(RASANTE!F119-PERALTE!$AB$14)-2))))),IF(AND(AH!$H$18="Izquierda",RASANTE!F119&lt;=PERALTE!$AB$16),IF(RASANTE!F119&lt;=PERALTE!$S$16,-2,IF(RASANTE!F119&lt;=PERALTE!$U$16,(-6/(PERALTE!$U$16-PERALTE!$S$16)*(RASANTE!F119-PERALTE!$S$16)-2),IF(RASANTE!F119&lt;=PERALTE!$X$16,-8,IF(RASANTE!F119&lt;=PERALTE!$Z$16,(-6/(PERALTE!$X$16-PERALTE!$Z$16)*(RASANTE!F119-PERALTE!$Z$16)-2),IF(RASANTE!F119&lt;=PERALTE!$AB$16,-2))))),IF(AND(AH!$H$18="Derecha",RASANTE!F119&lt;=PERALTE!$AB$16),IF(RASANTE!F119&lt;=PERALTE!$Q$16,-2,IF(RASANTE!F119&lt;=PERALTE!$U$16,(10/(PERALTE!$U$16-PERALTE!$Q$16)*(RASANTE!F119-PERALTE!$Q$16)-2),IF(RASANTE!F119&lt;=PERALTE!$X$16,8,IF(RASANTE!F119&lt;=PERALTE!$AB$16,(10/(PERALTE!$X$16-PERALTE!$AB$16)*(RASANTE!F119-PERALTE!$AB$16)-2))))),IF(AND(AH!$H$20="Izquierda",RASANTE!F119&lt;=PERALTE!$AB$18),IF(RASANTE!F119&lt;=PERALTE!$S$18,-2,IF(RASANTE!F119&lt;=PERALTE!$U$18,(-6/(PERALTE!$U$18-PERALTE!$S$18)*(RASANTE!F119-PERALTE!$S$18)-2),IF(RASANTE!F119&lt;=PERALTE!$X$18,-8,IF(RASANTE!F119&lt;=PERALTE!$Z$18,(-6/(PERALTE!$X$18-PERALTE!$Z$18)*(RASANTE!F119-PERALTE!$Z$18)-2),IF(RASANTE!F119&lt;=PERALTE!$AB$18,-2))))),IF(AND(AH!$H$20="Derecha",RASANTE!F119&lt;=PERALTE!$AB$18),IF(RASANTE!F119&lt;=PERALTE!$Q$18,-2,IF(RASANTE!F119&lt;=PERALTE!$U$18,(10/(PERALTE!$U$18-PERALTE!$Q$18)*(RASANTE!F119-PERALTE!$Q$18)-2),IF(RASANTE!F119&lt;=PERALTE!$X$18,8,IF(RASANTE!F119&lt;=PERALTE!$AB$18,(10/(PERALTE!$X$18-PERALTE!$AB$18)*(RASANTE!F119-PERALTE!$AB$18)-2))))),IF(AND(AH!$H$24="Izquierda",RASANTE!F119&lt;=PERALTE!$AB$22),IF(RASANTE!F119&lt;=PERALTE!$S$22,-2,IF(RASANTE!F119&lt;=PERALTE!$U$22,(-6/(PERALTE!$U$22-PERALTE!$S$22)*(RASANTE!F119-PERALTE!$S$22)-2),IF(RASANTE!F119&lt;=PERALTE!$X$22,-8,IF(RASANTE!F119&lt;=PERALTE!$Z$22,(-6/(PERALTE!$X$22-PERALTE!$Z$22)*(RASANTE!F119-PERALTE!$Z$22)-2),IF(RASANTE!F119&lt;=PERALTE!$AB$22,-2))))),IF(AND(AH!$H$24="Derecha",RASANTE!F119&lt;=PERALTE!$AB$22),IF(RASANTE!F119&lt;=PERALTE!$Q$22,-2,IF(RASANTE!F119&lt;=PERALTE!$U$22,(10/(PERALTE!$U$22-PERALTE!$Q$22)*(RASANTE!F119-PERALTE!$Q$22)-2),IF(RASANTE!F119&lt;=PERALTE!$X$22,8,IF(RASANTE!F119&lt;=PERALTE!$AB$22,(10/(PERALTE!$X$22-PERALTE!$AB$22)*(RASANTE!F119-PERALTE!$AB$22)-2))))),IF(AND(AH!#REF!="Izquierda",RASANTE!F119&lt;=PERALTE!#REF!),IF(RASANTE!F119&lt;=PERALTE!#REF!,-2,IF(RASANTE!F119&lt;=PERALTE!#REF!,(-6/(PERALTE!#REF!-PERALTE!#REF!)*(RASANTE!F119-PERALTE!#REF!)-2),IF(RASANTE!F119&lt;=PERALTE!#REF!,-8,IF(RASANTE!F119&lt;=PERALTE!#REF!,(-6/(PERALTE!#REF!-PERALTE!#REF!)*(RASANTE!F119-PERALTE!#REF!)-2),IF(RASANTE!F119&lt;=PERALTE!#REF!,-2))))),IF(AND(AH!#REF!="Derecha",RASANTE!F119&lt;=PERALTE!#REF!),IF(RASANTE!F119&lt;=PERALTE!#REF!,-2,IF(RASANTE!F119&lt;=PERALTE!#REF!,(10/(PERALTE!#REF!-PERALTE!#REF!)*(RASANTE!F119-PERALTE!#REF!)-2),IF(RASANTE!F119&lt;=PERALTE!#REF!,8,IF(RASANTE!F119&lt;=PERALTE!#REF!,(10/(PERALTE!#REF!-PERALTE!#REF!)*(RASANTE!F119-PERALTE!#REF!)-2))))),IF(AND(AH!#REF!="Izquierda",RASANTE!F119&lt;=PERALTE!$AB$26),IF(RASANTE!F119&lt;=PERALTE!$S$26,-2,IF(RASANTE!F119&lt;=PERALTE!$U$26,(-6/(PERALTE!$U$26-PERALTE!$S$26)*(RASANTE!F119-PERALTE!$S$26)-2),IF(RASANTE!F119&lt;=PERALTE!$X$26,-8,IF(RASANTE!F119&lt;=PERALTE!$Z$26,(-6/(PERALTE!$X$26-PERALTE!$Z$26)*(RASANTE!F119-PERALTE!$Z$26)-2),IF(RASANTE!F119&lt;=PERALTE!$AB$26,-2))))),IF(AND(AH!#REF!="Derecha",RASANTE!F119&lt;=PERALTE!$AB$26),IF(RASANTE!F119&lt;=PERALTE!$Q$26,-2,IF(RASANTE!F119&lt;=PERALTE!$U$26,(10/(PERALTE!$U$26-PERALTE!$Q$26)*(RASANTE!F119-PERALTE!$Q$26)-2),IF(RASANTE!F119&lt;=PERALTE!$X$26,8,IF(RASANTE!F119&lt;=PERALTE!$AB$26,(10/(PERALTE!$X$26-PERALTE!$AB$26)*(RASANTE!F119-PERALTE!$AB$26)-2))))),IF(F119&lt;=PERALTE!#REF!,-2,"Abscisa fuera de la vía")))))))))))))))))))))</f>
        <v>-2</v>
      </c>
      <c r="I119" s="28">
        <f>+IF(AND(AH!$H$8="Derecha",RASANTE!F119&lt;=PERALTE!$AB$6),IF(RASANTE!F119&lt;=PERALTE!$S$6,-2,IF(RASANTE!F119&lt;=PERALTE!$U$6,(-6/(PERALTE!$U$6-PERALTE!$S$6)*(RASANTE!F119-PERALTE!$S$6)-2),IF(RASANTE!F119&lt;=PERALTE!$X$6,-8,IF(RASANTE!F119&lt;=PERALTE!$Z$6,(-6/(PERALTE!$X$6-PERALTE!$Z$6)*(RASANTE!F119-PERALTE!$Z$6)-2),IF(RASANTE!F119&lt;=PERALTE!$AB$6,-2))))),IF(AND(AH!$H$8="Izquierda",RASANTE!F119&lt;=PERALTE!$AB$6),IF(RASANTE!F119&lt;=PERALTE!$Q$6,-2,IF(RASANTE!F119&lt;=PERALTE!$U$6,(10/(PERALTE!$U$6-PERALTE!$Q$6)*(RASANTE!F119-PERALTE!$Q$6)-2),IF(RASANTE!F119&lt;=PERALTE!$X$6,8,IF(RASANTE!F119&lt;=PERALTE!$AB$6,(10/(PERALTE!$X$6-PERALTE!$AB$6)*(RASANTE!F119-PERALTE!$AB$6)-2))))),IF(AND(AH!$H$10="Derecha",RASANTE!F119&lt;=PERALTE!$AB$8),IF(RASANTE!F119&lt;=PERALTE!$S$8,-2,IF(RASANTE!F119&lt;=PERALTE!$U$8,(-6/(PERALTE!$U$8-PERALTE!$S$8)*(RASANTE!F119-PERALTE!$S$8)-2),IF(RASANTE!F119&lt;=PERALTE!$X$8,-8,IF(RASANTE!F119&lt;=PERALTE!$Z$8,(-6/(PERALTE!$X$8-PERALTE!$Z$8)*(RASANTE!F119-PERALTE!$Z$8)-2),IF(RASANTE!F119&lt;=PERALTE!$AB$8,-2))))),IF(AND(AH!$H$10="Izquierda",RASANTE!F119&lt;=PERALTE!$AB$8),IF(RASANTE!F119&lt;=PERALTE!$Q$8,-2,IF(RASANTE!F119&lt;=PERALTE!$U$8,(10/(PERALTE!$U$8-PERALTE!$Q$8)*(RASANTE!F119-PERALTE!$Q$8)-2),IF(RASANTE!F119&lt;=PERALTE!$X$8,8,IF(RASANTE!F119&lt;=PERALTE!$AB$8,(10/(PERALTE!$X$8-PERALTE!$AB$8)*(RASANTE!F119-PERALTE!$AB$8)-2))))),IF(AND(AH!$H$12="Derecha",RASANTE!F119&lt;=PERALTE!$AB$10),IF(RASANTE!F119&lt;=PERALTE!$S$10,-2,IF(RASANTE!F119&lt;=PERALTE!$U$10,(-6/(PERALTE!$U$10-PERALTE!$S$10)*(RASANTE!F119-PERALTE!$S$10)-2),IF(RASANTE!F119&lt;=PERALTE!$X$10,-8,IF(RASANTE!F119&lt;=PERALTE!$Z$10,(-6/(PERALTE!$X$10-PERALTE!$Z$10)*(RASANTE!F119-PERALTE!$Z$10)-2),IF(RASANTE!F119&lt;=PERALTE!$AB$10,-2))))),IF(AND(AH!$H$12="Izquierda",RASANTE!F119&lt;=PERALTE!$AB$10),IF(RASANTE!F119&lt;=PERALTE!$Q$10,-2,IF(RASANTE!F119&lt;=PERALTE!$U$10,(10/(PERALTE!$U$10-PERALTE!$Q$10)*(RASANTE!F119-PERALTE!$Q$10)-2),IF(RASANTE!F119&lt;=PERALTE!$X$10,8,IF(RASANTE!F119&lt;=PERALTE!$AB$10,(10/(PERALTE!$X$10-PERALTE!$AB$10)*(RASANTE!F119-PERALTE!$AB$10)-2))))),IF(AND(AH!$H$14="Derecha",RASANTE!F119&lt;=PERALTE!$AB$12),IF(RASANTE!F119&lt;=PERALTE!$S$12,-2,IF(RASANTE!F119&lt;=PERALTE!$U$12,(-6/(PERALTE!$U$12-PERALTE!$S$12)*(RASANTE!F119-PERALTE!$S$12)-2),IF(RASANTE!F119&lt;=PERALTE!$X$12,-8,IF(RASANTE!F119&lt;=PERALTE!$Z$12,(-6/(PERALTE!$X$12-PERALTE!$Z$12)*(RASANTE!F119-PERALTE!$Z$12)-2),IF(RASANTE!F119&lt;=PERALTE!$AB$12,-2))))),IF(AND(AH!$H$14="Izquierda",RASANTE!F119&lt;=PERALTE!$AB$12),IF(RASANTE!F119&lt;=PERALTE!$Q$12,-2,IF(RASANTE!F119&lt;=PERALTE!$U$12,(10/(PERALTE!$U$12-PERALTE!$Q$12)*(RASANTE!F119-PERALTE!$Q$12)-2),IF(RASANTE!F119&lt;=PERALTE!$X$12,8,IF(RASANTE!F119&lt;=PERALTE!$AB$12,(10/(PERALTE!$X$12-PERALTE!$AB$12)*(RASANTE!F119-PERALTE!$AB$12)-2))))),IF(AND(AH!$H$16="Derecha",RASANTE!F119&lt;=PERALTE!$AB$14),IF(RASANTE!F119&lt;=PERALTE!$S$14,-2,IF(RASANTE!F119&lt;=PERALTE!$U$14,(-6/(PERALTE!$U$14-PERALTE!$S$14)*(RASANTE!F119-PERALTE!$S$14)-2),IF(RASANTE!F119&lt;=PERALTE!$X$14,-8,IF(RASANTE!F119&lt;=PERALTE!$Z$14,(-6/(PERALTE!$X$14-PERALTE!$Z$14)*(RASANTE!F119-PERALTE!$Z$14)-2),IF(RASANTE!F119&lt;=PERALTE!$AB$14,-2))))),IF(AND(AH!$H$16="Izquierda",RASANTE!F119&lt;=PERALTE!$AB$14),IF(RASANTE!F119&lt;=PERALTE!$Q$14,-2,IF(RASANTE!F119&lt;=PERALTE!$U$14,(10/(PERALTE!$U$14-PERALTE!$Q$14)*(RASANTE!F119-PERALTE!$Q$14)-2),IF(RASANTE!F119&lt;=PERALTE!$X$14,8,IF(RASANTE!F119&lt;=PERALTE!$AB$14,(10/(PERALTE!$X$14-PERALTE!$AB$14)*(RASANTE!F119-PERALTE!$AB$14)-2))))),IF(AND(AH!$H$18="Derecha",RASANTE!F119&lt;=PERALTE!$AB$16),IF(RASANTE!F119&lt;=PERALTE!$S$16,-2,IF(RASANTE!F119&lt;=PERALTE!$U$16,(-6/(PERALTE!$U$16-PERALTE!$S$16)*(RASANTE!F119-PERALTE!$S$16)-2),IF(RASANTE!F119&lt;=PERALTE!$X$16,-8,IF(RASANTE!F119&lt;=PERALTE!$Z$16,(-6/(PERALTE!$X$16-PERALTE!$Z$16)*(RASANTE!F119-PERALTE!$Z$16)-2),IF(RASANTE!F119&lt;=PERALTE!$AB$16,-2))))),IF(AND(AH!$H$18="Izquierda",RASANTE!F119&lt;=PERALTE!$AB$16),IF(RASANTE!F119&lt;=PERALTE!$Q$16,-2,IF(RASANTE!F119&lt;=PERALTE!$U$16,(10/(PERALTE!$U$16-PERALTE!$Q$16)*(RASANTE!F119-PERALTE!$Q$16)-2),IF(RASANTE!F119&lt;=PERALTE!$X$16,8,IF(RASANTE!F119&lt;=PERALTE!$AB$16,(10/(PERALTE!$X$16-PERALTE!$AB$16)*(RASANTE!F119-PERALTE!$AB$16)-2))))),IF(AND(AH!$H$20="Derecha",RASANTE!F119&lt;=PERALTE!$AB$18),IF(RASANTE!F119&lt;=PERALTE!$S$18,-2,IF(RASANTE!F119&lt;=PERALTE!$U$18,(-6/(PERALTE!$U$18-PERALTE!$S$18)*(RASANTE!F119-PERALTE!$S$18)-2),IF(RASANTE!F119&lt;=PERALTE!$X$18,-8,IF(RASANTE!F119&lt;=PERALTE!$Z$18,(-6/(PERALTE!$X$18-PERALTE!$Z$18)*(RASANTE!F119-PERALTE!$Z$18)-2),IF(RASANTE!F119&lt;=PERALTE!$AB$18,-2))))),IF(AND(AH!$H$20="Izquierda",RASANTE!F119&lt;=PERALTE!$AB$18),IF(RASANTE!F119&lt;=PERALTE!$Q$18,-2,IF(RASANTE!F119&lt;=PERALTE!$U$18,(10/(PERALTE!$U$18-PERALTE!$Q$18)*(RASANTE!F119-PERALTE!$Q$18)-2),IF(RASANTE!F119&lt;=PERALTE!$X$18,8,IF(RASANTE!F119&lt;=PERALTE!$AB$18,(10/(PERALTE!$X$18-PERALTE!$AB$18)*(RASANTE!F119-PERALTE!$AB$18)-2))))),IF(AND(AH!$H$24="Derecha",RASANTE!F119&lt;=PERALTE!$AB$22),IF(RASANTE!F119&lt;=PERALTE!$S$22,-2,IF(RASANTE!F119&lt;=PERALTE!$U$22,(-6/(PERALTE!$U$22-PERALTE!$S$22)*(RASANTE!F119-PERALTE!$S$22)-2),IF(RASANTE!F119&lt;=PERALTE!$X$22,-8,IF(RASANTE!F119&lt;=PERALTE!$Z$22,(-6/(PERALTE!$X$22-PERALTE!$Z$22)*(RASANTE!F119-PERALTE!$Z$22)-2),IF(RASANTE!F119&lt;=PERALTE!$AB$22,-2))))),IF(AND(AH!$H$24="Izquierda",RASANTE!F119&lt;=PERALTE!$AB$22),IF(RASANTE!F119&lt;=PERALTE!$Q$22,-2,IF(RASANTE!F119&lt;=PERALTE!$U$22,(10/(PERALTE!$U$22-PERALTE!$Q$22)*(RASANTE!F119-PERALTE!$Q$22)-2),IF(RASANTE!F119&lt;=PERALTE!$X$22,8,IF(RASANTE!F119&lt;=PERALTE!$AB$22,(10/(PERALTE!$X$22-PERALTE!$AB$22)*(RASANTE!F119-PERALTE!$AB$22)-2))))),IF(AND(AH!#REF!="Derecha",RASANTE!F119&lt;=PERALTE!#REF!),IF(RASANTE!F119&lt;=PERALTE!#REF!,-2,IF(RASANTE!F119&lt;=PERALTE!#REF!,(-6/(PERALTE!#REF!-PERALTE!#REF!)*(RASANTE!F119-PERALTE!#REF!)-2),IF(RASANTE!F119&lt;=PERALTE!#REF!,-8,IF(RASANTE!F119&lt;=PERALTE!#REF!,(-6/(PERALTE!#REF!-PERALTE!#REF!)*(RASANTE!F119-PERALTE!#REF!)-2),IF(RASANTE!F119&lt;=PERALTE!#REF!,-2))))),IF(AND(AH!#REF!="Izquierda",RASANTE!F119&lt;=PERALTE!#REF!),IF(RASANTE!F119&lt;=PERALTE!#REF!,-2,IF(RASANTE!F119&lt;=PERALTE!#REF!,(10/(PERALTE!#REF!-PERALTE!#REF!)*(RASANTE!F119-PERALTE!#REF!)-2),IF(RASANTE!F119&lt;=PERALTE!#REF!,8,IF(RASANTE!F119&lt;=PERALTE!#REF!,(10/(PERALTE!#REF!-PERALTE!#REF!)*(RASANTE!F119-PERALTE!#REF!)-2))))),IF(AND(AH!#REF!="Derecha",RASANTE!F119&lt;=PERALTE!$AB$26),IF(RASANTE!F119&lt;=PERALTE!$S$26,-2,IF(RASANTE!F119&lt;=PERALTE!$U$26,(-6/(PERALTE!$U$26-PERALTE!$S$26)*(RASANTE!F119-PERALTE!$S$26)-2),IF(RASANTE!F119&lt;=PERALTE!$X$26,-8,IF(RASANTE!F119&lt;=PERALTE!$Z$26,(-6/(PERALTE!$X$26-PERALTE!$Z$26)*(RASANTE!F119-PERALTE!$Z$26)-2),IF(RASANTE!F119&lt;=PERALTE!$AB$26,-2))))),IF(AND(AH!#REF!="Izquierda",RASANTE!F119&lt;=PERALTE!$AB$26),IF(RASANTE!F119&lt;=PERALTE!$Q$26,-2,IF(RASANTE!F119&lt;=PERALTE!$U$26,(10/(PERALTE!$U$26-PERALTE!$Q$26)*(RASANTE!F119-PERALTE!$Q$26)-2),IF(RASANTE!F119&lt;=PERALTE!$X$26,8,IF(RASANTE!F119&lt;=PERALTE!$AB$26,(10/(PERALTE!$X$26-PERALTE!$AB$26)*(RASANTE!F119-PERALTE!$AB$26)-2))))),IF(F119&lt;=PERALTE!#REF!,-2,"Abscisa fuera de la vía")))))))))))))))))))))</f>
        <v>-2</v>
      </c>
      <c r="J119" s="28">
        <f t="shared" si="4"/>
        <v>1629.8864000000012</v>
      </c>
      <c r="K119" s="28">
        <f>+IF(AND(AV!$S$6&lt;F216,F216&lt;=AV!$T$6),AV!$P$6*((AV!$S$6-RASANTE!F216)/(AV!$N$6))^2,IF(AND(AV!$T$6&lt;RASANTE!F216,F216&lt;AV!$U$6),AV!$P$6*((AV!$U$6-RASANTE!F216)/(AV!$O$6))^2,IF(AND(AV!$S$8&lt;F216,F216&lt;=AV!$T$8),AV!$P$8*((AV!$S$8-RASANTE!F216)/(AV!$N$8))^2,IF(AND(AV!$T$8&lt;RASANTE!F216,F216&lt;AV!$U$8),AV!$P$8*((AV!$U$8-RASANTE!F216)/(AV!$O$8))^2,IF(AND(AV!$S$10&lt;F216,F216&lt;=AV!$T$10),AV!$P$10*((AV!$S$10-RASANTE!F216)/(AV!$N$10))^2,IF(AND(AV!$T$10&lt;RASANTE!F216,F216&lt;AV!$U$10),AV!$P$10*((AV!$U$10-RASANTE!F216)/(AV!$O$10))^2,IF(AND(AV!$S$12&lt;F216,F216&lt;=AV!$T$12),AV!$P$12*((AV!$S$12-RASANTE!F216)/(AV!$N$12))^2,IF(AND(AV!$T$12&lt;RASANTE!F216,F216&lt;AV!$U$12),AV!$P$12*((AV!$U$12-RASANTE!F216)/(AV!$O$12))^2,IF(AND(AV!$S$14&lt;F216,F216&lt;=AV!$T$14),AV!$P$14*((AV!$S$14-RASANTE!F216)/(AV!$N$14))^2,IF(AND(AV!$T$14&lt;RASANTE!F216,F216&lt;AV!$U$14),AV!$P$14*((AV!$U$14-RASANTE!F216)/(AV!$O$14))^2,IF(AND(AV!$S$16&lt;F216,F216&lt;=AV!$T$16),AV!$P$16*((AV!$S$16-RASANTE!F216)/(AV!$N$16))^2,IF(AND(AV!$T$16&lt;RASANTE!F216,F216&lt;AV!$U$16),AV!$P$16*((AV!$U$16-RASANTE!F216)/(AV!$O$16))^2,IF(AND(AV!$S$18&lt;F216,F216&lt;=AV!$T$18),AV!$P$18*((AV!$S$18-RASANTE!F216)/(AV!$N$18))^2,IF(AND(AV!$T$18&lt;RASANTE!F216,F216&lt;AV!$U$18),AV!$P$18*((AV!$U$18-RASANTE!F216)/(AV!$O$18))^2,IF(AND(AV!$S$20&lt;F216,F216&lt;=AV!$T$20),AV!$P$20*((AV!$S$20-RASANTE!F216)/(AV!$N$20))^2,IF(AND(AV!$T$20&lt;RASANTE!F216,F216&lt;AV!$U$20),AV!$P$20*((AV!$U$20-RASANTE!F216)/(AV!$O$20))^2,IF(AND(AV!$S$22&lt;F216,F216&lt;=AV!$T$22),AV!$P$22*((AV!$S$22-RASANTE!F216)/(AV!$N$22))^2,IF(AND(AV!$T$22&lt;RASANTE!F216,F216&lt;AV!$U$22),AV!$P$22*((AV!$U$22-RASANTE!F216)/(AV!$O$22))^2,IF(AND(AV!$S$24&lt;F216,F216&lt;=AV!$T$24),AV!$P$24*((AV!$S$24-RASANTE!F216)/(AV!$N$24))^2,IF(AND(AV!$T$24&lt;RASANTE!F216,F216&lt;AV!$U$24),AV!$P$24*((AV!$U$24-RASANTE!F216)/(AV!$O$24))^2,0))))))))))))))))))))</f>
        <v>0</v>
      </c>
      <c r="L119" s="28">
        <f>+M119+H119%*PERALTE!$C$32</f>
        <v>1629.8164000000013</v>
      </c>
      <c r="M119" s="28">
        <f t="shared" si="5"/>
        <v>1629.8864000000012</v>
      </c>
      <c r="N119" s="28">
        <f>+M119+I119%*PERALTE!$C$32</f>
        <v>1629.8164000000013</v>
      </c>
      <c r="O119" s="92"/>
      <c r="P119" s="84"/>
      <c r="Q119" s="84"/>
      <c r="R119" s="84"/>
      <c r="S119" s="84"/>
      <c r="T119" s="84"/>
      <c r="U119" s="84"/>
      <c r="V119" s="84"/>
      <c r="W119" s="84"/>
      <c r="X119" s="84"/>
      <c r="Y119" s="84"/>
    </row>
    <row r="120" spans="1:25" ht="15.75" customHeight="1" x14ac:dyDescent="0.2">
      <c r="A120" s="322"/>
      <c r="F120" s="34">
        <v>740</v>
      </c>
      <c r="G120" s="88">
        <f>IF(F120&lt;=AV!$T$6,AV!$C$5,IF(RASANTE!F120&lt;=AV!$T$8,AV!$C$7,IF(RASANTE!F120&lt;=AV!$T$10,AV!$C$9,IF(RASANTE!F120&lt;=AV!$T$12,AV!#REF!,IF(RASANTE!F120&lt;=AV!$T$14,AV!$C$11,IF(RASANTE!F120&lt;=AV!$T$16,AV!$C$13, IF(RASANTE!F120&lt;=AV!$T$18,AV!$C$15,IF(RASANTE!F120&lt;=AV!$T$20,AV!$C$19,IF(RASANTE!F120&lt;=AV!$T$22,AV!$C$21,IF(RASANTE!F120&lt;=AV!$T$24,AV!$C$23,AV!$C$25))))))))))</f>
        <v>-3</v>
      </c>
      <c r="H120" s="28">
        <f>+IF(AND(AH!$H$8="Izquierda",RASANTE!F120&lt;=PERALTE!$AB$6),IF(RASANTE!F120&lt;=PERALTE!$S$6,-2,IF(RASANTE!F120&lt;=PERALTE!$U$6,(-6/(PERALTE!$U$6-PERALTE!$S$6)*(RASANTE!F120-PERALTE!$S$6)-2),IF(RASANTE!F120&lt;=PERALTE!$X$6,-8,IF(RASANTE!F120&lt;=PERALTE!$Z$6,(-6/(PERALTE!$X$6-PERALTE!$Z$6)*(RASANTE!F120-PERALTE!$Z$6)-2),IF(RASANTE!F120&lt;=PERALTE!$AB$6,-2))))),IF(AND(AH!$H$8="Derecha",RASANTE!F120&lt;=PERALTE!$AB$6),IF(RASANTE!F120&lt;=PERALTE!$Q$6,-2,IF(RASANTE!F120&lt;=PERALTE!$U$6,(10/(PERALTE!$U$6-PERALTE!$Q$6)*(RASANTE!F120-PERALTE!$Q$6)-2),IF(RASANTE!F120&lt;=PERALTE!$X$6,8,IF(RASANTE!F120&lt;=PERALTE!$AB$6,(10/(PERALTE!$X$6-PERALTE!$AB$6)*(RASANTE!F120-PERALTE!$AB$6)-2))))),IF(AND(AH!$H$10="Izquierda",RASANTE!F120&lt;=PERALTE!$AB$8),IF(RASANTE!F120&lt;=PERALTE!$S$8,-2,IF(RASANTE!F120&lt;=PERALTE!$U$8,(-6/(PERALTE!$U$8-PERALTE!$S$8)*(RASANTE!F120-PERALTE!$S$8)-2),IF(RASANTE!F120&lt;=PERALTE!$X$8,-8,IF(RASANTE!F120&lt;=PERALTE!$Z$8,(-6/(PERALTE!$X$8-PERALTE!$Z$8)*(RASANTE!F120-PERALTE!$Z$8)-2),IF(RASANTE!F120&lt;=PERALTE!$AB$8,-2))))),IF(AND(AH!$H$10="Derecha",RASANTE!F120&lt;=PERALTE!$AB$8),IF(RASANTE!F120&lt;=PERALTE!$Q$8,-2,IF(RASANTE!F120&lt;=PERALTE!$U$8,(10/(PERALTE!$U$8-PERALTE!$Q$8)*(RASANTE!F120-PERALTE!$Q$8)-2),IF(RASANTE!F120&lt;=PERALTE!$X$8,8,IF(RASANTE!F120&lt;=PERALTE!$AB$8,(10/(PERALTE!$X$8-PERALTE!$AB$8)*(RASANTE!F120-PERALTE!$AB$8)-2))))),IF(AND(AH!$H$12="Izquierda",RASANTE!F120&lt;=PERALTE!$AB$10),IF(RASANTE!F120&lt;=PERALTE!$S$10,-2,IF(RASANTE!F120&lt;=PERALTE!$U$10,(-6/(PERALTE!$U$10-PERALTE!$S$10)*(RASANTE!F120-PERALTE!$S$10)-2),IF(RASANTE!F120&lt;=PERALTE!$X$10,-8,IF(RASANTE!F120&lt;=PERALTE!$Z$10,(-6/(PERALTE!$X$10-PERALTE!$Z$10)*(RASANTE!F120-PERALTE!$Z$10)-2),IF(RASANTE!F120&lt;=PERALTE!$AB$10,-2))))),IF(AND(AH!$H$12="Derecha",RASANTE!F120&lt;=PERALTE!$AB$10),IF(RASANTE!F120&lt;=PERALTE!$Q$10,-2,IF(RASANTE!F120&lt;=PERALTE!$U$10,(10/(PERALTE!$U$10-PERALTE!$Q$10)*(RASANTE!F120-PERALTE!$Q$10)-2),IF(RASANTE!F120&lt;=PERALTE!$X$10,8,IF(RASANTE!F120&lt;=PERALTE!$AB$10,(10/(PERALTE!$X$10-PERALTE!$AB$10)*(RASANTE!F120-PERALTE!$AB$10)-2))))),IF(AND(AH!$H$14="Izquierda",RASANTE!F120&lt;=PERALTE!$AB$12),IF(RASANTE!F120&lt;=PERALTE!$S$12,-2,IF(RASANTE!F120&lt;=PERALTE!$U$12,(-6/(PERALTE!$U$12-PERALTE!$S$12)*(RASANTE!F120-PERALTE!$S$12)-2),IF(RASANTE!F120&lt;=PERALTE!$X$12,-8,IF(RASANTE!F120&lt;=PERALTE!$Z$12,(-6/(PERALTE!$X$12-PERALTE!$Z$12)*(RASANTE!F120-PERALTE!$Z$12)-2),IF(RASANTE!F120&lt;=PERALTE!$AB$12,-2))))),IF(AND(AH!$H$14="Derecha",RASANTE!F120&lt;=PERALTE!$AB$12),IF(RASANTE!F120&lt;=PERALTE!$Q$12,-2,IF(RASANTE!F120&lt;=PERALTE!$U$12,(10/(PERALTE!$U$12-PERALTE!$Q$12)*(RASANTE!F120-PERALTE!$Q$12)-2),IF(RASANTE!F120&lt;=PERALTE!$X$12,8,IF(RASANTE!F120&lt;=PERALTE!$AB$12,(10/(PERALTE!$X$12-PERALTE!$AB$12)*(RASANTE!F120-PERALTE!$AB$12)-2))))),IF(AND(AH!$H$16="Izquierda",RASANTE!F120&lt;=PERALTE!$AB$14),IF(RASANTE!F120&lt;=PERALTE!$S$14,-2,IF(RASANTE!F120&lt;=PERALTE!$U$14,(-6/(PERALTE!$U$14-PERALTE!$S$14)*(RASANTE!F120-PERALTE!$S$14)-2),IF(RASANTE!F120&lt;=PERALTE!$X$14,-8,IF(RASANTE!F120&lt;=PERALTE!$Z$14,(-6/(PERALTE!$X$14-PERALTE!$Z$14)*(RASANTE!F120-PERALTE!$Z$14)-2),IF(RASANTE!F120&lt;=PERALTE!$AB$14,-2))))),IF(AND(AH!$H$16="Derecha",RASANTE!F120&lt;=PERALTE!$AB$14),IF(RASANTE!F120&lt;=PERALTE!$Q$14,-2,IF(RASANTE!F120&lt;=PERALTE!$U$14,(10/(PERALTE!$U$14-PERALTE!$Q$14)*(RASANTE!F120-PERALTE!$Q$14)-2),IF(RASANTE!F120&lt;=PERALTE!$X$14,8,IF(RASANTE!F120&lt;=PERALTE!$AB$14,(10/(PERALTE!$X$14-PERALTE!$AB$14)*(RASANTE!F120-PERALTE!$AB$14)-2))))),IF(AND(AH!$H$18="Izquierda",RASANTE!F120&lt;=PERALTE!$AB$16),IF(RASANTE!F120&lt;=PERALTE!$S$16,-2,IF(RASANTE!F120&lt;=PERALTE!$U$16,(-6/(PERALTE!$U$16-PERALTE!$S$16)*(RASANTE!F120-PERALTE!$S$16)-2),IF(RASANTE!F120&lt;=PERALTE!$X$16,-8,IF(RASANTE!F120&lt;=PERALTE!$Z$16,(-6/(PERALTE!$X$16-PERALTE!$Z$16)*(RASANTE!F120-PERALTE!$Z$16)-2),IF(RASANTE!F120&lt;=PERALTE!$AB$16,-2))))),IF(AND(AH!$H$18="Derecha",RASANTE!F120&lt;=PERALTE!$AB$16),IF(RASANTE!F120&lt;=PERALTE!$Q$16,-2,IF(RASANTE!F120&lt;=PERALTE!$U$16,(10/(PERALTE!$U$16-PERALTE!$Q$16)*(RASANTE!F120-PERALTE!$Q$16)-2),IF(RASANTE!F120&lt;=PERALTE!$X$16,8,IF(RASANTE!F120&lt;=PERALTE!$AB$16,(10/(PERALTE!$X$16-PERALTE!$AB$16)*(RASANTE!F120-PERALTE!$AB$16)-2))))),IF(AND(AH!$H$20="Izquierda",RASANTE!F120&lt;=PERALTE!$AB$18),IF(RASANTE!F120&lt;=PERALTE!$S$18,-2,IF(RASANTE!F120&lt;=PERALTE!$U$18,(-6/(PERALTE!$U$18-PERALTE!$S$18)*(RASANTE!F120-PERALTE!$S$18)-2),IF(RASANTE!F120&lt;=PERALTE!$X$18,-8,IF(RASANTE!F120&lt;=PERALTE!$Z$18,(-6/(PERALTE!$X$18-PERALTE!$Z$18)*(RASANTE!F120-PERALTE!$Z$18)-2),IF(RASANTE!F120&lt;=PERALTE!$AB$18,-2))))),IF(AND(AH!$H$20="Derecha",RASANTE!F120&lt;=PERALTE!$AB$18),IF(RASANTE!F120&lt;=PERALTE!$Q$18,-2,IF(RASANTE!F120&lt;=PERALTE!$U$18,(10/(PERALTE!$U$18-PERALTE!$Q$18)*(RASANTE!F120-PERALTE!$Q$18)-2),IF(RASANTE!F120&lt;=PERALTE!$X$18,8,IF(RASANTE!F120&lt;=PERALTE!$AB$18,(10/(PERALTE!$X$18-PERALTE!$AB$18)*(RASANTE!F120-PERALTE!$AB$18)-2))))),IF(AND(AH!$H$24="Izquierda",RASANTE!F120&lt;=PERALTE!$AB$22),IF(RASANTE!F120&lt;=PERALTE!$S$22,-2,IF(RASANTE!F120&lt;=PERALTE!$U$22,(-6/(PERALTE!$U$22-PERALTE!$S$22)*(RASANTE!F120-PERALTE!$S$22)-2),IF(RASANTE!F120&lt;=PERALTE!$X$22,-8,IF(RASANTE!F120&lt;=PERALTE!$Z$22,(-6/(PERALTE!$X$22-PERALTE!$Z$22)*(RASANTE!F120-PERALTE!$Z$22)-2),IF(RASANTE!F120&lt;=PERALTE!$AB$22,-2))))),IF(AND(AH!$H$24="Derecha",RASANTE!F120&lt;=PERALTE!$AB$22),IF(RASANTE!F120&lt;=PERALTE!$Q$22,-2,IF(RASANTE!F120&lt;=PERALTE!$U$22,(10/(PERALTE!$U$22-PERALTE!$Q$22)*(RASANTE!F120-PERALTE!$Q$22)-2),IF(RASANTE!F120&lt;=PERALTE!$X$22,8,IF(RASANTE!F120&lt;=PERALTE!$AB$22,(10/(PERALTE!$X$22-PERALTE!$AB$22)*(RASANTE!F120-PERALTE!$AB$22)-2))))),IF(AND(AH!#REF!="Izquierda",RASANTE!F120&lt;=PERALTE!#REF!),IF(RASANTE!F120&lt;=PERALTE!#REF!,-2,IF(RASANTE!F120&lt;=PERALTE!#REF!,(-6/(PERALTE!#REF!-PERALTE!#REF!)*(RASANTE!F120-PERALTE!#REF!)-2),IF(RASANTE!F120&lt;=PERALTE!#REF!,-8,IF(RASANTE!F120&lt;=PERALTE!#REF!,(-6/(PERALTE!#REF!-PERALTE!#REF!)*(RASANTE!F120-PERALTE!#REF!)-2),IF(RASANTE!F120&lt;=PERALTE!#REF!,-2))))),IF(AND(AH!#REF!="Derecha",RASANTE!F120&lt;=PERALTE!#REF!),IF(RASANTE!F120&lt;=PERALTE!#REF!,-2,IF(RASANTE!F120&lt;=PERALTE!#REF!,(10/(PERALTE!#REF!-PERALTE!#REF!)*(RASANTE!F120-PERALTE!#REF!)-2),IF(RASANTE!F120&lt;=PERALTE!#REF!,8,IF(RASANTE!F120&lt;=PERALTE!#REF!,(10/(PERALTE!#REF!-PERALTE!#REF!)*(RASANTE!F120-PERALTE!#REF!)-2))))),IF(AND(AH!#REF!="Izquierda",RASANTE!F120&lt;=PERALTE!$AB$26),IF(RASANTE!F120&lt;=PERALTE!$S$26,-2,IF(RASANTE!F120&lt;=PERALTE!$U$26,(-6/(PERALTE!$U$26-PERALTE!$S$26)*(RASANTE!F120-PERALTE!$S$26)-2),IF(RASANTE!F120&lt;=PERALTE!$X$26,-8,IF(RASANTE!F120&lt;=PERALTE!$Z$26,(-6/(PERALTE!$X$26-PERALTE!$Z$26)*(RASANTE!F120-PERALTE!$Z$26)-2),IF(RASANTE!F120&lt;=PERALTE!$AB$26,-2))))),IF(AND(AH!#REF!="Derecha",RASANTE!F120&lt;=PERALTE!$AB$26),IF(RASANTE!F120&lt;=PERALTE!$Q$26,-2,IF(RASANTE!F120&lt;=PERALTE!$U$26,(10/(PERALTE!$U$26-PERALTE!$Q$26)*(RASANTE!F120-PERALTE!$Q$26)-2),IF(RASANTE!F120&lt;=PERALTE!$X$26,8,IF(RASANTE!F120&lt;=PERALTE!$AB$26,(10/(PERALTE!$X$26-PERALTE!$AB$26)*(RASANTE!F120-PERALTE!$AB$26)-2))))),IF(F120&lt;=PERALTE!#REF!,-2,"Abscisa fuera de la vía")))))))))))))))))))))</f>
        <v>-2</v>
      </c>
      <c r="I120" s="28">
        <f>+IF(AND(AH!$H$8="Derecha",RASANTE!F120&lt;=PERALTE!$AB$6),IF(RASANTE!F120&lt;=PERALTE!$S$6,-2,IF(RASANTE!F120&lt;=PERALTE!$U$6,(-6/(PERALTE!$U$6-PERALTE!$S$6)*(RASANTE!F120-PERALTE!$S$6)-2),IF(RASANTE!F120&lt;=PERALTE!$X$6,-8,IF(RASANTE!F120&lt;=PERALTE!$Z$6,(-6/(PERALTE!$X$6-PERALTE!$Z$6)*(RASANTE!F120-PERALTE!$Z$6)-2),IF(RASANTE!F120&lt;=PERALTE!$AB$6,-2))))),IF(AND(AH!$H$8="Izquierda",RASANTE!F120&lt;=PERALTE!$AB$6),IF(RASANTE!F120&lt;=PERALTE!$Q$6,-2,IF(RASANTE!F120&lt;=PERALTE!$U$6,(10/(PERALTE!$U$6-PERALTE!$Q$6)*(RASANTE!F120-PERALTE!$Q$6)-2),IF(RASANTE!F120&lt;=PERALTE!$X$6,8,IF(RASANTE!F120&lt;=PERALTE!$AB$6,(10/(PERALTE!$X$6-PERALTE!$AB$6)*(RASANTE!F120-PERALTE!$AB$6)-2))))),IF(AND(AH!$H$10="Derecha",RASANTE!F120&lt;=PERALTE!$AB$8),IF(RASANTE!F120&lt;=PERALTE!$S$8,-2,IF(RASANTE!F120&lt;=PERALTE!$U$8,(-6/(PERALTE!$U$8-PERALTE!$S$8)*(RASANTE!F120-PERALTE!$S$8)-2),IF(RASANTE!F120&lt;=PERALTE!$X$8,-8,IF(RASANTE!F120&lt;=PERALTE!$Z$8,(-6/(PERALTE!$X$8-PERALTE!$Z$8)*(RASANTE!F120-PERALTE!$Z$8)-2),IF(RASANTE!F120&lt;=PERALTE!$AB$8,-2))))),IF(AND(AH!$H$10="Izquierda",RASANTE!F120&lt;=PERALTE!$AB$8),IF(RASANTE!F120&lt;=PERALTE!$Q$8,-2,IF(RASANTE!F120&lt;=PERALTE!$U$8,(10/(PERALTE!$U$8-PERALTE!$Q$8)*(RASANTE!F120-PERALTE!$Q$8)-2),IF(RASANTE!F120&lt;=PERALTE!$X$8,8,IF(RASANTE!F120&lt;=PERALTE!$AB$8,(10/(PERALTE!$X$8-PERALTE!$AB$8)*(RASANTE!F120-PERALTE!$AB$8)-2))))),IF(AND(AH!$H$12="Derecha",RASANTE!F120&lt;=PERALTE!$AB$10),IF(RASANTE!F120&lt;=PERALTE!$S$10,-2,IF(RASANTE!F120&lt;=PERALTE!$U$10,(-6/(PERALTE!$U$10-PERALTE!$S$10)*(RASANTE!F120-PERALTE!$S$10)-2),IF(RASANTE!F120&lt;=PERALTE!$X$10,-8,IF(RASANTE!F120&lt;=PERALTE!$Z$10,(-6/(PERALTE!$X$10-PERALTE!$Z$10)*(RASANTE!F120-PERALTE!$Z$10)-2),IF(RASANTE!F120&lt;=PERALTE!$AB$10,-2))))),IF(AND(AH!$H$12="Izquierda",RASANTE!F120&lt;=PERALTE!$AB$10),IF(RASANTE!F120&lt;=PERALTE!$Q$10,-2,IF(RASANTE!F120&lt;=PERALTE!$U$10,(10/(PERALTE!$U$10-PERALTE!$Q$10)*(RASANTE!F120-PERALTE!$Q$10)-2),IF(RASANTE!F120&lt;=PERALTE!$X$10,8,IF(RASANTE!F120&lt;=PERALTE!$AB$10,(10/(PERALTE!$X$10-PERALTE!$AB$10)*(RASANTE!F120-PERALTE!$AB$10)-2))))),IF(AND(AH!$H$14="Derecha",RASANTE!F120&lt;=PERALTE!$AB$12),IF(RASANTE!F120&lt;=PERALTE!$S$12,-2,IF(RASANTE!F120&lt;=PERALTE!$U$12,(-6/(PERALTE!$U$12-PERALTE!$S$12)*(RASANTE!F120-PERALTE!$S$12)-2),IF(RASANTE!F120&lt;=PERALTE!$X$12,-8,IF(RASANTE!F120&lt;=PERALTE!$Z$12,(-6/(PERALTE!$X$12-PERALTE!$Z$12)*(RASANTE!F120-PERALTE!$Z$12)-2),IF(RASANTE!F120&lt;=PERALTE!$AB$12,-2))))),IF(AND(AH!$H$14="Izquierda",RASANTE!F120&lt;=PERALTE!$AB$12),IF(RASANTE!F120&lt;=PERALTE!$Q$12,-2,IF(RASANTE!F120&lt;=PERALTE!$U$12,(10/(PERALTE!$U$12-PERALTE!$Q$12)*(RASANTE!F120-PERALTE!$Q$12)-2),IF(RASANTE!F120&lt;=PERALTE!$X$12,8,IF(RASANTE!F120&lt;=PERALTE!$AB$12,(10/(PERALTE!$X$12-PERALTE!$AB$12)*(RASANTE!F120-PERALTE!$AB$12)-2))))),IF(AND(AH!$H$16="Derecha",RASANTE!F120&lt;=PERALTE!$AB$14),IF(RASANTE!F120&lt;=PERALTE!$S$14,-2,IF(RASANTE!F120&lt;=PERALTE!$U$14,(-6/(PERALTE!$U$14-PERALTE!$S$14)*(RASANTE!F120-PERALTE!$S$14)-2),IF(RASANTE!F120&lt;=PERALTE!$X$14,-8,IF(RASANTE!F120&lt;=PERALTE!$Z$14,(-6/(PERALTE!$X$14-PERALTE!$Z$14)*(RASANTE!F120-PERALTE!$Z$14)-2),IF(RASANTE!F120&lt;=PERALTE!$AB$14,-2))))),IF(AND(AH!$H$16="Izquierda",RASANTE!F120&lt;=PERALTE!$AB$14),IF(RASANTE!F120&lt;=PERALTE!$Q$14,-2,IF(RASANTE!F120&lt;=PERALTE!$U$14,(10/(PERALTE!$U$14-PERALTE!$Q$14)*(RASANTE!F120-PERALTE!$Q$14)-2),IF(RASANTE!F120&lt;=PERALTE!$X$14,8,IF(RASANTE!F120&lt;=PERALTE!$AB$14,(10/(PERALTE!$X$14-PERALTE!$AB$14)*(RASANTE!F120-PERALTE!$AB$14)-2))))),IF(AND(AH!$H$18="Derecha",RASANTE!F120&lt;=PERALTE!$AB$16),IF(RASANTE!F120&lt;=PERALTE!$S$16,-2,IF(RASANTE!F120&lt;=PERALTE!$U$16,(-6/(PERALTE!$U$16-PERALTE!$S$16)*(RASANTE!F120-PERALTE!$S$16)-2),IF(RASANTE!F120&lt;=PERALTE!$X$16,-8,IF(RASANTE!F120&lt;=PERALTE!$Z$16,(-6/(PERALTE!$X$16-PERALTE!$Z$16)*(RASANTE!F120-PERALTE!$Z$16)-2),IF(RASANTE!F120&lt;=PERALTE!$AB$16,-2))))),IF(AND(AH!$H$18="Izquierda",RASANTE!F120&lt;=PERALTE!$AB$16),IF(RASANTE!F120&lt;=PERALTE!$Q$16,-2,IF(RASANTE!F120&lt;=PERALTE!$U$16,(10/(PERALTE!$U$16-PERALTE!$Q$16)*(RASANTE!F120-PERALTE!$Q$16)-2),IF(RASANTE!F120&lt;=PERALTE!$X$16,8,IF(RASANTE!F120&lt;=PERALTE!$AB$16,(10/(PERALTE!$X$16-PERALTE!$AB$16)*(RASANTE!F120-PERALTE!$AB$16)-2))))),IF(AND(AH!$H$20="Derecha",RASANTE!F120&lt;=PERALTE!$AB$18),IF(RASANTE!F120&lt;=PERALTE!$S$18,-2,IF(RASANTE!F120&lt;=PERALTE!$U$18,(-6/(PERALTE!$U$18-PERALTE!$S$18)*(RASANTE!F120-PERALTE!$S$18)-2),IF(RASANTE!F120&lt;=PERALTE!$X$18,-8,IF(RASANTE!F120&lt;=PERALTE!$Z$18,(-6/(PERALTE!$X$18-PERALTE!$Z$18)*(RASANTE!F120-PERALTE!$Z$18)-2),IF(RASANTE!F120&lt;=PERALTE!$AB$18,-2))))),IF(AND(AH!$H$20="Izquierda",RASANTE!F120&lt;=PERALTE!$AB$18),IF(RASANTE!F120&lt;=PERALTE!$Q$18,-2,IF(RASANTE!F120&lt;=PERALTE!$U$18,(10/(PERALTE!$U$18-PERALTE!$Q$18)*(RASANTE!F120-PERALTE!$Q$18)-2),IF(RASANTE!F120&lt;=PERALTE!$X$18,8,IF(RASANTE!F120&lt;=PERALTE!$AB$18,(10/(PERALTE!$X$18-PERALTE!$AB$18)*(RASANTE!F120-PERALTE!$AB$18)-2))))),IF(AND(AH!$H$24="Derecha",RASANTE!F120&lt;=PERALTE!$AB$22),IF(RASANTE!F120&lt;=PERALTE!$S$22,-2,IF(RASANTE!F120&lt;=PERALTE!$U$22,(-6/(PERALTE!$U$22-PERALTE!$S$22)*(RASANTE!F120-PERALTE!$S$22)-2),IF(RASANTE!F120&lt;=PERALTE!$X$22,-8,IF(RASANTE!F120&lt;=PERALTE!$Z$22,(-6/(PERALTE!$X$22-PERALTE!$Z$22)*(RASANTE!F120-PERALTE!$Z$22)-2),IF(RASANTE!F120&lt;=PERALTE!$AB$22,-2))))),IF(AND(AH!$H$24="Izquierda",RASANTE!F120&lt;=PERALTE!$AB$22),IF(RASANTE!F120&lt;=PERALTE!$Q$22,-2,IF(RASANTE!F120&lt;=PERALTE!$U$22,(10/(PERALTE!$U$22-PERALTE!$Q$22)*(RASANTE!F120-PERALTE!$Q$22)-2),IF(RASANTE!F120&lt;=PERALTE!$X$22,8,IF(RASANTE!F120&lt;=PERALTE!$AB$22,(10/(PERALTE!$X$22-PERALTE!$AB$22)*(RASANTE!F120-PERALTE!$AB$22)-2))))),IF(AND(AH!#REF!="Derecha",RASANTE!F120&lt;=PERALTE!#REF!),IF(RASANTE!F120&lt;=PERALTE!#REF!,-2,IF(RASANTE!F120&lt;=PERALTE!#REF!,(-6/(PERALTE!#REF!-PERALTE!#REF!)*(RASANTE!F120-PERALTE!#REF!)-2),IF(RASANTE!F120&lt;=PERALTE!#REF!,-8,IF(RASANTE!F120&lt;=PERALTE!#REF!,(-6/(PERALTE!#REF!-PERALTE!#REF!)*(RASANTE!F120-PERALTE!#REF!)-2),IF(RASANTE!F120&lt;=PERALTE!#REF!,-2))))),IF(AND(AH!#REF!="Izquierda",RASANTE!F120&lt;=PERALTE!#REF!),IF(RASANTE!F120&lt;=PERALTE!#REF!,-2,IF(RASANTE!F120&lt;=PERALTE!#REF!,(10/(PERALTE!#REF!-PERALTE!#REF!)*(RASANTE!F120-PERALTE!#REF!)-2),IF(RASANTE!F120&lt;=PERALTE!#REF!,8,IF(RASANTE!F120&lt;=PERALTE!#REF!,(10/(PERALTE!#REF!-PERALTE!#REF!)*(RASANTE!F120-PERALTE!#REF!)-2))))),IF(AND(AH!#REF!="Derecha",RASANTE!F120&lt;=PERALTE!$AB$26),IF(RASANTE!F120&lt;=PERALTE!$S$26,-2,IF(RASANTE!F120&lt;=PERALTE!$U$26,(-6/(PERALTE!$U$26-PERALTE!$S$26)*(RASANTE!F120-PERALTE!$S$26)-2),IF(RASANTE!F120&lt;=PERALTE!$X$26,-8,IF(RASANTE!F120&lt;=PERALTE!$Z$26,(-6/(PERALTE!$X$26-PERALTE!$Z$26)*(RASANTE!F120-PERALTE!$Z$26)-2),IF(RASANTE!F120&lt;=PERALTE!$AB$26,-2))))),IF(AND(AH!#REF!="Izquierda",RASANTE!F120&lt;=PERALTE!$AB$26),IF(RASANTE!F120&lt;=PERALTE!$Q$26,-2,IF(RASANTE!F120&lt;=PERALTE!$U$26,(10/(PERALTE!$U$26-PERALTE!$Q$26)*(RASANTE!F120-PERALTE!$Q$26)-2),IF(RASANTE!F120&lt;=PERALTE!$X$26,8,IF(RASANTE!F120&lt;=PERALTE!$AB$26,(10/(PERALTE!$X$26-PERALTE!$AB$26)*(RASANTE!F120-PERALTE!$AB$26)-2))))),IF(F120&lt;=PERALTE!#REF!,-2,"Abscisa fuera de la vía")))))))))))))))))))))</f>
        <v>-2</v>
      </c>
      <c r="J120" s="28">
        <f t="shared" si="4"/>
        <v>1629.5864000000013</v>
      </c>
      <c r="K120" s="28">
        <f>+IF(AND(AV!$S$6&lt;F217,F217&lt;=AV!$T$6),AV!$P$6*((AV!$S$6-RASANTE!F217)/(AV!$N$6))^2,IF(AND(AV!$T$6&lt;RASANTE!F217,F217&lt;AV!$U$6),AV!$P$6*((AV!$U$6-RASANTE!F217)/(AV!$O$6))^2,IF(AND(AV!$S$8&lt;F217,F217&lt;=AV!$T$8),AV!$P$8*((AV!$S$8-RASANTE!F217)/(AV!$N$8))^2,IF(AND(AV!$T$8&lt;RASANTE!F217,F217&lt;AV!$U$8),AV!$P$8*((AV!$U$8-RASANTE!F217)/(AV!$O$8))^2,IF(AND(AV!$S$10&lt;F217,F217&lt;=AV!$T$10),AV!$P$10*((AV!$S$10-RASANTE!F217)/(AV!$N$10))^2,IF(AND(AV!$T$10&lt;RASANTE!F217,F217&lt;AV!$U$10),AV!$P$10*((AV!$U$10-RASANTE!F217)/(AV!$O$10))^2,IF(AND(AV!$S$12&lt;F217,F217&lt;=AV!$T$12),AV!$P$12*((AV!$S$12-RASANTE!F217)/(AV!$N$12))^2,IF(AND(AV!$T$12&lt;RASANTE!F217,F217&lt;AV!$U$12),AV!$P$12*((AV!$U$12-RASANTE!F217)/(AV!$O$12))^2,IF(AND(AV!$S$14&lt;F217,F217&lt;=AV!$T$14),AV!$P$14*((AV!$S$14-RASANTE!F217)/(AV!$N$14))^2,IF(AND(AV!$T$14&lt;RASANTE!F217,F217&lt;AV!$U$14),AV!$P$14*((AV!$U$14-RASANTE!F217)/(AV!$O$14))^2,IF(AND(AV!$S$16&lt;F217,F217&lt;=AV!$T$16),AV!$P$16*((AV!$S$16-RASANTE!F217)/(AV!$N$16))^2,IF(AND(AV!$T$16&lt;RASANTE!F217,F217&lt;AV!$U$16),AV!$P$16*((AV!$U$16-RASANTE!F217)/(AV!$O$16))^2,IF(AND(AV!$S$18&lt;F217,F217&lt;=AV!$T$18),AV!$P$18*((AV!$S$18-RASANTE!F217)/(AV!$N$18))^2,IF(AND(AV!$T$18&lt;RASANTE!F217,F217&lt;AV!$U$18),AV!$P$18*((AV!$U$18-RASANTE!F217)/(AV!$O$18))^2,IF(AND(AV!$S$20&lt;F217,F217&lt;=AV!$T$20),AV!$P$20*((AV!$S$20-RASANTE!F217)/(AV!$N$20))^2,IF(AND(AV!$T$20&lt;RASANTE!F217,F217&lt;AV!$U$20),AV!$P$20*((AV!$U$20-RASANTE!F217)/(AV!$O$20))^2,IF(AND(AV!$S$22&lt;F217,F217&lt;=AV!$T$22),AV!$P$22*((AV!$S$22-RASANTE!F217)/(AV!$N$22))^2,IF(AND(AV!$T$22&lt;RASANTE!F217,F217&lt;AV!$U$22),AV!$P$22*((AV!$U$22-RASANTE!F217)/(AV!$O$22))^2,IF(AND(AV!$S$24&lt;F217,F217&lt;=AV!$T$24),AV!$P$24*((AV!$S$24-RASANTE!F217)/(AV!$N$24))^2,IF(AND(AV!$T$24&lt;RASANTE!F217,F217&lt;AV!$U$24),AV!$P$24*((AV!$U$24-RASANTE!F217)/(AV!$O$24))^2,0))))))))))))))))))))</f>
        <v>0</v>
      </c>
      <c r="L120" s="28">
        <f>+M120+H120%*PERALTE!$C$32</f>
        <v>1629.5164000000013</v>
      </c>
      <c r="M120" s="28">
        <f t="shared" si="5"/>
        <v>1629.5864000000013</v>
      </c>
      <c r="N120" s="28">
        <f>+M120+I120%*PERALTE!$C$32</f>
        <v>1629.5164000000013</v>
      </c>
      <c r="O120" s="92"/>
      <c r="P120" s="84"/>
      <c r="Q120" s="84"/>
      <c r="R120" s="84"/>
      <c r="S120" s="84"/>
      <c r="T120" s="84"/>
      <c r="U120" s="84"/>
      <c r="V120" s="84"/>
      <c r="W120" s="84"/>
      <c r="X120" s="84"/>
      <c r="Y120" s="84"/>
    </row>
    <row r="121" spans="1:25" ht="15.75" customHeight="1" x14ac:dyDescent="0.2">
      <c r="A121" s="322"/>
      <c r="B121" s="194"/>
      <c r="C121" s="86"/>
      <c r="D121" s="86"/>
      <c r="F121" s="34">
        <v>750</v>
      </c>
      <c r="G121" s="88">
        <f>IF(F121&lt;=AV!$T$6,AV!$C$5,IF(RASANTE!F121&lt;=AV!$T$8,AV!$C$7,IF(RASANTE!F121&lt;=AV!$T$10,AV!$C$9,IF(RASANTE!F121&lt;=AV!$T$12,AV!#REF!,IF(RASANTE!F121&lt;=AV!$T$14,AV!$C$11,IF(RASANTE!F121&lt;=AV!$T$16,AV!$C$13, IF(RASANTE!F121&lt;=AV!$T$18,AV!$C$15,IF(RASANTE!F121&lt;=AV!$T$20,AV!$C$19,IF(RASANTE!F121&lt;=AV!$T$22,AV!$C$21,IF(RASANTE!F121&lt;=AV!$T$24,AV!$C$23,AV!$C$25))))))))))</f>
        <v>-3</v>
      </c>
      <c r="H121" s="28">
        <f>+IF(AND(AH!$H$8="Izquierda",RASANTE!F121&lt;=PERALTE!$AB$6),IF(RASANTE!F121&lt;=PERALTE!$S$6,-2,IF(RASANTE!F121&lt;=PERALTE!$U$6,(-6/(PERALTE!$U$6-PERALTE!$S$6)*(RASANTE!F121-PERALTE!$S$6)-2),IF(RASANTE!F121&lt;=PERALTE!$X$6,-8,IF(RASANTE!F121&lt;=PERALTE!$Z$6,(-6/(PERALTE!$X$6-PERALTE!$Z$6)*(RASANTE!F121-PERALTE!$Z$6)-2),IF(RASANTE!F121&lt;=PERALTE!$AB$6,-2))))),IF(AND(AH!$H$8="Derecha",RASANTE!F121&lt;=PERALTE!$AB$6),IF(RASANTE!F121&lt;=PERALTE!$Q$6,-2,IF(RASANTE!F121&lt;=PERALTE!$U$6,(10/(PERALTE!$U$6-PERALTE!$Q$6)*(RASANTE!F121-PERALTE!$Q$6)-2),IF(RASANTE!F121&lt;=PERALTE!$X$6,8,IF(RASANTE!F121&lt;=PERALTE!$AB$6,(10/(PERALTE!$X$6-PERALTE!$AB$6)*(RASANTE!F121-PERALTE!$AB$6)-2))))),IF(AND(AH!$H$10="Izquierda",RASANTE!F121&lt;=PERALTE!$AB$8),IF(RASANTE!F121&lt;=PERALTE!$S$8,-2,IF(RASANTE!F121&lt;=PERALTE!$U$8,(-6/(PERALTE!$U$8-PERALTE!$S$8)*(RASANTE!F121-PERALTE!$S$8)-2),IF(RASANTE!F121&lt;=PERALTE!$X$8,-8,IF(RASANTE!F121&lt;=PERALTE!$Z$8,(-6/(PERALTE!$X$8-PERALTE!$Z$8)*(RASANTE!F121-PERALTE!$Z$8)-2),IF(RASANTE!F121&lt;=PERALTE!$AB$8,-2))))),IF(AND(AH!$H$10="Derecha",RASANTE!F121&lt;=PERALTE!$AB$8),IF(RASANTE!F121&lt;=PERALTE!$Q$8,-2,IF(RASANTE!F121&lt;=PERALTE!$U$8,(10/(PERALTE!$U$8-PERALTE!$Q$8)*(RASANTE!F121-PERALTE!$Q$8)-2),IF(RASANTE!F121&lt;=PERALTE!$X$8,8,IF(RASANTE!F121&lt;=PERALTE!$AB$8,(10/(PERALTE!$X$8-PERALTE!$AB$8)*(RASANTE!F121-PERALTE!$AB$8)-2))))),IF(AND(AH!$H$12="Izquierda",RASANTE!F121&lt;=PERALTE!$AB$10),IF(RASANTE!F121&lt;=PERALTE!$S$10,-2,IF(RASANTE!F121&lt;=PERALTE!$U$10,(-6/(PERALTE!$U$10-PERALTE!$S$10)*(RASANTE!F121-PERALTE!$S$10)-2),IF(RASANTE!F121&lt;=PERALTE!$X$10,-8,IF(RASANTE!F121&lt;=PERALTE!$Z$10,(-6/(PERALTE!$X$10-PERALTE!$Z$10)*(RASANTE!F121-PERALTE!$Z$10)-2),IF(RASANTE!F121&lt;=PERALTE!$AB$10,-2))))),IF(AND(AH!$H$12="Derecha",RASANTE!F121&lt;=PERALTE!$AB$10),IF(RASANTE!F121&lt;=PERALTE!$Q$10,-2,IF(RASANTE!F121&lt;=PERALTE!$U$10,(10/(PERALTE!$U$10-PERALTE!$Q$10)*(RASANTE!F121-PERALTE!$Q$10)-2),IF(RASANTE!F121&lt;=PERALTE!$X$10,8,IF(RASANTE!F121&lt;=PERALTE!$AB$10,(10/(PERALTE!$X$10-PERALTE!$AB$10)*(RASANTE!F121-PERALTE!$AB$10)-2))))),IF(AND(AH!$H$14="Izquierda",RASANTE!F121&lt;=PERALTE!$AB$12),IF(RASANTE!F121&lt;=PERALTE!$S$12,-2,IF(RASANTE!F121&lt;=PERALTE!$U$12,(-6/(PERALTE!$U$12-PERALTE!$S$12)*(RASANTE!F121-PERALTE!$S$12)-2),IF(RASANTE!F121&lt;=PERALTE!$X$12,-8,IF(RASANTE!F121&lt;=PERALTE!$Z$12,(-6/(PERALTE!$X$12-PERALTE!$Z$12)*(RASANTE!F121-PERALTE!$Z$12)-2),IF(RASANTE!F121&lt;=PERALTE!$AB$12,-2))))),IF(AND(AH!$H$14="Derecha",RASANTE!F121&lt;=PERALTE!$AB$12),IF(RASANTE!F121&lt;=PERALTE!$Q$12,-2,IF(RASANTE!F121&lt;=PERALTE!$U$12,(10/(PERALTE!$U$12-PERALTE!$Q$12)*(RASANTE!F121-PERALTE!$Q$12)-2),IF(RASANTE!F121&lt;=PERALTE!$X$12,8,IF(RASANTE!F121&lt;=PERALTE!$AB$12,(10/(PERALTE!$X$12-PERALTE!$AB$12)*(RASANTE!F121-PERALTE!$AB$12)-2))))),IF(AND(AH!$H$16="Izquierda",RASANTE!F121&lt;=PERALTE!$AB$14),IF(RASANTE!F121&lt;=PERALTE!$S$14,-2,IF(RASANTE!F121&lt;=PERALTE!$U$14,(-6/(PERALTE!$U$14-PERALTE!$S$14)*(RASANTE!F121-PERALTE!$S$14)-2),IF(RASANTE!F121&lt;=PERALTE!$X$14,-8,IF(RASANTE!F121&lt;=PERALTE!$Z$14,(-6/(PERALTE!$X$14-PERALTE!$Z$14)*(RASANTE!F121-PERALTE!$Z$14)-2),IF(RASANTE!F121&lt;=PERALTE!$AB$14,-2))))),IF(AND(AH!$H$16="Derecha",RASANTE!F121&lt;=PERALTE!$AB$14),IF(RASANTE!F121&lt;=PERALTE!$Q$14,-2,IF(RASANTE!F121&lt;=PERALTE!$U$14,(10/(PERALTE!$U$14-PERALTE!$Q$14)*(RASANTE!F121-PERALTE!$Q$14)-2),IF(RASANTE!F121&lt;=PERALTE!$X$14,8,IF(RASANTE!F121&lt;=PERALTE!$AB$14,(10/(PERALTE!$X$14-PERALTE!$AB$14)*(RASANTE!F121-PERALTE!$AB$14)-2))))),IF(AND(AH!$H$18="Izquierda",RASANTE!F121&lt;=PERALTE!$AB$16),IF(RASANTE!F121&lt;=PERALTE!$S$16,-2,IF(RASANTE!F121&lt;=PERALTE!$U$16,(-6/(PERALTE!$U$16-PERALTE!$S$16)*(RASANTE!F121-PERALTE!$S$16)-2),IF(RASANTE!F121&lt;=PERALTE!$X$16,-8,IF(RASANTE!F121&lt;=PERALTE!$Z$16,(-6/(PERALTE!$X$16-PERALTE!$Z$16)*(RASANTE!F121-PERALTE!$Z$16)-2),IF(RASANTE!F121&lt;=PERALTE!$AB$16,-2))))),IF(AND(AH!$H$18="Derecha",RASANTE!F121&lt;=PERALTE!$AB$16),IF(RASANTE!F121&lt;=PERALTE!$Q$16,-2,IF(RASANTE!F121&lt;=PERALTE!$U$16,(10/(PERALTE!$U$16-PERALTE!$Q$16)*(RASANTE!F121-PERALTE!$Q$16)-2),IF(RASANTE!F121&lt;=PERALTE!$X$16,8,IF(RASANTE!F121&lt;=PERALTE!$AB$16,(10/(PERALTE!$X$16-PERALTE!$AB$16)*(RASANTE!F121-PERALTE!$AB$16)-2))))),IF(AND(AH!$H$20="Izquierda",RASANTE!F121&lt;=PERALTE!$AB$18),IF(RASANTE!F121&lt;=PERALTE!$S$18,-2,IF(RASANTE!F121&lt;=PERALTE!$U$18,(-6/(PERALTE!$U$18-PERALTE!$S$18)*(RASANTE!F121-PERALTE!$S$18)-2),IF(RASANTE!F121&lt;=PERALTE!$X$18,-8,IF(RASANTE!F121&lt;=PERALTE!$Z$18,(-6/(PERALTE!$X$18-PERALTE!$Z$18)*(RASANTE!F121-PERALTE!$Z$18)-2),IF(RASANTE!F121&lt;=PERALTE!$AB$18,-2))))),IF(AND(AH!$H$20="Derecha",RASANTE!F121&lt;=PERALTE!$AB$18),IF(RASANTE!F121&lt;=PERALTE!$Q$18,-2,IF(RASANTE!F121&lt;=PERALTE!$U$18,(10/(PERALTE!$U$18-PERALTE!$Q$18)*(RASANTE!F121-PERALTE!$Q$18)-2),IF(RASANTE!F121&lt;=PERALTE!$X$18,8,IF(RASANTE!F121&lt;=PERALTE!$AB$18,(10/(PERALTE!$X$18-PERALTE!$AB$18)*(RASANTE!F121-PERALTE!$AB$18)-2))))),IF(AND(AH!$H$24="Izquierda",RASANTE!F121&lt;=PERALTE!$AB$22),IF(RASANTE!F121&lt;=PERALTE!$S$22,-2,IF(RASANTE!F121&lt;=PERALTE!$U$22,(-6/(PERALTE!$U$22-PERALTE!$S$22)*(RASANTE!F121-PERALTE!$S$22)-2),IF(RASANTE!F121&lt;=PERALTE!$X$22,-8,IF(RASANTE!F121&lt;=PERALTE!$Z$22,(-6/(PERALTE!$X$22-PERALTE!$Z$22)*(RASANTE!F121-PERALTE!$Z$22)-2),IF(RASANTE!F121&lt;=PERALTE!$AB$22,-2))))),IF(AND(AH!$H$24="Derecha",RASANTE!F121&lt;=PERALTE!$AB$22),IF(RASANTE!F121&lt;=PERALTE!$Q$22,-2,IF(RASANTE!F121&lt;=PERALTE!$U$22,(10/(PERALTE!$U$22-PERALTE!$Q$22)*(RASANTE!F121-PERALTE!$Q$22)-2),IF(RASANTE!F121&lt;=PERALTE!$X$22,8,IF(RASANTE!F121&lt;=PERALTE!$AB$22,(10/(PERALTE!$X$22-PERALTE!$AB$22)*(RASANTE!F121-PERALTE!$AB$22)-2))))),IF(AND(AH!#REF!="Izquierda",RASANTE!F121&lt;=PERALTE!#REF!),IF(RASANTE!F121&lt;=PERALTE!#REF!,-2,IF(RASANTE!F121&lt;=PERALTE!#REF!,(-6/(PERALTE!#REF!-PERALTE!#REF!)*(RASANTE!F121-PERALTE!#REF!)-2),IF(RASANTE!F121&lt;=PERALTE!#REF!,-8,IF(RASANTE!F121&lt;=PERALTE!#REF!,(-6/(PERALTE!#REF!-PERALTE!#REF!)*(RASANTE!F121-PERALTE!#REF!)-2),IF(RASANTE!F121&lt;=PERALTE!#REF!,-2))))),IF(AND(AH!#REF!="Derecha",RASANTE!F121&lt;=PERALTE!#REF!),IF(RASANTE!F121&lt;=PERALTE!#REF!,-2,IF(RASANTE!F121&lt;=PERALTE!#REF!,(10/(PERALTE!#REF!-PERALTE!#REF!)*(RASANTE!F121-PERALTE!#REF!)-2),IF(RASANTE!F121&lt;=PERALTE!#REF!,8,IF(RASANTE!F121&lt;=PERALTE!#REF!,(10/(PERALTE!#REF!-PERALTE!#REF!)*(RASANTE!F121-PERALTE!#REF!)-2))))),IF(AND(AH!#REF!="Izquierda",RASANTE!F121&lt;=PERALTE!$AB$26),IF(RASANTE!F121&lt;=PERALTE!$S$26,-2,IF(RASANTE!F121&lt;=PERALTE!$U$26,(-6/(PERALTE!$U$26-PERALTE!$S$26)*(RASANTE!F121-PERALTE!$S$26)-2),IF(RASANTE!F121&lt;=PERALTE!$X$26,-8,IF(RASANTE!F121&lt;=PERALTE!$Z$26,(-6/(PERALTE!$X$26-PERALTE!$Z$26)*(RASANTE!F121-PERALTE!$Z$26)-2),IF(RASANTE!F121&lt;=PERALTE!$AB$26,-2))))),IF(AND(AH!#REF!="Derecha",RASANTE!F121&lt;=PERALTE!$AB$26),IF(RASANTE!F121&lt;=PERALTE!$Q$26,-2,IF(RASANTE!F121&lt;=PERALTE!$U$26,(10/(PERALTE!$U$26-PERALTE!$Q$26)*(RASANTE!F121-PERALTE!$Q$26)-2),IF(RASANTE!F121&lt;=PERALTE!$X$26,8,IF(RASANTE!F121&lt;=PERALTE!$AB$26,(10/(PERALTE!$X$26-PERALTE!$AB$26)*(RASANTE!F121-PERALTE!$AB$26)-2))))),IF(F121&lt;=PERALTE!#REF!,-2,"Abscisa fuera de la vía")))))))))))))))))))))</f>
        <v>-2</v>
      </c>
      <c r="I121" s="28">
        <f>+IF(AND(AH!$H$8="Derecha",RASANTE!F121&lt;=PERALTE!$AB$6),IF(RASANTE!F121&lt;=PERALTE!$S$6,-2,IF(RASANTE!F121&lt;=PERALTE!$U$6,(-6/(PERALTE!$U$6-PERALTE!$S$6)*(RASANTE!F121-PERALTE!$S$6)-2),IF(RASANTE!F121&lt;=PERALTE!$X$6,-8,IF(RASANTE!F121&lt;=PERALTE!$Z$6,(-6/(PERALTE!$X$6-PERALTE!$Z$6)*(RASANTE!F121-PERALTE!$Z$6)-2),IF(RASANTE!F121&lt;=PERALTE!$AB$6,-2))))),IF(AND(AH!$H$8="Izquierda",RASANTE!F121&lt;=PERALTE!$AB$6),IF(RASANTE!F121&lt;=PERALTE!$Q$6,-2,IF(RASANTE!F121&lt;=PERALTE!$U$6,(10/(PERALTE!$U$6-PERALTE!$Q$6)*(RASANTE!F121-PERALTE!$Q$6)-2),IF(RASANTE!F121&lt;=PERALTE!$X$6,8,IF(RASANTE!F121&lt;=PERALTE!$AB$6,(10/(PERALTE!$X$6-PERALTE!$AB$6)*(RASANTE!F121-PERALTE!$AB$6)-2))))),IF(AND(AH!$H$10="Derecha",RASANTE!F121&lt;=PERALTE!$AB$8),IF(RASANTE!F121&lt;=PERALTE!$S$8,-2,IF(RASANTE!F121&lt;=PERALTE!$U$8,(-6/(PERALTE!$U$8-PERALTE!$S$8)*(RASANTE!F121-PERALTE!$S$8)-2),IF(RASANTE!F121&lt;=PERALTE!$X$8,-8,IF(RASANTE!F121&lt;=PERALTE!$Z$8,(-6/(PERALTE!$X$8-PERALTE!$Z$8)*(RASANTE!F121-PERALTE!$Z$8)-2),IF(RASANTE!F121&lt;=PERALTE!$AB$8,-2))))),IF(AND(AH!$H$10="Izquierda",RASANTE!F121&lt;=PERALTE!$AB$8),IF(RASANTE!F121&lt;=PERALTE!$Q$8,-2,IF(RASANTE!F121&lt;=PERALTE!$U$8,(10/(PERALTE!$U$8-PERALTE!$Q$8)*(RASANTE!F121-PERALTE!$Q$8)-2),IF(RASANTE!F121&lt;=PERALTE!$X$8,8,IF(RASANTE!F121&lt;=PERALTE!$AB$8,(10/(PERALTE!$X$8-PERALTE!$AB$8)*(RASANTE!F121-PERALTE!$AB$8)-2))))),IF(AND(AH!$H$12="Derecha",RASANTE!F121&lt;=PERALTE!$AB$10),IF(RASANTE!F121&lt;=PERALTE!$S$10,-2,IF(RASANTE!F121&lt;=PERALTE!$U$10,(-6/(PERALTE!$U$10-PERALTE!$S$10)*(RASANTE!F121-PERALTE!$S$10)-2),IF(RASANTE!F121&lt;=PERALTE!$X$10,-8,IF(RASANTE!F121&lt;=PERALTE!$Z$10,(-6/(PERALTE!$X$10-PERALTE!$Z$10)*(RASANTE!F121-PERALTE!$Z$10)-2),IF(RASANTE!F121&lt;=PERALTE!$AB$10,-2))))),IF(AND(AH!$H$12="Izquierda",RASANTE!F121&lt;=PERALTE!$AB$10),IF(RASANTE!F121&lt;=PERALTE!$Q$10,-2,IF(RASANTE!F121&lt;=PERALTE!$U$10,(10/(PERALTE!$U$10-PERALTE!$Q$10)*(RASANTE!F121-PERALTE!$Q$10)-2),IF(RASANTE!F121&lt;=PERALTE!$X$10,8,IF(RASANTE!F121&lt;=PERALTE!$AB$10,(10/(PERALTE!$X$10-PERALTE!$AB$10)*(RASANTE!F121-PERALTE!$AB$10)-2))))),IF(AND(AH!$H$14="Derecha",RASANTE!F121&lt;=PERALTE!$AB$12),IF(RASANTE!F121&lt;=PERALTE!$S$12,-2,IF(RASANTE!F121&lt;=PERALTE!$U$12,(-6/(PERALTE!$U$12-PERALTE!$S$12)*(RASANTE!F121-PERALTE!$S$12)-2),IF(RASANTE!F121&lt;=PERALTE!$X$12,-8,IF(RASANTE!F121&lt;=PERALTE!$Z$12,(-6/(PERALTE!$X$12-PERALTE!$Z$12)*(RASANTE!F121-PERALTE!$Z$12)-2),IF(RASANTE!F121&lt;=PERALTE!$AB$12,-2))))),IF(AND(AH!$H$14="Izquierda",RASANTE!F121&lt;=PERALTE!$AB$12),IF(RASANTE!F121&lt;=PERALTE!$Q$12,-2,IF(RASANTE!F121&lt;=PERALTE!$U$12,(10/(PERALTE!$U$12-PERALTE!$Q$12)*(RASANTE!F121-PERALTE!$Q$12)-2),IF(RASANTE!F121&lt;=PERALTE!$X$12,8,IF(RASANTE!F121&lt;=PERALTE!$AB$12,(10/(PERALTE!$X$12-PERALTE!$AB$12)*(RASANTE!F121-PERALTE!$AB$12)-2))))),IF(AND(AH!$H$16="Derecha",RASANTE!F121&lt;=PERALTE!$AB$14),IF(RASANTE!F121&lt;=PERALTE!$S$14,-2,IF(RASANTE!F121&lt;=PERALTE!$U$14,(-6/(PERALTE!$U$14-PERALTE!$S$14)*(RASANTE!F121-PERALTE!$S$14)-2),IF(RASANTE!F121&lt;=PERALTE!$X$14,-8,IF(RASANTE!F121&lt;=PERALTE!$Z$14,(-6/(PERALTE!$X$14-PERALTE!$Z$14)*(RASANTE!F121-PERALTE!$Z$14)-2),IF(RASANTE!F121&lt;=PERALTE!$AB$14,-2))))),IF(AND(AH!$H$16="Izquierda",RASANTE!F121&lt;=PERALTE!$AB$14),IF(RASANTE!F121&lt;=PERALTE!$Q$14,-2,IF(RASANTE!F121&lt;=PERALTE!$U$14,(10/(PERALTE!$U$14-PERALTE!$Q$14)*(RASANTE!F121-PERALTE!$Q$14)-2),IF(RASANTE!F121&lt;=PERALTE!$X$14,8,IF(RASANTE!F121&lt;=PERALTE!$AB$14,(10/(PERALTE!$X$14-PERALTE!$AB$14)*(RASANTE!F121-PERALTE!$AB$14)-2))))),IF(AND(AH!$H$18="Derecha",RASANTE!F121&lt;=PERALTE!$AB$16),IF(RASANTE!F121&lt;=PERALTE!$S$16,-2,IF(RASANTE!F121&lt;=PERALTE!$U$16,(-6/(PERALTE!$U$16-PERALTE!$S$16)*(RASANTE!F121-PERALTE!$S$16)-2),IF(RASANTE!F121&lt;=PERALTE!$X$16,-8,IF(RASANTE!F121&lt;=PERALTE!$Z$16,(-6/(PERALTE!$X$16-PERALTE!$Z$16)*(RASANTE!F121-PERALTE!$Z$16)-2),IF(RASANTE!F121&lt;=PERALTE!$AB$16,-2))))),IF(AND(AH!$H$18="Izquierda",RASANTE!F121&lt;=PERALTE!$AB$16),IF(RASANTE!F121&lt;=PERALTE!$Q$16,-2,IF(RASANTE!F121&lt;=PERALTE!$U$16,(10/(PERALTE!$U$16-PERALTE!$Q$16)*(RASANTE!F121-PERALTE!$Q$16)-2),IF(RASANTE!F121&lt;=PERALTE!$X$16,8,IF(RASANTE!F121&lt;=PERALTE!$AB$16,(10/(PERALTE!$X$16-PERALTE!$AB$16)*(RASANTE!F121-PERALTE!$AB$16)-2))))),IF(AND(AH!$H$20="Derecha",RASANTE!F121&lt;=PERALTE!$AB$18),IF(RASANTE!F121&lt;=PERALTE!$S$18,-2,IF(RASANTE!F121&lt;=PERALTE!$U$18,(-6/(PERALTE!$U$18-PERALTE!$S$18)*(RASANTE!F121-PERALTE!$S$18)-2),IF(RASANTE!F121&lt;=PERALTE!$X$18,-8,IF(RASANTE!F121&lt;=PERALTE!$Z$18,(-6/(PERALTE!$X$18-PERALTE!$Z$18)*(RASANTE!F121-PERALTE!$Z$18)-2),IF(RASANTE!F121&lt;=PERALTE!$AB$18,-2))))),IF(AND(AH!$H$20="Izquierda",RASANTE!F121&lt;=PERALTE!$AB$18),IF(RASANTE!F121&lt;=PERALTE!$Q$18,-2,IF(RASANTE!F121&lt;=PERALTE!$U$18,(10/(PERALTE!$U$18-PERALTE!$Q$18)*(RASANTE!F121-PERALTE!$Q$18)-2),IF(RASANTE!F121&lt;=PERALTE!$X$18,8,IF(RASANTE!F121&lt;=PERALTE!$AB$18,(10/(PERALTE!$X$18-PERALTE!$AB$18)*(RASANTE!F121-PERALTE!$AB$18)-2))))),IF(AND(AH!$H$24="Derecha",RASANTE!F121&lt;=PERALTE!$AB$22),IF(RASANTE!F121&lt;=PERALTE!$S$22,-2,IF(RASANTE!F121&lt;=PERALTE!$U$22,(-6/(PERALTE!$U$22-PERALTE!$S$22)*(RASANTE!F121-PERALTE!$S$22)-2),IF(RASANTE!F121&lt;=PERALTE!$X$22,-8,IF(RASANTE!F121&lt;=PERALTE!$Z$22,(-6/(PERALTE!$X$22-PERALTE!$Z$22)*(RASANTE!F121-PERALTE!$Z$22)-2),IF(RASANTE!F121&lt;=PERALTE!$AB$22,-2))))),IF(AND(AH!$H$24="Izquierda",RASANTE!F121&lt;=PERALTE!$AB$22),IF(RASANTE!F121&lt;=PERALTE!$Q$22,-2,IF(RASANTE!F121&lt;=PERALTE!$U$22,(10/(PERALTE!$U$22-PERALTE!$Q$22)*(RASANTE!F121-PERALTE!$Q$22)-2),IF(RASANTE!F121&lt;=PERALTE!$X$22,8,IF(RASANTE!F121&lt;=PERALTE!$AB$22,(10/(PERALTE!$X$22-PERALTE!$AB$22)*(RASANTE!F121-PERALTE!$AB$22)-2))))),IF(AND(AH!#REF!="Derecha",RASANTE!F121&lt;=PERALTE!#REF!),IF(RASANTE!F121&lt;=PERALTE!#REF!,-2,IF(RASANTE!F121&lt;=PERALTE!#REF!,(-6/(PERALTE!#REF!-PERALTE!#REF!)*(RASANTE!F121-PERALTE!#REF!)-2),IF(RASANTE!F121&lt;=PERALTE!#REF!,-8,IF(RASANTE!F121&lt;=PERALTE!#REF!,(-6/(PERALTE!#REF!-PERALTE!#REF!)*(RASANTE!F121-PERALTE!#REF!)-2),IF(RASANTE!F121&lt;=PERALTE!#REF!,-2))))),IF(AND(AH!#REF!="Izquierda",RASANTE!F121&lt;=PERALTE!#REF!),IF(RASANTE!F121&lt;=PERALTE!#REF!,-2,IF(RASANTE!F121&lt;=PERALTE!#REF!,(10/(PERALTE!#REF!-PERALTE!#REF!)*(RASANTE!F121-PERALTE!#REF!)-2),IF(RASANTE!F121&lt;=PERALTE!#REF!,8,IF(RASANTE!F121&lt;=PERALTE!#REF!,(10/(PERALTE!#REF!-PERALTE!#REF!)*(RASANTE!F121-PERALTE!#REF!)-2))))),IF(AND(AH!#REF!="Derecha",RASANTE!F121&lt;=PERALTE!$AB$26),IF(RASANTE!F121&lt;=PERALTE!$S$26,-2,IF(RASANTE!F121&lt;=PERALTE!$U$26,(-6/(PERALTE!$U$26-PERALTE!$S$26)*(RASANTE!F121-PERALTE!$S$26)-2),IF(RASANTE!F121&lt;=PERALTE!$X$26,-8,IF(RASANTE!F121&lt;=PERALTE!$Z$26,(-6/(PERALTE!$X$26-PERALTE!$Z$26)*(RASANTE!F121-PERALTE!$Z$26)-2),IF(RASANTE!F121&lt;=PERALTE!$AB$26,-2))))),IF(AND(AH!#REF!="Izquierda",RASANTE!F121&lt;=PERALTE!$AB$26),IF(RASANTE!F121&lt;=PERALTE!$Q$26,-2,IF(RASANTE!F121&lt;=PERALTE!$U$26,(10/(PERALTE!$U$26-PERALTE!$Q$26)*(RASANTE!F121-PERALTE!$Q$26)-2),IF(RASANTE!F121&lt;=PERALTE!$X$26,8,IF(RASANTE!F121&lt;=PERALTE!$AB$26,(10/(PERALTE!$X$26-PERALTE!$AB$26)*(RASANTE!F121-PERALTE!$AB$26)-2))))),IF(F121&lt;=PERALTE!#REF!,-2,"Abscisa fuera de la vía")))))))))))))))))))))</f>
        <v>-2</v>
      </c>
      <c r="J121" s="28">
        <f t="shared" si="4"/>
        <v>1629.2864000000013</v>
      </c>
      <c r="K121" s="28">
        <f>+IF(AND(AV!$S$6&lt;F218,F218&lt;=AV!$T$6),AV!$P$6*((AV!$S$6-RASANTE!F218)/(AV!$N$6))^2,IF(AND(AV!$T$6&lt;RASANTE!F218,F218&lt;AV!$U$6),AV!$P$6*((AV!$U$6-RASANTE!F218)/(AV!$O$6))^2,IF(AND(AV!$S$8&lt;F218,F218&lt;=AV!$T$8),AV!$P$8*((AV!$S$8-RASANTE!F218)/(AV!$N$8))^2,IF(AND(AV!$T$8&lt;RASANTE!F218,F218&lt;AV!$U$8),AV!$P$8*((AV!$U$8-RASANTE!F218)/(AV!$O$8))^2,IF(AND(AV!$S$10&lt;F218,F218&lt;=AV!$T$10),AV!$P$10*((AV!$S$10-RASANTE!F218)/(AV!$N$10))^2,IF(AND(AV!$T$10&lt;RASANTE!F218,F218&lt;AV!$U$10),AV!$P$10*((AV!$U$10-RASANTE!F218)/(AV!$O$10))^2,IF(AND(AV!$S$12&lt;F218,F218&lt;=AV!$T$12),AV!$P$12*((AV!$S$12-RASANTE!F218)/(AV!$N$12))^2,IF(AND(AV!$T$12&lt;RASANTE!F218,F218&lt;AV!$U$12),AV!$P$12*((AV!$U$12-RASANTE!F218)/(AV!$O$12))^2,IF(AND(AV!$S$14&lt;F218,F218&lt;=AV!$T$14),AV!$P$14*((AV!$S$14-RASANTE!F218)/(AV!$N$14))^2,IF(AND(AV!$T$14&lt;RASANTE!F218,F218&lt;AV!$U$14),AV!$P$14*((AV!$U$14-RASANTE!F218)/(AV!$O$14))^2,IF(AND(AV!$S$16&lt;F218,F218&lt;=AV!$T$16),AV!$P$16*((AV!$S$16-RASANTE!F218)/(AV!$N$16))^2,IF(AND(AV!$T$16&lt;RASANTE!F218,F218&lt;AV!$U$16),AV!$P$16*((AV!$U$16-RASANTE!F218)/(AV!$O$16))^2,IF(AND(AV!$S$18&lt;F218,F218&lt;=AV!$T$18),AV!$P$18*((AV!$S$18-RASANTE!F218)/(AV!$N$18))^2,IF(AND(AV!$T$18&lt;RASANTE!F218,F218&lt;AV!$U$18),AV!$P$18*((AV!$U$18-RASANTE!F218)/(AV!$O$18))^2,IF(AND(AV!$S$20&lt;F218,F218&lt;=AV!$T$20),AV!$P$20*((AV!$S$20-RASANTE!F218)/(AV!$N$20))^2,IF(AND(AV!$T$20&lt;RASANTE!F218,F218&lt;AV!$U$20),AV!$P$20*((AV!$U$20-RASANTE!F218)/(AV!$O$20))^2,IF(AND(AV!$S$22&lt;F218,F218&lt;=AV!$T$22),AV!$P$22*((AV!$S$22-RASANTE!F218)/(AV!$N$22))^2,IF(AND(AV!$T$22&lt;RASANTE!F218,F218&lt;AV!$U$22),AV!$P$22*((AV!$U$22-RASANTE!F218)/(AV!$O$22))^2,IF(AND(AV!$S$24&lt;F218,F218&lt;=AV!$T$24),AV!$P$24*((AV!$S$24-RASANTE!F218)/(AV!$N$24))^2,IF(AND(AV!$T$24&lt;RASANTE!F218,F218&lt;AV!$U$24),AV!$P$24*((AV!$U$24-RASANTE!F218)/(AV!$O$24))^2,0))))))))))))))))))))</f>
        <v>0</v>
      </c>
      <c r="L121" s="28">
        <f>+M121+H121%*PERALTE!$C$32</f>
        <v>1629.2164000000014</v>
      </c>
      <c r="M121" s="28">
        <f t="shared" si="5"/>
        <v>1629.2864000000013</v>
      </c>
      <c r="N121" s="28">
        <f>+M121+I121%*PERALTE!$C$32</f>
        <v>1629.2164000000014</v>
      </c>
      <c r="O121" s="92"/>
      <c r="P121" s="84"/>
      <c r="Q121" s="84"/>
      <c r="R121" s="84"/>
      <c r="S121" s="84"/>
      <c r="T121" s="84"/>
      <c r="U121" s="84"/>
      <c r="V121" s="84"/>
      <c r="W121" s="84"/>
      <c r="X121" s="84"/>
      <c r="Y121" s="84"/>
    </row>
    <row r="122" spans="1:25" ht="15.75" customHeight="1" x14ac:dyDescent="0.2">
      <c r="A122" s="205"/>
      <c r="B122" s="86"/>
      <c r="C122" s="86"/>
      <c r="D122" s="86"/>
      <c r="F122" s="34">
        <v>760</v>
      </c>
      <c r="G122" s="88">
        <f>IF(F122&lt;=AV!$T$6,AV!$C$5,IF(RASANTE!F122&lt;=AV!$T$8,AV!$C$7,IF(RASANTE!F122&lt;=AV!$T$10,AV!$C$9,IF(RASANTE!F122&lt;=AV!$T$12,AV!#REF!,IF(RASANTE!F122&lt;=AV!$T$14,AV!$C$11,IF(RASANTE!F122&lt;=AV!$T$16,AV!$C$13, IF(RASANTE!F122&lt;=AV!$T$18,AV!$C$15,IF(RASANTE!F122&lt;=AV!$T$20,AV!$C$19,IF(RASANTE!F122&lt;=AV!$T$22,AV!$C$21,IF(RASANTE!F122&lt;=AV!$T$24,AV!$C$23,AV!$C$25))))))))))</f>
        <v>-3</v>
      </c>
      <c r="H122" s="28">
        <f>+IF(AND(AH!$H$8="Izquierda",RASANTE!F122&lt;=PERALTE!$AB$6),IF(RASANTE!F122&lt;=PERALTE!$S$6,-2,IF(RASANTE!F122&lt;=PERALTE!$U$6,(-6/(PERALTE!$U$6-PERALTE!$S$6)*(RASANTE!F122-PERALTE!$S$6)-2),IF(RASANTE!F122&lt;=PERALTE!$X$6,-8,IF(RASANTE!F122&lt;=PERALTE!$Z$6,(-6/(PERALTE!$X$6-PERALTE!$Z$6)*(RASANTE!F122-PERALTE!$Z$6)-2),IF(RASANTE!F122&lt;=PERALTE!$AB$6,-2))))),IF(AND(AH!$H$8="Derecha",RASANTE!F122&lt;=PERALTE!$AB$6),IF(RASANTE!F122&lt;=PERALTE!$Q$6,-2,IF(RASANTE!F122&lt;=PERALTE!$U$6,(10/(PERALTE!$U$6-PERALTE!$Q$6)*(RASANTE!F122-PERALTE!$Q$6)-2),IF(RASANTE!F122&lt;=PERALTE!$X$6,8,IF(RASANTE!F122&lt;=PERALTE!$AB$6,(10/(PERALTE!$X$6-PERALTE!$AB$6)*(RASANTE!F122-PERALTE!$AB$6)-2))))),IF(AND(AH!$H$10="Izquierda",RASANTE!F122&lt;=PERALTE!$AB$8),IF(RASANTE!F122&lt;=PERALTE!$S$8,-2,IF(RASANTE!F122&lt;=PERALTE!$U$8,(-6/(PERALTE!$U$8-PERALTE!$S$8)*(RASANTE!F122-PERALTE!$S$8)-2),IF(RASANTE!F122&lt;=PERALTE!$X$8,-8,IF(RASANTE!F122&lt;=PERALTE!$Z$8,(-6/(PERALTE!$X$8-PERALTE!$Z$8)*(RASANTE!F122-PERALTE!$Z$8)-2),IF(RASANTE!F122&lt;=PERALTE!$AB$8,-2))))),IF(AND(AH!$H$10="Derecha",RASANTE!F122&lt;=PERALTE!$AB$8),IF(RASANTE!F122&lt;=PERALTE!$Q$8,-2,IF(RASANTE!F122&lt;=PERALTE!$U$8,(10/(PERALTE!$U$8-PERALTE!$Q$8)*(RASANTE!F122-PERALTE!$Q$8)-2),IF(RASANTE!F122&lt;=PERALTE!$X$8,8,IF(RASANTE!F122&lt;=PERALTE!$AB$8,(10/(PERALTE!$X$8-PERALTE!$AB$8)*(RASANTE!F122-PERALTE!$AB$8)-2))))),IF(AND(AH!$H$12="Izquierda",RASANTE!F122&lt;=PERALTE!$AB$10),IF(RASANTE!F122&lt;=PERALTE!$S$10,-2,IF(RASANTE!F122&lt;=PERALTE!$U$10,(-6/(PERALTE!$U$10-PERALTE!$S$10)*(RASANTE!F122-PERALTE!$S$10)-2),IF(RASANTE!F122&lt;=PERALTE!$X$10,-8,IF(RASANTE!F122&lt;=PERALTE!$Z$10,(-6/(PERALTE!$X$10-PERALTE!$Z$10)*(RASANTE!F122-PERALTE!$Z$10)-2),IF(RASANTE!F122&lt;=PERALTE!$AB$10,-2))))),IF(AND(AH!$H$12="Derecha",RASANTE!F122&lt;=PERALTE!$AB$10),IF(RASANTE!F122&lt;=PERALTE!$Q$10,-2,IF(RASANTE!F122&lt;=PERALTE!$U$10,(10/(PERALTE!$U$10-PERALTE!$Q$10)*(RASANTE!F122-PERALTE!$Q$10)-2),IF(RASANTE!F122&lt;=PERALTE!$X$10,8,IF(RASANTE!F122&lt;=PERALTE!$AB$10,(10/(PERALTE!$X$10-PERALTE!$AB$10)*(RASANTE!F122-PERALTE!$AB$10)-2))))),IF(AND(AH!$H$14="Izquierda",RASANTE!F122&lt;=PERALTE!$AB$12),IF(RASANTE!F122&lt;=PERALTE!$S$12,-2,IF(RASANTE!F122&lt;=PERALTE!$U$12,(-6/(PERALTE!$U$12-PERALTE!$S$12)*(RASANTE!F122-PERALTE!$S$12)-2),IF(RASANTE!F122&lt;=PERALTE!$X$12,-8,IF(RASANTE!F122&lt;=PERALTE!$Z$12,(-6/(PERALTE!$X$12-PERALTE!$Z$12)*(RASANTE!F122-PERALTE!$Z$12)-2),IF(RASANTE!F122&lt;=PERALTE!$AB$12,-2))))),IF(AND(AH!$H$14="Derecha",RASANTE!F122&lt;=PERALTE!$AB$12),IF(RASANTE!F122&lt;=PERALTE!$Q$12,-2,IF(RASANTE!F122&lt;=PERALTE!$U$12,(10/(PERALTE!$U$12-PERALTE!$Q$12)*(RASANTE!F122-PERALTE!$Q$12)-2),IF(RASANTE!F122&lt;=PERALTE!$X$12,8,IF(RASANTE!F122&lt;=PERALTE!$AB$12,(10/(PERALTE!$X$12-PERALTE!$AB$12)*(RASANTE!F122-PERALTE!$AB$12)-2))))),IF(AND(AH!$H$16="Izquierda",RASANTE!F122&lt;=PERALTE!$AB$14),IF(RASANTE!F122&lt;=PERALTE!$S$14,-2,IF(RASANTE!F122&lt;=PERALTE!$U$14,(-6/(PERALTE!$U$14-PERALTE!$S$14)*(RASANTE!F122-PERALTE!$S$14)-2),IF(RASANTE!F122&lt;=PERALTE!$X$14,-8,IF(RASANTE!F122&lt;=PERALTE!$Z$14,(-6/(PERALTE!$X$14-PERALTE!$Z$14)*(RASANTE!F122-PERALTE!$Z$14)-2),IF(RASANTE!F122&lt;=PERALTE!$AB$14,-2))))),IF(AND(AH!$H$16="Derecha",RASANTE!F122&lt;=PERALTE!$AB$14),IF(RASANTE!F122&lt;=PERALTE!$Q$14,-2,IF(RASANTE!F122&lt;=PERALTE!$U$14,(10/(PERALTE!$U$14-PERALTE!$Q$14)*(RASANTE!F122-PERALTE!$Q$14)-2),IF(RASANTE!F122&lt;=PERALTE!$X$14,8,IF(RASANTE!F122&lt;=PERALTE!$AB$14,(10/(PERALTE!$X$14-PERALTE!$AB$14)*(RASANTE!F122-PERALTE!$AB$14)-2))))),IF(AND(AH!$H$18="Izquierda",RASANTE!F122&lt;=PERALTE!$AB$16),IF(RASANTE!F122&lt;=PERALTE!$S$16,-2,IF(RASANTE!F122&lt;=PERALTE!$U$16,(-6/(PERALTE!$U$16-PERALTE!$S$16)*(RASANTE!F122-PERALTE!$S$16)-2),IF(RASANTE!F122&lt;=PERALTE!$X$16,-8,IF(RASANTE!F122&lt;=PERALTE!$Z$16,(-6/(PERALTE!$X$16-PERALTE!$Z$16)*(RASANTE!F122-PERALTE!$Z$16)-2),IF(RASANTE!F122&lt;=PERALTE!$AB$16,-2))))),IF(AND(AH!$H$18="Derecha",RASANTE!F122&lt;=PERALTE!$AB$16),IF(RASANTE!F122&lt;=PERALTE!$Q$16,-2,IF(RASANTE!F122&lt;=PERALTE!$U$16,(10/(PERALTE!$U$16-PERALTE!$Q$16)*(RASANTE!F122-PERALTE!$Q$16)-2),IF(RASANTE!F122&lt;=PERALTE!$X$16,8,IF(RASANTE!F122&lt;=PERALTE!$AB$16,(10/(PERALTE!$X$16-PERALTE!$AB$16)*(RASANTE!F122-PERALTE!$AB$16)-2))))),IF(AND(AH!$H$20="Izquierda",RASANTE!F122&lt;=PERALTE!$AB$18),IF(RASANTE!F122&lt;=PERALTE!$S$18,-2,IF(RASANTE!F122&lt;=PERALTE!$U$18,(-6/(PERALTE!$U$18-PERALTE!$S$18)*(RASANTE!F122-PERALTE!$S$18)-2),IF(RASANTE!F122&lt;=PERALTE!$X$18,-8,IF(RASANTE!F122&lt;=PERALTE!$Z$18,(-6/(PERALTE!$X$18-PERALTE!$Z$18)*(RASANTE!F122-PERALTE!$Z$18)-2),IF(RASANTE!F122&lt;=PERALTE!$AB$18,-2))))),IF(AND(AH!$H$20="Derecha",RASANTE!F122&lt;=PERALTE!$AB$18),IF(RASANTE!F122&lt;=PERALTE!$Q$18,-2,IF(RASANTE!F122&lt;=PERALTE!$U$18,(10/(PERALTE!$U$18-PERALTE!$Q$18)*(RASANTE!F122-PERALTE!$Q$18)-2),IF(RASANTE!F122&lt;=PERALTE!$X$18,8,IF(RASANTE!F122&lt;=PERALTE!$AB$18,(10/(PERALTE!$X$18-PERALTE!$AB$18)*(RASANTE!F122-PERALTE!$AB$18)-2))))),IF(AND(AH!$H$24="Izquierda",RASANTE!F122&lt;=PERALTE!$AB$22),IF(RASANTE!F122&lt;=PERALTE!$S$22,-2,IF(RASANTE!F122&lt;=PERALTE!$U$22,(-6/(PERALTE!$U$22-PERALTE!$S$22)*(RASANTE!F122-PERALTE!$S$22)-2),IF(RASANTE!F122&lt;=PERALTE!$X$22,-8,IF(RASANTE!F122&lt;=PERALTE!$Z$22,(-6/(PERALTE!$X$22-PERALTE!$Z$22)*(RASANTE!F122-PERALTE!$Z$22)-2),IF(RASANTE!F122&lt;=PERALTE!$AB$22,-2))))),IF(AND(AH!$H$24="Derecha",RASANTE!F122&lt;=PERALTE!$AB$22),IF(RASANTE!F122&lt;=PERALTE!$Q$22,-2,IF(RASANTE!F122&lt;=PERALTE!$U$22,(10/(PERALTE!$U$22-PERALTE!$Q$22)*(RASANTE!F122-PERALTE!$Q$22)-2),IF(RASANTE!F122&lt;=PERALTE!$X$22,8,IF(RASANTE!F122&lt;=PERALTE!$AB$22,(10/(PERALTE!$X$22-PERALTE!$AB$22)*(RASANTE!F122-PERALTE!$AB$22)-2))))),IF(AND(AH!#REF!="Izquierda",RASANTE!F122&lt;=PERALTE!#REF!),IF(RASANTE!F122&lt;=PERALTE!#REF!,-2,IF(RASANTE!F122&lt;=PERALTE!#REF!,(-6/(PERALTE!#REF!-PERALTE!#REF!)*(RASANTE!F122-PERALTE!#REF!)-2),IF(RASANTE!F122&lt;=PERALTE!#REF!,-8,IF(RASANTE!F122&lt;=PERALTE!#REF!,(-6/(PERALTE!#REF!-PERALTE!#REF!)*(RASANTE!F122-PERALTE!#REF!)-2),IF(RASANTE!F122&lt;=PERALTE!#REF!,-2))))),IF(AND(AH!#REF!="Derecha",RASANTE!F122&lt;=PERALTE!#REF!),IF(RASANTE!F122&lt;=PERALTE!#REF!,-2,IF(RASANTE!F122&lt;=PERALTE!#REF!,(10/(PERALTE!#REF!-PERALTE!#REF!)*(RASANTE!F122-PERALTE!#REF!)-2),IF(RASANTE!F122&lt;=PERALTE!#REF!,8,IF(RASANTE!F122&lt;=PERALTE!#REF!,(10/(PERALTE!#REF!-PERALTE!#REF!)*(RASANTE!F122-PERALTE!#REF!)-2))))),IF(AND(AH!#REF!="Izquierda",RASANTE!F122&lt;=PERALTE!$AB$26),IF(RASANTE!F122&lt;=PERALTE!$S$26,-2,IF(RASANTE!F122&lt;=PERALTE!$U$26,(-6/(PERALTE!$U$26-PERALTE!$S$26)*(RASANTE!F122-PERALTE!$S$26)-2),IF(RASANTE!F122&lt;=PERALTE!$X$26,-8,IF(RASANTE!F122&lt;=PERALTE!$Z$26,(-6/(PERALTE!$X$26-PERALTE!$Z$26)*(RASANTE!F122-PERALTE!$Z$26)-2),IF(RASANTE!F122&lt;=PERALTE!$AB$26,-2))))),IF(AND(AH!#REF!="Derecha",RASANTE!F122&lt;=PERALTE!$AB$26),IF(RASANTE!F122&lt;=PERALTE!$Q$26,-2,IF(RASANTE!F122&lt;=PERALTE!$U$26,(10/(PERALTE!$U$26-PERALTE!$Q$26)*(RASANTE!F122-PERALTE!$Q$26)-2),IF(RASANTE!F122&lt;=PERALTE!$X$26,8,IF(RASANTE!F122&lt;=PERALTE!$AB$26,(10/(PERALTE!$X$26-PERALTE!$AB$26)*(RASANTE!F122-PERALTE!$AB$26)-2))))),IF(F122&lt;=PERALTE!#REF!,-2,"Abscisa fuera de la vía")))))))))))))))))))))</f>
        <v>-2</v>
      </c>
      <c r="I122" s="28">
        <f>+IF(AND(AH!$H$8="Derecha",RASANTE!F122&lt;=PERALTE!$AB$6),IF(RASANTE!F122&lt;=PERALTE!$S$6,-2,IF(RASANTE!F122&lt;=PERALTE!$U$6,(-6/(PERALTE!$U$6-PERALTE!$S$6)*(RASANTE!F122-PERALTE!$S$6)-2),IF(RASANTE!F122&lt;=PERALTE!$X$6,-8,IF(RASANTE!F122&lt;=PERALTE!$Z$6,(-6/(PERALTE!$X$6-PERALTE!$Z$6)*(RASANTE!F122-PERALTE!$Z$6)-2),IF(RASANTE!F122&lt;=PERALTE!$AB$6,-2))))),IF(AND(AH!$H$8="Izquierda",RASANTE!F122&lt;=PERALTE!$AB$6),IF(RASANTE!F122&lt;=PERALTE!$Q$6,-2,IF(RASANTE!F122&lt;=PERALTE!$U$6,(10/(PERALTE!$U$6-PERALTE!$Q$6)*(RASANTE!F122-PERALTE!$Q$6)-2),IF(RASANTE!F122&lt;=PERALTE!$X$6,8,IF(RASANTE!F122&lt;=PERALTE!$AB$6,(10/(PERALTE!$X$6-PERALTE!$AB$6)*(RASANTE!F122-PERALTE!$AB$6)-2))))),IF(AND(AH!$H$10="Derecha",RASANTE!F122&lt;=PERALTE!$AB$8),IF(RASANTE!F122&lt;=PERALTE!$S$8,-2,IF(RASANTE!F122&lt;=PERALTE!$U$8,(-6/(PERALTE!$U$8-PERALTE!$S$8)*(RASANTE!F122-PERALTE!$S$8)-2),IF(RASANTE!F122&lt;=PERALTE!$X$8,-8,IF(RASANTE!F122&lt;=PERALTE!$Z$8,(-6/(PERALTE!$X$8-PERALTE!$Z$8)*(RASANTE!F122-PERALTE!$Z$8)-2),IF(RASANTE!F122&lt;=PERALTE!$AB$8,-2))))),IF(AND(AH!$H$10="Izquierda",RASANTE!F122&lt;=PERALTE!$AB$8),IF(RASANTE!F122&lt;=PERALTE!$Q$8,-2,IF(RASANTE!F122&lt;=PERALTE!$U$8,(10/(PERALTE!$U$8-PERALTE!$Q$8)*(RASANTE!F122-PERALTE!$Q$8)-2),IF(RASANTE!F122&lt;=PERALTE!$X$8,8,IF(RASANTE!F122&lt;=PERALTE!$AB$8,(10/(PERALTE!$X$8-PERALTE!$AB$8)*(RASANTE!F122-PERALTE!$AB$8)-2))))),IF(AND(AH!$H$12="Derecha",RASANTE!F122&lt;=PERALTE!$AB$10),IF(RASANTE!F122&lt;=PERALTE!$S$10,-2,IF(RASANTE!F122&lt;=PERALTE!$U$10,(-6/(PERALTE!$U$10-PERALTE!$S$10)*(RASANTE!F122-PERALTE!$S$10)-2),IF(RASANTE!F122&lt;=PERALTE!$X$10,-8,IF(RASANTE!F122&lt;=PERALTE!$Z$10,(-6/(PERALTE!$X$10-PERALTE!$Z$10)*(RASANTE!F122-PERALTE!$Z$10)-2),IF(RASANTE!F122&lt;=PERALTE!$AB$10,-2))))),IF(AND(AH!$H$12="Izquierda",RASANTE!F122&lt;=PERALTE!$AB$10),IF(RASANTE!F122&lt;=PERALTE!$Q$10,-2,IF(RASANTE!F122&lt;=PERALTE!$U$10,(10/(PERALTE!$U$10-PERALTE!$Q$10)*(RASANTE!F122-PERALTE!$Q$10)-2),IF(RASANTE!F122&lt;=PERALTE!$X$10,8,IF(RASANTE!F122&lt;=PERALTE!$AB$10,(10/(PERALTE!$X$10-PERALTE!$AB$10)*(RASANTE!F122-PERALTE!$AB$10)-2))))),IF(AND(AH!$H$14="Derecha",RASANTE!F122&lt;=PERALTE!$AB$12),IF(RASANTE!F122&lt;=PERALTE!$S$12,-2,IF(RASANTE!F122&lt;=PERALTE!$U$12,(-6/(PERALTE!$U$12-PERALTE!$S$12)*(RASANTE!F122-PERALTE!$S$12)-2),IF(RASANTE!F122&lt;=PERALTE!$X$12,-8,IF(RASANTE!F122&lt;=PERALTE!$Z$12,(-6/(PERALTE!$X$12-PERALTE!$Z$12)*(RASANTE!F122-PERALTE!$Z$12)-2),IF(RASANTE!F122&lt;=PERALTE!$AB$12,-2))))),IF(AND(AH!$H$14="Izquierda",RASANTE!F122&lt;=PERALTE!$AB$12),IF(RASANTE!F122&lt;=PERALTE!$Q$12,-2,IF(RASANTE!F122&lt;=PERALTE!$U$12,(10/(PERALTE!$U$12-PERALTE!$Q$12)*(RASANTE!F122-PERALTE!$Q$12)-2),IF(RASANTE!F122&lt;=PERALTE!$X$12,8,IF(RASANTE!F122&lt;=PERALTE!$AB$12,(10/(PERALTE!$X$12-PERALTE!$AB$12)*(RASANTE!F122-PERALTE!$AB$12)-2))))),IF(AND(AH!$H$16="Derecha",RASANTE!F122&lt;=PERALTE!$AB$14),IF(RASANTE!F122&lt;=PERALTE!$S$14,-2,IF(RASANTE!F122&lt;=PERALTE!$U$14,(-6/(PERALTE!$U$14-PERALTE!$S$14)*(RASANTE!F122-PERALTE!$S$14)-2),IF(RASANTE!F122&lt;=PERALTE!$X$14,-8,IF(RASANTE!F122&lt;=PERALTE!$Z$14,(-6/(PERALTE!$X$14-PERALTE!$Z$14)*(RASANTE!F122-PERALTE!$Z$14)-2),IF(RASANTE!F122&lt;=PERALTE!$AB$14,-2))))),IF(AND(AH!$H$16="Izquierda",RASANTE!F122&lt;=PERALTE!$AB$14),IF(RASANTE!F122&lt;=PERALTE!$Q$14,-2,IF(RASANTE!F122&lt;=PERALTE!$U$14,(10/(PERALTE!$U$14-PERALTE!$Q$14)*(RASANTE!F122-PERALTE!$Q$14)-2),IF(RASANTE!F122&lt;=PERALTE!$X$14,8,IF(RASANTE!F122&lt;=PERALTE!$AB$14,(10/(PERALTE!$X$14-PERALTE!$AB$14)*(RASANTE!F122-PERALTE!$AB$14)-2))))),IF(AND(AH!$H$18="Derecha",RASANTE!F122&lt;=PERALTE!$AB$16),IF(RASANTE!F122&lt;=PERALTE!$S$16,-2,IF(RASANTE!F122&lt;=PERALTE!$U$16,(-6/(PERALTE!$U$16-PERALTE!$S$16)*(RASANTE!F122-PERALTE!$S$16)-2),IF(RASANTE!F122&lt;=PERALTE!$X$16,-8,IF(RASANTE!F122&lt;=PERALTE!$Z$16,(-6/(PERALTE!$X$16-PERALTE!$Z$16)*(RASANTE!F122-PERALTE!$Z$16)-2),IF(RASANTE!F122&lt;=PERALTE!$AB$16,-2))))),IF(AND(AH!$H$18="Izquierda",RASANTE!F122&lt;=PERALTE!$AB$16),IF(RASANTE!F122&lt;=PERALTE!$Q$16,-2,IF(RASANTE!F122&lt;=PERALTE!$U$16,(10/(PERALTE!$U$16-PERALTE!$Q$16)*(RASANTE!F122-PERALTE!$Q$16)-2),IF(RASANTE!F122&lt;=PERALTE!$X$16,8,IF(RASANTE!F122&lt;=PERALTE!$AB$16,(10/(PERALTE!$X$16-PERALTE!$AB$16)*(RASANTE!F122-PERALTE!$AB$16)-2))))),IF(AND(AH!$H$20="Derecha",RASANTE!F122&lt;=PERALTE!$AB$18),IF(RASANTE!F122&lt;=PERALTE!$S$18,-2,IF(RASANTE!F122&lt;=PERALTE!$U$18,(-6/(PERALTE!$U$18-PERALTE!$S$18)*(RASANTE!F122-PERALTE!$S$18)-2),IF(RASANTE!F122&lt;=PERALTE!$X$18,-8,IF(RASANTE!F122&lt;=PERALTE!$Z$18,(-6/(PERALTE!$X$18-PERALTE!$Z$18)*(RASANTE!F122-PERALTE!$Z$18)-2),IF(RASANTE!F122&lt;=PERALTE!$AB$18,-2))))),IF(AND(AH!$H$20="Izquierda",RASANTE!F122&lt;=PERALTE!$AB$18),IF(RASANTE!F122&lt;=PERALTE!$Q$18,-2,IF(RASANTE!F122&lt;=PERALTE!$U$18,(10/(PERALTE!$U$18-PERALTE!$Q$18)*(RASANTE!F122-PERALTE!$Q$18)-2),IF(RASANTE!F122&lt;=PERALTE!$X$18,8,IF(RASANTE!F122&lt;=PERALTE!$AB$18,(10/(PERALTE!$X$18-PERALTE!$AB$18)*(RASANTE!F122-PERALTE!$AB$18)-2))))),IF(AND(AH!$H$24="Derecha",RASANTE!F122&lt;=PERALTE!$AB$22),IF(RASANTE!F122&lt;=PERALTE!$S$22,-2,IF(RASANTE!F122&lt;=PERALTE!$U$22,(-6/(PERALTE!$U$22-PERALTE!$S$22)*(RASANTE!F122-PERALTE!$S$22)-2),IF(RASANTE!F122&lt;=PERALTE!$X$22,-8,IF(RASANTE!F122&lt;=PERALTE!$Z$22,(-6/(PERALTE!$X$22-PERALTE!$Z$22)*(RASANTE!F122-PERALTE!$Z$22)-2),IF(RASANTE!F122&lt;=PERALTE!$AB$22,-2))))),IF(AND(AH!$H$24="Izquierda",RASANTE!F122&lt;=PERALTE!$AB$22),IF(RASANTE!F122&lt;=PERALTE!$Q$22,-2,IF(RASANTE!F122&lt;=PERALTE!$U$22,(10/(PERALTE!$U$22-PERALTE!$Q$22)*(RASANTE!F122-PERALTE!$Q$22)-2),IF(RASANTE!F122&lt;=PERALTE!$X$22,8,IF(RASANTE!F122&lt;=PERALTE!$AB$22,(10/(PERALTE!$X$22-PERALTE!$AB$22)*(RASANTE!F122-PERALTE!$AB$22)-2))))),IF(AND(AH!#REF!="Derecha",RASANTE!F122&lt;=PERALTE!#REF!),IF(RASANTE!F122&lt;=PERALTE!#REF!,-2,IF(RASANTE!F122&lt;=PERALTE!#REF!,(-6/(PERALTE!#REF!-PERALTE!#REF!)*(RASANTE!F122-PERALTE!#REF!)-2),IF(RASANTE!F122&lt;=PERALTE!#REF!,-8,IF(RASANTE!F122&lt;=PERALTE!#REF!,(-6/(PERALTE!#REF!-PERALTE!#REF!)*(RASANTE!F122-PERALTE!#REF!)-2),IF(RASANTE!F122&lt;=PERALTE!#REF!,-2))))),IF(AND(AH!#REF!="Izquierda",RASANTE!F122&lt;=PERALTE!#REF!),IF(RASANTE!F122&lt;=PERALTE!#REF!,-2,IF(RASANTE!F122&lt;=PERALTE!#REF!,(10/(PERALTE!#REF!-PERALTE!#REF!)*(RASANTE!F122-PERALTE!#REF!)-2),IF(RASANTE!F122&lt;=PERALTE!#REF!,8,IF(RASANTE!F122&lt;=PERALTE!#REF!,(10/(PERALTE!#REF!-PERALTE!#REF!)*(RASANTE!F122-PERALTE!#REF!)-2))))),IF(AND(AH!#REF!="Derecha",RASANTE!F122&lt;=PERALTE!$AB$26),IF(RASANTE!F122&lt;=PERALTE!$S$26,-2,IF(RASANTE!F122&lt;=PERALTE!$U$26,(-6/(PERALTE!$U$26-PERALTE!$S$26)*(RASANTE!F122-PERALTE!$S$26)-2),IF(RASANTE!F122&lt;=PERALTE!$X$26,-8,IF(RASANTE!F122&lt;=PERALTE!$Z$26,(-6/(PERALTE!$X$26-PERALTE!$Z$26)*(RASANTE!F122-PERALTE!$Z$26)-2),IF(RASANTE!F122&lt;=PERALTE!$AB$26,-2))))),IF(AND(AH!#REF!="Izquierda",RASANTE!F122&lt;=PERALTE!$AB$26),IF(RASANTE!F122&lt;=PERALTE!$Q$26,-2,IF(RASANTE!F122&lt;=PERALTE!$U$26,(10/(PERALTE!$U$26-PERALTE!$Q$26)*(RASANTE!F122-PERALTE!$Q$26)-2),IF(RASANTE!F122&lt;=PERALTE!$X$26,8,IF(RASANTE!F122&lt;=PERALTE!$AB$26,(10/(PERALTE!$X$26-PERALTE!$AB$26)*(RASANTE!F122-PERALTE!$AB$26)-2))))),IF(F122&lt;=PERALTE!#REF!,-2,"Abscisa fuera de la vía")))))))))))))))))))))</f>
        <v>-2</v>
      </c>
      <c r="J122" s="28">
        <f t="shared" si="4"/>
        <v>1628.9864000000014</v>
      </c>
      <c r="K122" s="28">
        <f>+IF(AND(AV!$S$6&lt;F219,F219&lt;=AV!$T$6),AV!$P$6*((AV!$S$6-RASANTE!F219)/(AV!$N$6))^2,IF(AND(AV!$T$6&lt;RASANTE!F219,F219&lt;AV!$U$6),AV!$P$6*((AV!$U$6-RASANTE!F219)/(AV!$O$6))^2,IF(AND(AV!$S$8&lt;F219,F219&lt;=AV!$T$8),AV!$P$8*((AV!$S$8-RASANTE!F219)/(AV!$N$8))^2,IF(AND(AV!$T$8&lt;RASANTE!F219,F219&lt;AV!$U$8),AV!$P$8*((AV!$U$8-RASANTE!F219)/(AV!$O$8))^2,IF(AND(AV!$S$10&lt;F219,F219&lt;=AV!$T$10),AV!$P$10*((AV!$S$10-RASANTE!F219)/(AV!$N$10))^2,IF(AND(AV!$T$10&lt;RASANTE!F219,F219&lt;AV!$U$10),AV!$P$10*((AV!$U$10-RASANTE!F219)/(AV!$O$10))^2,IF(AND(AV!$S$12&lt;F219,F219&lt;=AV!$T$12),AV!$P$12*((AV!$S$12-RASANTE!F219)/(AV!$N$12))^2,IF(AND(AV!$T$12&lt;RASANTE!F219,F219&lt;AV!$U$12),AV!$P$12*((AV!$U$12-RASANTE!F219)/(AV!$O$12))^2,IF(AND(AV!$S$14&lt;F219,F219&lt;=AV!$T$14),AV!$P$14*((AV!$S$14-RASANTE!F219)/(AV!$N$14))^2,IF(AND(AV!$T$14&lt;RASANTE!F219,F219&lt;AV!$U$14),AV!$P$14*((AV!$U$14-RASANTE!F219)/(AV!$O$14))^2,IF(AND(AV!$S$16&lt;F219,F219&lt;=AV!$T$16),AV!$P$16*((AV!$S$16-RASANTE!F219)/(AV!$N$16))^2,IF(AND(AV!$T$16&lt;RASANTE!F219,F219&lt;AV!$U$16),AV!$P$16*((AV!$U$16-RASANTE!F219)/(AV!$O$16))^2,IF(AND(AV!$S$18&lt;F219,F219&lt;=AV!$T$18),AV!$P$18*((AV!$S$18-RASANTE!F219)/(AV!$N$18))^2,IF(AND(AV!$T$18&lt;RASANTE!F219,F219&lt;AV!$U$18),AV!$P$18*((AV!$U$18-RASANTE!F219)/(AV!$O$18))^2,IF(AND(AV!$S$20&lt;F219,F219&lt;=AV!$T$20),AV!$P$20*((AV!$S$20-RASANTE!F219)/(AV!$N$20))^2,IF(AND(AV!$T$20&lt;RASANTE!F219,F219&lt;AV!$U$20),AV!$P$20*((AV!$U$20-RASANTE!F219)/(AV!$O$20))^2,IF(AND(AV!$S$22&lt;F219,F219&lt;=AV!$T$22),AV!$P$22*((AV!$S$22-RASANTE!F219)/(AV!$N$22))^2,IF(AND(AV!$T$22&lt;RASANTE!F219,F219&lt;AV!$U$22),AV!$P$22*((AV!$U$22-RASANTE!F219)/(AV!$O$22))^2,IF(AND(AV!$S$24&lt;F219,F219&lt;=AV!$T$24),AV!$P$24*((AV!$S$24-RASANTE!F219)/(AV!$N$24))^2,IF(AND(AV!$T$24&lt;RASANTE!F219,F219&lt;AV!$U$24),AV!$P$24*((AV!$U$24-RASANTE!F219)/(AV!$O$24))^2,0))))))))))))))))))))</f>
        <v>0</v>
      </c>
      <c r="L122" s="28">
        <f>+M122+H122%*PERALTE!$C$32</f>
        <v>1628.9164000000014</v>
      </c>
      <c r="M122" s="28">
        <f t="shared" si="5"/>
        <v>1628.9864000000014</v>
      </c>
      <c r="N122" s="28">
        <f>+M122+I122%*PERALTE!$C$32</f>
        <v>1628.9164000000014</v>
      </c>
      <c r="O122" s="92"/>
      <c r="P122" s="84"/>
      <c r="Q122" s="84"/>
      <c r="R122" s="84"/>
      <c r="S122" s="84"/>
      <c r="T122" s="84"/>
      <c r="U122" s="84"/>
      <c r="V122" s="84"/>
      <c r="W122" s="84"/>
      <c r="X122" s="84"/>
      <c r="Y122" s="84"/>
    </row>
    <row r="123" spans="1:25" ht="15.75" customHeight="1" x14ac:dyDescent="0.2">
      <c r="A123" s="90" t="s">
        <v>339</v>
      </c>
      <c r="B123" s="86"/>
      <c r="C123" s="86"/>
      <c r="D123" s="86"/>
      <c r="F123" s="34">
        <f>PERALTE!Q12</f>
        <v>768.54862363828965</v>
      </c>
      <c r="G123" s="88">
        <f>IF(F123&lt;=AV!$T$6,AV!$C$5,IF(RASANTE!F123&lt;=AV!$T$8,AV!$C$7,IF(RASANTE!F123&lt;=AV!$T$10,AV!$C$9,IF(RASANTE!F123&lt;=AV!$T$12,AV!#REF!,IF(RASANTE!F123&lt;=AV!$T$14,AV!$C$11,IF(RASANTE!F123&lt;=AV!$T$16,AV!$C$13, IF(RASANTE!F123&lt;=AV!$T$18,AV!$C$15,IF(RASANTE!F123&lt;=AV!$T$20,AV!$C$19,IF(RASANTE!F123&lt;=AV!$T$22,AV!$C$21,IF(RASANTE!F123&lt;=AV!$T$24,AV!$C$23,AV!$C$25))))))))))</f>
        <v>-3</v>
      </c>
      <c r="H123" s="28">
        <f>+IF(AND(AH!$H$8="Izquierda",RASANTE!F123&lt;=PERALTE!$AB$6),IF(RASANTE!F123&lt;=PERALTE!$S$6,-2,IF(RASANTE!F123&lt;=PERALTE!$U$6,(-6/(PERALTE!$U$6-PERALTE!$S$6)*(RASANTE!F123-PERALTE!$S$6)-2),IF(RASANTE!F123&lt;=PERALTE!$X$6,-8,IF(RASANTE!F123&lt;=PERALTE!$Z$6,(-6/(PERALTE!$X$6-PERALTE!$Z$6)*(RASANTE!F123-PERALTE!$Z$6)-2),IF(RASANTE!F123&lt;=PERALTE!$AB$6,-2))))),IF(AND(AH!$H$8="Derecha",RASANTE!F123&lt;=PERALTE!$AB$6),IF(RASANTE!F123&lt;=PERALTE!$Q$6,-2,IF(RASANTE!F123&lt;=PERALTE!$U$6,(10/(PERALTE!$U$6-PERALTE!$Q$6)*(RASANTE!F123-PERALTE!$Q$6)-2),IF(RASANTE!F123&lt;=PERALTE!$X$6,8,IF(RASANTE!F123&lt;=PERALTE!$AB$6,(10/(PERALTE!$X$6-PERALTE!$AB$6)*(RASANTE!F123-PERALTE!$AB$6)-2))))),IF(AND(AH!$H$10="Izquierda",RASANTE!F123&lt;=PERALTE!$AB$8),IF(RASANTE!F123&lt;=PERALTE!$S$8,-2,IF(RASANTE!F123&lt;=PERALTE!$U$8,(-6/(PERALTE!$U$8-PERALTE!$S$8)*(RASANTE!F123-PERALTE!$S$8)-2),IF(RASANTE!F123&lt;=PERALTE!$X$8,-8,IF(RASANTE!F123&lt;=PERALTE!$Z$8,(-6/(PERALTE!$X$8-PERALTE!$Z$8)*(RASANTE!F123-PERALTE!$Z$8)-2),IF(RASANTE!F123&lt;=PERALTE!$AB$8,-2))))),IF(AND(AH!$H$10="Derecha",RASANTE!F123&lt;=PERALTE!$AB$8),IF(RASANTE!F123&lt;=PERALTE!$Q$8,-2,IF(RASANTE!F123&lt;=PERALTE!$U$8,(10/(PERALTE!$U$8-PERALTE!$Q$8)*(RASANTE!F123-PERALTE!$Q$8)-2),IF(RASANTE!F123&lt;=PERALTE!$X$8,8,IF(RASANTE!F123&lt;=PERALTE!$AB$8,(10/(PERALTE!$X$8-PERALTE!$AB$8)*(RASANTE!F123-PERALTE!$AB$8)-2))))),IF(AND(AH!$H$12="Izquierda",RASANTE!F123&lt;=PERALTE!$AB$10),IF(RASANTE!F123&lt;=PERALTE!$S$10,-2,IF(RASANTE!F123&lt;=PERALTE!$U$10,(-6/(PERALTE!$U$10-PERALTE!$S$10)*(RASANTE!F123-PERALTE!$S$10)-2),IF(RASANTE!F123&lt;=PERALTE!$X$10,-8,IF(RASANTE!F123&lt;=PERALTE!$Z$10,(-6/(PERALTE!$X$10-PERALTE!$Z$10)*(RASANTE!F123-PERALTE!$Z$10)-2),IF(RASANTE!F123&lt;=PERALTE!$AB$10,-2))))),IF(AND(AH!$H$12="Derecha",RASANTE!F123&lt;=PERALTE!$AB$10),IF(RASANTE!F123&lt;=PERALTE!$Q$10,-2,IF(RASANTE!F123&lt;=PERALTE!$U$10,(10/(PERALTE!$U$10-PERALTE!$Q$10)*(RASANTE!F123-PERALTE!$Q$10)-2),IF(RASANTE!F123&lt;=PERALTE!$X$10,8,IF(RASANTE!F123&lt;=PERALTE!$AB$10,(10/(PERALTE!$X$10-PERALTE!$AB$10)*(RASANTE!F123-PERALTE!$AB$10)-2))))),IF(AND(AH!$H$14="Izquierda",RASANTE!F123&lt;=PERALTE!$AB$12),IF(RASANTE!F123&lt;=PERALTE!$S$12,-2,IF(RASANTE!F123&lt;=PERALTE!$U$12,(-6/(PERALTE!$U$12-PERALTE!$S$12)*(RASANTE!F123-PERALTE!$S$12)-2),IF(RASANTE!F123&lt;=PERALTE!$X$12,-8,IF(RASANTE!F123&lt;=PERALTE!$Z$12,(-6/(PERALTE!$X$12-PERALTE!$Z$12)*(RASANTE!F123-PERALTE!$Z$12)-2),IF(RASANTE!F123&lt;=PERALTE!$AB$12,-2))))),IF(AND(AH!$H$14="Derecha",RASANTE!F123&lt;=PERALTE!$AB$12),IF(RASANTE!F123&lt;=PERALTE!$Q$12,-2,IF(RASANTE!F123&lt;=PERALTE!$U$12,(10/(PERALTE!$U$12-PERALTE!$Q$12)*(RASANTE!F123-PERALTE!$Q$12)-2),IF(RASANTE!F123&lt;=PERALTE!$X$12,8,IF(RASANTE!F123&lt;=PERALTE!$AB$12,(10/(PERALTE!$X$12-PERALTE!$AB$12)*(RASANTE!F123-PERALTE!$AB$12)-2))))),IF(AND(AH!$H$16="Izquierda",RASANTE!F123&lt;=PERALTE!$AB$14),IF(RASANTE!F123&lt;=PERALTE!$S$14,-2,IF(RASANTE!F123&lt;=PERALTE!$U$14,(-6/(PERALTE!$U$14-PERALTE!$S$14)*(RASANTE!F123-PERALTE!$S$14)-2),IF(RASANTE!F123&lt;=PERALTE!$X$14,-8,IF(RASANTE!F123&lt;=PERALTE!$Z$14,(-6/(PERALTE!$X$14-PERALTE!$Z$14)*(RASANTE!F123-PERALTE!$Z$14)-2),IF(RASANTE!F123&lt;=PERALTE!$AB$14,-2))))),IF(AND(AH!$H$16="Derecha",RASANTE!F123&lt;=PERALTE!$AB$14),IF(RASANTE!F123&lt;=PERALTE!$Q$14,-2,IF(RASANTE!F123&lt;=PERALTE!$U$14,(10/(PERALTE!$U$14-PERALTE!$Q$14)*(RASANTE!F123-PERALTE!$Q$14)-2),IF(RASANTE!F123&lt;=PERALTE!$X$14,8,IF(RASANTE!F123&lt;=PERALTE!$AB$14,(10/(PERALTE!$X$14-PERALTE!$AB$14)*(RASANTE!F123-PERALTE!$AB$14)-2))))),IF(AND(AH!$H$18="Izquierda",RASANTE!F123&lt;=PERALTE!$AB$16),IF(RASANTE!F123&lt;=PERALTE!$S$16,-2,IF(RASANTE!F123&lt;=PERALTE!$U$16,(-6/(PERALTE!$U$16-PERALTE!$S$16)*(RASANTE!F123-PERALTE!$S$16)-2),IF(RASANTE!F123&lt;=PERALTE!$X$16,-8,IF(RASANTE!F123&lt;=PERALTE!$Z$16,(-6/(PERALTE!$X$16-PERALTE!$Z$16)*(RASANTE!F123-PERALTE!$Z$16)-2),IF(RASANTE!F123&lt;=PERALTE!$AB$16,-2))))),IF(AND(AH!$H$18="Derecha",RASANTE!F123&lt;=PERALTE!$AB$16),IF(RASANTE!F123&lt;=PERALTE!$Q$16,-2,IF(RASANTE!F123&lt;=PERALTE!$U$16,(10/(PERALTE!$U$16-PERALTE!$Q$16)*(RASANTE!F123-PERALTE!$Q$16)-2),IF(RASANTE!F123&lt;=PERALTE!$X$16,8,IF(RASANTE!F123&lt;=PERALTE!$AB$16,(10/(PERALTE!$X$16-PERALTE!$AB$16)*(RASANTE!F123-PERALTE!$AB$16)-2))))),IF(AND(AH!$H$20="Izquierda",RASANTE!F123&lt;=PERALTE!$AB$18),IF(RASANTE!F123&lt;=PERALTE!$S$18,-2,IF(RASANTE!F123&lt;=PERALTE!$U$18,(-6/(PERALTE!$U$18-PERALTE!$S$18)*(RASANTE!F123-PERALTE!$S$18)-2),IF(RASANTE!F123&lt;=PERALTE!$X$18,-8,IF(RASANTE!F123&lt;=PERALTE!$Z$18,(-6/(PERALTE!$X$18-PERALTE!$Z$18)*(RASANTE!F123-PERALTE!$Z$18)-2),IF(RASANTE!F123&lt;=PERALTE!$AB$18,-2))))),IF(AND(AH!$H$20="Derecha",RASANTE!F123&lt;=PERALTE!$AB$18),IF(RASANTE!F123&lt;=PERALTE!$Q$18,-2,IF(RASANTE!F123&lt;=PERALTE!$U$18,(10/(PERALTE!$U$18-PERALTE!$Q$18)*(RASANTE!F123-PERALTE!$Q$18)-2),IF(RASANTE!F123&lt;=PERALTE!$X$18,8,IF(RASANTE!F123&lt;=PERALTE!$AB$18,(10/(PERALTE!$X$18-PERALTE!$AB$18)*(RASANTE!F123-PERALTE!$AB$18)-2))))),IF(AND(AH!$H$24="Izquierda",RASANTE!F123&lt;=PERALTE!$AB$22),IF(RASANTE!F123&lt;=PERALTE!$S$22,-2,IF(RASANTE!F123&lt;=PERALTE!$U$22,(-6/(PERALTE!$U$22-PERALTE!$S$22)*(RASANTE!F123-PERALTE!$S$22)-2),IF(RASANTE!F123&lt;=PERALTE!$X$22,-8,IF(RASANTE!F123&lt;=PERALTE!$Z$22,(-6/(PERALTE!$X$22-PERALTE!$Z$22)*(RASANTE!F123-PERALTE!$Z$22)-2),IF(RASANTE!F123&lt;=PERALTE!$AB$22,-2))))),IF(AND(AH!$H$24="Derecha",RASANTE!F123&lt;=PERALTE!$AB$22),IF(RASANTE!F123&lt;=PERALTE!$Q$22,-2,IF(RASANTE!F123&lt;=PERALTE!$U$22,(10/(PERALTE!$U$22-PERALTE!$Q$22)*(RASANTE!F123-PERALTE!$Q$22)-2),IF(RASANTE!F123&lt;=PERALTE!$X$22,8,IF(RASANTE!F123&lt;=PERALTE!$AB$22,(10/(PERALTE!$X$22-PERALTE!$AB$22)*(RASANTE!F123-PERALTE!$AB$22)-2))))),IF(AND(AH!#REF!="Izquierda",RASANTE!F123&lt;=PERALTE!#REF!),IF(RASANTE!F123&lt;=PERALTE!#REF!,-2,IF(RASANTE!F123&lt;=PERALTE!#REF!,(-6/(PERALTE!#REF!-PERALTE!#REF!)*(RASANTE!F123-PERALTE!#REF!)-2),IF(RASANTE!F123&lt;=PERALTE!#REF!,-8,IF(RASANTE!F123&lt;=PERALTE!#REF!,(-6/(PERALTE!#REF!-PERALTE!#REF!)*(RASANTE!F123-PERALTE!#REF!)-2),IF(RASANTE!F123&lt;=PERALTE!#REF!,-2))))),IF(AND(AH!#REF!="Derecha",RASANTE!F123&lt;=PERALTE!#REF!),IF(RASANTE!F123&lt;=PERALTE!#REF!,-2,IF(RASANTE!F123&lt;=PERALTE!#REF!,(10/(PERALTE!#REF!-PERALTE!#REF!)*(RASANTE!F123-PERALTE!#REF!)-2),IF(RASANTE!F123&lt;=PERALTE!#REF!,8,IF(RASANTE!F123&lt;=PERALTE!#REF!,(10/(PERALTE!#REF!-PERALTE!#REF!)*(RASANTE!F123-PERALTE!#REF!)-2))))),IF(AND(AH!#REF!="Izquierda",RASANTE!F123&lt;=PERALTE!$AB$26),IF(RASANTE!F123&lt;=PERALTE!$S$26,-2,IF(RASANTE!F123&lt;=PERALTE!$U$26,(-6/(PERALTE!$U$26-PERALTE!$S$26)*(RASANTE!F123-PERALTE!$S$26)-2),IF(RASANTE!F123&lt;=PERALTE!$X$26,-8,IF(RASANTE!F123&lt;=PERALTE!$Z$26,(-6/(PERALTE!$X$26-PERALTE!$Z$26)*(RASANTE!F123-PERALTE!$Z$26)-2),IF(RASANTE!F123&lt;=PERALTE!$AB$26,-2))))),IF(AND(AH!#REF!="Derecha",RASANTE!F123&lt;=PERALTE!$AB$26),IF(RASANTE!F123&lt;=PERALTE!$Q$26,-2,IF(RASANTE!F123&lt;=PERALTE!$U$26,(10/(PERALTE!$U$26-PERALTE!$Q$26)*(RASANTE!F123-PERALTE!$Q$26)-2),IF(RASANTE!F123&lt;=PERALTE!$X$26,8,IF(RASANTE!F123&lt;=PERALTE!$AB$26,(10/(PERALTE!$X$26-PERALTE!$AB$26)*(RASANTE!F123-PERALTE!$AB$26)-2))))),IF(F123&lt;=PERALTE!#REF!,-2,"Abscisa fuera de la vía")))))))))))))))))))))</f>
        <v>-2</v>
      </c>
      <c r="I123" s="28">
        <f>+IF(AND(AH!$H$8="Derecha",RASANTE!F123&lt;=PERALTE!$AB$6),IF(RASANTE!F123&lt;=PERALTE!$S$6,-2,IF(RASANTE!F123&lt;=PERALTE!$U$6,(-6/(PERALTE!$U$6-PERALTE!$S$6)*(RASANTE!F123-PERALTE!$S$6)-2),IF(RASANTE!F123&lt;=PERALTE!$X$6,-8,IF(RASANTE!F123&lt;=PERALTE!$Z$6,(-6/(PERALTE!$X$6-PERALTE!$Z$6)*(RASANTE!F123-PERALTE!$Z$6)-2),IF(RASANTE!F123&lt;=PERALTE!$AB$6,-2))))),IF(AND(AH!$H$8="Izquierda",RASANTE!F123&lt;=PERALTE!$AB$6),IF(RASANTE!F123&lt;=PERALTE!$Q$6,-2,IF(RASANTE!F123&lt;=PERALTE!$U$6,(10/(PERALTE!$U$6-PERALTE!$Q$6)*(RASANTE!F123-PERALTE!$Q$6)-2),IF(RASANTE!F123&lt;=PERALTE!$X$6,8,IF(RASANTE!F123&lt;=PERALTE!$AB$6,(10/(PERALTE!$X$6-PERALTE!$AB$6)*(RASANTE!F123-PERALTE!$AB$6)-2))))),IF(AND(AH!$H$10="Derecha",RASANTE!F123&lt;=PERALTE!$AB$8),IF(RASANTE!F123&lt;=PERALTE!$S$8,-2,IF(RASANTE!F123&lt;=PERALTE!$U$8,(-6/(PERALTE!$U$8-PERALTE!$S$8)*(RASANTE!F123-PERALTE!$S$8)-2),IF(RASANTE!F123&lt;=PERALTE!$X$8,-8,IF(RASANTE!F123&lt;=PERALTE!$Z$8,(-6/(PERALTE!$X$8-PERALTE!$Z$8)*(RASANTE!F123-PERALTE!$Z$8)-2),IF(RASANTE!F123&lt;=PERALTE!$AB$8,-2))))),IF(AND(AH!$H$10="Izquierda",RASANTE!F123&lt;=PERALTE!$AB$8),IF(RASANTE!F123&lt;=PERALTE!$Q$8,-2,IF(RASANTE!F123&lt;=PERALTE!$U$8,(10/(PERALTE!$U$8-PERALTE!$Q$8)*(RASANTE!F123-PERALTE!$Q$8)-2),IF(RASANTE!F123&lt;=PERALTE!$X$8,8,IF(RASANTE!F123&lt;=PERALTE!$AB$8,(10/(PERALTE!$X$8-PERALTE!$AB$8)*(RASANTE!F123-PERALTE!$AB$8)-2))))),IF(AND(AH!$H$12="Derecha",RASANTE!F123&lt;=PERALTE!$AB$10),IF(RASANTE!F123&lt;=PERALTE!$S$10,-2,IF(RASANTE!F123&lt;=PERALTE!$U$10,(-6/(PERALTE!$U$10-PERALTE!$S$10)*(RASANTE!F123-PERALTE!$S$10)-2),IF(RASANTE!F123&lt;=PERALTE!$X$10,-8,IF(RASANTE!F123&lt;=PERALTE!$Z$10,(-6/(PERALTE!$X$10-PERALTE!$Z$10)*(RASANTE!F123-PERALTE!$Z$10)-2),IF(RASANTE!F123&lt;=PERALTE!$AB$10,-2))))),IF(AND(AH!$H$12="Izquierda",RASANTE!F123&lt;=PERALTE!$AB$10),IF(RASANTE!F123&lt;=PERALTE!$Q$10,-2,IF(RASANTE!F123&lt;=PERALTE!$U$10,(10/(PERALTE!$U$10-PERALTE!$Q$10)*(RASANTE!F123-PERALTE!$Q$10)-2),IF(RASANTE!F123&lt;=PERALTE!$X$10,8,IF(RASANTE!F123&lt;=PERALTE!$AB$10,(10/(PERALTE!$X$10-PERALTE!$AB$10)*(RASANTE!F123-PERALTE!$AB$10)-2))))),IF(AND(AH!$H$14="Derecha",RASANTE!F123&lt;=PERALTE!$AB$12),IF(RASANTE!F123&lt;=PERALTE!$S$12,-2,IF(RASANTE!F123&lt;=PERALTE!$U$12,(-6/(PERALTE!$U$12-PERALTE!$S$12)*(RASANTE!F123-PERALTE!$S$12)-2),IF(RASANTE!F123&lt;=PERALTE!$X$12,-8,IF(RASANTE!F123&lt;=PERALTE!$Z$12,(-6/(PERALTE!$X$12-PERALTE!$Z$12)*(RASANTE!F123-PERALTE!$Z$12)-2),IF(RASANTE!F123&lt;=PERALTE!$AB$12,-2))))),IF(AND(AH!$H$14="Izquierda",RASANTE!F123&lt;=PERALTE!$AB$12),IF(RASANTE!F123&lt;=PERALTE!$Q$12,-2,IF(RASANTE!F123&lt;=PERALTE!$U$12,(10/(PERALTE!$U$12-PERALTE!$Q$12)*(RASANTE!F123-PERALTE!$Q$12)-2),IF(RASANTE!F123&lt;=PERALTE!$X$12,8,IF(RASANTE!F123&lt;=PERALTE!$AB$12,(10/(PERALTE!$X$12-PERALTE!$AB$12)*(RASANTE!F123-PERALTE!$AB$12)-2))))),IF(AND(AH!$H$16="Derecha",RASANTE!F123&lt;=PERALTE!$AB$14),IF(RASANTE!F123&lt;=PERALTE!$S$14,-2,IF(RASANTE!F123&lt;=PERALTE!$U$14,(-6/(PERALTE!$U$14-PERALTE!$S$14)*(RASANTE!F123-PERALTE!$S$14)-2),IF(RASANTE!F123&lt;=PERALTE!$X$14,-8,IF(RASANTE!F123&lt;=PERALTE!$Z$14,(-6/(PERALTE!$X$14-PERALTE!$Z$14)*(RASANTE!F123-PERALTE!$Z$14)-2),IF(RASANTE!F123&lt;=PERALTE!$AB$14,-2))))),IF(AND(AH!$H$16="Izquierda",RASANTE!F123&lt;=PERALTE!$AB$14),IF(RASANTE!F123&lt;=PERALTE!$Q$14,-2,IF(RASANTE!F123&lt;=PERALTE!$U$14,(10/(PERALTE!$U$14-PERALTE!$Q$14)*(RASANTE!F123-PERALTE!$Q$14)-2),IF(RASANTE!F123&lt;=PERALTE!$X$14,8,IF(RASANTE!F123&lt;=PERALTE!$AB$14,(10/(PERALTE!$X$14-PERALTE!$AB$14)*(RASANTE!F123-PERALTE!$AB$14)-2))))),IF(AND(AH!$H$18="Derecha",RASANTE!F123&lt;=PERALTE!$AB$16),IF(RASANTE!F123&lt;=PERALTE!$S$16,-2,IF(RASANTE!F123&lt;=PERALTE!$U$16,(-6/(PERALTE!$U$16-PERALTE!$S$16)*(RASANTE!F123-PERALTE!$S$16)-2),IF(RASANTE!F123&lt;=PERALTE!$X$16,-8,IF(RASANTE!F123&lt;=PERALTE!$Z$16,(-6/(PERALTE!$X$16-PERALTE!$Z$16)*(RASANTE!F123-PERALTE!$Z$16)-2),IF(RASANTE!F123&lt;=PERALTE!$AB$16,-2))))),IF(AND(AH!$H$18="Izquierda",RASANTE!F123&lt;=PERALTE!$AB$16),IF(RASANTE!F123&lt;=PERALTE!$Q$16,-2,IF(RASANTE!F123&lt;=PERALTE!$U$16,(10/(PERALTE!$U$16-PERALTE!$Q$16)*(RASANTE!F123-PERALTE!$Q$16)-2),IF(RASANTE!F123&lt;=PERALTE!$X$16,8,IF(RASANTE!F123&lt;=PERALTE!$AB$16,(10/(PERALTE!$X$16-PERALTE!$AB$16)*(RASANTE!F123-PERALTE!$AB$16)-2))))),IF(AND(AH!$H$20="Derecha",RASANTE!F123&lt;=PERALTE!$AB$18),IF(RASANTE!F123&lt;=PERALTE!$S$18,-2,IF(RASANTE!F123&lt;=PERALTE!$U$18,(-6/(PERALTE!$U$18-PERALTE!$S$18)*(RASANTE!F123-PERALTE!$S$18)-2),IF(RASANTE!F123&lt;=PERALTE!$X$18,-8,IF(RASANTE!F123&lt;=PERALTE!$Z$18,(-6/(PERALTE!$X$18-PERALTE!$Z$18)*(RASANTE!F123-PERALTE!$Z$18)-2),IF(RASANTE!F123&lt;=PERALTE!$AB$18,-2))))),IF(AND(AH!$H$20="Izquierda",RASANTE!F123&lt;=PERALTE!$AB$18),IF(RASANTE!F123&lt;=PERALTE!$Q$18,-2,IF(RASANTE!F123&lt;=PERALTE!$U$18,(10/(PERALTE!$U$18-PERALTE!$Q$18)*(RASANTE!F123-PERALTE!$Q$18)-2),IF(RASANTE!F123&lt;=PERALTE!$X$18,8,IF(RASANTE!F123&lt;=PERALTE!$AB$18,(10/(PERALTE!$X$18-PERALTE!$AB$18)*(RASANTE!F123-PERALTE!$AB$18)-2))))),IF(AND(AH!$H$24="Derecha",RASANTE!F123&lt;=PERALTE!$AB$22),IF(RASANTE!F123&lt;=PERALTE!$S$22,-2,IF(RASANTE!F123&lt;=PERALTE!$U$22,(-6/(PERALTE!$U$22-PERALTE!$S$22)*(RASANTE!F123-PERALTE!$S$22)-2),IF(RASANTE!F123&lt;=PERALTE!$X$22,-8,IF(RASANTE!F123&lt;=PERALTE!$Z$22,(-6/(PERALTE!$X$22-PERALTE!$Z$22)*(RASANTE!F123-PERALTE!$Z$22)-2),IF(RASANTE!F123&lt;=PERALTE!$AB$22,-2))))),IF(AND(AH!$H$24="Izquierda",RASANTE!F123&lt;=PERALTE!$AB$22),IF(RASANTE!F123&lt;=PERALTE!$Q$22,-2,IF(RASANTE!F123&lt;=PERALTE!$U$22,(10/(PERALTE!$U$22-PERALTE!$Q$22)*(RASANTE!F123-PERALTE!$Q$22)-2),IF(RASANTE!F123&lt;=PERALTE!$X$22,8,IF(RASANTE!F123&lt;=PERALTE!$AB$22,(10/(PERALTE!$X$22-PERALTE!$AB$22)*(RASANTE!F123-PERALTE!$AB$22)-2))))),IF(AND(AH!#REF!="Derecha",RASANTE!F123&lt;=PERALTE!#REF!),IF(RASANTE!F123&lt;=PERALTE!#REF!,-2,IF(RASANTE!F123&lt;=PERALTE!#REF!,(-6/(PERALTE!#REF!-PERALTE!#REF!)*(RASANTE!F123-PERALTE!#REF!)-2),IF(RASANTE!F123&lt;=PERALTE!#REF!,-8,IF(RASANTE!F123&lt;=PERALTE!#REF!,(-6/(PERALTE!#REF!-PERALTE!#REF!)*(RASANTE!F123-PERALTE!#REF!)-2),IF(RASANTE!F123&lt;=PERALTE!#REF!,-2))))),IF(AND(AH!#REF!="Izquierda",RASANTE!F123&lt;=PERALTE!#REF!),IF(RASANTE!F123&lt;=PERALTE!#REF!,-2,IF(RASANTE!F123&lt;=PERALTE!#REF!,(10/(PERALTE!#REF!-PERALTE!#REF!)*(RASANTE!F123-PERALTE!#REF!)-2),IF(RASANTE!F123&lt;=PERALTE!#REF!,8,IF(RASANTE!F123&lt;=PERALTE!#REF!,(10/(PERALTE!#REF!-PERALTE!#REF!)*(RASANTE!F123-PERALTE!#REF!)-2))))),IF(AND(AH!#REF!="Derecha",RASANTE!F123&lt;=PERALTE!$AB$26),IF(RASANTE!F123&lt;=PERALTE!$S$26,-2,IF(RASANTE!F123&lt;=PERALTE!$U$26,(-6/(PERALTE!$U$26-PERALTE!$S$26)*(RASANTE!F123-PERALTE!$S$26)-2),IF(RASANTE!F123&lt;=PERALTE!$X$26,-8,IF(RASANTE!F123&lt;=PERALTE!$Z$26,(-6/(PERALTE!$X$26-PERALTE!$Z$26)*(RASANTE!F123-PERALTE!$Z$26)-2),IF(RASANTE!F123&lt;=PERALTE!$AB$26,-2))))),IF(AND(AH!#REF!="Izquierda",RASANTE!F123&lt;=PERALTE!$AB$26),IF(RASANTE!F123&lt;=PERALTE!$Q$26,-2,IF(RASANTE!F123&lt;=PERALTE!$U$26,(10/(PERALTE!$U$26-PERALTE!$Q$26)*(RASANTE!F123-PERALTE!$Q$26)-2),IF(RASANTE!F123&lt;=PERALTE!$X$26,8,IF(RASANTE!F123&lt;=PERALTE!$AB$26,(10/(PERALTE!$X$26-PERALTE!$AB$26)*(RASANTE!F123-PERALTE!$AB$26)-2))))),IF(F123&lt;=PERALTE!#REF!,-2,"Abscisa fuera de la vía")))))))))))))))))))))</f>
        <v>-2</v>
      </c>
      <c r="J123" s="28">
        <f t="shared" si="4"/>
        <v>1628.7299412908526</v>
      </c>
      <c r="K123" s="28">
        <f>+IF(AND(AV!$S$6&lt;F220,F220&lt;=AV!$T$6),AV!$P$6*((AV!$S$6-RASANTE!F220)/(AV!$N$6))^2,IF(AND(AV!$T$6&lt;RASANTE!F220,F220&lt;AV!$U$6),AV!$P$6*((AV!$U$6-RASANTE!F220)/(AV!$O$6))^2,IF(AND(AV!$S$8&lt;F220,F220&lt;=AV!$T$8),AV!$P$8*((AV!$S$8-RASANTE!F220)/(AV!$N$8))^2,IF(AND(AV!$T$8&lt;RASANTE!F220,F220&lt;AV!$U$8),AV!$P$8*((AV!$U$8-RASANTE!F220)/(AV!$O$8))^2,IF(AND(AV!$S$10&lt;F220,F220&lt;=AV!$T$10),AV!$P$10*((AV!$S$10-RASANTE!F220)/(AV!$N$10))^2,IF(AND(AV!$T$10&lt;RASANTE!F220,F220&lt;AV!$U$10),AV!$P$10*((AV!$U$10-RASANTE!F220)/(AV!$O$10))^2,IF(AND(AV!$S$12&lt;F220,F220&lt;=AV!$T$12),AV!$P$12*((AV!$S$12-RASANTE!F220)/(AV!$N$12))^2,IF(AND(AV!$T$12&lt;RASANTE!F220,F220&lt;AV!$U$12),AV!$P$12*((AV!$U$12-RASANTE!F220)/(AV!$O$12))^2,IF(AND(AV!$S$14&lt;F220,F220&lt;=AV!$T$14),AV!$P$14*((AV!$S$14-RASANTE!F220)/(AV!$N$14))^2,IF(AND(AV!$T$14&lt;RASANTE!F220,F220&lt;AV!$U$14),AV!$P$14*((AV!$U$14-RASANTE!F220)/(AV!$O$14))^2,IF(AND(AV!$S$16&lt;F220,F220&lt;=AV!$T$16),AV!$P$16*((AV!$S$16-RASANTE!F220)/(AV!$N$16))^2,IF(AND(AV!$T$16&lt;RASANTE!F220,F220&lt;AV!$U$16),AV!$P$16*((AV!$U$16-RASANTE!F220)/(AV!$O$16))^2,IF(AND(AV!$S$18&lt;F220,F220&lt;=AV!$T$18),AV!$P$18*((AV!$S$18-RASANTE!F220)/(AV!$N$18))^2,IF(AND(AV!$T$18&lt;RASANTE!F220,F220&lt;AV!$U$18),AV!$P$18*((AV!$U$18-RASANTE!F220)/(AV!$O$18))^2,IF(AND(AV!$S$20&lt;F220,F220&lt;=AV!$T$20),AV!$P$20*((AV!$S$20-RASANTE!F220)/(AV!$N$20))^2,IF(AND(AV!$T$20&lt;RASANTE!F220,F220&lt;AV!$U$20),AV!$P$20*((AV!$U$20-RASANTE!F220)/(AV!$O$20))^2,IF(AND(AV!$S$22&lt;F220,F220&lt;=AV!$T$22),AV!$P$22*((AV!$S$22-RASANTE!F220)/(AV!$N$22))^2,IF(AND(AV!$T$22&lt;RASANTE!F220,F220&lt;AV!$U$22),AV!$P$22*((AV!$U$22-RASANTE!F220)/(AV!$O$22))^2,IF(AND(AV!$S$24&lt;F220,F220&lt;=AV!$T$24),AV!$P$24*((AV!$S$24-RASANTE!F220)/(AV!$N$24))^2,IF(AND(AV!$T$24&lt;RASANTE!F220,F220&lt;AV!$U$24),AV!$P$24*((AV!$U$24-RASANTE!F220)/(AV!$O$24))^2,0))))))))))))))))))))</f>
        <v>0</v>
      </c>
      <c r="L123" s="28">
        <f>+M123+H123%*PERALTE!$C$32</f>
        <v>1628.6599412908527</v>
      </c>
      <c r="M123" s="28">
        <f t="shared" si="5"/>
        <v>1628.7299412908526</v>
      </c>
      <c r="N123" s="28">
        <f>+M123+I123%*PERALTE!$C$32</f>
        <v>1628.6599412908527</v>
      </c>
      <c r="O123" s="92"/>
      <c r="P123" s="84"/>
      <c r="Q123" s="84"/>
      <c r="R123" s="84"/>
      <c r="S123" s="84"/>
      <c r="T123" s="84"/>
      <c r="U123" s="84"/>
      <c r="V123" s="84"/>
      <c r="W123" s="84"/>
      <c r="X123" s="84"/>
      <c r="Y123" s="84"/>
    </row>
    <row r="124" spans="1:25" ht="15.75" customHeight="1" x14ac:dyDescent="0.2">
      <c r="A124" s="130" t="s">
        <v>206</v>
      </c>
      <c r="B124" s="176"/>
      <c r="C124" s="177"/>
      <c r="D124" s="178"/>
      <c r="E124" s="131" t="s">
        <v>207</v>
      </c>
      <c r="F124" s="34">
        <f>AV!S10</f>
        <v>768.88199999999995</v>
      </c>
      <c r="G124" s="88">
        <f>IF(F124&lt;=AV!$T$6,AV!$C$5,IF(RASANTE!F124&lt;=AV!$T$8,AV!$C$7,IF(RASANTE!F124&lt;=AV!$T$10,AV!$C$9,IF(RASANTE!F124&lt;=AV!$T$12,AV!#REF!,IF(RASANTE!F124&lt;=AV!$T$14,AV!$C$11,IF(RASANTE!F124&lt;=AV!$T$16,AV!$C$13, IF(RASANTE!F124&lt;=AV!$T$18,AV!$C$15,IF(RASANTE!F124&lt;=AV!$T$20,AV!$C$19,IF(RASANTE!F124&lt;=AV!$T$22,AV!$C$21,IF(RASANTE!F124&lt;=AV!$T$24,AV!$C$23,AV!$C$25))))))))))</f>
        <v>-3</v>
      </c>
      <c r="H124" s="28">
        <f>+IF(AND(AH!$H$8="Izquierda",RASANTE!F124&lt;=PERALTE!$AB$6),IF(RASANTE!F124&lt;=PERALTE!$S$6,-2,IF(RASANTE!F124&lt;=PERALTE!$U$6,(-6/(PERALTE!$U$6-PERALTE!$S$6)*(RASANTE!F124-PERALTE!$S$6)-2),IF(RASANTE!F124&lt;=PERALTE!$X$6,-8,IF(RASANTE!F124&lt;=PERALTE!$Z$6,(-6/(PERALTE!$X$6-PERALTE!$Z$6)*(RASANTE!F124-PERALTE!$Z$6)-2),IF(RASANTE!F124&lt;=PERALTE!$AB$6,-2))))),IF(AND(AH!$H$8="Derecha",RASANTE!F124&lt;=PERALTE!$AB$6),IF(RASANTE!F124&lt;=PERALTE!$Q$6,-2,IF(RASANTE!F124&lt;=PERALTE!$U$6,(10/(PERALTE!$U$6-PERALTE!$Q$6)*(RASANTE!F124-PERALTE!$Q$6)-2),IF(RASANTE!F124&lt;=PERALTE!$X$6,8,IF(RASANTE!F124&lt;=PERALTE!$AB$6,(10/(PERALTE!$X$6-PERALTE!$AB$6)*(RASANTE!F124-PERALTE!$AB$6)-2))))),IF(AND(AH!$H$10="Izquierda",RASANTE!F124&lt;=PERALTE!$AB$8),IF(RASANTE!F124&lt;=PERALTE!$S$8,-2,IF(RASANTE!F124&lt;=PERALTE!$U$8,(-6/(PERALTE!$U$8-PERALTE!$S$8)*(RASANTE!F124-PERALTE!$S$8)-2),IF(RASANTE!F124&lt;=PERALTE!$X$8,-8,IF(RASANTE!F124&lt;=PERALTE!$Z$8,(-6/(PERALTE!$X$8-PERALTE!$Z$8)*(RASANTE!F124-PERALTE!$Z$8)-2),IF(RASANTE!F124&lt;=PERALTE!$AB$8,-2))))),IF(AND(AH!$H$10="Derecha",RASANTE!F124&lt;=PERALTE!$AB$8),IF(RASANTE!F124&lt;=PERALTE!$Q$8,-2,IF(RASANTE!F124&lt;=PERALTE!$U$8,(10/(PERALTE!$U$8-PERALTE!$Q$8)*(RASANTE!F124-PERALTE!$Q$8)-2),IF(RASANTE!F124&lt;=PERALTE!$X$8,8,IF(RASANTE!F124&lt;=PERALTE!$AB$8,(10/(PERALTE!$X$8-PERALTE!$AB$8)*(RASANTE!F124-PERALTE!$AB$8)-2))))),IF(AND(AH!$H$12="Izquierda",RASANTE!F124&lt;=PERALTE!$AB$10),IF(RASANTE!F124&lt;=PERALTE!$S$10,-2,IF(RASANTE!F124&lt;=PERALTE!$U$10,(-6/(PERALTE!$U$10-PERALTE!$S$10)*(RASANTE!F124-PERALTE!$S$10)-2),IF(RASANTE!F124&lt;=PERALTE!$X$10,-8,IF(RASANTE!F124&lt;=PERALTE!$Z$10,(-6/(PERALTE!$X$10-PERALTE!$Z$10)*(RASANTE!F124-PERALTE!$Z$10)-2),IF(RASANTE!F124&lt;=PERALTE!$AB$10,-2))))),IF(AND(AH!$H$12="Derecha",RASANTE!F124&lt;=PERALTE!$AB$10),IF(RASANTE!F124&lt;=PERALTE!$Q$10,-2,IF(RASANTE!F124&lt;=PERALTE!$U$10,(10/(PERALTE!$U$10-PERALTE!$Q$10)*(RASANTE!F124-PERALTE!$Q$10)-2),IF(RASANTE!F124&lt;=PERALTE!$X$10,8,IF(RASANTE!F124&lt;=PERALTE!$AB$10,(10/(PERALTE!$X$10-PERALTE!$AB$10)*(RASANTE!F124-PERALTE!$AB$10)-2))))),IF(AND(AH!$H$14="Izquierda",RASANTE!F124&lt;=PERALTE!$AB$12),IF(RASANTE!F124&lt;=PERALTE!$S$12,-2,IF(RASANTE!F124&lt;=PERALTE!$U$12,(-6/(PERALTE!$U$12-PERALTE!$S$12)*(RASANTE!F124-PERALTE!$S$12)-2),IF(RASANTE!F124&lt;=PERALTE!$X$12,-8,IF(RASANTE!F124&lt;=PERALTE!$Z$12,(-6/(PERALTE!$X$12-PERALTE!$Z$12)*(RASANTE!F124-PERALTE!$Z$12)-2),IF(RASANTE!F124&lt;=PERALTE!$AB$12,-2))))),IF(AND(AH!$H$14="Derecha",RASANTE!F124&lt;=PERALTE!$AB$12),IF(RASANTE!F124&lt;=PERALTE!$Q$12,-2,IF(RASANTE!F124&lt;=PERALTE!$U$12,(10/(PERALTE!$U$12-PERALTE!$Q$12)*(RASANTE!F124-PERALTE!$Q$12)-2),IF(RASANTE!F124&lt;=PERALTE!$X$12,8,IF(RASANTE!F124&lt;=PERALTE!$AB$12,(10/(PERALTE!$X$12-PERALTE!$AB$12)*(RASANTE!F124-PERALTE!$AB$12)-2))))),IF(AND(AH!$H$16="Izquierda",RASANTE!F124&lt;=PERALTE!$AB$14),IF(RASANTE!F124&lt;=PERALTE!$S$14,-2,IF(RASANTE!F124&lt;=PERALTE!$U$14,(-6/(PERALTE!$U$14-PERALTE!$S$14)*(RASANTE!F124-PERALTE!$S$14)-2),IF(RASANTE!F124&lt;=PERALTE!$X$14,-8,IF(RASANTE!F124&lt;=PERALTE!$Z$14,(-6/(PERALTE!$X$14-PERALTE!$Z$14)*(RASANTE!F124-PERALTE!$Z$14)-2),IF(RASANTE!F124&lt;=PERALTE!$AB$14,-2))))),IF(AND(AH!$H$16="Derecha",RASANTE!F124&lt;=PERALTE!$AB$14),IF(RASANTE!F124&lt;=PERALTE!$Q$14,-2,IF(RASANTE!F124&lt;=PERALTE!$U$14,(10/(PERALTE!$U$14-PERALTE!$Q$14)*(RASANTE!F124-PERALTE!$Q$14)-2),IF(RASANTE!F124&lt;=PERALTE!$X$14,8,IF(RASANTE!F124&lt;=PERALTE!$AB$14,(10/(PERALTE!$X$14-PERALTE!$AB$14)*(RASANTE!F124-PERALTE!$AB$14)-2))))),IF(AND(AH!$H$18="Izquierda",RASANTE!F124&lt;=PERALTE!$AB$16),IF(RASANTE!F124&lt;=PERALTE!$S$16,-2,IF(RASANTE!F124&lt;=PERALTE!$U$16,(-6/(PERALTE!$U$16-PERALTE!$S$16)*(RASANTE!F124-PERALTE!$S$16)-2),IF(RASANTE!F124&lt;=PERALTE!$X$16,-8,IF(RASANTE!F124&lt;=PERALTE!$Z$16,(-6/(PERALTE!$X$16-PERALTE!$Z$16)*(RASANTE!F124-PERALTE!$Z$16)-2),IF(RASANTE!F124&lt;=PERALTE!$AB$16,-2))))),IF(AND(AH!$H$18="Derecha",RASANTE!F124&lt;=PERALTE!$AB$16),IF(RASANTE!F124&lt;=PERALTE!$Q$16,-2,IF(RASANTE!F124&lt;=PERALTE!$U$16,(10/(PERALTE!$U$16-PERALTE!$Q$16)*(RASANTE!F124-PERALTE!$Q$16)-2),IF(RASANTE!F124&lt;=PERALTE!$X$16,8,IF(RASANTE!F124&lt;=PERALTE!$AB$16,(10/(PERALTE!$X$16-PERALTE!$AB$16)*(RASANTE!F124-PERALTE!$AB$16)-2))))),IF(AND(AH!$H$20="Izquierda",RASANTE!F124&lt;=PERALTE!$AB$18),IF(RASANTE!F124&lt;=PERALTE!$S$18,-2,IF(RASANTE!F124&lt;=PERALTE!$U$18,(-6/(PERALTE!$U$18-PERALTE!$S$18)*(RASANTE!F124-PERALTE!$S$18)-2),IF(RASANTE!F124&lt;=PERALTE!$X$18,-8,IF(RASANTE!F124&lt;=PERALTE!$Z$18,(-6/(PERALTE!$X$18-PERALTE!$Z$18)*(RASANTE!F124-PERALTE!$Z$18)-2),IF(RASANTE!F124&lt;=PERALTE!$AB$18,-2))))),IF(AND(AH!$H$20="Derecha",RASANTE!F124&lt;=PERALTE!$AB$18),IF(RASANTE!F124&lt;=PERALTE!$Q$18,-2,IF(RASANTE!F124&lt;=PERALTE!$U$18,(10/(PERALTE!$U$18-PERALTE!$Q$18)*(RASANTE!F124-PERALTE!$Q$18)-2),IF(RASANTE!F124&lt;=PERALTE!$X$18,8,IF(RASANTE!F124&lt;=PERALTE!$AB$18,(10/(PERALTE!$X$18-PERALTE!$AB$18)*(RASANTE!F124-PERALTE!$AB$18)-2))))),IF(AND(AH!$H$24="Izquierda",RASANTE!F124&lt;=PERALTE!$AB$22),IF(RASANTE!F124&lt;=PERALTE!$S$22,-2,IF(RASANTE!F124&lt;=PERALTE!$U$22,(-6/(PERALTE!$U$22-PERALTE!$S$22)*(RASANTE!F124-PERALTE!$S$22)-2),IF(RASANTE!F124&lt;=PERALTE!$X$22,-8,IF(RASANTE!F124&lt;=PERALTE!$Z$22,(-6/(PERALTE!$X$22-PERALTE!$Z$22)*(RASANTE!F124-PERALTE!$Z$22)-2),IF(RASANTE!F124&lt;=PERALTE!$AB$22,-2))))),IF(AND(AH!$H$24="Derecha",RASANTE!F124&lt;=PERALTE!$AB$22),IF(RASANTE!F124&lt;=PERALTE!$Q$22,-2,IF(RASANTE!F124&lt;=PERALTE!$U$22,(10/(PERALTE!$U$22-PERALTE!$Q$22)*(RASANTE!F124-PERALTE!$Q$22)-2),IF(RASANTE!F124&lt;=PERALTE!$X$22,8,IF(RASANTE!F124&lt;=PERALTE!$AB$22,(10/(PERALTE!$X$22-PERALTE!$AB$22)*(RASANTE!F124-PERALTE!$AB$22)-2))))),IF(AND(AH!#REF!="Izquierda",RASANTE!F124&lt;=PERALTE!#REF!),IF(RASANTE!F124&lt;=PERALTE!#REF!,-2,IF(RASANTE!F124&lt;=PERALTE!#REF!,(-6/(PERALTE!#REF!-PERALTE!#REF!)*(RASANTE!F124-PERALTE!#REF!)-2),IF(RASANTE!F124&lt;=PERALTE!#REF!,-8,IF(RASANTE!F124&lt;=PERALTE!#REF!,(-6/(PERALTE!#REF!-PERALTE!#REF!)*(RASANTE!F124-PERALTE!#REF!)-2),IF(RASANTE!F124&lt;=PERALTE!#REF!,-2))))),IF(AND(AH!#REF!="Derecha",RASANTE!F124&lt;=PERALTE!#REF!),IF(RASANTE!F124&lt;=PERALTE!#REF!,-2,IF(RASANTE!F124&lt;=PERALTE!#REF!,(10/(PERALTE!#REF!-PERALTE!#REF!)*(RASANTE!F124-PERALTE!#REF!)-2),IF(RASANTE!F124&lt;=PERALTE!#REF!,8,IF(RASANTE!F124&lt;=PERALTE!#REF!,(10/(PERALTE!#REF!-PERALTE!#REF!)*(RASANTE!F124-PERALTE!#REF!)-2))))),IF(AND(AH!#REF!="Izquierda",RASANTE!F124&lt;=PERALTE!$AB$26),IF(RASANTE!F124&lt;=PERALTE!$S$26,-2,IF(RASANTE!F124&lt;=PERALTE!$U$26,(-6/(PERALTE!$U$26-PERALTE!$S$26)*(RASANTE!F124-PERALTE!$S$26)-2),IF(RASANTE!F124&lt;=PERALTE!$X$26,-8,IF(RASANTE!F124&lt;=PERALTE!$Z$26,(-6/(PERALTE!$X$26-PERALTE!$Z$26)*(RASANTE!F124-PERALTE!$Z$26)-2),IF(RASANTE!F124&lt;=PERALTE!$AB$26,-2))))),IF(AND(AH!#REF!="Derecha",RASANTE!F124&lt;=PERALTE!$AB$26),IF(RASANTE!F124&lt;=PERALTE!$Q$26,-2,IF(RASANTE!F124&lt;=PERALTE!$U$26,(10/(PERALTE!$U$26-PERALTE!$Q$26)*(RASANTE!F124-PERALTE!$Q$26)-2),IF(RASANTE!F124&lt;=PERALTE!$X$26,8,IF(RASANTE!F124&lt;=PERALTE!$AB$26,(10/(PERALTE!$X$26-PERALTE!$AB$26)*(RASANTE!F124-PERALTE!$AB$26)-2))))),IF(F124&lt;=PERALTE!#REF!,-2,"Abscisa fuera de la vía")))))))))))))))))))))</f>
        <v>-2</v>
      </c>
      <c r="I124" s="28">
        <f>+IF(AND(AH!$H$8="Derecha",RASANTE!F124&lt;=PERALTE!$AB$6),IF(RASANTE!F124&lt;=PERALTE!$S$6,-2,IF(RASANTE!F124&lt;=PERALTE!$U$6,(-6/(PERALTE!$U$6-PERALTE!$S$6)*(RASANTE!F124-PERALTE!$S$6)-2),IF(RASANTE!F124&lt;=PERALTE!$X$6,-8,IF(RASANTE!F124&lt;=PERALTE!$Z$6,(-6/(PERALTE!$X$6-PERALTE!$Z$6)*(RASANTE!F124-PERALTE!$Z$6)-2),IF(RASANTE!F124&lt;=PERALTE!$AB$6,-2))))),IF(AND(AH!$H$8="Izquierda",RASANTE!F124&lt;=PERALTE!$AB$6),IF(RASANTE!F124&lt;=PERALTE!$Q$6,-2,IF(RASANTE!F124&lt;=PERALTE!$U$6,(10/(PERALTE!$U$6-PERALTE!$Q$6)*(RASANTE!F124-PERALTE!$Q$6)-2),IF(RASANTE!F124&lt;=PERALTE!$X$6,8,IF(RASANTE!F124&lt;=PERALTE!$AB$6,(10/(PERALTE!$X$6-PERALTE!$AB$6)*(RASANTE!F124-PERALTE!$AB$6)-2))))),IF(AND(AH!$H$10="Derecha",RASANTE!F124&lt;=PERALTE!$AB$8),IF(RASANTE!F124&lt;=PERALTE!$S$8,-2,IF(RASANTE!F124&lt;=PERALTE!$U$8,(-6/(PERALTE!$U$8-PERALTE!$S$8)*(RASANTE!F124-PERALTE!$S$8)-2),IF(RASANTE!F124&lt;=PERALTE!$X$8,-8,IF(RASANTE!F124&lt;=PERALTE!$Z$8,(-6/(PERALTE!$X$8-PERALTE!$Z$8)*(RASANTE!F124-PERALTE!$Z$8)-2),IF(RASANTE!F124&lt;=PERALTE!$AB$8,-2))))),IF(AND(AH!$H$10="Izquierda",RASANTE!F124&lt;=PERALTE!$AB$8),IF(RASANTE!F124&lt;=PERALTE!$Q$8,-2,IF(RASANTE!F124&lt;=PERALTE!$U$8,(10/(PERALTE!$U$8-PERALTE!$Q$8)*(RASANTE!F124-PERALTE!$Q$8)-2),IF(RASANTE!F124&lt;=PERALTE!$X$8,8,IF(RASANTE!F124&lt;=PERALTE!$AB$8,(10/(PERALTE!$X$8-PERALTE!$AB$8)*(RASANTE!F124-PERALTE!$AB$8)-2))))),IF(AND(AH!$H$12="Derecha",RASANTE!F124&lt;=PERALTE!$AB$10),IF(RASANTE!F124&lt;=PERALTE!$S$10,-2,IF(RASANTE!F124&lt;=PERALTE!$U$10,(-6/(PERALTE!$U$10-PERALTE!$S$10)*(RASANTE!F124-PERALTE!$S$10)-2),IF(RASANTE!F124&lt;=PERALTE!$X$10,-8,IF(RASANTE!F124&lt;=PERALTE!$Z$10,(-6/(PERALTE!$X$10-PERALTE!$Z$10)*(RASANTE!F124-PERALTE!$Z$10)-2),IF(RASANTE!F124&lt;=PERALTE!$AB$10,-2))))),IF(AND(AH!$H$12="Izquierda",RASANTE!F124&lt;=PERALTE!$AB$10),IF(RASANTE!F124&lt;=PERALTE!$Q$10,-2,IF(RASANTE!F124&lt;=PERALTE!$U$10,(10/(PERALTE!$U$10-PERALTE!$Q$10)*(RASANTE!F124-PERALTE!$Q$10)-2),IF(RASANTE!F124&lt;=PERALTE!$X$10,8,IF(RASANTE!F124&lt;=PERALTE!$AB$10,(10/(PERALTE!$X$10-PERALTE!$AB$10)*(RASANTE!F124-PERALTE!$AB$10)-2))))),IF(AND(AH!$H$14="Derecha",RASANTE!F124&lt;=PERALTE!$AB$12),IF(RASANTE!F124&lt;=PERALTE!$S$12,-2,IF(RASANTE!F124&lt;=PERALTE!$U$12,(-6/(PERALTE!$U$12-PERALTE!$S$12)*(RASANTE!F124-PERALTE!$S$12)-2),IF(RASANTE!F124&lt;=PERALTE!$X$12,-8,IF(RASANTE!F124&lt;=PERALTE!$Z$12,(-6/(PERALTE!$X$12-PERALTE!$Z$12)*(RASANTE!F124-PERALTE!$Z$12)-2),IF(RASANTE!F124&lt;=PERALTE!$AB$12,-2))))),IF(AND(AH!$H$14="Izquierda",RASANTE!F124&lt;=PERALTE!$AB$12),IF(RASANTE!F124&lt;=PERALTE!$Q$12,-2,IF(RASANTE!F124&lt;=PERALTE!$U$12,(10/(PERALTE!$U$12-PERALTE!$Q$12)*(RASANTE!F124-PERALTE!$Q$12)-2),IF(RASANTE!F124&lt;=PERALTE!$X$12,8,IF(RASANTE!F124&lt;=PERALTE!$AB$12,(10/(PERALTE!$X$12-PERALTE!$AB$12)*(RASANTE!F124-PERALTE!$AB$12)-2))))),IF(AND(AH!$H$16="Derecha",RASANTE!F124&lt;=PERALTE!$AB$14),IF(RASANTE!F124&lt;=PERALTE!$S$14,-2,IF(RASANTE!F124&lt;=PERALTE!$U$14,(-6/(PERALTE!$U$14-PERALTE!$S$14)*(RASANTE!F124-PERALTE!$S$14)-2),IF(RASANTE!F124&lt;=PERALTE!$X$14,-8,IF(RASANTE!F124&lt;=PERALTE!$Z$14,(-6/(PERALTE!$X$14-PERALTE!$Z$14)*(RASANTE!F124-PERALTE!$Z$14)-2),IF(RASANTE!F124&lt;=PERALTE!$AB$14,-2))))),IF(AND(AH!$H$16="Izquierda",RASANTE!F124&lt;=PERALTE!$AB$14),IF(RASANTE!F124&lt;=PERALTE!$Q$14,-2,IF(RASANTE!F124&lt;=PERALTE!$U$14,(10/(PERALTE!$U$14-PERALTE!$Q$14)*(RASANTE!F124-PERALTE!$Q$14)-2),IF(RASANTE!F124&lt;=PERALTE!$X$14,8,IF(RASANTE!F124&lt;=PERALTE!$AB$14,(10/(PERALTE!$X$14-PERALTE!$AB$14)*(RASANTE!F124-PERALTE!$AB$14)-2))))),IF(AND(AH!$H$18="Derecha",RASANTE!F124&lt;=PERALTE!$AB$16),IF(RASANTE!F124&lt;=PERALTE!$S$16,-2,IF(RASANTE!F124&lt;=PERALTE!$U$16,(-6/(PERALTE!$U$16-PERALTE!$S$16)*(RASANTE!F124-PERALTE!$S$16)-2),IF(RASANTE!F124&lt;=PERALTE!$X$16,-8,IF(RASANTE!F124&lt;=PERALTE!$Z$16,(-6/(PERALTE!$X$16-PERALTE!$Z$16)*(RASANTE!F124-PERALTE!$Z$16)-2),IF(RASANTE!F124&lt;=PERALTE!$AB$16,-2))))),IF(AND(AH!$H$18="Izquierda",RASANTE!F124&lt;=PERALTE!$AB$16),IF(RASANTE!F124&lt;=PERALTE!$Q$16,-2,IF(RASANTE!F124&lt;=PERALTE!$U$16,(10/(PERALTE!$U$16-PERALTE!$Q$16)*(RASANTE!F124-PERALTE!$Q$16)-2),IF(RASANTE!F124&lt;=PERALTE!$X$16,8,IF(RASANTE!F124&lt;=PERALTE!$AB$16,(10/(PERALTE!$X$16-PERALTE!$AB$16)*(RASANTE!F124-PERALTE!$AB$16)-2))))),IF(AND(AH!$H$20="Derecha",RASANTE!F124&lt;=PERALTE!$AB$18),IF(RASANTE!F124&lt;=PERALTE!$S$18,-2,IF(RASANTE!F124&lt;=PERALTE!$U$18,(-6/(PERALTE!$U$18-PERALTE!$S$18)*(RASANTE!F124-PERALTE!$S$18)-2),IF(RASANTE!F124&lt;=PERALTE!$X$18,-8,IF(RASANTE!F124&lt;=PERALTE!$Z$18,(-6/(PERALTE!$X$18-PERALTE!$Z$18)*(RASANTE!F124-PERALTE!$Z$18)-2),IF(RASANTE!F124&lt;=PERALTE!$AB$18,-2))))),IF(AND(AH!$H$20="Izquierda",RASANTE!F124&lt;=PERALTE!$AB$18),IF(RASANTE!F124&lt;=PERALTE!$Q$18,-2,IF(RASANTE!F124&lt;=PERALTE!$U$18,(10/(PERALTE!$U$18-PERALTE!$Q$18)*(RASANTE!F124-PERALTE!$Q$18)-2),IF(RASANTE!F124&lt;=PERALTE!$X$18,8,IF(RASANTE!F124&lt;=PERALTE!$AB$18,(10/(PERALTE!$X$18-PERALTE!$AB$18)*(RASANTE!F124-PERALTE!$AB$18)-2))))),IF(AND(AH!$H$24="Derecha",RASANTE!F124&lt;=PERALTE!$AB$22),IF(RASANTE!F124&lt;=PERALTE!$S$22,-2,IF(RASANTE!F124&lt;=PERALTE!$U$22,(-6/(PERALTE!$U$22-PERALTE!$S$22)*(RASANTE!F124-PERALTE!$S$22)-2),IF(RASANTE!F124&lt;=PERALTE!$X$22,-8,IF(RASANTE!F124&lt;=PERALTE!$Z$22,(-6/(PERALTE!$X$22-PERALTE!$Z$22)*(RASANTE!F124-PERALTE!$Z$22)-2),IF(RASANTE!F124&lt;=PERALTE!$AB$22,-2))))),IF(AND(AH!$H$24="Izquierda",RASANTE!F124&lt;=PERALTE!$AB$22),IF(RASANTE!F124&lt;=PERALTE!$Q$22,-2,IF(RASANTE!F124&lt;=PERALTE!$U$22,(10/(PERALTE!$U$22-PERALTE!$Q$22)*(RASANTE!F124-PERALTE!$Q$22)-2),IF(RASANTE!F124&lt;=PERALTE!$X$22,8,IF(RASANTE!F124&lt;=PERALTE!$AB$22,(10/(PERALTE!$X$22-PERALTE!$AB$22)*(RASANTE!F124-PERALTE!$AB$22)-2))))),IF(AND(AH!#REF!="Derecha",RASANTE!F124&lt;=PERALTE!#REF!),IF(RASANTE!F124&lt;=PERALTE!#REF!,-2,IF(RASANTE!F124&lt;=PERALTE!#REF!,(-6/(PERALTE!#REF!-PERALTE!#REF!)*(RASANTE!F124-PERALTE!#REF!)-2),IF(RASANTE!F124&lt;=PERALTE!#REF!,-8,IF(RASANTE!F124&lt;=PERALTE!#REF!,(-6/(PERALTE!#REF!-PERALTE!#REF!)*(RASANTE!F124-PERALTE!#REF!)-2),IF(RASANTE!F124&lt;=PERALTE!#REF!,-2))))),IF(AND(AH!#REF!="Izquierda",RASANTE!F124&lt;=PERALTE!#REF!),IF(RASANTE!F124&lt;=PERALTE!#REF!,-2,IF(RASANTE!F124&lt;=PERALTE!#REF!,(10/(PERALTE!#REF!-PERALTE!#REF!)*(RASANTE!F124-PERALTE!#REF!)-2),IF(RASANTE!F124&lt;=PERALTE!#REF!,8,IF(RASANTE!F124&lt;=PERALTE!#REF!,(10/(PERALTE!#REF!-PERALTE!#REF!)*(RASANTE!F124-PERALTE!#REF!)-2))))),IF(AND(AH!#REF!="Derecha",RASANTE!F124&lt;=PERALTE!$AB$26),IF(RASANTE!F124&lt;=PERALTE!$S$26,-2,IF(RASANTE!F124&lt;=PERALTE!$U$26,(-6/(PERALTE!$U$26-PERALTE!$S$26)*(RASANTE!F124-PERALTE!$S$26)-2),IF(RASANTE!F124&lt;=PERALTE!$X$26,-8,IF(RASANTE!F124&lt;=PERALTE!$Z$26,(-6/(PERALTE!$X$26-PERALTE!$Z$26)*(RASANTE!F124-PERALTE!$Z$26)-2),IF(RASANTE!F124&lt;=PERALTE!$AB$26,-2))))),IF(AND(AH!#REF!="Izquierda",RASANTE!F124&lt;=PERALTE!$AB$26),IF(RASANTE!F124&lt;=PERALTE!$Q$26,-2,IF(RASANTE!F124&lt;=PERALTE!$U$26,(10/(PERALTE!$U$26-PERALTE!$Q$26)*(RASANTE!F124-PERALTE!$Q$26)-2),IF(RASANTE!F124&lt;=PERALTE!$X$26,8,IF(RASANTE!F124&lt;=PERALTE!$AB$26,(10/(PERALTE!$X$26-PERALTE!$AB$26)*(RASANTE!F124-PERALTE!$AB$26)-2))))),IF(F124&lt;=PERALTE!#REF!,-2,"Abscisa fuera de la vía")))))))))))))))))))))</f>
        <v>-1.9266572004237354</v>
      </c>
      <c r="J124" s="28">
        <f t="shared" si="4"/>
        <v>1628.7199400000013</v>
      </c>
      <c r="K124" s="28">
        <f>+IF(AND(AV!$S$6&lt;F221,F221&lt;=AV!$T$6),AV!$P$6*((AV!$S$6-RASANTE!F221)/(AV!$N$6))^2,IF(AND(AV!$T$6&lt;RASANTE!F221,F221&lt;AV!$U$6),AV!$P$6*((AV!$U$6-RASANTE!F221)/(AV!$O$6))^2,IF(AND(AV!$S$8&lt;F221,F221&lt;=AV!$T$8),AV!$P$8*((AV!$S$8-RASANTE!F221)/(AV!$N$8))^2,IF(AND(AV!$T$8&lt;RASANTE!F221,F221&lt;AV!$U$8),AV!$P$8*((AV!$U$8-RASANTE!F221)/(AV!$O$8))^2,IF(AND(AV!$S$10&lt;F221,F221&lt;=AV!$T$10),AV!$P$10*((AV!$S$10-RASANTE!F221)/(AV!$N$10))^2,IF(AND(AV!$T$10&lt;RASANTE!F221,F221&lt;AV!$U$10),AV!$P$10*((AV!$U$10-RASANTE!F221)/(AV!$O$10))^2,IF(AND(AV!$S$12&lt;F221,F221&lt;=AV!$T$12),AV!$P$12*((AV!$S$12-RASANTE!F221)/(AV!$N$12))^2,IF(AND(AV!$T$12&lt;RASANTE!F221,F221&lt;AV!$U$12),AV!$P$12*((AV!$U$12-RASANTE!F221)/(AV!$O$12))^2,IF(AND(AV!$S$14&lt;F221,F221&lt;=AV!$T$14),AV!$P$14*((AV!$S$14-RASANTE!F221)/(AV!$N$14))^2,IF(AND(AV!$T$14&lt;RASANTE!F221,F221&lt;AV!$U$14),AV!$P$14*((AV!$U$14-RASANTE!F221)/(AV!$O$14))^2,IF(AND(AV!$S$16&lt;F221,F221&lt;=AV!$T$16),AV!$P$16*((AV!$S$16-RASANTE!F221)/(AV!$N$16))^2,IF(AND(AV!$T$16&lt;RASANTE!F221,F221&lt;AV!$U$16),AV!$P$16*((AV!$U$16-RASANTE!F221)/(AV!$O$16))^2,IF(AND(AV!$S$18&lt;F221,F221&lt;=AV!$T$18),AV!$P$18*((AV!$S$18-RASANTE!F221)/(AV!$N$18))^2,IF(AND(AV!$T$18&lt;RASANTE!F221,F221&lt;AV!$U$18),AV!$P$18*((AV!$U$18-RASANTE!F221)/(AV!$O$18))^2,IF(AND(AV!$S$20&lt;F221,F221&lt;=AV!$T$20),AV!$P$20*((AV!$S$20-RASANTE!F221)/(AV!$N$20))^2,IF(AND(AV!$T$20&lt;RASANTE!F221,F221&lt;AV!$U$20),AV!$P$20*((AV!$U$20-RASANTE!F221)/(AV!$O$20))^2,IF(AND(AV!$S$22&lt;F221,F221&lt;=AV!$T$22),AV!$P$22*((AV!$S$22-RASANTE!F221)/(AV!$N$22))^2,IF(AND(AV!$T$22&lt;RASANTE!F221,F221&lt;AV!$U$22),AV!$P$22*((AV!$U$22-RASANTE!F221)/(AV!$O$22))^2,IF(AND(AV!$S$24&lt;F221,F221&lt;=AV!$T$24),AV!$P$24*((AV!$S$24-RASANTE!F221)/(AV!$N$24))^2,IF(AND(AV!$T$24&lt;RASANTE!F221,F221&lt;AV!$U$24),AV!$P$24*((AV!$U$24-RASANTE!F221)/(AV!$O$24))^2,0))))))))))))))))))))</f>
        <v>0</v>
      </c>
      <c r="L124" s="28">
        <f>+M124+H124%*PERALTE!$C$32</f>
        <v>1628.6499400000014</v>
      </c>
      <c r="M124" s="28">
        <f t="shared" si="5"/>
        <v>1628.7199400000013</v>
      </c>
      <c r="N124" s="28">
        <f>+M124+I124%*PERALTE!$C$32</f>
        <v>1628.6525069979864</v>
      </c>
      <c r="O124" s="92"/>
      <c r="P124" s="84"/>
      <c r="Q124" s="84"/>
      <c r="R124" s="84"/>
      <c r="S124" s="84"/>
      <c r="T124" s="84"/>
      <c r="U124" s="84"/>
      <c r="V124" s="84"/>
      <c r="W124" s="84"/>
      <c r="X124" s="84"/>
      <c r="Y124" s="84"/>
    </row>
    <row r="125" spans="1:25" ht="15.75" customHeight="1" x14ac:dyDescent="0.2">
      <c r="A125" s="90"/>
      <c r="B125" s="86"/>
      <c r="C125" s="86"/>
      <c r="D125" s="86"/>
      <c r="E125" s="179">
        <f>AV!M10</f>
        <v>30</v>
      </c>
      <c r="F125" s="34">
        <v>770</v>
      </c>
      <c r="G125" s="88">
        <f>IF(F125&lt;=AV!$T$6,AV!$C$5,IF(RASANTE!F125&lt;=AV!$T$8,AV!$C$7,IF(RASANTE!F125&lt;=AV!$T$10,AV!$C$9,IF(RASANTE!F125&lt;=AV!$T$12,AV!#REF!,IF(RASANTE!F125&lt;=AV!$T$14,AV!$C$11,IF(RASANTE!F125&lt;=AV!$T$16,AV!$C$13, IF(RASANTE!F125&lt;=AV!$T$18,AV!$C$15,IF(RASANTE!F125&lt;=AV!$T$20,AV!$C$19,IF(RASANTE!F125&lt;=AV!$T$22,AV!$C$21,IF(RASANTE!F125&lt;=AV!$T$24,AV!$C$23,AV!$C$25))))))))))</f>
        <v>-3</v>
      </c>
      <c r="H125" s="28">
        <f>+IF(AND(AH!$H$8="Izquierda",RASANTE!F125&lt;=PERALTE!$AB$6),IF(RASANTE!F125&lt;=PERALTE!$S$6,-2,IF(RASANTE!F125&lt;=PERALTE!$U$6,(-6/(PERALTE!$U$6-PERALTE!$S$6)*(RASANTE!F125-PERALTE!$S$6)-2),IF(RASANTE!F125&lt;=PERALTE!$X$6,-8,IF(RASANTE!F125&lt;=PERALTE!$Z$6,(-6/(PERALTE!$X$6-PERALTE!$Z$6)*(RASANTE!F125-PERALTE!$Z$6)-2),IF(RASANTE!F125&lt;=PERALTE!$AB$6,-2))))),IF(AND(AH!$H$8="Derecha",RASANTE!F125&lt;=PERALTE!$AB$6),IF(RASANTE!F125&lt;=PERALTE!$Q$6,-2,IF(RASANTE!F125&lt;=PERALTE!$U$6,(10/(PERALTE!$U$6-PERALTE!$Q$6)*(RASANTE!F125-PERALTE!$Q$6)-2),IF(RASANTE!F125&lt;=PERALTE!$X$6,8,IF(RASANTE!F125&lt;=PERALTE!$AB$6,(10/(PERALTE!$X$6-PERALTE!$AB$6)*(RASANTE!F125-PERALTE!$AB$6)-2))))),IF(AND(AH!$H$10="Izquierda",RASANTE!F125&lt;=PERALTE!$AB$8),IF(RASANTE!F125&lt;=PERALTE!$S$8,-2,IF(RASANTE!F125&lt;=PERALTE!$U$8,(-6/(PERALTE!$U$8-PERALTE!$S$8)*(RASANTE!F125-PERALTE!$S$8)-2),IF(RASANTE!F125&lt;=PERALTE!$X$8,-8,IF(RASANTE!F125&lt;=PERALTE!$Z$8,(-6/(PERALTE!$X$8-PERALTE!$Z$8)*(RASANTE!F125-PERALTE!$Z$8)-2),IF(RASANTE!F125&lt;=PERALTE!$AB$8,-2))))),IF(AND(AH!$H$10="Derecha",RASANTE!F125&lt;=PERALTE!$AB$8),IF(RASANTE!F125&lt;=PERALTE!$Q$8,-2,IF(RASANTE!F125&lt;=PERALTE!$U$8,(10/(PERALTE!$U$8-PERALTE!$Q$8)*(RASANTE!F125-PERALTE!$Q$8)-2),IF(RASANTE!F125&lt;=PERALTE!$X$8,8,IF(RASANTE!F125&lt;=PERALTE!$AB$8,(10/(PERALTE!$X$8-PERALTE!$AB$8)*(RASANTE!F125-PERALTE!$AB$8)-2))))),IF(AND(AH!$H$12="Izquierda",RASANTE!F125&lt;=PERALTE!$AB$10),IF(RASANTE!F125&lt;=PERALTE!$S$10,-2,IF(RASANTE!F125&lt;=PERALTE!$U$10,(-6/(PERALTE!$U$10-PERALTE!$S$10)*(RASANTE!F125-PERALTE!$S$10)-2),IF(RASANTE!F125&lt;=PERALTE!$X$10,-8,IF(RASANTE!F125&lt;=PERALTE!$Z$10,(-6/(PERALTE!$X$10-PERALTE!$Z$10)*(RASANTE!F125-PERALTE!$Z$10)-2),IF(RASANTE!F125&lt;=PERALTE!$AB$10,-2))))),IF(AND(AH!$H$12="Derecha",RASANTE!F125&lt;=PERALTE!$AB$10),IF(RASANTE!F125&lt;=PERALTE!$Q$10,-2,IF(RASANTE!F125&lt;=PERALTE!$U$10,(10/(PERALTE!$U$10-PERALTE!$Q$10)*(RASANTE!F125-PERALTE!$Q$10)-2),IF(RASANTE!F125&lt;=PERALTE!$X$10,8,IF(RASANTE!F125&lt;=PERALTE!$AB$10,(10/(PERALTE!$X$10-PERALTE!$AB$10)*(RASANTE!F125-PERALTE!$AB$10)-2))))),IF(AND(AH!$H$14="Izquierda",RASANTE!F125&lt;=PERALTE!$AB$12),IF(RASANTE!F125&lt;=PERALTE!$S$12,-2,IF(RASANTE!F125&lt;=PERALTE!$U$12,(-6/(PERALTE!$U$12-PERALTE!$S$12)*(RASANTE!F125-PERALTE!$S$12)-2),IF(RASANTE!F125&lt;=PERALTE!$X$12,-8,IF(RASANTE!F125&lt;=PERALTE!$Z$12,(-6/(PERALTE!$X$12-PERALTE!$Z$12)*(RASANTE!F125-PERALTE!$Z$12)-2),IF(RASANTE!F125&lt;=PERALTE!$AB$12,-2))))),IF(AND(AH!$H$14="Derecha",RASANTE!F125&lt;=PERALTE!$AB$12),IF(RASANTE!F125&lt;=PERALTE!$Q$12,-2,IF(RASANTE!F125&lt;=PERALTE!$U$12,(10/(PERALTE!$U$12-PERALTE!$Q$12)*(RASANTE!F125-PERALTE!$Q$12)-2),IF(RASANTE!F125&lt;=PERALTE!$X$12,8,IF(RASANTE!F125&lt;=PERALTE!$AB$12,(10/(PERALTE!$X$12-PERALTE!$AB$12)*(RASANTE!F125-PERALTE!$AB$12)-2))))),IF(AND(AH!$H$16="Izquierda",RASANTE!F125&lt;=PERALTE!$AB$14),IF(RASANTE!F125&lt;=PERALTE!$S$14,-2,IF(RASANTE!F125&lt;=PERALTE!$U$14,(-6/(PERALTE!$U$14-PERALTE!$S$14)*(RASANTE!F125-PERALTE!$S$14)-2),IF(RASANTE!F125&lt;=PERALTE!$X$14,-8,IF(RASANTE!F125&lt;=PERALTE!$Z$14,(-6/(PERALTE!$X$14-PERALTE!$Z$14)*(RASANTE!F125-PERALTE!$Z$14)-2),IF(RASANTE!F125&lt;=PERALTE!$AB$14,-2))))),IF(AND(AH!$H$16="Derecha",RASANTE!F125&lt;=PERALTE!$AB$14),IF(RASANTE!F125&lt;=PERALTE!$Q$14,-2,IF(RASANTE!F125&lt;=PERALTE!$U$14,(10/(PERALTE!$U$14-PERALTE!$Q$14)*(RASANTE!F125-PERALTE!$Q$14)-2),IF(RASANTE!F125&lt;=PERALTE!$X$14,8,IF(RASANTE!F125&lt;=PERALTE!$AB$14,(10/(PERALTE!$X$14-PERALTE!$AB$14)*(RASANTE!F125-PERALTE!$AB$14)-2))))),IF(AND(AH!$H$18="Izquierda",RASANTE!F125&lt;=PERALTE!$AB$16),IF(RASANTE!F125&lt;=PERALTE!$S$16,-2,IF(RASANTE!F125&lt;=PERALTE!$U$16,(-6/(PERALTE!$U$16-PERALTE!$S$16)*(RASANTE!F125-PERALTE!$S$16)-2),IF(RASANTE!F125&lt;=PERALTE!$X$16,-8,IF(RASANTE!F125&lt;=PERALTE!$Z$16,(-6/(PERALTE!$X$16-PERALTE!$Z$16)*(RASANTE!F125-PERALTE!$Z$16)-2),IF(RASANTE!F125&lt;=PERALTE!$AB$16,-2))))),IF(AND(AH!$H$18="Derecha",RASANTE!F125&lt;=PERALTE!$AB$16),IF(RASANTE!F125&lt;=PERALTE!$Q$16,-2,IF(RASANTE!F125&lt;=PERALTE!$U$16,(10/(PERALTE!$U$16-PERALTE!$Q$16)*(RASANTE!F125-PERALTE!$Q$16)-2),IF(RASANTE!F125&lt;=PERALTE!$X$16,8,IF(RASANTE!F125&lt;=PERALTE!$AB$16,(10/(PERALTE!$X$16-PERALTE!$AB$16)*(RASANTE!F125-PERALTE!$AB$16)-2))))),IF(AND(AH!$H$20="Izquierda",RASANTE!F125&lt;=PERALTE!$AB$18),IF(RASANTE!F125&lt;=PERALTE!$S$18,-2,IF(RASANTE!F125&lt;=PERALTE!$U$18,(-6/(PERALTE!$U$18-PERALTE!$S$18)*(RASANTE!F125-PERALTE!$S$18)-2),IF(RASANTE!F125&lt;=PERALTE!$X$18,-8,IF(RASANTE!F125&lt;=PERALTE!$Z$18,(-6/(PERALTE!$X$18-PERALTE!$Z$18)*(RASANTE!F125-PERALTE!$Z$18)-2),IF(RASANTE!F125&lt;=PERALTE!$AB$18,-2))))),IF(AND(AH!$H$20="Derecha",RASANTE!F125&lt;=PERALTE!$AB$18),IF(RASANTE!F125&lt;=PERALTE!$Q$18,-2,IF(RASANTE!F125&lt;=PERALTE!$U$18,(10/(PERALTE!$U$18-PERALTE!$Q$18)*(RASANTE!F125-PERALTE!$Q$18)-2),IF(RASANTE!F125&lt;=PERALTE!$X$18,8,IF(RASANTE!F125&lt;=PERALTE!$AB$18,(10/(PERALTE!$X$18-PERALTE!$AB$18)*(RASANTE!F125-PERALTE!$AB$18)-2))))),IF(AND(AH!$H$24="Izquierda",RASANTE!F125&lt;=PERALTE!$AB$22),IF(RASANTE!F125&lt;=PERALTE!$S$22,-2,IF(RASANTE!F125&lt;=PERALTE!$U$22,(-6/(PERALTE!$U$22-PERALTE!$S$22)*(RASANTE!F125-PERALTE!$S$22)-2),IF(RASANTE!F125&lt;=PERALTE!$X$22,-8,IF(RASANTE!F125&lt;=PERALTE!$Z$22,(-6/(PERALTE!$X$22-PERALTE!$Z$22)*(RASANTE!F125-PERALTE!$Z$22)-2),IF(RASANTE!F125&lt;=PERALTE!$AB$22,-2))))),IF(AND(AH!$H$24="Derecha",RASANTE!F125&lt;=PERALTE!$AB$22),IF(RASANTE!F125&lt;=PERALTE!$Q$22,-2,IF(RASANTE!F125&lt;=PERALTE!$U$22,(10/(PERALTE!$U$22-PERALTE!$Q$22)*(RASANTE!F125-PERALTE!$Q$22)-2),IF(RASANTE!F125&lt;=PERALTE!$X$22,8,IF(RASANTE!F125&lt;=PERALTE!$AB$22,(10/(PERALTE!$X$22-PERALTE!$AB$22)*(RASANTE!F125-PERALTE!$AB$22)-2))))),IF(AND(AH!#REF!="Izquierda",RASANTE!F125&lt;=PERALTE!#REF!),IF(RASANTE!F125&lt;=PERALTE!#REF!,-2,IF(RASANTE!F125&lt;=PERALTE!#REF!,(-6/(PERALTE!#REF!-PERALTE!#REF!)*(RASANTE!F125-PERALTE!#REF!)-2),IF(RASANTE!F125&lt;=PERALTE!#REF!,-8,IF(RASANTE!F125&lt;=PERALTE!#REF!,(-6/(PERALTE!#REF!-PERALTE!#REF!)*(RASANTE!F125-PERALTE!#REF!)-2),IF(RASANTE!F125&lt;=PERALTE!#REF!,-2))))),IF(AND(AH!#REF!="Derecha",RASANTE!F125&lt;=PERALTE!#REF!),IF(RASANTE!F125&lt;=PERALTE!#REF!,-2,IF(RASANTE!F125&lt;=PERALTE!#REF!,(10/(PERALTE!#REF!-PERALTE!#REF!)*(RASANTE!F125-PERALTE!#REF!)-2),IF(RASANTE!F125&lt;=PERALTE!#REF!,8,IF(RASANTE!F125&lt;=PERALTE!#REF!,(10/(PERALTE!#REF!-PERALTE!#REF!)*(RASANTE!F125-PERALTE!#REF!)-2))))),IF(AND(AH!#REF!="Izquierda",RASANTE!F125&lt;=PERALTE!$AB$26),IF(RASANTE!F125&lt;=PERALTE!$S$26,-2,IF(RASANTE!F125&lt;=PERALTE!$U$26,(-6/(PERALTE!$U$26-PERALTE!$S$26)*(RASANTE!F125-PERALTE!$S$26)-2),IF(RASANTE!F125&lt;=PERALTE!$X$26,-8,IF(RASANTE!F125&lt;=PERALTE!$Z$26,(-6/(PERALTE!$X$26-PERALTE!$Z$26)*(RASANTE!F125-PERALTE!$Z$26)-2),IF(RASANTE!F125&lt;=PERALTE!$AB$26,-2))))),IF(AND(AH!#REF!="Derecha",RASANTE!F125&lt;=PERALTE!$AB$26),IF(RASANTE!F125&lt;=PERALTE!$Q$26,-2,IF(RASANTE!F125&lt;=PERALTE!$U$26,(10/(PERALTE!$U$26-PERALTE!$Q$26)*(RASANTE!F125-PERALTE!$Q$26)-2),IF(RASANTE!F125&lt;=PERALTE!$X$26,8,IF(RASANTE!F125&lt;=PERALTE!$AB$26,(10/(PERALTE!$X$26-PERALTE!$AB$26)*(RASANTE!F125-PERALTE!$AB$26)-2))))),IF(F125&lt;=PERALTE!#REF!,-2,"Abscisa fuera de la vía")))))))))))))))))))))</f>
        <v>-2</v>
      </c>
      <c r="I125" s="28">
        <f>+IF(AND(AH!$H$8="Derecha",RASANTE!F125&lt;=PERALTE!$AB$6),IF(RASANTE!F125&lt;=PERALTE!$S$6,-2,IF(RASANTE!F125&lt;=PERALTE!$U$6,(-6/(PERALTE!$U$6-PERALTE!$S$6)*(RASANTE!F125-PERALTE!$S$6)-2),IF(RASANTE!F125&lt;=PERALTE!$X$6,-8,IF(RASANTE!F125&lt;=PERALTE!$Z$6,(-6/(PERALTE!$X$6-PERALTE!$Z$6)*(RASANTE!F125-PERALTE!$Z$6)-2),IF(RASANTE!F125&lt;=PERALTE!$AB$6,-2))))),IF(AND(AH!$H$8="Izquierda",RASANTE!F125&lt;=PERALTE!$AB$6),IF(RASANTE!F125&lt;=PERALTE!$Q$6,-2,IF(RASANTE!F125&lt;=PERALTE!$U$6,(10/(PERALTE!$U$6-PERALTE!$Q$6)*(RASANTE!F125-PERALTE!$Q$6)-2),IF(RASANTE!F125&lt;=PERALTE!$X$6,8,IF(RASANTE!F125&lt;=PERALTE!$AB$6,(10/(PERALTE!$X$6-PERALTE!$AB$6)*(RASANTE!F125-PERALTE!$AB$6)-2))))),IF(AND(AH!$H$10="Derecha",RASANTE!F125&lt;=PERALTE!$AB$8),IF(RASANTE!F125&lt;=PERALTE!$S$8,-2,IF(RASANTE!F125&lt;=PERALTE!$U$8,(-6/(PERALTE!$U$8-PERALTE!$S$8)*(RASANTE!F125-PERALTE!$S$8)-2),IF(RASANTE!F125&lt;=PERALTE!$X$8,-8,IF(RASANTE!F125&lt;=PERALTE!$Z$8,(-6/(PERALTE!$X$8-PERALTE!$Z$8)*(RASANTE!F125-PERALTE!$Z$8)-2),IF(RASANTE!F125&lt;=PERALTE!$AB$8,-2))))),IF(AND(AH!$H$10="Izquierda",RASANTE!F125&lt;=PERALTE!$AB$8),IF(RASANTE!F125&lt;=PERALTE!$Q$8,-2,IF(RASANTE!F125&lt;=PERALTE!$U$8,(10/(PERALTE!$U$8-PERALTE!$Q$8)*(RASANTE!F125-PERALTE!$Q$8)-2),IF(RASANTE!F125&lt;=PERALTE!$X$8,8,IF(RASANTE!F125&lt;=PERALTE!$AB$8,(10/(PERALTE!$X$8-PERALTE!$AB$8)*(RASANTE!F125-PERALTE!$AB$8)-2))))),IF(AND(AH!$H$12="Derecha",RASANTE!F125&lt;=PERALTE!$AB$10),IF(RASANTE!F125&lt;=PERALTE!$S$10,-2,IF(RASANTE!F125&lt;=PERALTE!$U$10,(-6/(PERALTE!$U$10-PERALTE!$S$10)*(RASANTE!F125-PERALTE!$S$10)-2),IF(RASANTE!F125&lt;=PERALTE!$X$10,-8,IF(RASANTE!F125&lt;=PERALTE!$Z$10,(-6/(PERALTE!$X$10-PERALTE!$Z$10)*(RASANTE!F125-PERALTE!$Z$10)-2),IF(RASANTE!F125&lt;=PERALTE!$AB$10,-2))))),IF(AND(AH!$H$12="Izquierda",RASANTE!F125&lt;=PERALTE!$AB$10),IF(RASANTE!F125&lt;=PERALTE!$Q$10,-2,IF(RASANTE!F125&lt;=PERALTE!$U$10,(10/(PERALTE!$U$10-PERALTE!$Q$10)*(RASANTE!F125-PERALTE!$Q$10)-2),IF(RASANTE!F125&lt;=PERALTE!$X$10,8,IF(RASANTE!F125&lt;=PERALTE!$AB$10,(10/(PERALTE!$X$10-PERALTE!$AB$10)*(RASANTE!F125-PERALTE!$AB$10)-2))))),IF(AND(AH!$H$14="Derecha",RASANTE!F125&lt;=PERALTE!$AB$12),IF(RASANTE!F125&lt;=PERALTE!$S$12,-2,IF(RASANTE!F125&lt;=PERALTE!$U$12,(-6/(PERALTE!$U$12-PERALTE!$S$12)*(RASANTE!F125-PERALTE!$S$12)-2),IF(RASANTE!F125&lt;=PERALTE!$X$12,-8,IF(RASANTE!F125&lt;=PERALTE!$Z$12,(-6/(PERALTE!$X$12-PERALTE!$Z$12)*(RASANTE!F125-PERALTE!$Z$12)-2),IF(RASANTE!F125&lt;=PERALTE!$AB$12,-2))))),IF(AND(AH!$H$14="Izquierda",RASANTE!F125&lt;=PERALTE!$AB$12),IF(RASANTE!F125&lt;=PERALTE!$Q$12,-2,IF(RASANTE!F125&lt;=PERALTE!$U$12,(10/(PERALTE!$U$12-PERALTE!$Q$12)*(RASANTE!F125-PERALTE!$Q$12)-2),IF(RASANTE!F125&lt;=PERALTE!$X$12,8,IF(RASANTE!F125&lt;=PERALTE!$AB$12,(10/(PERALTE!$X$12-PERALTE!$AB$12)*(RASANTE!F125-PERALTE!$AB$12)-2))))),IF(AND(AH!$H$16="Derecha",RASANTE!F125&lt;=PERALTE!$AB$14),IF(RASANTE!F125&lt;=PERALTE!$S$14,-2,IF(RASANTE!F125&lt;=PERALTE!$U$14,(-6/(PERALTE!$U$14-PERALTE!$S$14)*(RASANTE!F125-PERALTE!$S$14)-2),IF(RASANTE!F125&lt;=PERALTE!$X$14,-8,IF(RASANTE!F125&lt;=PERALTE!$Z$14,(-6/(PERALTE!$X$14-PERALTE!$Z$14)*(RASANTE!F125-PERALTE!$Z$14)-2),IF(RASANTE!F125&lt;=PERALTE!$AB$14,-2))))),IF(AND(AH!$H$16="Izquierda",RASANTE!F125&lt;=PERALTE!$AB$14),IF(RASANTE!F125&lt;=PERALTE!$Q$14,-2,IF(RASANTE!F125&lt;=PERALTE!$U$14,(10/(PERALTE!$U$14-PERALTE!$Q$14)*(RASANTE!F125-PERALTE!$Q$14)-2),IF(RASANTE!F125&lt;=PERALTE!$X$14,8,IF(RASANTE!F125&lt;=PERALTE!$AB$14,(10/(PERALTE!$X$14-PERALTE!$AB$14)*(RASANTE!F125-PERALTE!$AB$14)-2))))),IF(AND(AH!$H$18="Derecha",RASANTE!F125&lt;=PERALTE!$AB$16),IF(RASANTE!F125&lt;=PERALTE!$S$16,-2,IF(RASANTE!F125&lt;=PERALTE!$U$16,(-6/(PERALTE!$U$16-PERALTE!$S$16)*(RASANTE!F125-PERALTE!$S$16)-2),IF(RASANTE!F125&lt;=PERALTE!$X$16,-8,IF(RASANTE!F125&lt;=PERALTE!$Z$16,(-6/(PERALTE!$X$16-PERALTE!$Z$16)*(RASANTE!F125-PERALTE!$Z$16)-2),IF(RASANTE!F125&lt;=PERALTE!$AB$16,-2))))),IF(AND(AH!$H$18="Izquierda",RASANTE!F125&lt;=PERALTE!$AB$16),IF(RASANTE!F125&lt;=PERALTE!$Q$16,-2,IF(RASANTE!F125&lt;=PERALTE!$U$16,(10/(PERALTE!$U$16-PERALTE!$Q$16)*(RASANTE!F125-PERALTE!$Q$16)-2),IF(RASANTE!F125&lt;=PERALTE!$X$16,8,IF(RASANTE!F125&lt;=PERALTE!$AB$16,(10/(PERALTE!$X$16-PERALTE!$AB$16)*(RASANTE!F125-PERALTE!$AB$16)-2))))),IF(AND(AH!$H$20="Derecha",RASANTE!F125&lt;=PERALTE!$AB$18),IF(RASANTE!F125&lt;=PERALTE!$S$18,-2,IF(RASANTE!F125&lt;=PERALTE!$U$18,(-6/(PERALTE!$U$18-PERALTE!$S$18)*(RASANTE!F125-PERALTE!$S$18)-2),IF(RASANTE!F125&lt;=PERALTE!$X$18,-8,IF(RASANTE!F125&lt;=PERALTE!$Z$18,(-6/(PERALTE!$X$18-PERALTE!$Z$18)*(RASANTE!F125-PERALTE!$Z$18)-2),IF(RASANTE!F125&lt;=PERALTE!$AB$18,-2))))),IF(AND(AH!$H$20="Izquierda",RASANTE!F125&lt;=PERALTE!$AB$18),IF(RASANTE!F125&lt;=PERALTE!$Q$18,-2,IF(RASANTE!F125&lt;=PERALTE!$U$18,(10/(PERALTE!$U$18-PERALTE!$Q$18)*(RASANTE!F125-PERALTE!$Q$18)-2),IF(RASANTE!F125&lt;=PERALTE!$X$18,8,IF(RASANTE!F125&lt;=PERALTE!$AB$18,(10/(PERALTE!$X$18-PERALTE!$AB$18)*(RASANTE!F125-PERALTE!$AB$18)-2))))),IF(AND(AH!$H$24="Derecha",RASANTE!F125&lt;=PERALTE!$AB$22),IF(RASANTE!F125&lt;=PERALTE!$S$22,-2,IF(RASANTE!F125&lt;=PERALTE!$U$22,(-6/(PERALTE!$U$22-PERALTE!$S$22)*(RASANTE!F125-PERALTE!$S$22)-2),IF(RASANTE!F125&lt;=PERALTE!$X$22,-8,IF(RASANTE!F125&lt;=PERALTE!$Z$22,(-6/(PERALTE!$X$22-PERALTE!$Z$22)*(RASANTE!F125-PERALTE!$Z$22)-2),IF(RASANTE!F125&lt;=PERALTE!$AB$22,-2))))),IF(AND(AH!$H$24="Izquierda",RASANTE!F125&lt;=PERALTE!$AB$22),IF(RASANTE!F125&lt;=PERALTE!$Q$22,-2,IF(RASANTE!F125&lt;=PERALTE!$U$22,(10/(PERALTE!$U$22-PERALTE!$Q$22)*(RASANTE!F125-PERALTE!$Q$22)-2),IF(RASANTE!F125&lt;=PERALTE!$X$22,8,IF(RASANTE!F125&lt;=PERALTE!$AB$22,(10/(PERALTE!$X$22-PERALTE!$AB$22)*(RASANTE!F125-PERALTE!$AB$22)-2))))),IF(AND(AH!#REF!="Derecha",RASANTE!F125&lt;=PERALTE!#REF!),IF(RASANTE!F125&lt;=PERALTE!#REF!,-2,IF(RASANTE!F125&lt;=PERALTE!#REF!,(-6/(PERALTE!#REF!-PERALTE!#REF!)*(RASANTE!F125-PERALTE!#REF!)-2),IF(RASANTE!F125&lt;=PERALTE!#REF!,-8,IF(RASANTE!F125&lt;=PERALTE!#REF!,(-6/(PERALTE!#REF!-PERALTE!#REF!)*(RASANTE!F125-PERALTE!#REF!)-2),IF(RASANTE!F125&lt;=PERALTE!#REF!,-2))))),IF(AND(AH!#REF!="Izquierda",RASANTE!F125&lt;=PERALTE!#REF!),IF(RASANTE!F125&lt;=PERALTE!#REF!,-2,IF(RASANTE!F125&lt;=PERALTE!#REF!,(10/(PERALTE!#REF!-PERALTE!#REF!)*(RASANTE!F125-PERALTE!#REF!)-2),IF(RASANTE!F125&lt;=PERALTE!#REF!,8,IF(RASANTE!F125&lt;=PERALTE!#REF!,(10/(PERALTE!#REF!-PERALTE!#REF!)*(RASANTE!F125-PERALTE!#REF!)-2))))),IF(AND(AH!#REF!="Derecha",RASANTE!F125&lt;=PERALTE!$AB$26),IF(RASANTE!F125&lt;=PERALTE!$S$26,-2,IF(RASANTE!F125&lt;=PERALTE!$U$26,(-6/(PERALTE!$U$26-PERALTE!$S$26)*(RASANTE!F125-PERALTE!$S$26)-2),IF(RASANTE!F125&lt;=PERALTE!$X$26,-8,IF(RASANTE!F125&lt;=PERALTE!$Z$26,(-6/(PERALTE!$X$26-PERALTE!$Z$26)*(RASANTE!F125-PERALTE!$Z$26)-2),IF(RASANTE!F125&lt;=PERALTE!$AB$26,-2))))),IF(AND(AH!#REF!="Izquierda",RASANTE!F125&lt;=PERALTE!$AB$26),IF(RASANTE!F125&lt;=PERALTE!$Q$26,-2,IF(RASANTE!F125&lt;=PERALTE!$U$26,(10/(PERALTE!$U$26-PERALTE!$Q$26)*(RASANTE!F125-PERALTE!$Q$26)-2),IF(RASANTE!F125&lt;=PERALTE!$X$26,8,IF(RASANTE!F125&lt;=PERALTE!$AB$26,(10/(PERALTE!$X$26-PERALTE!$AB$26)*(RASANTE!F125-PERALTE!$AB$26)-2))))),IF(F125&lt;=PERALTE!#REF!,-2,"Abscisa fuera de la vía")))))))))))))))))))))</f>
        <v>-1.6806972004237244</v>
      </c>
      <c r="J125" s="28">
        <f t="shared" si="4"/>
        <v>1628.6864000000014</v>
      </c>
      <c r="K125" s="28">
        <f>+IF(AND(AV!$S$6&lt;F222,F222&lt;=AV!$T$6),AV!$P$6*((AV!$S$6-RASANTE!F222)/(AV!$N$6))^2,IF(AND(AV!$T$6&lt;RASANTE!F222,F222&lt;AV!$U$6),AV!$P$6*((AV!$U$6-RASANTE!F222)/(AV!$O$6))^2,IF(AND(AV!$S$8&lt;F222,F222&lt;=AV!$T$8),AV!$P$8*((AV!$S$8-RASANTE!F222)/(AV!$N$8))^2,IF(AND(AV!$T$8&lt;RASANTE!F222,F222&lt;AV!$U$8),AV!$P$8*((AV!$U$8-RASANTE!F222)/(AV!$O$8))^2,IF(AND(AV!$S$10&lt;F222,F222&lt;=AV!$T$10),AV!$P$10*((AV!$S$10-RASANTE!F222)/(AV!$N$10))^2,IF(AND(AV!$T$10&lt;RASANTE!F222,F222&lt;AV!$U$10),AV!$P$10*((AV!$U$10-RASANTE!F222)/(AV!$O$10))^2,IF(AND(AV!$S$12&lt;F222,F222&lt;=AV!$T$12),AV!$P$12*((AV!$S$12-RASANTE!F222)/(AV!$N$12))^2,IF(AND(AV!$T$12&lt;RASANTE!F222,F222&lt;AV!$U$12),AV!$P$12*((AV!$U$12-RASANTE!F222)/(AV!$O$12))^2,IF(AND(AV!$S$14&lt;F222,F222&lt;=AV!$T$14),AV!$P$14*((AV!$S$14-RASANTE!F222)/(AV!$N$14))^2,IF(AND(AV!$T$14&lt;RASANTE!F222,F222&lt;AV!$U$14),AV!$P$14*((AV!$U$14-RASANTE!F222)/(AV!$O$14))^2,IF(AND(AV!$S$16&lt;F222,F222&lt;=AV!$T$16),AV!$P$16*((AV!$S$16-RASANTE!F222)/(AV!$N$16))^2,IF(AND(AV!$T$16&lt;RASANTE!F222,F222&lt;AV!$U$16),AV!$P$16*((AV!$U$16-RASANTE!F222)/(AV!$O$16))^2,IF(AND(AV!$S$18&lt;F222,F222&lt;=AV!$T$18),AV!$P$18*((AV!$S$18-RASANTE!F222)/(AV!$N$18))^2,IF(AND(AV!$T$18&lt;RASANTE!F222,F222&lt;AV!$U$18),AV!$P$18*((AV!$U$18-RASANTE!F222)/(AV!$O$18))^2,IF(AND(AV!$S$20&lt;F222,F222&lt;=AV!$T$20),AV!$P$20*((AV!$S$20-RASANTE!F222)/(AV!$N$20))^2,IF(AND(AV!$T$20&lt;RASANTE!F222,F222&lt;AV!$U$20),AV!$P$20*((AV!$U$20-RASANTE!F222)/(AV!$O$20))^2,IF(AND(AV!$S$22&lt;F222,F222&lt;=AV!$T$22),AV!$P$22*((AV!$S$22-RASANTE!F222)/(AV!$N$22))^2,IF(AND(AV!$T$22&lt;RASANTE!F222,F222&lt;AV!$U$22),AV!$P$22*((AV!$U$22-RASANTE!F222)/(AV!$O$22))^2,IF(AND(AV!$S$24&lt;F222,F222&lt;=AV!$T$24),AV!$P$24*((AV!$S$24-RASANTE!F222)/(AV!$N$24))^2,IF(AND(AV!$T$24&lt;RASANTE!F222,F222&lt;AV!$U$24),AV!$P$24*((AV!$U$24-RASANTE!F222)/(AV!$O$24))^2,0))))))))))))))))))))</f>
        <v>0</v>
      </c>
      <c r="L125" s="28">
        <f>+M125+H125%*PERALTE!$C$32</f>
        <v>1628.6164000000015</v>
      </c>
      <c r="M125" s="28">
        <f t="shared" si="5"/>
        <v>1628.6864000000014</v>
      </c>
      <c r="N125" s="28">
        <f>+M125+I125%*PERALTE!$C$32</f>
        <v>1628.6275755979866</v>
      </c>
      <c r="O125" s="92"/>
      <c r="P125" s="84"/>
      <c r="Q125" s="84"/>
      <c r="R125" s="84"/>
      <c r="S125" s="84"/>
      <c r="T125" s="84"/>
      <c r="U125" s="84"/>
      <c r="V125" s="84"/>
      <c r="W125" s="84"/>
      <c r="X125" s="84"/>
      <c r="Y125" s="84"/>
    </row>
    <row r="126" spans="1:25" ht="15.75" customHeight="1" x14ac:dyDescent="0.2">
      <c r="A126" s="90" t="s">
        <v>340</v>
      </c>
      <c r="B126" s="86"/>
      <c r="C126" s="86"/>
      <c r="D126" s="86"/>
      <c r="E126" s="150">
        <f>AV!N10</f>
        <v>15</v>
      </c>
      <c r="F126" s="34">
        <f>PERALTE!R12</f>
        <v>777.63953272919878</v>
      </c>
      <c r="G126" s="88">
        <f>IF(F126&lt;=AV!$T$6,AV!$C$5,IF(RASANTE!F126&lt;=AV!$T$8,AV!$C$7,IF(RASANTE!F126&lt;=AV!$T$10,AV!$C$9,IF(RASANTE!F126&lt;=AV!$T$12,AV!#REF!,IF(RASANTE!F126&lt;=AV!$T$14,AV!$C$11,IF(RASANTE!F126&lt;=AV!$T$16,AV!$C$13, IF(RASANTE!F126&lt;=AV!$T$18,AV!$C$15,IF(RASANTE!F126&lt;=AV!$T$20,AV!$C$19,IF(RASANTE!F126&lt;=AV!$T$22,AV!$C$21,IF(RASANTE!F126&lt;=AV!$T$24,AV!$C$23,AV!$C$25))))))))))</f>
        <v>-3</v>
      </c>
      <c r="H126" s="28">
        <f>+IF(AND(AH!$H$8="Izquierda",RASANTE!F126&lt;=PERALTE!$AB$6),IF(RASANTE!F126&lt;=PERALTE!$S$6,-2,IF(RASANTE!F126&lt;=PERALTE!$U$6,(-6/(PERALTE!$U$6-PERALTE!$S$6)*(RASANTE!F126-PERALTE!$S$6)-2),IF(RASANTE!F126&lt;=PERALTE!$X$6,-8,IF(RASANTE!F126&lt;=PERALTE!$Z$6,(-6/(PERALTE!$X$6-PERALTE!$Z$6)*(RASANTE!F126-PERALTE!$Z$6)-2),IF(RASANTE!F126&lt;=PERALTE!$AB$6,-2))))),IF(AND(AH!$H$8="Derecha",RASANTE!F126&lt;=PERALTE!$AB$6),IF(RASANTE!F126&lt;=PERALTE!$Q$6,-2,IF(RASANTE!F126&lt;=PERALTE!$U$6,(10/(PERALTE!$U$6-PERALTE!$Q$6)*(RASANTE!F126-PERALTE!$Q$6)-2),IF(RASANTE!F126&lt;=PERALTE!$X$6,8,IF(RASANTE!F126&lt;=PERALTE!$AB$6,(10/(PERALTE!$X$6-PERALTE!$AB$6)*(RASANTE!F126-PERALTE!$AB$6)-2))))),IF(AND(AH!$H$10="Izquierda",RASANTE!F126&lt;=PERALTE!$AB$8),IF(RASANTE!F126&lt;=PERALTE!$S$8,-2,IF(RASANTE!F126&lt;=PERALTE!$U$8,(-6/(PERALTE!$U$8-PERALTE!$S$8)*(RASANTE!F126-PERALTE!$S$8)-2),IF(RASANTE!F126&lt;=PERALTE!$X$8,-8,IF(RASANTE!F126&lt;=PERALTE!$Z$8,(-6/(PERALTE!$X$8-PERALTE!$Z$8)*(RASANTE!F126-PERALTE!$Z$8)-2),IF(RASANTE!F126&lt;=PERALTE!$AB$8,-2))))),IF(AND(AH!$H$10="Derecha",RASANTE!F126&lt;=PERALTE!$AB$8),IF(RASANTE!F126&lt;=PERALTE!$Q$8,-2,IF(RASANTE!F126&lt;=PERALTE!$U$8,(10/(PERALTE!$U$8-PERALTE!$Q$8)*(RASANTE!F126-PERALTE!$Q$8)-2),IF(RASANTE!F126&lt;=PERALTE!$X$8,8,IF(RASANTE!F126&lt;=PERALTE!$AB$8,(10/(PERALTE!$X$8-PERALTE!$AB$8)*(RASANTE!F126-PERALTE!$AB$8)-2))))),IF(AND(AH!$H$12="Izquierda",RASANTE!F126&lt;=PERALTE!$AB$10),IF(RASANTE!F126&lt;=PERALTE!$S$10,-2,IF(RASANTE!F126&lt;=PERALTE!$U$10,(-6/(PERALTE!$U$10-PERALTE!$S$10)*(RASANTE!F126-PERALTE!$S$10)-2),IF(RASANTE!F126&lt;=PERALTE!$X$10,-8,IF(RASANTE!F126&lt;=PERALTE!$Z$10,(-6/(PERALTE!$X$10-PERALTE!$Z$10)*(RASANTE!F126-PERALTE!$Z$10)-2),IF(RASANTE!F126&lt;=PERALTE!$AB$10,-2))))),IF(AND(AH!$H$12="Derecha",RASANTE!F126&lt;=PERALTE!$AB$10),IF(RASANTE!F126&lt;=PERALTE!$Q$10,-2,IF(RASANTE!F126&lt;=PERALTE!$U$10,(10/(PERALTE!$U$10-PERALTE!$Q$10)*(RASANTE!F126-PERALTE!$Q$10)-2),IF(RASANTE!F126&lt;=PERALTE!$X$10,8,IF(RASANTE!F126&lt;=PERALTE!$AB$10,(10/(PERALTE!$X$10-PERALTE!$AB$10)*(RASANTE!F126-PERALTE!$AB$10)-2))))),IF(AND(AH!$H$14="Izquierda",RASANTE!F126&lt;=PERALTE!$AB$12),IF(RASANTE!F126&lt;=PERALTE!$S$12,-2,IF(RASANTE!F126&lt;=PERALTE!$U$12,(-6/(PERALTE!$U$12-PERALTE!$S$12)*(RASANTE!F126-PERALTE!$S$12)-2),IF(RASANTE!F126&lt;=PERALTE!$X$12,-8,IF(RASANTE!F126&lt;=PERALTE!$Z$12,(-6/(PERALTE!$X$12-PERALTE!$Z$12)*(RASANTE!F126-PERALTE!$Z$12)-2),IF(RASANTE!F126&lt;=PERALTE!$AB$12,-2))))),IF(AND(AH!$H$14="Derecha",RASANTE!F126&lt;=PERALTE!$AB$12),IF(RASANTE!F126&lt;=PERALTE!$Q$12,-2,IF(RASANTE!F126&lt;=PERALTE!$U$12,(10/(PERALTE!$U$12-PERALTE!$Q$12)*(RASANTE!F126-PERALTE!$Q$12)-2),IF(RASANTE!F126&lt;=PERALTE!$X$12,8,IF(RASANTE!F126&lt;=PERALTE!$AB$12,(10/(PERALTE!$X$12-PERALTE!$AB$12)*(RASANTE!F126-PERALTE!$AB$12)-2))))),IF(AND(AH!$H$16="Izquierda",RASANTE!F126&lt;=PERALTE!$AB$14),IF(RASANTE!F126&lt;=PERALTE!$S$14,-2,IF(RASANTE!F126&lt;=PERALTE!$U$14,(-6/(PERALTE!$U$14-PERALTE!$S$14)*(RASANTE!F126-PERALTE!$S$14)-2),IF(RASANTE!F126&lt;=PERALTE!$X$14,-8,IF(RASANTE!F126&lt;=PERALTE!$Z$14,(-6/(PERALTE!$X$14-PERALTE!$Z$14)*(RASANTE!F126-PERALTE!$Z$14)-2),IF(RASANTE!F126&lt;=PERALTE!$AB$14,-2))))),IF(AND(AH!$H$16="Derecha",RASANTE!F126&lt;=PERALTE!$AB$14),IF(RASANTE!F126&lt;=PERALTE!$Q$14,-2,IF(RASANTE!F126&lt;=PERALTE!$U$14,(10/(PERALTE!$U$14-PERALTE!$Q$14)*(RASANTE!F126-PERALTE!$Q$14)-2),IF(RASANTE!F126&lt;=PERALTE!$X$14,8,IF(RASANTE!F126&lt;=PERALTE!$AB$14,(10/(PERALTE!$X$14-PERALTE!$AB$14)*(RASANTE!F126-PERALTE!$AB$14)-2))))),IF(AND(AH!$H$18="Izquierda",RASANTE!F126&lt;=PERALTE!$AB$16),IF(RASANTE!F126&lt;=PERALTE!$S$16,-2,IF(RASANTE!F126&lt;=PERALTE!$U$16,(-6/(PERALTE!$U$16-PERALTE!$S$16)*(RASANTE!F126-PERALTE!$S$16)-2),IF(RASANTE!F126&lt;=PERALTE!$X$16,-8,IF(RASANTE!F126&lt;=PERALTE!$Z$16,(-6/(PERALTE!$X$16-PERALTE!$Z$16)*(RASANTE!F126-PERALTE!$Z$16)-2),IF(RASANTE!F126&lt;=PERALTE!$AB$16,-2))))),IF(AND(AH!$H$18="Derecha",RASANTE!F126&lt;=PERALTE!$AB$16),IF(RASANTE!F126&lt;=PERALTE!$Q$16,-2,IF(RASANTE!F126&lt;=PERALTE!$U$16,(10/(PERALTE!$U$16-PERALTE!$Q$16)*(RASANTE!F126-PERALTE!$Q$16)-2),IF(RASANTE!F126&lt;=PERALTE!$X$16,8,IF(RASANTE!F126&lt;=PERALTE!$AB$16,(10/(PERALTE!$X$16-PERALTE!$AB$16)*(RASANTE!F126-PERALTE!$AB$16)-2))))),IF(AND(AH!$H$20="Izquierda",RASANTE!F126&lt;=PERALTE!$AB$18),IF(RASANTE!F126&lt;=PERALTE!$S$18,-2,IF(RASANTE!F126&lt;=PERALTE!$U$18,(-6/(PERALTE!$U$18-PERALTE!$S$18)*(RASANTE!F126-PERALTE!$S$18)-2),IF(RASANTE!F126&lt;=PERALTE!$X$18,-8,IF(RASANTE!F126&lt;=PERALTE!$Z$18,(-6/(PERALTE!$X$18-PERALTE!$Z$18)*(RASANTE!F126-PERALTE!$Z$18)-2),IF(RASANTE!F126&lt;=PERALTE!$AB$18,-2))))),IF(AND(AH!$H$20="Derecha",RASANTE!F126&lt;=PERALTE!$AB$18),IF(RASANTE!F126&lt;=PERALTE!$Q$18,-2,IF(RASANTE!F126&lt;=PERALTE!$U$18,(10/(PERALTE!$U$18-PERALTE!$Q$18)*(RASANTE!F126-PERALTE!$Q$18)-2),IF(RASANTE!F126&lt;=PERALTE!$X$18,8,IF(RASANTE!F126&lt;=PERALTE!$AB$18,(10/(PERALTE!$X$18-PERALTE!$AB$18)*(RASANTE!F126-PERALTE!$AB$18)-2))))),IF(AND(AH!$H$24="Izquierda",RASANTE!F126&lt;=PERALTE!$AB$22),IF(RASANTE!F126&lt;=PERALTE!$S$22,-2,IF(RASANTE!F126&lt;=PERALTE!$U$22,(-6/(PERALTE!$U$22-PERALTE!$S$22)*(RASANTE!F126-PERALTE!$S$22)-2),IF(RASANTE!F126&lt;=PERALTE!$X$22,-8,IF(RASANTE!F126&lt;=PERALTE!$Z$22,(-6/(PERALTE!$X$22-PERALTE!$Z$22)*(RASANTE!F126-PERALTE!$Z$22)-2),IF(RASANTE!F126&lt;=PERALTE!$AB$22,-2))))),IF(AND(AH!$H$24="Derecha",RASANTE!F126&lt;=PERALTE!$AB$22),IF(RASANTE!F126&lt;=PERALTE!$Q$22,-2,IF(RASANTE!F126&lt;=PERALTE!$U$22,(10/(PERALTE!$U$22-PERALTE!$Q$22)*(RASANTE!F126-PERALTE!$Q$22)-2),IF(RASANTE!F126&lt;=PERALTE!$X$22,8,IF(RASANTE!F126&lt;=PERALTE!$AB$22,(10/(PERALTE!$X$22-PERALTE!$AB$22)*(RASANTE!F126-PERALTE!$AB$22)-2))))),IF(AND(AH!#REF!="Izquierda",RASANTE!F126&lt;=PERALTE!#REF!),IF(RASANTE!F126&lt;=PERALTE!#REF!,-2,IF(RASANTE!F126&lt;=PERALTE!#REF!,(-6/(PERALTE!#REF!-PERALTE!#REF!)*(RASANTE!F126-PERALTE!#REF!)-2),IF(RASANTE!F126&lt;=PERALTE!#REF!,-8,IF(RASANTE!F126&lt;=PERALTE!#REF!,(-6/(PERALTE!#REF!-PERALTE!#REF!)*(RASANTE!F126-PERALTE!#REF!)-2),IF(RASANTE!F126&lt;=PERALTE!#REF!,-2))))),IF(AND(AH!#REF!="Derecha",RASANTE!F126&lt;=PERALTE!#REF!),IF(RASANTE!F126&lt;=PERALTE!#REF!,-2,IF(RASANTE!F126&lt;=PERALTE!#REF!,(10/(PERALTE!#REF!-PERALTE!#REF!)*(RASANTE!F126-PERALTE!#REF!)-2),IF(RASANTE!F126&lt;=PERALTE!#REF!,8,IF(RASANTE!F126&lt;=PERALTE!#REF!,(10/(PERALTE!#REF!-PERALTE!#REF!)*(RASANTE!F126-PERALTE!#REF!)-2))))),IF(AND(AH!#REF!="Izquierda",RASANTE!F126&lt;=PERALTE!$AB$26),IF(RASANTE!F126&lt;=PERALTE!$S$26,-2,IF(RASANTE!F126&lt;=PERALTE!$U$26,(-6/(PERALTE!$U$26-PERALTE!$S$26)*(RASANTE!F126-PERALTE!$S$26)-2),IF(RASANTE!F126&lt;=PERALTE!$X$26,-8,IF(RASANTE!F126&lt;=PERALTE!$Z$26,(-6/(PERALTE!$X$26-PERALTE!$Z$26)*(RASANTE!F126-PERALTE!$Z$26)-2),IF(RASANTE!F126&lt;=PERALTE!$AB$26,-2))))),IF(AND(AH!#REF!="Derecha",RASANTE!F126&lt;=PERALTE!$AB$26),IF(RASANTE!F126&lt;=PERALTE!$Q$26,-2,IF(RASANTE!F126&lt;=PERALTE!$U$26,(10/(PERALTE!$U$26-PERALTE!$Q$26)*(RASANTE!F126-PERALTE!$Q$26)-2),IF(RASANTE!F126&lt;=PERALTE!$X$26,8,IF(RASANTE!F126&lt;=PERALTE!$AB$26,(10/(PERALTE!$X$26-PERALTE!$AB$26)*(RASANTE!F126-PERALTE!$AB$26)-2))))),IF(F126&lt;=PERALTE!#REF!,-2,"Abscisa fuera de la vía")))))))))))))))))))))</f>
        <v>-2</v>
      </c>
      <c r="I126" s="28">
        <f>+IF(AND(AH!$H$8="Derecha",RASANTE!F126&lt;=PERALTE!$AB$6),IF(RASANTE!F126&lt;=PERALTE!$S$6,-2,IF(RASANTE!F126&lt;=PERALTE!$U$6,(-6/(PERALTE!$U$6-PERALTE!$S$6)*(RASANTE!F126-PERALTE!$S$6)-2),IF(RASANTE!F126&lt;=PERALTE!$X$6,-8,IF(RASANTE!F126&lt;=PERALTE!$Z$6,(-6/(PERALTE!$X$6-PERALTE!$Z$6)*(RASANTE!F126-PERALTE!$Z$6)-2),IF(RASANTE!F126&lt;=PERALTE!$AB$6,-2))))),IF(AND(AH!$H$8="Izquierda",RASANTE!F126&lt;=PERALTE!$AB$6),IF(RASANTE!F126&lt;=PERALTE!$Q$6,-2,IF(RASANTE!F126&lt;=PERALTE!$U$6,(10/(PERALTE!$U$6-PERALTE!$Q$6)*(RASANTE!F126-PERALTE!$Q$6)-2),IF(RASANTE!F126&lt;=PERALTE!$X$6,8,IF(RASANTE!F126&lt;=PERALTE!$AB$6,(10/(PERALTE!$X$6-PERALTE!$AB$6)*(RASANTE!F126-PERALTE!$AB$6)-2))))),IF(AND(AH!$H$10="Derecha",RASANTE!F126&lt;=PERALTE!$AB$8),IF(RASANTE!F126&lt;=PERALTE!$S$8,-2,IF(RASANTE!F126&lt;=PERALTE!$U$8,(-6/(PERALTE!$U$8-PERALTE!$S$8)*(RASANTE!F126-PERALTE!$S$8)-2),IF(RASANTE!F126&lt;=PERALTE!$X$8,-8,IF(RASANTE!F126&lt;=PERALTE!$Z$8,(-6/(PERALTE!$X$8-PERALTE!$Z$8)*(RASANTE!F126-PERALTE!$Z$8)-2),IF(RASANTE!F126&lt;=PERALTE!$AB$8,-2))))),IF(AND(AH!$H$10="Izquierda",RASANTE!F126&lt;=PERALTE!$AB$8),IF(RASANTE!F126&lt;=PERALTE!$Q$8,-2,IF(RASANTE!F126&lt;=PERALTE!$U$8,(10/(PERALTE!$U$8-PERALTE!$Q$8)*(RASANTE!F126-PERALTE!$Q$8)-2),IF(RASANTE!F126&lt;=PERALTE!$X$8,8,IF(RASANTE!F126&lt;=PERALTE!$AB$8,(10/(PERALTE!$X$8-PERALTE!$AB$8)*(RASANTE!F126-PERALTE!$AB$8)-2))))),IF(AND(AH!$H$12="Derecha",RASANTE!F126&lt;=PERALTE!$AB$10),IF(RASANTE!F126&lt;=PERALTE!$S$10,-2,IF(RASANTE!F126&lt;=PERALTE!$U$10,(-6/(PERALTE!$U$10-PERALTE!$S$10)*(RASANTE!F126-PERALTE!$S$10)-2),IF(RASANTE!F126&lt;=PERALTE!$X$10,-8,IF(RASANTE!F126&lt;=PERALTE!$Z$10,(-6/(PERALTE!$X$10-PERALTE!$Z$10)*(RASANTE!F126-PERALTE!$Z$10)-2),IF(RASANTE!F126&lt;=PERALTE!$AB$10,-2))))),IF(AND(AH!$H$12="Izquierda",RASANTE!F126&lt;=PERALTE!$AB$10),IF(RASANTE!F126&lt;=PERALTE!$Q$10,-2,IF(RASANTE!F126&lt;=PERALTE!$U$10,(10/(PERALTE!$U$10-PERALTE!$Q$10)*(RASANTE!F126-PERALTE!$Q$10)-2),IF(RASANTE!F126&lt;=PERALTE!$X$10,8,IF(RASANTE!F126&lt;=PERALTE!$AB$10,(10/(PERALTE!$X$10-PERALTE!$AB$10)*(RASANTE!F126-PERALTE!$AB$10)-2))))),IF(AND(AH!$H$14="Derecha",RASANTE!F126&lt;=PERALTE!$AB$12),IF(RASANTE!F126&lt;=PERALTE!$S$12,-2,IF(RASANTE!F126&lt;=PERALTE!$U$12,(-6/(PERALTE!$U$12-PERALTE!$S$12)*(RASANTE!F126-PERALTE!$S$12)-2),IF(RASANTE!F126&lt;=PERALTE!$X$12,-8,IF(RASANTE!F126&lt;=PERALTE!$Z$12,(-6/(PERALTE!$X$12-PERALTE!$Z$12)*(RASANTE!F126-PERALTE!$Z$12)-2),IF(RASANTE!F126&lt;=PERALTE!$AB$12,-2))))),IF(AND(AH!$H$14="Izquierda",RASANTE!F126&lt;=PERALTE!$AB$12),IF(RASANTE!F126&lt;=PERALTE!$Q$12,-2,IF(RASANTE!F126&lt;=PERALTE!$U$12,(10/(PERALTE!$U$12-PERALTE!$Q$12)*(RASANTE!F126-PERALTE!$Q$12)-2),IF(RASANTE!F126&lt;=PERALTE!$X$12,8,IF(RASANTE!F126&lt;=PERALTE!$AB$12,(10/(PERALTE!$X$12-PERALTE!$AB$12)*(RASANTE!F126-PERALTE!$AB$12)-2))))),IF(AND(AH!$H$16="Derecha",RASANTE!F126&lt;=PERALTE!$AB$14),IF(RASANTE!F126&lt;=PERALTE!$S$14,-2,IF(RASANTE!F126&lt;=PERALTE!$U$14,(-6/(PERALTE!$U$14-PERALTE!$S$14)*(RASANTE!F126-PERALTE!$S$14)-2),IF(RASANTE!F126&lt;=PERALTE!$X$14,-8,IF(RASANTE!F126&lt;=PERALTE!$Z$14,(-6/(PERALTE!$X$14-PERALTE!$Z$14)*(RASANTE!F126-PERALTE!$Z$14)-2),IF(RASANTE!F126&lt;=PERALTE!$AB$14,-2))))),IF(AND(AH!$H$16="Izquierda",RASANTE!F126&lt;=PERALTE!$AB$14),IF(RASANTE!F126&lt;=PERALTE!$Q$14,-2,IF(RASANTE!F126&lt;=PERALTE!$U$14,(10/(PERALTE!$U$14-PERALTE!$Q$14)*(RASANTE!F126-PERALTE!$Q$14)-2),IF(RASANTE!F126&lt;=PERALTE!$X$14,8,IF(RASANTE!F126&lt;=PERALTE!$AB$14,(10/(PERALTE!$X$14-PERALTE!$AB$14)*(RASANTE!F126-PERALTE!$AB$14)-2))))),IF(AND(AH!$H$18="Derecha",RASANTE!F126&lt;=PERALTE!$AB$16),IF(RASANTE!F126&lt;=PERALTE!$S$16,-2,IF(RASANTE!F126&lt;=PERALTE!$U$16,(-6/(PERALTE!$U$16-PERALTE!$S$16)*(RASANTE!F126-PERALTE!$S$16)-2),IF(RASANTE!F126&lt;=PERALTE!$X$16,-8,IF(RASANTE!F126&lt;=PERALTE!$Z$16,(-6/(PERALTE!$X$16-PERALTE!$Z$16)*(RASANTE!F126-PERALTE!$Z$16)-2),IF(RASANTE!F126&lt;=PERALTE!$AB$16,-2))))),IF(AND(AH!$H$18="Izquierda",RASANTE!F126&lt;=PERALTE!$AB$16),IF(RASANTE!F126&lt;=PERALTE!$Q$16,-2,IF(RASANTE!F126&lt;=PERALTE!$U$16,(10/(PERALTE!$U$16-PERALTE!$Q$16)*(RASANTE!F126-PERALTE!$Q$16)-2),IF(RASANTE!F126&lt;=PERALTE!$X$16,8,IF(RASANTE!F126&lt;=PERALTE!$AB$16,(10/(PERALTE!$X$16-PERALTE!$AB$16)*(RASANTE!F126-PERALTE!$AB$16)-2))))),IF(AND(AH!$H$20="Derecha",RASANTE!F126&lt;=PERALTE!$AB$18),IF(RASANTE!F126&lt;=PERALTE!$S$18,-2,IF(RASANTE!F126&lt;=PERALTE!$U$18,(-6/(PERALTE!$U$18-PERALTE!$S$18)*(RASANTE!F126-PERALTE!$S$18)-2),IF(RASANTE!F126&lt;=PERALTE!$X$18,-8,IF(RASANTE!F126&lt;=PERALTE!$Z$18,(-6/(PERALTE!$X$18-PERALTE!$Z$18)*(RASANTE!F126-PERALTE!$Z$18)-2),IF(RASANTE!F126&lt;=PERALTE!$AB$18,-2))))),IF(AND(AH!$H$20="Izquierda",RASANTE!F126&lt;=PERALTE!$AB$18),IF(RASANTE!F126&lt;=PERALTE!$Q$18,-2,IF(RASANTE!F126&lt;=PERALTE!$U$18,(10/(PERALTE!$U$18-PERALTE!$Q$18)*(RASANTE!F126-PERALTE!$Q$18)-2),IF(RASANTE!F126&lt;=PERALTE!$X$18,8,IF(RASANTE!F126&lt;=PERALTE!$AB$18,(10/(PERALTE!$X$18-PERALTE!$AB$18)*(RASANTE!F126-PERALTE!$AB$18)-2))))),IF(AND(AH!$H$24="Derecha",RASANTE!F126&lt;=PERALTE!$AB$22),IF(RASANTE!F126&lt;=PERALTE!$S$22,-2,IF(RASANTE!F126&lt;=PERALTE!$U$22,(-6/(PERALTE!$U$22-PERALTE!$S$22)*(RASANTE!F126-PERALTE!$S$22)-2),IF(RASANTE!F126&lt;=PERALTE!$X$22,-8,IF(RASANTE!F126&lt;=PERALTE!$Z$22,(-6/(PERALTE!$X$22-PERALTE!$Z$22)*(RASANTE!F126-PERALTE!$Z$22)-2),IF(RASANTE!F126&lt;=PERALTE!$AB$22,-2))))),IF(AND(AH!$H$24="Izquierda",RASANTE!F126&lt;=PERALTE!$AB$22),IF(RASANTE!F126&lt;=PERALTE!$Q$22,-2,IF(RASANTE!F126&lt;=PERALTE!$U$22,(10/(PERALTE!$U$22-PERALTE!$Q$22)*(RASANTE!F126-PERALTE!$Q$22)-2),IF(RASANTE!F126&lt;=PERALTE!$X$22,8,IF(RASANTE!F126&lt;=PERALTE!$AB$22,(10/(PERALTE!$X$22-PERALTE!$AB$22)*(RASANTE!F126-PERALTE!$AB$22)-2))))),IF(AND(AH!#REF!="Derecha",RASANTE!F126&lt;=PERALTE!#REF!),IF(RASANTE!F126&lt;=PERALTE!#REF!,-2,IF(RASANTE!F126&lt;=PERALTE!#REF!,(-6/(PERALTE!#REF!-PERALTE!#REF!)*(RASANTE!F126-PERALTE!#REF!)-2),IF(RASANTE!F126&lt;=PERALTE!#REF!,-8,IF(RASANTE!F126&lt;=PERALTE!#REF!,(-6/(PERALTE!#REF!-PERALTE!#REF!)*(RASANTE!F126-PERALTE!#REF!)-2),IF(RASANTE!F126&lt;=PERALTE!#REF!,-2))))),IF(AND(AH!#REF!="Izquierda",RASANTE!F126&lt;=PERALTE!#REF!),IF(RASANTE!F126&lt;=PERALTE!#REF!,-2,IF(RASANTE!F126&lt;=PERALTE!#REF!,(10/(PERALTE!#REF!-PERALTE!#REF!)*(RASANTE!F126-PERALTE!#REF!)-2),IF(RASANTE!F126&lt;=PERALTE!#REF!,8,IF(RASANTE!F126&lt;=PERALTE!#REF!,(10/(PERALTE!#REF!-PERALTE!#REF!)*(RASANTE!F126-PERALTE!#REF!)-2))))),IF(AND(AH!#REF!="Derecha",RASANTE!F126&lt;=PERALTE!$AB$26),IF(RASANTE!F126&lt;=PERALTE!$S$26,-2,IF(RASANTE!F126&lt;=PERALTE!$U$26,(-6/(PERALTE!$U$26-PERALTE!$S$26)*(RASANTE!F126-PERALTE!$S$26)-2),IF(RASANTE!F126&lt;=PERALTE!$X$26,-8,IF(RASANTE!F126&lt;=PERALTE!$Z$26,(-6/(PERALTE!$X$26-PERALTE!$Z$26)*(RASANTE!F126-PERALTE!$Z$26)-2),IF(RASANTE!F126&lt;=PERALTE!$AB$26,-2))))),IF(AND(AH!#REF!="Izquierda",RASANTE!F126&lt;=PERALTE!$AB$26),IF(RASANTE!F126&lt;=PERALTE!$Q$26,-2,IF(RASANTE!F126&lt;=PERALTE!$U$26,(10/(PERALTE!$U$26-PERALTE!$Q$26)*(RASANTE!F126-PERALTE!$Q$26)-2),IF(RASANTE!F126&lt;=PERALTE!$X$26,8,IF(RASANTE!F126&lt;=PERALTE!$AB$26,(10/(PERALTE!$X$26-PERALTE!$AB$26)*(RASANTE!F126-PERALTE!$AB$26)-2))))),IF(F126&lt;=PERALTE!#REF!,-2,"Abscisa fuera de la vía")))))))))))))))))))))</f>
        <v>4.8849813083506888E-15</v>
      </c>
      <c r="J126" s="28">
        <f t="shared" si="4"/>
        <v>1628.4572140181253</v>
      </c>
      <c r="K126" s="28">
        <f>+IF(AND(AV!$S$6&lt;F223,F223&lt;=AV!$T$6),AV!$P$6*((AV!$S$6-RASANTE!F223)/(AV!$N$6))^2,IF(AND(AV!$T$6&lt;RASANTE!F223,F223&lt;AV!$U$6),AV!$P$6*((AV!$U$6-RASANTE!F223)/(AV!$O$6))^2,IF(AND(AV!$S$8&lt;F223,F223&lt;=AV!$T$8),AV!$P$8*((AV!$S$8-RASANTE!F223)/(AV!$N$8))^2,IF(AND(AV!$T$8&lt;RASANTE!F223,F223&lt;AV!$U$8),AV!$P$8*((AV!$U$8-RASANTE!F223)/(AV!$O$8))^2,IF(AND(AV!$S$10&lt;F223,F223&lt;=AV!$T$10),AV!$P$10*((AV!$S$10-RASANTE!F223)/(AV!$N$10))^2,IF(AND(AV!$T$10&lt;RASANTE!F223,F223&lt;AV!$U$10),AV!$P$10*((AV!$U$10-RASANTE!F223)/(AV!$O$10))^2,IF(AND(AV!$S$12&lt;F223,F223&lt;=AV!$T$12),AV!$P$12*((AV!$S$12-RASANTE!F223)/(AV!$N$12))^2,IF(AND(AV!$T$12&lt;RASANTE!F223,F223&lt;AV!$U$12),AV!$P$12*((AV!$U$12-RASANTE!F223)/(AV!$O$12))^2,IF(AND(AV!$S$14&lt;F223,F223&lt;=AV!$T$14),AV!$P$14*((AV!$S$14-RASANTE!F223)/(AV!$N$14))^2,IF(AND(AV!$T$14&lt;RASANTE!F223,F223&lt;AV!$U$14),AV!$P$14*((AV!$U$14-RASANTE!F223)/(AV!$O$14))^2,IF(AND(AV!$S$16&lt;F223,F223&lt;=AV!$T$16),AV!$P$16*((AV!$S$16-RASANTE!F223)/(AV!$N$16))^2,IF(AND(AV!$T$16&lt;RASANTE!F223,F223&lt;AV!$U$16),AV!$P$16*((AV!$U$16-RASANTE!F223)/(AV!$O$16))^2,IF(AND(AV!$S$18&lt;F223,F223&lt;=AV!$T$18),AV!$P$18*((AV!$S$18-RASANTE!F223)/(AV!$N$18))^2,IF(AND(AV!$T$18&lt;RASANTE!F223,F223&lt;AV!$U$18),AV!$P$18*((AV!$U$18-RASANTE!F223)/(AV!$O$18))^2,IF(AND(AV!$S$20&lt;F223,F223&lt;=AV!$T$20),AV!$P$20*((AV!$S$20-RASANTE!F223)/(AV!$N$20))^2,IF(AND(AV!$T$20&lt;RASANTE!F223,F223&lt;AV!$U$20),AV!$P$20*((AV!$U$20-RASANTE!F223)/(AV!$O$20))^2,IF(AND(AV!$S$22&lt;F223,F223&lt;=AV!$T$22),AV!$P$22*((AV!$S$22-RASANTE!F223)/(AV!$N$22))^2,IF(AND(AV!$T$22&lt;RASANTE!F223,F223&lt;AV!$U$22),AV!$P$22*((AV!$U$22-RASANTE!F223)/(AV!$O$22))^2,IF(AND(AV!$S$24&lt;F223,F223&lt;=AV!$T$24),AV!$P$24*((AV!$S$24-RASANTE!F223)/(AV!$N$24))^2,IF(AND(AV!$T$24&lt;RASANTE!F223,F223&lt;AV!$U$24),AV!$P$24*((AV!$U$24-RASANTE!F223)/(AV!$O$24))^2,0))))))))))))))))))))</f>
        <v>0</v>
      </c>
      <c r="L126" s="28">
        <f>+M126+H126%*PERALTE!$C$32</f>
        <v>1628.3872140181254</v>
      </c>
      <c r="M126" s="28">
        <f t="shared" si="5"/>
        <v>1628.4572140181253</v>
      </c>
      <c r="N126" s="28">
        <f>+M126+I126%*PERALTE!$C$32</f>
        <v>1628.4572140181253</v>
      </c>
      <c r="O126" s="92"/>
      <c r="P126" s="84"/>
      <c r="Q126" s="84"/>
      <c r="R126" s="84"/>
      <c r="S126" s="84"/>
      <c r="T126" s="84"/>
      <c r="U126" s="84"/>
      <c r="V126" s="84"/>
      <c r="W126" s="84"/>
      <c r="X126" s="84"/>
      <c r="Y126" s="84"/>
    </row>
    <row r="127" spans="1:25" ht="15.75" customHeight="1" x14ac:dyDescent="0.2">
      <c r="A127" s="90"/>
      <c r="B127" s="86"/>
      <c r="C127" s="86"/>
      <c r="D127" s="86"/>
      <c r="E127" s="151">
        <f>AV!O10</f>
        <v>15</v>
      </c>
      <c r="F127" s="34">
        <v>780</v>
      </c>
      <c r="G127" s="88">
        <f>IF(F127&lt;=AV!$T$6,AV!$C$5,IF(RASANTE!F127&lt;=AV!$T$8,AV!$C$7,IF(RASANTE!F127&lt;=AV!$T$10,AV!$C$9,IF(RASANTE!F127&lt;=AV!$T$12,AV!#REF!,IF(RASANTE!F127&lt;=AV!$T$14,AV!$C$11,IF(RASANTE!F127&lt;=AV!$T$16,AV!$C$13, IF(RASANTE!F127&lt;=AV!$T$18,AV!$C$15,IF(RASANTE!F127&lt;=AV!$T$20,AV!$C$19,IF(RASANTE!F127&lt;=AV!$T$22,AV!$C$21,IF(RASANTE!F127&lt;=AV!$T$24,AV!$C$23,AV!$C$25))))))))))</f>
        <v>-3</v>
      </c>
      <c r="H127" s="28">
        <f>+IF(AND(AH!$H$8="Izquierda",RASANTE!F127&lt;=PERALTE!$AB$6),IF(RASANTE!F127&lt;=PERALTE!$S$6,-2,IF(RASANTE!F127&lt;=PERALTE!$U$6,(-6/(PERALTE!$U$6-PERALTE!$S$6)*(RASANTE!F127-PERALTE!$S$6)-2),IF(RASANTE!F127&lt;=PERALTE!$X$6,-8,IF(RASANTE!F127&lt;=PERALTE!$Z$6,(-6/(PERALTE!$X$6-PERALTE!$Z$6)*(RASANTE!F127-PERALTE!$Z$6)-2),IF(RASANTE!F127&lt;=PERALTE!$AB$6,-2))))),IF(AND(AH!$H$8="Derecha",RASANTE!F127&lt;=PERALTE!$AB$6),IF(RASANTE!F127&lt;=PERALTE!$Q$6,-2,IF(RASANTE!F127&lt;=PERALTE!$U$6,(10/(PERALTE!$U$6-PERALTE!$Q$6)*(RASANTE!F127-PERALTE!$Q$6)-2),IF(RASANTE!F127&lt;=PERALTE!$X$6,8,IF(RASANTE!F127&lt;=PERALTE!$AB$6,(10/(PERALTE!$X$6-PERALTE!$AB$6)*(RASANTE!F127-PERALTE!$AB$6)-2))))),IF(AND(AH!$H$10="Izquierda",RASANTE!F127&lt;=PERALTE!$AB$8),IF(RASANTE!F127&lt;=PERALTE!$S$8,-2,IF(RASANTE!F127&lt;=PERALTE!$U$8,(-6/(PERALTE!$U$8-PERALTE!$S$8)*(RASANTE!F127-PERALTE!$S$8)-2),IF(RASANTE!F127&lt;=PERALTE!$X$8,-8,IF(RASANTE!F127&lt;=PERALTE!$Z$8,(-6/(PERALTE!$X$8-PERALTE!$Z$8)*(RASANTE!F127-PERALTE!$Z$8)-2),IF(RASANTE!F127&lt;=PERALTE!$AB$8,-2))))),IF(AND(AH!$H$10="Derecha",RASANTE!F127&lt;=PERALTE!$AB$8),IF(RASANTE!F127&lt;=PERALTE!$Q$8,-2,IF(RASANTE!F127&lt;=PERALTE!$U$8,(10/(PERALTE!$U$8-PERALTE!$Q$8)*(RASANTE!F127-PERALTE!$Q$8)-2),IF(RASANTE!F127&lt;=PERALTE!$X$8,8,IF(RASANTE!F127&lt;=PERALTE!$AB$8,(10/(PERALTE!$X$8-PERALTE!$AB$8)*(RASANTE!F127-PERALTE!$AB$8)-2))))),IF(AND(AH!$H$12="Izquierda",RASANTE!F127&lt;=PERALTE!$AB$10),IF(RASANTE!F127&lt;=PERALTE!$S$10,-2,IF(RASANTE!F127&lt;=PERALTE!$U$10,(-6/(PERALTE!$U$10-PERALTE!$S$10)*(RASANTE!F127-PERALTE!$S$10)-2),IF(RASANTE!F127&lt;=PERALTE!$X$10,-8,IF(RASANTE!F127&lt;=PERALTE!$Z$10,(-6/(PERALTE!$X$10-PERALTE!$Z$10)*(RASANTE!F127-PERALTE!$Z$10)-2),IF(RASANTE!F127&lt;=PERALTE!$AB$10,-2))))),IF(AND(AH!$H$12="Derecha",RASANTE!F127&lt;=PERALTE!$AB$10),IF(RASANTE!F127&lt;=PERALTE!$Q$10,-2,IF(RASANTE!F127&lt;=PERALTE!$U$10,(10/(PERALTE!$U$10-PERALTE!$Q$10)*(RASANTE!F127-PERALTE!$Q$10)-2),IF(RASANTE!F127&lt;=PERALTE!$X$10,8,IF(RASANTE!F127&lt;=PERALTE!$AB$10,(10/(PERALTE!$X$10-PERALTE!$AB$10)*(RASANTE!F127-PERALTE!$AB$10)-2))))),IF(AND(AH!$H$14="Izquierda",RASANTE!F127&lt;=PERALTE!$AB$12),IF(RASANTE!F127&lt;=PERALTE!$S$12,-2,IF(RASANTE!F127&lt;=PERALTE!$U$12,(-6/(PERALTE!$U$12-PERALTE!$S$12)*(RASANTE!F127-PERALTE!$S$12)-2),IF(RASANTE!F127&lt;=PERALTE!$X$12,-8,IF(RASANTE!F127&lt;=PERALTE!$Z$12,(-6/(PERALTE!$X$12-PERALTE!$Z$12)*(RASANTE!F127-PERALTE!$Z$12)-2),IF(RASANTE!F127&lt;=PERALTE!$AB$12,-2))))),IF(AND(AH!$H$14="Derecha",RASANTE!F127&lt;=PERALTE!$AB$12),IF(RASANTE!F127&lt;=PERALTE!$Q$12,-2,IF(RASANTE!F127&lt;=PERALTE!$U$12,(10/(PERALTE!$U$12-PERALTE!$Q$12)*(RASANTE!F127-PERALTE!$Q$12)-2),IF(RASANTE!F127&lt;=PERALTE!$X$12,8,IF(RASANTE!F127&lt;=PERALTE!$AB$12,(10/(PERALTE!$X$12-PERALTE!$AB$12)*(RASANTE!F127-PERALTE!$AB$12)-2))))),IF(AND(AH!$H$16="Izquierda",RASANTE!F127&lt;=PERALTE!$AB$14),IF(RASANTE!F127&lt;=PERALTE!$S$14,-2,IF(RASANTE!F127&lt;=PERALTE!$U$14,(-6/(PERALTE!$U$14-PERALTE!$S$14)*(RASANTE!F127-PERALTE!$S$14)-2),IF(RASANTE!F127&lt;=PERALTE!$X$14,-8,IF(RASANTE!F127&lt;=PERALTE!$Z$14,(-6/(PERALTE!$X$14-PERALTE!$Z$14)*(RASANTE!F127-PERALTE!$Z$14)-2),IF(RASANTE!F127&lt;=PERALTE!$AB$14,-2))))),IF(AND(AH!$H$16="Derecha",RASANTE!F127&lt;=PERALTE!$AB$14),IF(RASANTE!F127&lt;=PERALTE!$Q$14,-2,IF(RASANTE!F127&lt;=PERALTE!$U$14,(10/(PERALTE!$U$14-PERALTE!$Q$14)*(RASANTE!F127-PERALTE!$Q$14)-2),IF(RASANTE!F127&lt;=PERALTE!$X$14,8,IF(RASANTE!F127&lt;=PERALTE!$AB$14,(10/(PERALTE!$X$14-PERALTE!$AB$14)*(RASANTE!F127-PERALTE!$AB$14)-2))))),IF(AND(AH!$H$18="Izquierda",RASANTE!F127&lt;=PERALTE!$AB$16),IF(RASANTE!F127&lt;=PERALTE!$S$16,-2,IF(RASANTE!F127&lt;=PERALTE!$U$16,(-6/(PERALTE!$U$16-PERALTE!$S$16)*(RASANTE!F127-PERALTE!$S$16)-2),IF(RASANTE!F127&lt;=PERALTE!$X$16,-8,IF(RASANTE!F127&lt;=PERALTE!$Z$16,(-6/(PERALTE!$X$16-PERALTE!$Z$16)*(RASANTE!F127-PERALTE!$Z$16)-2),IF(RASANTE!F127&lt;=PERALTE!$AB$16,-2))))),IF(AND(AH!$H$18="Derecha",RASANTE!F127&lt;=PERALTE!$AB$16),IF(RASANTE!F127&lt;=PERALTE!$Q$16,-2,IF(RASANTE!F127&lt;=PERALTE!$U$16,(10/(PERALTE!$U$16-PERALTE!$Q$16)*(RASANTE!F127-PERALTE!$Q$16)-2),IF(RASANTE!F127&lt;=PERALTE!$X$16,8,IF(RASANTE!F127&lt;=PERALTE!$AB$16,(10/(PERALTE!$X$16-PERALTE!$AB$16)*(RASANTE!F127-PERALTE!$AB$16)-2))))),IF(AND(AH!$H$20="Izquierda",RASANTE!F127&lt;=PERALTE!$AB$18),IF(RASANTE!F127&lt;=PERALTE!$S$18,-2,IF(RASANTE!F127&lt;=PERALTE!$U$18,(-6/(PERALTE!$U$18-PERALTE!$S$18)*(RASANTE!F127-PERALTE!$S$18)-2),IF(RASANTE!F127&lt;=PERALTE!$X$18,-8,IF(RASANTE!F127&lt;=PERALTE!$Z$18,(-6/(PERALTE!$X$18-PERALTE!$Z$18)*(RASANTE!F127-PERALTE!$Z$18)-2),IF(RASANTE!F127&lt;=PERALTE!$AB$18,-2))))),IF(AND(AH!$H$20="Derecha",RASANTE!F127&lt;=PERALTE!$AB$18),IF(RASANTE!F127&lt;=PERALTE!$Q$18,-2,IF(RASANTE!F127&lt;=PERALTE!$U$18,(10/(PERALTE!$U$18-PERALTE!$Q$18)*(RASANTE!F127-PERALTE!$Q$18)-2),IF(RASANTE!F127&lt;=PERALTE!$X$18,8,IF(RASANTE!F127&lt;=PERALTE!$AB$18,(10/(PERALTE!$X$18-PERALTE!$AB$18)*(RASANTE!F127-PERALTE!$AB$18)-2))))),IF(AND(AH!$H$24="Izquierda",RASANTE!F127&lt;=PERALTE!$AB$22),IF(RASANTE!F127&lt;=PERALTE!$S$22,-2,IF(RASANTE!F127&lt;=PERALTE!$U$22,(-6/(PERALTE!$U$22-PERALTE!$S$22)*(RASANTE!F127-PERALTE!$S$22)-2),IF(RASANTE!F127&lt;=PERALTE!$X$22,-8,IF(RASANTE!F127&lt;=PERALTE!$Z$22,(-6/(PERALTE!$X$22-PERALTE!$Z$22)*(RASANTE!F127-PERALTE!$Z$22)-2),IF(RASANTE!F127&lt;=PERALTE!$AB$22,-2))))),IF(AND(AH!$H$24="Derecha",RASANTE!F127&lt;=PERALTE!$AB$22),IF(RASANTE!F127&lt;=PERALTE!$Q$22,-2,IF(RASANTE!F127&lt;=PERALTE!$U$22,(10/(PERALTE!$U$22-PERALTE!$Q$22)*(RASANTE!F127-PERALTE!$Q$22)-2),IF(RASANTE!F127&lt;=PERALTE!$X$22,8,IF(RASANTE!F127&lt;=PERALTE!$AB$22,(10/(PERALTE!$X$22-PERALTE!$AB$22)*(RASANTE!F127-PERALTE!$AB$22)-2))))),IF(AND(AH!#REF!="Izquierda",RASANTE!F127&lt;=PERALTE!#REF!),IF(RASANTE!F127&lt;=PERALTE!#REF!,-2,IF(RASANTE!F127&lt;=PERALTE!#REF!,(-6/(PERALTE!#REF!-PERALTE!#REF!)*(RASANTE!F127-PERALTE!#REF!)-2),IF(RASANTE!F127&lt;=PERALTE!#REF!,-8,IF(RASANTE!F127&lt;=PERALTE!#REF!,(-6/(PERALTE!#REF!-PERALTE!#REF!)*(RASANTE!F127-PERALTE!#REF!)-2),IF(RASANTE!F127&lt;=PERALTE!#REF!,-2))))),IF(AND(AH!#REF!="Derecha",RASANTE!F127&lt;=PERALTE!#REF!),IF(RASANTE!F127&lt;=PERALTE!#REF!,-2,IF(RASANTE!F127&lt;=PERALTE!#REF!,(10/(PERALTE!#REF!-PERALTE!#REF!)*(RASANTE!F127-PERALTE!#REF!)-2),IF(RASANTE!F127&lt;=PERALTE!#REF!,8,IF(RASANTE!F127&lt;=PERALTE!#REF!,(10/(PERALTE!#REF!-PERALTE!#REF!)*(RASANTE!F127-PERALTE!#REF!)-2))))),IF(AND(AH!#REF!="Izquierda",RASANTE!F127&lt;=PERALTE!$AB$26),IF(RASANTE!F127&lt;=PERALTE!$S$26,-2,IF(RASANTE!F127&lt;=PERALTE!$U$26,(-6/(PERALTE!$U$26-PERALTE!$S$26)*(RASANTE!F127-PERALTE!$S$26)-2),IF(RASANTE!F127&lt;=PERALTE!$X$26,-8,IF(RASANTE!F127&lt;=PERALTE!$Z$26,(-6/(PERALTE!$X$26-PERALTE!$Z$26)*(RASANTE!F127-PERALTE!$Z$26)-2),IF(RASANTE!F127&lt;=PERALTE!$AB$26,-2))))),IF(AND(AH!#REF!="Derecha",RASANTE!F127&lt;=PERALTE!$AB$26),IF(RASANTE!F127&lt;=PERALTE!$Q$26,-2,IF(RASANTE!F127&lt;=PERALTE!$U$26,(10/(PERALTE!$U$26-PERALTE!$Q$26)*(RASANTE!F127-PERALTE!$Q$26)-2),IF(RASANTE!F127&lt;=PERALTE!$X$26,8,IF(RASANTE!F127&lt;=PERALTE!$AB$26,(10/(PERALTE!$X$26-PERALTE!$AB$26)*(RASANTE!F127-PERALTE!$AB$26)-2))))),IF(F127&lt;=PERALTE!#REF!,-2,"Abscisa fuera de la vía")))))))))))))))))))))</f>
        <v>-2</v>
      </c>
      <c r="I127" s="28">
        <f>+IF(AND(AH!$H$8="Derecha",RASANTE!F127&lt;=PERALTE!$AB$6),IF(RASANTE!F127&lt;=PERALTE!$S$6,-2,IF(RASANTE!F127&lt;=PERALTE!$U$6,(-6/(PERALTE!$U$6-PERALTE!$S$6)*(RASANTE!F127-PERALTE!$S$6)-2),IF(RASANTE!F127&lt;=PERALTE!$X$6,-8,IF(RASANTE!F127&lt;=PERALTE!$Z$6,(-6/(PERALTE!$X$6-PERALTE!$Z$6)*(RASANTE!F127-PERALTE!$Z$6)-2),IF(RASANTE!F127&lt;=PERALTE!$AB$6,-2))))),IF(AND(AH!$H$8="Izquierda",RASANTE!F127&lt;=PERALTE!$AB$6),IF(RASANTE!F127&lt;=PERALTE!$Q$6,-2,IF(RASANTE!F127&lt;=PERALTE!$U$6,(10/(PERALTE!$U$6-PERALTE!$Q$6)*(RASANTE!F127-PERALTE!$Q$6)-2),IF(RASANTE!F127&lt;=PERALTE!$X$6,8,IF(RASANTE!F127&lt;=PERALTE!$AB$6,(10/(PERALTE!$X$6-PERALTE!$AB$6)*(RASANTE!F127-PERALTE!$AB$6)-2))))),IF(AND(AH!$H$10="Derecha",RASANTE!F127&lt;=PERALTE!$AB$8),IF(RASANTE!F127&lt;=PERALTE!$S$8,-2,IF(RASANTE!F127&lt;=PERALTE!$U$8,(-6/(PERALTE!$U$8-PERALTE!$S$8)*(RASANTE!F127-PERALTE!$S$8)-2),IF(RASANTE!F127&lt;=PERALTE!$X$8,-8,IF(RASANTE!F127&lt;=PERALTE!$Z$8,(-6/(PERALTE!$X$8-PERALTE!$Z$8)*(RASANTE!F127-PERALTE!$Z$8)-2),IF(RASANTE!F127&lt;=PERALTE!$AB$8,-2))))),IF(AND(AH!$H$10="Izquierda",RASANTE!F127&lt;=PERALTE!$AB$8),IF(RASANTE!F127&lt;=PERALTE!$Q$8,-2,IF(RASANTE!F127&lt;=PERALTE!$U$8,(10/(PERALTE!$U$8-PERALTE!$Q$8)*(RASANTE!F127-PERALTE!$Q$8)-2),IF(RASANTE!F127&lt;=PERALTE!$X$8,8,IF(RASANTE!F127&lt;=PERALTE!$AB$8,(10/(PERALTE!$X$8-PERALTE!$AB$8)*(RASANTE!F127-PERALTE!$AB$8)-2))))),IF(AND(AH!$H$12="Derecha",RASANTE!F127&lt;=PERALTE!$AB$10),IF(RASANTE!F127&lt;=PERALTE!$S$10,-2,IF(RASANTE!F127&lt;=PERALTE!$U$10,(-6/(PERALTE!$U$10-PERALTE!$S$10)*(RASANTE!F127-PERALTE!$S$10)-2),IF(RASANTE!F127&lt;=PERALTE!$X$10,-8,IF(RASANTE!F127&lt;=PERALTE!$Z$10,(-6/(PERALTE!$X$10-PERALTE!$Z$10)*(RASANTE!F127-PERALTE!$Z$10)-2),IF(RASANTE!F127&lt;=PERALTE!$AB$10,-2))))),IF(AND(AH!$H$12="Izquierda",RASANTE!F127&lt;=PERALTE!$AB$10),IF(RASANTE!F127&lt;=PERALTE!$Q$10,-2,IF(RASANTE!F127&lt;=PERALTE!$U$10,(10/(PERALTE!$U$10-PERALTE!$Q$10)*(RASANTE!F127-PERALTE!$Q$10)-2),IF(RASANTE!F127&lt;=PERALTE!$X$10,8,IF(RASANTE!F127&lt;=PERALTE!$AB$10,(10/(PERALTE!$X$10-PERALTE!$AB$10)*(RASANTE!F127-PERALTE!$AB$10)-2))))),IF(AND(AH!$H$14="Derecha",RASANTE!F127&lt;=PERALTE!$AB$12),IF(RASANTE!F127&lt;=PERALTE!$S$12,-2,IF(RASANTE!F127&lt;=PERALTE!$U$12,(-6/(PERALTE!$U$12-PERALTE!$S$12)*(RASANTE!F127-PERALTE!$S$12)-2),IF(RASANTE!F127&lt;=PERALTE!$X$12,-8,IF(RASANTE!F127&lt;=PERALTE!$Z$12,(-6/(PERALTE!$X$12-PERALTE!$Z$12)*(RASANTE!F127-PERALTE!$Z$12)-2),IF(RASANTE!F127&lt;=PERALTE!$AB$12,-2))))),IF(AND(AH!$H$14="Izquierda",RASANTE!F127&lt;=PERALTE!$AB$12),IF(RASANTE!F127&lt;=PERALTE!$Q$12,-2,IF(RASANTE!F127&lt;=PERALTE!$U$12,(10/(PERALTE!$U$12-PERALTE!$Q$12)*(RASANTE!F127-PERALTE!$Q$12)-2),IF(RASANTE!F127&lt;=PERALTE!$X$12,8,IF(RASANTE!F127&lt;=PERALTE!$AB$12,(10/(PERALTE!$X$12-PERALTE!$AB$12)*(RASANTE!F127-PERALTE!$AB$12)-2))))),IF(AND(AH!$H$16="Derecha",RASANTE!F127&lt;=PERALTE!$AB$14),IF(RASANTE!F127&lt;=PERALTE!$S$14,-2,IF(RASANTE!F127&lt;=PERALTE!$U$14,(-6/(PERALTE!$U$14-PERALTE!$S$14)*(RASANTE!F127-PERALTE!$S$14)-2),IF(RASANTE!F127&lt;=PERALTE!$X$14,-8,IF(RASANTE!F127&lt;=PERALTE!$Z$14,(-6/(PERALTE!$X$14-PERALTE!$Z$14)*(RASANTE!F127-PERALTE!$Z$14)-2),IF(RASANTE!F127&lt;=PERALTE!$AB$14,-2))))),IF(AND(AH!$H$16="Izquierda",RASANTE!F127&lt;=PERALTE!$AB$14),IF(RASANTE!F127&lt;=PERALTE!$Q$14,-2,IF(RASANTE!F127&lt;=PERALTE!$U$14,(10/(PERALTE!$U$14-PERALTE!$Q$14)*(RASANTE!F127-PERALTE!$Q$14)-2),IF(RASANTE!F127&lt;=PERALTE!$X$14,8,IF(RASANTE!F127&lt;=PERALTE!$AB$14,(10/(PERALTE!$X$14-PERALTE!$AB$14)*(RASANTE!F127-PERALTE!$AB$14)-2))))),IF(AND(AH!$H$18="Derecha",RASANTE!F127&lt;=PERALTE!$AB$16),IF(RASANTE!F127&lt;=PERALTE!$S$16,-2,IF(RASANTE!F127&lt;=PERALTE!$U$16,(-6/(PERALTE!$U$16-PERALTE!$S$16)*(RASANTE!F127-PERALTE!$S$16)-2),IF(RASANTE!F127&lt;=PERALTE!$X$16,-8,IF(RASANTE!F127&lt;=PERALTE!$Z$16,(-6/(PERALTE!$X$16-PERALTE!$Z$16)*(RASANTE!F127-PERALTE!$Z$16)-2),IF(RASANTE!F127&lt;=PERALTE!$AB$16,-2))))),IF(AND(AH!$H$18="Izquierda",RASANTE!F127&lt;=PERALTE!$AB$16),IF(RASANTE!F127&lt;=PERALTE!$Q$16,-2,IF(RASANTE!F127&lt;=PERALTE!$U$16,(10/(PERALTE!$U$16-PERALTE!$Q$16)*(RASANTE!F127-PERALTE!$Q$16)-2),IF(RASANTE!F127&lt;=PERALTE!$X$16,8,IF(RASANTE!F127&lt;=PERALTE!$AB$16,(10/(PERALTE!$X$16-PERALTE!$AB$16)*(RASANTE!F127-PERALTE!$AB$16)-2))))),IF(AND(AH!$H$20="Derecha",RASANTE!F127&lt;=PERALTE!$AB$18),IF(RASANTE!F127&lt;=PERALTE!$S$18,-2,IF(RASANTE!F127&lt;=PERALTE!$U$18,(-6/(PERALTE!$U$18-PERALTE!$S$18)*(RASANTE!F127-PERALTE!$S$18)-2),IF(RASANTE!F127&lt;=PERALTE!$X$18,-8,IF(RASANTE!F127&lt;=PERALTE!$Z$18,(-6/(PERALTE!$X$18-PERALTE!$Z$18)*(RASANTE!F127-PERALTE!$Z$18)-2),IF(RASANTE!F127&lt;=PERALTE!$AB$18,-2))))),IF(AND(AH!$H$20="Izquierda",RASANTE!F127&lt;=PERALTE!$AB$18),IF(RASANTE!F127&lt;=PERALTE!$Q$18,-2,IF(RASANTE!F127&lt;=PERALTE!$U$18,(10/(PERALTE!$U$18-PERALTE!$Q$18)*(RASANTE!F127-PERALTE!$Q$18)-2),IF(RASANTE!F127&lt;=PERALTE!$X$18,8,IF(RASANTE!F127&lt;=PERALTE!$AB$18,(10/(PERALTE!$X$18-PERALTE!$AB$18)*(RASANTE!F127-PERALTE!$AB$18)-2))))),IF(AND(AH!$H$24="Derecha",RASANTE!F127&lt;=PERALTE!$AB$22),IF(RASANTE!F127&lt;=PERALTE!$S$22,-2,IF(RASANTE!F127&lt;=PERALTE!$U$22,(-6/(PERALTE!$U$22-PERALTE!$S$22)*(RASANTE!F127-PERALTE!$S$22)-2),IF(RASANTE!F127&lt;=PERALTE!$X$22,-8,IF(RASANTE!F127&lt;=PERALTE!$Z$22,(-6/(PERALTE!$X$22-PERALTE!$Z$22)*(RASANTE!F127-PERALTE!$Z$22)-2),IF(RASANTE!F127&lt;=PERALTE!$AB$22,-2))))),IF(AND(AH!$H$24="Izquierda",RASANTE!F127&lt;=PERALTE!$AB$22),IF(RASANTE!F127&lt;=PERALTE!$Q$22,-2,IF(RASANTE!F127&lt;=PERALTE!$U$22,(10/(PERALTE!$U$22-PERALTE!$Q$22)*(RASANTE!F127-PERALTE!$Q$22)-2),IF(RASANTE!F127&lt;=PERALTE!$X$22,8,IF(RASANTE!F127&lt;=PERALTE!$AB$22,(10/(PERALTE!$X$22-PERALTE!$AB$22)*(RASANTE!F127-PERALTE!$AB$22)-2))))),IF(AND(AH!#REF!="Derecha",RASANTE!F127&lt;=PERALTE!#REF!),IF(RASANTE!F127&lt;=PERALTE!#REF!,-2,IF(RASANTE!F127&lt;=PERALTE!#REF!,(-6/(PERALTE!#REF!-PERALTE!#REF!)*(RASANTE!F127-PERALTE!#REF!)-2),IF(RASANTE!F127&lt;=PERALTE!#REF!,-8,IF(RASANTE!F127&lt;=PERALTE!#REF!,(-6/(PERALTE!#REF!-PERALTE!#REF!)*(RASANTE!F127-PERALTE!#REF!)-2),IF(RASANTE!F127&lt;=PERALTE!#REF!,-2))))),IF(AND(AH!#REF!="Izquierda",RASANTE!F127&lt;=PERALTE!#REF!),IF(RASANTE!F127&lt;=PERALTE!#REF!,-2,IF(RASANTE!F127&lt;=PERALTE!#REF!,(10/(PERALTE!#REF!-PERALTE!#REF!)*(RASANTE!F127-PERALTE!#REF!)-2),IF(RASANTE!F127&lt;=PERALTE!#REF!,8,IF(RASANTE!F127&lt;=PERALTE!#REF!,(10/(PERALTE!#REF!-PERALTE!#REF!)*(RASANTE!F127-PERALTE!#REF!)-2))))),IF(AND(AH!#REF!="Derecha",RASANTE!F127&lt;=PERALTE!$AB$26),IF(RASANTE!F127&lt;=PERALTE!$S$26,-2,IF(RASANTE!F127&lt;=PERALTE!$U$26,(-6/(PERALTE!$U$26-PERALTE!$S$26)*(RASANTE!F127-PERALTE!$S$26)-2),IF(RASANTE!F127&lt;=PERALTE!$X$26,-8,IF(RASANTE!F127&lt;=PERALTE!$Z$26,(-6/(PERALTE!$X$26-PERALTE!$Z$26)*(RASANTE!F127-PERALTE!$Z$26)-2),IF(RASANTE!F127&lt;=PERALTE!$AB$26,-2))))),IF(AND(AH!#REF!="Izquierda",RASANTE!F127&lt;=PERALTE!$AB$26),IF(RASANTE!F127&lt;=PERALTE!$Q$26,-2,IF(RASANTE!F127&lt;=PERALTE!$U$26,(10/(PERALTE!$U$26-PERALTE!$Q$26)*(RASANTE!F127-PERALTE!$Q$26)-2),IF(RASANTE!F127&lt;=PERALTE!$X$26,8,IF(RASANTE!F127&lt;=PERALTE!$AB$26,(10/(PERALTE!$X$26-PERALTE!$AB$26)*(RASANTE!F127-PERALTE!$AB$26)-2))))),IF(F127&lt;=PERALTE!#REF!,-2,"Abscisa fuera de la vía")))))))))))))))))))))</f>
        <v>0.51930279957627379</v>
      </c>
      <c r="J127" s="28">
        <f t="shared" si="4"/>
        <v>1628.3864000000012</v>
      </c>
      <c r="K127" s="28">
        <f>+IF(AND(AV!$S$6&lt;F224,F224&lt;=AV!$T$6),AV!$P$6*((AV!$S$6-RASANTE!F224)/(AV!$N$6))^2,IF(AND(AV!$T$6&lt;RASANTE!F224,F224&lt;AV!$U$6),AV!$P$6*((AV!$U$6-RASANTE!F224)/(AV!$O$6))^2,IF(AND(AV!$S$8&lt;F224,F224&lt;=AV!$T$8),AV!$P$8*((AV!$S$8-RASANTE!F224)/(AV!$N$8))^2,IF(AND(AV!$T$8&lt;RASANTE!F224,F224&lt;AV!$U$8),AV!$P$8*((AV!$U$8-RASANTE!F224)/(AV!$O$8))^2,IF(AND(AV!$S$10&lt;F224,F224&lt;=AV!$T$10),AV!$P$10*((AV!$S$10-RASANTE!F224)/(AV!$N$10))^2,IF(AND(AV!$T$10&lt;RASANTE!F224,F224&lt;AV!$U$10),AV!$P$10*((AV!$U$10-RASANTE!F224)/(AV!$O$10))^2,IF(AND(AV!$S$12&lt;F224,F224&lt;=AV!$T$12),AV!$P$12*((AV!$S$12-RASANTE!F224)/(AV!$N$12))^2,IF(AND(AV!$T$12&lt;RASANTE!F224,F224&lt;AV!$U$12),AV!$P$12*((AV!$U$12-RASANTE!F224)/(AV!$O$12))^2,IF(AND(AV!$S$14&lt;F224,F224&lt;=AV!$T$14),AV!$P$14*((AV!$S$14-RASANTE!F224)/(AV!$N$14))^2,IF(AND(AV!$T$14&lt;RASANTE!F224,F224&lt;AV!$U$14),AV!$P$14*((AV!$U$14-RASANTE!F224)/(AV!$O$14))^2,IF(AND(AV!$S$16&lt;F224,F224&lt;=AV!$T$16),AV!$P$16*((AV!$S$16-RASANTE!F224)/(AV!$N$16))^2,IF(AND(AV!$T$16&lt;RASANTE!F224,F224&lt;AV!$U$16),AV!$P$16*((AV!$U$16-RASANTE!F224)/(AV!$O$16))^2,IF(AND(AV!$S$18&lt;F224,F224&lt;=AV!$T$18),AV!$P$18*((AV!$S$18-RASANTE!F224)/(AV!$N$18))^2,IF(AND(AV!$T$18&lt;RASANTE!F224,F224&lt;AV!$U$18),AV!$P$18*((AV!$U$18-RASANTE!F224)/(AV!$O$18))^2,IF(AND(AV!$S$20&lt;F224,F224&lt;=AV!$T$20),AV!$P$20*((AV!$S$20-RASANTE!F224)/(AV!$N$20))^2,IF(AND(AV!$T$20&lt;RASANTE!F224,F224&lt;AV!$U$20),AV!$P$20*((AV!$U$20-RASANTE!F224)/(AV!$O$20))^2,IF(AND(AV!$S$22&lt;F224,F224&lt;=AV!$T$22),AV!$P$22*((AV!$S$22-RASANTE!F224)/(AV!$N$22))^2,IF(AND(AV!$T$22&lt;RASANTE!F224,F224&lt;AV!$U$22),AV!$P$22*((AV!$U$22-RASANTE!F224)/(AV!$O$22))^2,IF(AND(AV!$S$24&lt;F224,F224&lt;=AV!$T$24),AV!$P$24*((AV!$S$24-RASANTE!F224)/(AV!$N$24))^2,IF(AND(AV!$T$24&lt;RASANTE!F224,F224&lt;AV!$U$24),AV!$P$24*((AV!$U$24-RASANTE!F224)/(AV!$O$24))^2,0))))))))))))))))))))</f>
        <v>0</v>
      </c>
      <c r="L127" s="28">
        <f>+M127+H127%*PERALTE!$C$32</f>
        <v>1628.3164000000013</v>
      </c>
      <c r="M127" s="28">
        <f t="shared" si="5"/>
        <v>1628.3864000000012</v>
      </c>
      <c r="N127" s="28">
        <f>+M127+I127%*PERALTE!$C$32</f>
        <v>1628.4045755979864</v>
      </c>
      <c r="O127" s="92"/>
      <c r="P127" s="84"/>
      <c r="Q127" s="84"/>
      <c r="R127" s="84"/>
      <c r="S127" s="84"/>
      <c r="T127" s="84"/>
      <c r="U127" s="84"/>
      <c r="V127" s="84"/>
      <c r="W127" s="84"/>
      <c r="X127" s="84"/>
      <c r="Y127" s="84"/>
    </row>
    <row r="128" spans="1:25" ht="15.75" customHeight="1" x14ac:dyDescent="0.2">
      <c r="A128" s="315" t="s">
        <v>113</v>
      </c>
      <c r="E128" s="152">
        <f>AV!P10</f>
        <v>-0.1590375</v>
      </c>
      <c r="F128" s="34">
        <f>AV!T10</f>
        <v>783.88199999999995</v>
      </c>
      <c r="G128" s="88">
        <f>IF(F128&lt;=AV!$T$6,AV!$C$5,IF(RASANTE!F128&lt;=AV!$T$8,AV!$C$7,IF(RASANTE!F128&lt;=AV!$T$10,AV!$C$9,IF(RASANTE!F128&lt;=AV!$T$12,AV!#REF!,IF(RASANTE!F128&lt;=AV!$T$14,AV!$C$11,IF(RASANTE!F128&lt;=AV!$T$16,AV!$C$13, IF(RASANTE!F128&lt;=AV!$T$18,AV!$C$15,IF(RASANTE!F128&lt;=AV!$T$20,AV!$C$19,IF(RASANTE!F128&lt;=AV!$T$22,AV!$C$21,IF(RASANTE!F128&lt;=AV!$T$24,AV!$C$23,AV!$C$25))))))))))</f>
        <v>-3</v>
      </c>
      <c r="H128" s="28">
        <f>+IF(AND(AH!$H$8="Izquierda",RASANTE!F128&lt;=PERALTE!$AB$6),IF(RASANTE!F128&lt;=PERALTE!$S$6,-2,IF(RASANTE!F128&lt;=PERALTE!$U$6,(-6/(PERALTE!$U$6-PERALTE!$S$6)*(RASANTE!F128-PERALTE!$S$6)-2),IF(RASANTE!F128&lt;=PERALTE!$X$6,-8,IF(RASANTE!F128&lt;=PERALTE!$Z$6,(-6/(PERALTE!$X$6-PERALTE!$Z$6)*(RASANTE!F128-PERALTE!$Z$6)-2),IF(RASANTE!F128&lt;=PERALTE!$AB$6,-2))))),IF(AND(AH!$H$8="Derecha",RASANTE!F128&lt;=PERALTE!$AB$6),IF(RASANTE!F128&lt;=PERALTE!$Q$6,-2,IF(RASANTE!F128&lt;=PERALTE!$U$6,(10/(PERALTE!$U$6-PERALTE!$Q$6)*(RASANTE!F128-PERALTE!$Q$6)-2),IF(RASANTE!F128&lt;=PERALTE!$X$6,8,IF(RASANTE!F128&lt;=PERALTE!$AB$6,(10/(PERALTE!$X$6-PERALTE!$AB$6)*(RASANTE!F128-PERALTE!$AB$6)-2))))),IF(AND(AH!$H$10="Izquierda",RASANTE!F128&lt;=PERALTE!$AB$8),IF(RASANTE!F128&lt;=PERALTE!$S$8,-2,IF(RASANTE!F128&lt;=PERALTE!$U$8,(-6/(PERALTE!$U$8-PERALTE!$S$8)*(RASANTE!F128-PERALTE!$S$8)-2),IF(RASANTE!F128&lt;=PERALTE!$X$8,-8,IF(RASANTE!F128&lt;=PERALTE!$Z$8,(-6/(PERALTE!$X$8-PERALTE!$Z$8)*(RASANTE!F128-PERALTE!$Z$8)-2),IF(RASANTE!F128&lt;=PERALTE!$AB$8,-2))))),IF(AND(AH!$H$10="Derecha",RASANTE!F128&lt;=PERALTE!$AB$8),IF(RASANTE!F128&lt;=PERALTE!$Q$8,-2,IF(RASANTE!F128&lt;=PERALTE!$U$8,(10/(PERALTE!$U$8-PERALTE!$Q$8)*(RASANTE!F128-PERALTE!$Q$8)-2),IF(RASANTE!F128&lt;=PERALTE!$X$8,8,IF(RASANTE!F128&lt;=PERALTE!$AB$8,(10/(PERALTE!$X$8-PERALTE!$AB$8)*(RASANTE!F128-PERALTE!$AB$8)-2))))),IF(AND(AH!$H$12="Izquierda",RASANTE!F128&lt;=PERALTE!$AB$10),IF(RASANTE!F128&lt;=PERALTE!$S$10,-2,IF(RASANTE!F128&lt;=PERALTE!$U$10,(-6/(PERALTE!$U$10-PERALTE!$S$10)*(RASANTE!F128-PERALTE!$S$10)-2),IF(RASANTE!F128&lt;=PERALTE!$X$10,-8,IF(RASANTE!F128&lt;=PERALTE!$Z$10,(-6/(PERALTE!$X$10-PERALTE!$Z$10)*(RASANTE!F128-PERALTE!$Z$10)-2),IF(RASANTE!F128&lt;=PERALTE!$AB$10,-2))))),IF(AND(AH!$H$12="Derecha",RASANTE!F128&lt;=PERALTE!$AB$10),IF(RASANTE!F128&lt;=PERALTE!$Q$10,-2,IF(RASANTE!F128&lt;=PERALTE!$U$10,(10/(PERALTE!$U$10-PERALTE!$Q$10)*(RASANTE!F128-PERALTE!$Q$10)-2),IF(RASANTE!F128&lt;=PERALTE!$X$10,8,IF(RASANTE!F128&lt;=PERALTE!$AB$10,(10/(PERALTE!$X$10-PERALTE!$AB$10)*(RASANTE!F128-PERALTE!$AB$10)-2))))),IF(AND(AH!$H$14="Izquierda",RASANTE!F128&lt;=PERALTE!$AB$12),IF(RASANTE!F128&lt;=PERALTE!$S$12,-2,IF(RASANTE!F128&lt;=PERALTE!$U$12,(-6/(PERALTE!$U$12-PERALTE!$S$12)*(RASANTE!F128-PERALTE!$S$12)-2),IF(RASANTE!F128&lt;=PERALTE!$X$12,-8,IF(RASANTE!F128&lt;=PERALTE!$Z$12,(-6/(PERALTE!$X$12-PERALTE!$Z$12)*(RASANTE!F128-PERALTE!$Z$12)-2),IF(RASANTE!F128&lt;=PERALTE!$AB$12,-2))))),IF(AND(AH!$H$14="Derecha",RASANTE!F128&lt;=PERALTE!$AB$12),IF(RASANTE!F128&lt;=PERALTE!$Q$12,-2,IF(RASANTE!F128&lt;=PERALTE!$U$12,(10/(PERALTE!$U$12-PERALTE!$Q$12)*(RASANTE!F128-PERALTE!$Q$12)-2),IF(RASANTE!F128&lt;=PERALTE!$X$12,8,IF(RASANTE!F128&lt;=PERALTE!$AB$12,(10/(PERALTE!$X$12-PERALTE!$AB$12)*(RASANTE!F128-PERALTE!$AB$12)-2))))),IF(AND(AH!$H$16="Izquierda",RASANTE!F128&lt;=PERALTE!$AB$14),IF(RASANTE!F128&lt;=PERALTE!$S$14,-2,IF(RASANTE!F128&lt;=PERALTE!$U$14,(-6/(PERALTE!$U$14-PERALTE!$S$14)*(RASANTE!F128-PERALTE!$S$14)-2),IF(RASANTE!F128&lt;=PERALTE!$X$14,-8,IF(RASANTE!F128&lt;=PERALTE!$Z$14,(-6/(PERALTE!$X$14-PERALTE!$Z$14)*(RASANTE!F128-PERALTE!$Z$14)-2),IF(RASANTE!F128&lt;=PERALTE!$AB$14,-2))))),IF(AND(AH!$H$16="Derecha",RASANTE!F128&lt;=PERALTE!$AB$14),IF(RASANTE!F128&lt;=PERALTE!$Q$14,-2,IF(RASANTE!F128&lt;=PERALTE!$U$14,(10/(PERALTE!$U$14-PERALTE!$Q$14)*(RASANTE!F128-PERALTE!$Q$14)-2),IF(RASANTE!F128&lt;=PERALTE!$X$14,8,IF(RASANTE!F128&lt;=PERALTE!$AB$14,(10/(PERALTE!$X$14-PERALTE!$AB$14)*(RASANTE!F128-PERALTE!$AB$14)-2))))),IF(AND(AH!$H$18="Izquierda",RASANTE!F128&lt;=PERALTE!$AB$16),IF(RASANTE!F128&lt;=PERALTE!$S$16,-2,IF(RASANTE!F128&lt;=PERALTE!$U$16,(-6/(PERALTE!$U$16-PERALTE!$S$16)*(RASANTE!F128-PERALTE!$S$16)-2),IF(RASANTE!F128&lt;=PERALTE!$X$16,-8,IF(RASANTE!F128&lt;=PERALTE!$Z$16,(-6/(PERALTE!$X$16-PERALTE!$Z$16)*(RASANTE!F128-PERALTE!$Z$16)-2),IF(RASANTE!F128&lt;=PERALTE!$AB$16,-2))))),IF(AND(AH!$H$18="Derecha",RASANTE!F128&lt;=PERALTE!$AB$16),IF(RASANTE!F128&lt;=PERALTE!$Q$16,-2,IF(RASANTE!F128&lt;=PERALTE!$U$16,(10/(PERALTE!$U$16-PERALTE!$Q$16)*(RASANTE!F128-PERALTE!$Q$16)-2),IF(RASANTE!F128&lt;=PERALTE!$X$16,8,IF(RASANTE!F128&lt;=PERALTE!$AB$16,(10/(PERALTE!$X$16-PERALTE!$AB$16)*(RASANTE!F128-PERALTE!$AB$16)-2))))),IF(AND(AH!$H$20="Izquierda",RASANTE!F128&lt;=PERALTE!$AB$18),IF(RASANTE!F128&lt;=PERALTE!$S$18,-2,IF(RASANTE!F128&lt;=PERALTE!$U$18,(-6/(PERALTE!$U$18-PERALTE!$S$18)*(RASANTE!F128-PERALTE!$S$18)-2),IF(RASANTE!F128&lt;=PERALTE!$X$18,-8,IF(RASANTE!F128&lt;=PERALTE!$Z$18,(-6/(PERALTE!$X$18-PERALTE!$Z$18)*(RASANTE!F128-PERALTE!$Z$18)-2),IF(RASANTE!F128&lt;=PERALTE!$AB$18,-2))))),IF(AND(AH!$H$20="Derecha",RASANTE!F128&lt;=PERALTE!$AB$18),IF(RASANTE!F128&lt;=PERALTE!$Q$18,-2,IF(RASANTE!F128&lt;=PERALTE!$U$18,(10/(PERALTE!$U$18-PERALTE!$Q$18)*(RASANTE!F128-PERALTE!$Q$18)-2),IF(RASANTE!F128&lt;=PERALTE!$X$18,8,IF(RASANTE!F128&lt;=PERALTE!$AB$18,(10/(PERALTE!$X$18-PERALTE!$AB$18)*(RASANTE!F128-PERALTE!$AB$18)-2))))),IF(AND(AH!$H$24="Izquierda",RASANTE!F128&lt;=PERALTE!$AB$22),IF(RASANTE!F128&lt;=PERALTE!$S$22,-2,IF(RASANTE!F128&lt;=PERALTE!$U$22,(-6/(PERALTE!$U$22-PERALTE!$S$22)*(RASANTE!F128-PERALTE!$S$22)-2),IF(RASANTE!F128&lt;=PERALTE!$X$22,-8,IF(RASANTE!F128&lt;=PERALTE!$Z$22,(-6/(PERALTE!$X$22-PERALTE!$Z$22)*(RASANTE!F128-PERALTE!$Z$22)-2),IF(RASANTE!F128&lt;=PERALTE!$AB$22,-2))))),IF(AND(AH!$H$24="Derecha",RASANTE!F128&lt;=PERALTE!$AB$22),IF(RASANTE!F128&lt;=PERALTE!$Q$22,-2,IF(RASANTE!F128&lt;=PERALTE!$U$22,(10/(PERALTE!$U$22-PERALTE!$Q$22)*(RASANTE!F128-PERALTE!$Q$22)-2),IF(RASANTE!F128&lt;=PERALTE!$X$22,8,IF(RASANTE!F128&lt;=PERALTE!$AB$22,(10/(PERALTE!$X$22-PERALTE!$AB$22)*(RASANTE!F128-PERALTE!$AB$22)-2))))),IF(AND(AH!#REF!="Izquierda",RASANTE!F128&lt;=PERALTE!#REF!),IF(RASANTE!F128&lt;=PERALTE!#REF!,-2,IF(RASANTE!F128&lt;=PERALTE!#REF!,(-6/(PERALTE!#REF!-PERALTE!#REF!)*(RASANTE!F128-PERALTE!#REF!)-2),IF(RASANTE!F128&lt;=PERALTE!#REF!,-8,IF(RASANTE!F128&lt;=PERALTE!#REF!,(-6/(PERALTE!#REF!-PERALTE!#REF!)*(RASANTE!F128-PERALTE!#REF!)-2),IF(RASANTE!F128&lt;=PERALTE!#REF!,-2))))),IF(AND(AH!#REF!="Derecha",RASANTE!F128&lt;=PERALTE!#REF!),IF(RASANTE!F128&lt;=PERALTE!#REF!,-2,IF(RASANTE!F128&lt;=PERALTE!#REF!,(10/(PERALTE!#REF!-PERALTE!#REF!)*(RASANTE!F128-PERALTE!#REF!)-2),IF(RASANTE!F128&lt;=PERALTE!#REF!,8,IF(RASANTE!F128&lt;=PERALTE!#REF!,(10/(PERALTE!#REF!-PERALTE!#REF!)*(RASANTE!F128-PERALTE!#REF!)-2))))),IF(AND(AH!#REF!="Izquierda",RASANTE!F128&lt;=PERALTE!$AB$26),IF(RASANTE!F128&lt;=PERALTE!$S$26,-2,IF(RASANTE!F128&lt;=PERALTE!$U$26,(-6/(PERALTE!$U$26-PERALTE!$S$26)*(RASANTE!F128-PERALTE!$S$26)-2),IF(RASANTE!F128&lt;=PERALTE!$X$26,-8,IF(RASANTE!F128&lt;=PERALTE!$Z$26,(-6/(PERALTE!$X$26-PERALTE!$Z$26)*(RASANTE!F128-PERALTE!$Z$26)-2),IF(RASANTE!F128&lt;=PERALTE!$AB$26,-2))))),IF(AND(AH!#REF!="Derecha",RASANTE!F128&lt;=PERALTE!$AB$26),IF(RASANTE!F128&lt;=PERALTE!$Q$26,-2,IF(RASANTE!F128&lt;=PERALTE!$U$26,(10/(PERALTE!$U$26-PERALTE!$Q$26)*(RASANTE!F128-PERALTE!$Q$26)-2),IF(RASANTE!F128&lt;=PERALTE!$X$26,8,IF(RASANTE!F128&lt;=PERALTE!$AB$26,(10/(PERALTE!$X$26-PERALTE!$AB$26)*(RASANTE!F128-PERALTE!$AB$26)-2))))),IF(F128&lt;=PERALTE!#REF!,-2,"Abscisa fuera de la vía")))))))))))))))))))))</f>
        <v>-2</v>
      </c>
      <c r="I128" s="28">
        <f>+IF(AND(AH!$H$8="Derecha",RASANTE!F128&lt;=PERALTE!$AB$6),IF(RASANTE!F128&lt;=PERALTE!$S$6,-2,IF(RASANTE!F128&lt;=PERALTE!$U$6,(-6/(PERALTE!$U$6-PERALTE!$S$6)*(RASANTE!F128-PERALTE!$S$6)-2),IF(RASANTE!F128&lt;=PERALTE!$X$6,-8,IF(RASANTE!F128&lt;=PERALTE!$Z$6,(-6/(PERALTE!$X$6-PERALTE!$Z$6)*(RASANTE!F128-PERALTE!$Z$6)-2),IF(RASANTE!F128&lt;=PERALTE!$AB$6,-2))))),IF(AND(AH!$H$8="Izquierda",RASANTE!F128&lt;=PERALTE!$AB$6),IF(RASANTE!F128&lt;=PERALTE!$Q$6,-2,IF(RASANTE!F128&lt;=PERALTE!$U$6,(10/(PERALTE!$U$6-PERALTE!$Q$6)*(RASANTE!F128-PERALTE!$Q$6)-2),IF(RASANTE!F128&lt;=PERALTE!$X$6,8,IF(RASANTE!F128&lt;=PERALTE!$AB$6,(10/(PERALTE!$X$6-PERALTE!$AB$6)*(RASANTE!F128-PERALTE!$AB$6)-2))))),IF(AND(AH!$H$10="Derecha",RASANTE!F128&lt;=PERALTE!$AB$8),IF(RASANTE!F128&lt;=PERALTE!$S$8,-2,IF(RASANTE!F128&lt;=PERALTE!$U$8,(-6/(PERALTE!$U$8-PERALTE!$S$8)*(RASANTE!F128-PERALTE!$S$8)-2),IF(RASANTE!F128&lt;=PERALTE!$X$8,-8,IF(RASANTE!F128&lt;=PERALTE!$Z$8,(-6/(PERALTE!$X$8-PERALTE!$Z$8)*(RASANTE!F128-PERALTE!$Z$8)-2),IF(RASANTE!F128&lt;=PERALTE!$AB$8,-2))))),IF(AND(AH!$H$10="Izquierda",RASANTE!F128&lt;=PERALTE!$AB$8),IF(RASANTE!F128&lt;=PERALTE!$Q$8,-2,IF(RASANTE!F128&lt;=PERALTE!$U$8,(10/(PERALTE!$U$8-PERALTE!$Q$8)*(RASANTE!F128-PERALTE!$Q$8)-2),IF(RASANTE!F128&lt;=PERALTE!$X$8,8,IF(RASANTE!F128&lt;=PERALTE!$AB$8,(10/(PERALTE!$X$8-PERALTE!$AB$8)*(RASANTE!F128-PERALTE!$AB$8)-2))))),IF(AND(AH!$H$12="Derecha",RASANTE!F128&lt;=PERALTE!$AB$10),IF(RASANTE!F128&lt;=PERALTE!$S$10,-2,IF(RASANTE!F128&lt;=PERALTE!$U$10,(-6/(PERALTE!$U$10-PERALTE!$S$10)*(RASANTE!F128-PERALTE!$S$10)-2),IF(RASANTE!F128&lt;=PERALTE!$X$10,-8,IF(RASANTE!F128&lt;=PERALTE!$Z$10,(-6/(PERALTE!$X$10-PERALTE!$Z$10)*(RASANTE!F128-PERALTE!$Z$10)-2),IF(RASANTE!F128&lt;=PERALTE!$AB$10,-2))))),IF(AND(AH!$H$12="Izquierda",RASANTE!F128&lt;=PERALTE!$AB$10),IF(RASANTE!F128&lt;=PERALTE!$Q$10,-2,IF(RASANTE!F128&lt;=PERALTE!$U$10,(10/(PERALTE!$U$10-PERALTE!$Q$10)*(RASANTE!F128-PERALTE!$Q$10)-2),IF(RASANTE!F128&lt;=PERALTE!$X$10,8,IF(RASANTE!F128&lt;=PERALTE!$AB$10,(10/(PERALTE!$X$10-PERALTE!$AB$10)*(RASANTE!F128-PERALTE!$AB$10)-2))))),IF(AND(AH!$H$14="Derecha",RASANTE!F128&lt;=PERALTE!$AB$12),IF(RASANTE!F128&lt;=PERALTE!$S$12,-2,IF(RASANTE!F128&lt;=PERALTE!$U$12,(-6/(PERALTE!$U$12-PERALTE!$S$12)*(RASANTE!F128-PERALTE!$S$12)-2),IF(RASANTE!F128&lt;=PERALTE!$X$12,-8,IF(RASANTE!F128&lt;=PERALTE!$Z$12,(-6/(PERALTE!$X$12-PERALTE!$Z$12)*(RASANTE!F128-PERALTE!$Z$12)-2),IF(RASANTE!F128&lt;=PERALTE!$AB$12,-2))))),IF(AND(AH!$H$14="Izquierda",RASANTE!F128&lt;=PERALTE!$AB$12),IF(RASANTE!F128&lt;=PERALTE!$Q$12,-2,IF(RASANTE!F128&lt;=PERALTE!$U$12,(10/(PERALTE!$U$12-PERALTE!$Q$12)*(RASANTE!F128-PERALTE!$Q$12)-2),IF(RASANTE!F128&lt;=PERALTE!$X$12,8,IF(RASANTE!F128&lt;=PERALTE!$AB$12,(10/(PERALTE!$X$12-PERALTE!$AB$12)*(RASANTE!F128-PERALTE!$AB$12)-2))))),IF(AND(AH!$H$16="Derecha",RASANTE!F128&lt;=PERALTE!$AB$14),IF(RASANTE!F128&lt;=PERALTE!$S$14,-2,IF(RASANTE!F128&lt;=PERALTE!$U$14,(-6/(PERALTE!$U$14-PERALTE!$S$14)*(RASANTE!F128-PERALTE!$S$14)-2),IF(RASANTE!F128&lt;=PERALTE!$X$14,-8,IF(RASANTE!F128&lt;=PERALTE!$Z$14,(-6/(PERALTE!$X$14-PERALTE!$Z$14)*(RASANTE!F128-PERALTE!$Z$14)-2),IF(RASANTE!F128&lt;=PERALTE!$AB$14,-2))))),IF(AND(AH!$H$16="Izquierda",RASANTE!F128&lt;=PERALTE!$AB$14),IF(RASANTE!F128&lt;=PERALTE!$Q$14,-2,IF(RASANTE!F128&lt;=PERALTE!$U$14,(10/(PERALTE!$U$14-PERALTE!$Q$14)*(RASANTE!F128-PERALTE!$Q$14)-2),IF(RASANTE!F128&lt;=PERALTE!$X$14,8,IF(RASANTE!F128&lt;=PERALTE!$AB$14,(10/(PERALTE!$X$14-PERALTE!$AB$14)*(RASANTE!F128-PERALTE!$AB$14)-2))))),IF(AND(AH!$H$18="Derecha",RASANTE!F128&lt;=PERALTE!$AB$16),IF(RASANTE!F128&lt;=PERALTE!$S$16,-2,IF(RASANTE!F128&lt;=PERALTE!$U$16,(-6/(PERALTE!$U$16-PERALTE!$S$16)*(RASANTE!F128-PERALTE!$S$16)-2),IF(RASANTE!F128&lt;=PERALTE!$X$16,-8,IF(RASANTE!F128&lt;=PERALTE!$Z$16,(-6/(PERALTE!$X$16-PERALTE!$Z$16)*(RASANTE!F128-PERALTE!$Z$16)-2),IF(RASANTE!F128&lt;=PERALTE!$AB$16,-2))))),IF(AND(AH!$H$18="Izquierda",RASANTE!F128&lt;=PERALTE!$AB$16),IF(RASANTE!F128&lt;=PERALTE!$Q$16,-2,IF(RASANTE!F128&lt;=PERALTE!$U$16,(10/(PERALTE!$U$16-PERALTE!$Q$16)*(RASANTE!F128-PERALTE!$Q$16)-2),IF(RASANTE!F128&lt;=PERALTE!$X$16,8,IF(RASANTE!F128&lt;=PERALTE!$AB$16,(10/(PERALTE!$X$16-PERALTE!$AB$16)*(RASANTE!F128-PERALTE!$AB$16)-2))))),IF(AND(AH!$H$20="Derecha",RASANTE!F128&lt;=PERALTE!$AB$18),IF(RASANTE!F128&lt;=PERALTE!$S$18,-2,IF(RASANTE!F128&lt;=PERALTE!$U$18,(-6/(PERALTE!$U$18-PERALTE!$S$18)*(RASANTE!F128-PERALTE!$S$18)-2),IF(RASANTE!F128&lt;=PERALTE!$X$18,-8,IF(RASANTE!F128&lt;=PERALTE!$Z$18,(-6/(PERALTE!$X$18-PERALTE!$Z$18)*(RASANTE!F128-PERALTE!$Z$18)-2),IF(RASANTE!F128&lt;=PERALTE!$AB$18,-2))))),IF(AND(AH!$H$20="Izquierda",RASANTE!F128&lt;=PERALTE!$AB$18),IF(RASANTE!F128&lt;=PERALTE!$Q$18,-2,IF(RASANTE!F128&lt;=PERALTE!$U$18,(10/(PERALTE!$U$18-PERALTE!$Q$18)*(RASANTE!F128-PERALTE!$Q$18)-2),IF(RASANTE!F128&lt;=PERALTE!$X$18,8,IF(RASANTE!F128&lt;=PERALTE!$AB$18,(10/(PERALTE!$X$18-PERALTE!$AB$18)*(RASANTE!F128-PERALTE!$AB$18)-2))))),IF(AND(AH!$H$24="Derecha",RASANTE!F128&lt;=PERALTE!$AB$22),IF(RASANTE!F128&lt;=PERALTE!$S$22,-2,IF(RASANTE!F128&lt;=PERALTE!$U$22,(-6/(PERALTE!$U$22-PERALTE!$S$22)*(RASANTE!F128-PERALTE!$S$22)-2),IF(RASANTE!F128&lt;=PERALTE!$X$22,-8,IF(RASANTE!F128&lt;=PERALTE!$Z$22,(-6/(PERALTE!$X$22-PERALTE!$Z$22)*(RASANTE!F128-PERALTE!$Z$22)-2),IF(RASANTE!F128&lt;=PERALTE!$AB$22,-2))))),IF(AND(AH!$H$24="Izquierda",RASANTE!F128&lt;=PERALTE!$AB$22),IF(RASANTE!F128&lt;=PERALTE!$Q$22,-2,IF(RASANTE!F128&lt;=PERALTE!$U$22,(10/(PERALTE!$U$22-PERALTE!$Q$22)*(RASANTE!F128-PERALTE!$Q$22)-2),IF(RASANTE!F128&lt;=PERALTE!$X$22,8,IF(RASANTE!F128&lt;=PERALTE!$AB$22,(10/(PERALTE!$X$22-PERALTE!$AB$22)*(RASANTE!F128-PERALTE!$AB$22)-2))))),IF(AND(AH!#REF!="Derecha",RASANTE!F128&lt;=PERALTE!#REF!),IF(RASANTE!F128&lt;=PERALTE!#REF!,-2,IF(RASANTE!F128&lt;=PERALTE!#REF!,(-6/(PERALTE!#REF!-PERALTE!#REF!)*(RASANTE!F128-PERALTE!#REF!)-2),IF(RASANTE!F128&lt;=PERALTE!#REF!,-8,IF(RASANTE!F128&lt;=PERALTE!#REF!,(-6/(PERALTE!#REF!-PERALTE!#REF!)*(RASANTE!F128-PERALTE!#REF!)-2),IF(RASANTE!F128&lt;=PERALTE!#REF!,-2))))),IF(AND(AH!#REF!="Izquierda",RASANTE!F128&lt;=PERALTE!#REF!),IF(RASANTE!F128&lt;=PERALTE!#REF!,-2,IF(RASANTE!F128&lt;=PERALTE!#REF!,(10/(PERALTE!#REF!-PERALTE!#REF!)*(RASANTE!F128-PERALTE!#REF!)-2),IF(RASANTE!F128&lt;=PERALTE!#REF!,8,IF(RASANTE!F128&lt;=PERALTE!#REF!,(10/(PERALTE!#REF!-PERALTE!#REF!)*(RASANTE!F128-PERALTE!#REF!)-2))))),IF(AND(AH!#REF!="Derecha",RASANTE!F128&lt;=PERALTE!$AB$26),IF(RASANTE!F128&lt;=PERALTE!$S$26,-2,IF(RASANTE!F128&lt;=PERALTE!$U$26,(-6/(PERALTE!$U$26-PERALTE!$S$26)*(RASANTE!F128-PERALTE!$S$26)-2),IF(RASANTE!F128&lt;=PERALTE!$X$26,-8,IF(RASANTE!F128&lt;=PERALTE!$Z$26,(-6/(PERALTE!$X$26-PERALTE!$Z$26)*(RASANTE!F128-PERALTE!$Z$26)-2),IF(RASANTE!F128&lt;=PERALTE!$AB$26,-2))))),IF(AND(AH!#REF!="Izquierda",RASANTE!F128&lt;=PERALTE!$AB$26),IF(RASANTE!F128&lt;=PERALTE!$Q$26,-2,IF(RASANTE!F128&lt;=PERALTE!$U$26,(10/(PERALTE!$U$26-PERALTE!$Q$26)*(RASANTE!F128-PERALTE!$Q$26)-2),IF(RASANTE!F128&lt;=PERALTE!$X$26,8,IF(RASANTE!F128&lt;=PERALTE!$AB$26,(10/(PERALTE!$X$26-PERALTE!$AB$26)*(RASANTE!F128-PERALTE!$AB$26)-2))))),IF(F128&lt;=PERALTE!#REF!,-2,"Abscisa fuera de la vía")))))))))))))))))))))</f>
        <v>1.3733427995762617</v>
      </c>
      <c r="J128" s="28">
        <f t="shared" si="4"/>
        <v>1628.2699400000013</v>
      </c>
      <c r="K128" s="28">
        <f>+IF(AND(AV!$S$6&lt;F225,F225&lt;=AV!$T$6),AV!$P$6*((AV!$S$6-RASANTE!F225)/(AV!$N$6))^2,IF(AND(AV!$T$6&lt;RASANTE!F225,F225&lt;AV!$U$6),AV!$P$6*((AV!$U$6-RASANTE!F225)/(AV!$O$6))^2,IF(AND(AV!$S$8&lt;F225,F225&lt;=AV!$T$8),AV!$P$8*((AV!$S$8-RASANTE!F225)/(AV!$N$8))^2,IF(AND(AV!$T$8&lt;RASANTE!F225,F225&lt;AV!$U$8),AV!$P$8*((AV!$U$8-RASANTE!F225)/(AV!$O$8))^2,IF(AND(AV!$S$10&lt;F225,F225&lt;=AV!$T$10),AV!$P$10*((AV!$S$10-RASANTE!F225)/(AV!$N$10))^2,IF(AND(AV!$T$10&lt;RASANTE!F225,F225&lt;AV!$U$10),AV!$P$10*((AV!$U$10-RASANTE!F225)/(AV!$O$10))^2,IF(AND(AV!$S$12&lt;F225,F225&lt;=AV!$T$12),AV!$P$12*((AV!$S$12-RASANTE!F225)/(AV!$N$12))^2,IF(AND(AV!$T$12&lt;RASANTE!F225,F225&lt;AV!$U$12),AV!$P$12*((AV!$U$12-RASANTE!F225)/(AV!$O$12))^2,IF(AND(AV!$S$14&lt;F225,F225&lt;=AV!$T$14),AV!$P$14*((AV!$S$14-RASANTE!F225)/(AV!$N$14))^2,IF(AND(AV!$T$14&lt;RASANTE!F225,F225&lt;AV!$U$14),AV!$P$14*((AV!$U$14-RASANTE!F225)/(AV!$O$14))^2,IF(AND(AV!$S$16&lt;F225,F225&lt;=AV!$T$16),AV!$P$16*((AV!$S$16-RASANTE!F225)/(AV!$N$16))^2,IF(AND(AV!$T$16&lt;RASANTE!F225,F225&lt;AV!$U$16),AV!$P$16*((AV!$U$16-RASANTE!F225)/(AV!$O$16))^2,IF(AND(AV!$S$18&lt;F225,F225&lt;=AV!$T$18),AV!$P$18*((AV!$S$18-RASANTE!F225)/(AV!$N$18))^2,IF(AND(AV!$T$18&lt;RASANTE!F225,F225&lt;AV!$U$18),AV!$P$18*((AV!$U$18-RASANTE!F225)/(AV!$O$18))^2,IF(AND(AV!$S$20&lt;F225,F225&lt;=AV!$T$20),AV!$P$20*((AV!$S$20-RASANTE!F225)/(AV!$N$20))^2,IF(AND(AV!$T$20&lt;RASANTE!F225,F225&lt;AV!$U$20),AV!$P$20*((AV!$U$20-RASANTE!F225)/(AV!$O$20))^2,IF(AND(AV!$S$22&lt;F225,F225&lt;=AV!$T$22),AV!$P$22*((AV!$S$22-RASANTE!F225)/(AV!$N$22))^2,IF(AND(AV!$T$22&lt;RASANTE!F225,F225&lt;AV!$U$22),AV!$P$22*((AV!$U$22-RASANTE!F225)/(AV!$O$22))^2,IF(AND(AV!$S$24&lt;F225,F225&lt;=AV!$T$24),AV!$P$24*((AV!$S$24-RASANTE!F225)/(AV!$N$24))^2,IF(AND(AV!$T$24&lt;RASANTE!F225,F225&lt;AV!$U$24),AV!$P$24*((AV!$U$24-RASANTE!F225)/(AV!$O$24))^2,0))))))))))))))))))))</f>
        <v>0</v>
      </c>
      <c r="L128" s="28">
        <f>+M128+H128%*PERALTE!$C$32</f>
        <v>1628.1999400000013</v>
      </c>
      <c r="M128" s="28">
        <f t="shared" si="5"/>
        <v>1628.2699400000013</v>
      </c>
      <c r="N128" s="28">
        <f>+M128+I128%*PERALTE!$C$32</f>
        <v>1628.3180069979865</v>
      </c>
      <c r="O128" s="92"/>
      <c r="P128" s="84"/>
      <c r="Q128" s="84"/>
      <c r="R128" s="84"/>
      <c r="S128" s="84"/>
      <c r="T128" s="84"/>
      <c r="U128" s="84"/>
      <c r="V128" s="84"/>
      <c r="W128" s="84"/>
      <c r="X128" s="84"/>
      <c r="Y128" s="84"/>
    </row>
    <row r="129" spans="1:25" ht="15.75" customHeight="1" x14ac:dyDescent="0.2">
      <c r="A129" s="90" t="s">
        <v>341</v>
      </c>
      <c r="E129" s="153">
        <f>AV!C9</f>
        <v>-3</v>
      </c>
      <c r="F129" s="34">
        <f>PERALTE!S12</f>
        <v>786.7304418201079</v>
      </c>
      <c r="G129" s="88">
        <f>IF(F129&lt;=AV!$T$6,AV!$C$5,IF(RASANTE!F129&lt;=AV!$T$8,AV!$C$7,IF(RASANTE!F129&lt;=AV!$T$10,AV!$C$9,IF(RASANTE!F129&lt;=AV!$T$12,AV!$C$11,IF(RASANTE!F129&lt;=AV!$T$14,AV!$C$13,IF(RASANTE!F129&lt;=AV!$T$16,AV!$C$15, IF(RASANTE!F129&lt;=AV!$T$18,AV!$C$17,IF(RASANTE!F129&lt;=AV!$T$20,AV!$C$19,IF(RASANTE!F129&lt;=AV!$T$22,AV!$C$21,IF(RASANTE!F129&lt;=AV!$T$24,AV!$C$23,AV!$C$25))))))))))</f>
        <v>-7.2409999999999997</v>
      </c>
      <c r="H129" s="28">
        <f>+IF(AND(AH!$H$8="Izquierda",RASANTE!F129&lt;=PERALTE!$AB$6),IF(RASANTE!F129&lt;=PERALTE!$S$6,-2,IF(RASANTE!F129&lt;=PERALTE!$U$6,(-6/(PERALTE!$U$6-PERALTE!$S$6)*(RASANTE!F129-PERALTE!$S$6)-2),IF(RASANTE!F129&lt;=PERALTE!$X$6,-8,IF(RASANTE!F129&lt;=PERALTE!$Z$6,(-6/(PERALTE!$X$6-PERALTE!$Z$6)*(RASANTE!F129-PERALTE!$Z$6)-2),IF(RASANTE!F129&lt;=PERALTE!$AB$6,-2))))),IF(AND(AH!$H$8="Derecha",RASANTE!F129&lt;=PERALTE!$AB$6),IF(RASANTE!F129&lt;=PERALTE!$Q$6,-2,IF(RASANTE!F129&lt;=PERALTE!$U$6,(10/(PERALTE!$U$6-PERALTE!$Q$6)*(RASANTE!F129-PERALTE!$Q$6)-2),IF(RASANTE!F129&lt;=PERALTE!$X$6,8,IF(RASANTE!F129&lt;=PERALTE!$AB$6,(10/(PERALTE!$X$6-PERALTE!$AB$6)*(RASANTE!F129-PERALTE!$AB$6)-2))))),IF(AND(AH!$H$10="Izquierda",RASANTE!F129&lt;=PERALTE!$AB$8),IF(RASANTE!F129&lt;=PERALTE!$S$8,-2,IF(RASANTE!F129&lt;=PERALTE!$U$8,(-6/(PERALTE!$U$8-PERALTE!$S$8)*(RASANTE!F129-PERALTE!$S$8)-2),IF(RASANTE!F129&lt;=PERALTE!$X$8,-8,IF(RASANTE!F129&lt;=PERALTE!$Z$8,(-6/(PERALTE!$X$8-PERALTE!$Z$8)*(RASANTE!F129-PERALTE!$Z$8)-2),IF(RASANTE!F129&lt;=PERALTE!$AB$8,-2))))),IF(AND(AH!$H$10="Derecha",RASANTE!F129&lt;=PERALTE!$AB$8),IF(RASANTE!F129&lt;=PERALTE!$Q$8,-2,IF(RASANTE!F129&lt;=PERALTE!$U$8,(10/(PERALTE!$U$8-PERALTE!$Q$8)*(RASANTE!F129-PERALTE!$Q$8)-2),IF(RASANTE!F129&lt;=PERALTE!$X$8,8,IF(RASANTE!F129&lt;=PERALTE!$AB$8,(10/(PERALTE!$X$8-PERALTE!$AB$8)*(RASANTE!F129-PERALTE!$AB$8)-2))))),IF(AND(AH!$H$12="Izquierda",RASANTE!F129&lt;=PERALTE!$AB$10),IF(RASANTE!F129&lt;=PERALTE!$S$10,-2,IF(RASANTE!F129&lt;=PERALTE!$U$10,(-6/(PERALTE!$U$10-PERALTE!$S$10)*(RASANTE!F129-PERALTE!$S$10)-2),IF(RASANTE!F129&lt;=PERALTE!$X$10,-8,IF(RASANTE!F129&lt;=PERALTE!$Z$10,(-6/(PERALTE!$X$10-PERALTE!$Z$10)*(RASANTE!F129-PERALTE!$Z$10)-2),IF(RASANTE!F129&lt;=PERALTE!$AB$10,-2))))),IF(AND(AH!$H$12="Derecha",RASANTE!F129&lt;=PERALTE!$AB$10),IF(RASANTE!F129&lt;=PERALTE!$Q$10,-2,IF(RASANTE!F129&lt;=PERALTE!$U$10,(10/(PERALTE!$U$10-PERALTE!$Q$10)*(RASANTE!F129-PERALTE!$Q$10)-2),IF(RASANTE!F129&lt;=PERALTE!$X$10,8,IF(RASANTE!F129&lt;=PERALTE!$AB$10,(10/(PERALTE!$X$10-PERALTE!$AB$10)*(RASANTE!F129-PERALTE!$AB$10)-2))))),IF(AND(AH!$H$14="Izquierda",RASANTE!F129&lt;=PERALTE!$AB$12),IF(RASANTE!F129&lt;=PERALTE!$S$12,-2,IF(RASANTE!F129&lt;=PERALTE!$U$12,(-6/(PERALTE!$U$12-PERALTE!$S$12)*(RASANTE!F129-PERALTE!$S$12)-2),IF(RASANTE!F129&lt;=PERALTE!$X$12,-8,IF(RASANTE!F129&lt;=PERALTE!$Z$12,(-6/(PERALTE!$X$12-PERALTE!$Z$12)*(RASANTE!F129-PERALTE!$Z$12)-2),IF(RASANTE!F129&lt;=PERALTE!$AB$12,-2))))),IF(AND(AH!$H$14="Derecha",RASANTE!F129&lt;=PERALTE!$AB$12),IF(RASANTE!F129&lt;=PERALTE!$Q$12,-2,IF(RASANTE!F129&lt;=PERALTE!$U$12,(10/(PERALTE!$U$12-PERALTE!$Q$12)*(RASANTE!F129-PERALTE!$Q$12)-2),IF(RASANTE!F129&lt;=PERALTE!$X$12,8,IF(RASANTE!F129&lt;=PERALTE!$AB$12,(10/(PERALTE!$X$12-PERALTE!$AB$12)*(RASANTE!F129-PERALTE!$AB$12)-2))))),IF(AND(AH!$H$16="Izquierda",RASANTE!F129&lt;=PERALTE!$AB$14),IF(RASANTE!F129&lt;=PERALTE!$S$14,-2,IF(RASANTE!F129&lt;=PERALTE!$U$14,(-6/(PERALTE!$U$14-PERALTE!$S$14)*(RASANTE!F129-PERALTE!$S$14)-2),IF(RASANTE!F129&lt;=PERALTE!$X$14,-8,IF(RASANTE!F129&lt;=PERALTE!$Z$14,(-6/(PERALTE!$X$14-PERALTE!$Z$14)*(RASANTE!F129-PERALTE!$Z$14)-2),IF(RASANTE!F129&lt;=PERALTE!$AB$14,-2))))),IF(AND(AH!$H$16="Derecha",RASANTE!F129&lt;=PERALTE!$AB$14),IF(RASANTE!F129&lt;=PERALTE!$Q$14,-2,IF(RASANTE!F129&lt;=PERALTE!$U$14,(10/(PERALTE!$U$14-PERALTE!$Q$14)*(RASANTE!F129-PERALTE!$Q$14)-2),IF(RASANTE!F129&lt;=PERALTE!$X$14,8,IF(RASANTE!F129&lt;=PERALTE!$AB$14,(10/(PERALTE!$X$14-PERALTE!$AB$14)*(RASANTE!F129-PERALTE!$AB$14)-2))))),IF(AND(AH!$H$18="Izquierda",RASANTE!F129&lt;=PERALTE!$AB$16),IF(RASANTE!F129&lt;=PERALTE!$S$16,-2,IF(RASANTE!F129&lt;=PERALTE!$U$16,(-6/(PERALTE!$U$16-PERALTE!$S$16)*(RASANTE!F129-PERALTE!$S$16)-2),IF(RASANTE!F129&lt;=PERALTE!$X$16,-8,IF(RASANTE!F129&lt;=PERALTE!$Z$16,(-6/(PERALTE!$X$16-PERALTE!$Z$16)*(RASANTE!F129-PERALTE!$Z$16)-2),IF(RASANTE!F129&lt;=PERALTE!$AB$16,-2))))),IF(AND(AH!$H$18="Derecha",RASANTE!F129&lt;=PERALTE!$AB$16),IF(RASANTE!F129&lt;=PERALTE!$Q$16,-2,IF(RASANTE!F129&lt;=PERALTE!$U$16,(10/(PERALTE!$U$16-PERALTE!$Q$16)*(RASANTE!F129-PERALTE!$Q$16)-2),IF(RASANTE!F129&lt;=PERALTE!$X$16,8,IF(RASANTE!F129&lt;=PERALTE!$AB$16,(10/(PERALTE!$X$16-PERALTE!$AB$16)*(RASANTE!F129-PERALTE!$AB$16)-2))))),IF(AND(AH!$H$20="Izquierda",RASANTE!F129&lt;=PERALTE!$AB$18),IF(RASANTE!F129&lt;=PERALTE!$S$18,-2,IF(RASANTE!F129&lt;=PERALTE!$U$18,(-6/(PERALTE!$U$18-PERALTE!$S$18)*(RASANTE!F129-PERALTE!$S$18)-2),IF(RASANTE!F129&lt;=PERALTE!$X$18,-8,IF(RASANTE!F129&lt;=PERALTE!$Z$18,(-6/(PERALTE!$X$18-PERALTE!$Z$18)*(RASANTE!F129-PERALTE!$Z$18)-2),IF(RASANTE!F129&lt;=PERALTE!$AB$18,-2))))),IF(AND(AH!$H$20="Derecha",RASANTE!F129&lt;=PERALTE!$AB$18),IF(RASANTE!F129&lt;=PERALTE!$Q$18,-2,IF(RASANTE!F129&lt;=PERALTE!$U$18,(10/(PERALTE!$U$18-PERALTE!$Q$18)*(RASANTE!F129-PERALTE!$Q$18)-2),IF(RASANTE!F129&lt;=PERALTE!$X$18,8,IF(RASANTE!F129&lt;=PERALTE!$AB$18,(10/(PERALTE!$X$18-PERALTE!$AB$18)*(RASANTE!F129-PERALTE!$AB$18)-2))))),IF(AND(AH!$H$24="Izquierda",RASANTE!F129&lt;=PERALTE!$AB$22),IF(RASANTE!F129&lt;=PERALTE!$S$22,-2,IF(RASANTE!F129&lt;=PERALTE!$U$22,(-6/(PERALTE!$U$22-PERALTE!$S$22)*(RASANTE!F129-PERALTE!$S$22)-2),IF(RASANTE!F129&lt;=PERALTE!$X$22,-8,IF(RASANTE!F129&lt;=PERALTE!$Z$22,(-6/(PERALTE!$X$22-PERALTE!$Z$22)*(RASANTE!F129-PERALTE!$Z$22)-2),IF(RASANTE!F129&lt;=PERALTE!$AB$22,-2))))),IF(AND(AH!$H$24="Derecha",RASANTE!F129&lt;=PERALTE!$AB$22),IF(RASANTE!F129&lt;=PERALTE!$Q$22,-2,IF(RASANTE!F129&lt;=PERALTE!$U$22,(10/(PERALTE!$U$22-PERALTE!$Q$22)*(RASANTE!F129-PERALTE!$Q$22)-2),IF(RASANTE!F129&lt;=PERALTE!$X$22,8,IF(RASANTE!F129&lt;=PERALTE!$AB$22,(10/(PERALTE!$X$22-PERALTE!$AB$22)*(RASANTE!F129-PERALTE!$AB$22)-2))))),IF(AND(AH!#REF!="Izquierda",RASANTE!F129&lt;=PERALTE!#REF!),IF(RASANTE!F129&lt;=PERALTE!#REF!,-2,IF(RASANTE!F129&lt;=PERALTE!#REF!,(-6/(PERALTE!#REF!-PERALTE!#REF!)*(RASANTE!F129-PERALTE!#REF!)-2),IF(RASANTE!F129&lt;=PERALTE!#REF!,-8,IF(RASANTE!F129&lt;=PERALTE!#REF!,(-6/(PERALTE!#REF!-PERALTE!#REF!)*(RASANTE!F129-PERALTE!#REF!)-2),IF(RASANTE!F129&lt;=PERALTE!#REF!,-2))))),IF(AND(AH!#REF!="Derecha",RASANTE!F129&lt;=PERALTE!#REF!),IF(RASANTE!F129&lt;=PERALTE!#REF!,-2,IF(RASANTE!F129&lt;=PERALTE!#REF!,(10/(PERALTE!#REF!-PERALTE!#REF!)*(RASANTE!F129-PERALTE!#REF!)-2),IF(RASANTE!F129&lt;=PERALTE!#REF!,8,IF(RASANTE!F129&lt;=PERALTE!#REF!,(10/(PERALTE!#REF!-PERALTE!#REF!)*(RASANTE!F129-PERALTE!#REF!)-2))))),IF(AND(AH!#REF!="Izquierda",RASANTE!F129&lt;=PERALTE!$AB$26),IF(RASANTE!F129&lt;=PERALTE!$S$26,-2,IF(RASANTE!F129&lt;=PERALTE!$U$26,(-6/(PERALTE!$U$26-PERALTE!$S$26)*(RASANTE!F129-PERALTE!$S$26)-2),IF(RASANTE!F129&lt;=PERALTE!$X$26,-8,IF(RASANTE!F129&lt;=PERALTE!$Z$26,(-6/(PERALTE!$X$26-PERALTE!$Z$26)*(RASANTE!F129-PERALTE!$Z$26)-2),IF(RASANTE!F129&lt;=PERALTE!$AB$26,-2))))),IF(AND(AH!#REF!="Derecha",RASANTE!F129&lt;=PERALTE!$AB$26),IF(RASANTE!F129&lt;=PERALTE!$Q$26,-2,IF(RASANTE!F129&lt;=PERALTE!$U$26,(10/(PERALTE!$U$26-PERALTE!$Q$26)*(RASANTE!F129-PERALTE!$Q$26)-2),IF(RASANTE!F129&lt;=PERALTE!$X$26,8,IF(RASANTE!F129&lt;=PERALTE!$AB$26,(10/(PERALTE!$X$26-PERALTE!$AB$26)*(RASANTE!F129-PERALTE!$AB$26)-2))))),IF(F129&lt;=PERALTE!#REF!,-2,"Abscisa fuera de la vía")))))))))))))))))))))</f>
        <v>-2</v>
      </c>
      <c r="I129" s="28">
        <f>+IF(AND(AH!$H$8="Derecha",RASANTE!F129&lt;=PERALTE!$AB$6),IF(RASANTE!F129&lt;=PERALTE!$S$6,-2,IF(RASANTE!F129&lt;=PERALTE!$U$6,(-6/(PERALTE!$U$6-PERALTE!$S$6)*(RASANTE!F129-PERALTE!$S$6)-2),IF(RASANTE!F129&lt;=PERALTE!$X$6,-8,IF(RASANTE!F129&lt;=PERALTE!$Z$6,(-6/(PERALTE!$X$6-PERALTE!$Z$6)*(RASANTE!F129-PERALTE!$Z$6)-2),IF(RASANTE!F129&lt;=PERALTE!$AB$6,-2))))),IF(AND(AH!$H$8="Izquierda",RASANTE!F129&lt;=PERALTE!$AB$6),IF(RASANTE!F129&lt;=PERALTE!$Q$6,-2,IF(RASANTE!F129&lt;=PERALTE!$U$6,(10/(PERALTE!$U$6-PERALTE!$Q$6)*(RASANTE!F129-PERALTE!$Q$6)-2),IF(RASANTE!F129&lt;=PERALTE!$X$6,8,IF(RASANTE!F129&lt;=PERALTE!$AB$6,(10/(PERALTE!$X$6-PERALTE!$AB$6)*(RASANTE!F129-PERALTE!$AB$6)-2))))),IF(AND(AH!$H$10="Derecha",RASANTE!F129&lt;=PERALTE!$AB$8),IF(RASANTE!F129&lt;=PERALTE!$S$8,-2,IF(RASANTE!F129&lt;=PERALTE!$U$8,(-6/(PERALTE!$U$8-PERALTE!$S$8)*(RASANTE!F129-PERALTE!$S$8)-2),IF(RASANTE!F129&lt;=PERALTE!$X$8,-8,IF(RASANTE!F129&lt;=PERALTE!$Z$8,(-6/(PERALTE!$X$8-PERALTE!$Z$8)*(RASANTE!F129-PERALTE!$Z$8)-2),IF(RASANTE!F129&lt;=PERALTE!$AB$8,-2))))),IF(AND(AH!$H$10="Izquierda",RASANTE!F129&lt;=PERALTE!$AB$8),IF(RASANTE!F129&lt;=PERALTE!$Q$8,-2,IF(RASANTE!F129&lt;=PERALTE!$U$8,(10/(PERALTE!$U$8-PERALTE!$Q$8)*(RASANTE!F129-PERALTE!$Q$8)-2),IF(RASANTE!F129&lt;=PERALTE!$X$8,8,IF(RASANTE!F129&lt;=PERALTE!$AB$8,(10/(PERALTE!$X$8-PERALTE!$AB$8)*(RASANTE!F129-PERALTE!$AB$8)-2))))),IF(AND(AH!$H$12="Derecha",RASANTE!F129&lt;=PERALTE!$AB$10),IF(RASANTE!F129&lt;=PERALTE!$S$10,-2,IF(RASANTE!F129&lt;=PERALTE!$U$10,(-6/(PERALTE!$U$10-PERALTE!$S$10)*(RASANTE!F129-PERALTE!$S$10)-2),IF(RASANTE!F129&lt;=PERALTE!$X$10,-8,IF(RASANTE!F129&lt;=PERALTE!$Z$10,(-6/(PERALTE!$X$10-PERALTE!$Z$10)*(RASANTE!F129-PERALTE!$Z$10)-2),IF(RASANTE!F129&lt;=PERALTE!$AB$10,-2))))),IF(AND(AH!$H$12="Izquierda",RASANTE!F129&lt;=PERALTE!$AB$10),IF(RASANTE!F129&lt;=PERALTE!$Q$10,-2,IF(RASANTE!F129&lt;=PERALTE!$U$10,(10/(PERALTE!$U$10-PERALTE!$Q$10)*(RASANTE!F129-PERALTE!$Q$10)-2),IF(RASANTE!F129&lt;=PERALTE!$X$10,8,IF(RASANTE!F129&lt;=PERALTE!$AB$10,(10/(PERALTE!$X$10-PERALTE!$AB$10)*(RASANTE!F129-PERALTE!$AB$10)-2))))),IF(AND(AH!$H$14="Derecha",RASANTE!F129&lt;=PERALTE!$AB$12),IF(RASANTE!F129&lt;=PERALTE!$S$12,-2,IF(RASANTE!F129&lt;=PERALTE!$U$12,(-6/(PERALTE!$U$12-PERALTE!$S$12)*(RASANTE!F129-PERALTE!$S$12)-2),IF(RASANTE!F129&lt;=PERALTE!$X$12,-8,IF(RASANTE!F129&lt;=PERALTE!$Z$12,(-6/(PERALTE!$X$12-PERALTE!$Z$12)*(RASANTE!F129-PERALTE!$Z$12)-2),IF(RASANTE!F129&lt;=PERALTE!$AB$12,-2))))),IF(AND(AH!$H$14="Izquierda",RASANTE!F129&lt;=PERALTE!$AB$12),IF(RASANTE!F129&lt;=PERALTE!$Q$12,-2,IF(RASANTE!F129&lt;=PERALTE!$U$12,(10/(PERALTE!$U$12-PERALTE!$Q$12)*(RASANTE!F129-PERALTE!$Q$12)-2),IF(RASANTE!F129&lt;=PERALTE!$X$12,8,IF(RASANTE!F129&lt;=PERALTE!$AB$12,(10/(PERALTE!$X$12-PERALTE!$AB$12)*(RASANTE!F129-PERALTE!$AB$12)-2))))),IF(AND(AH!$H$16="Derecha",RASANTE!F129&lt;=PERALTE!$AB$14),IF(RASANTE!F129&lt;=PERALTE!$S$14,-2,IF(RASANTE!F129&lt;=PERALTE!$U$14,(-6/(PERALTE!$U$14-PERALTE!$S$14)*(RASANTE!F129-PERALTE!$S$14)-2),IF(RASANTE!F129&lt;=PERALTE!$X$14,-8,IF(RASANTE!F129&lt;=PERALTE!$Z$14,(-6/(PERALTE!$X$14-PERALTE!$Z$14)*(RASANTE!F129-PERALTE!$Z$14)-2),IF(RASANTE!F129&lt;=PERALTE!$AB$14,-2))))),IF(AND(AH!$H$16="Izquierda",RASANTE!F129&lt;=PERALTE!$AB$14),IF(RASANTE!F129&lt;=PERALTE!$Q$14,-2,IF(RASANTE!F129&lt;=PERALTE!$U$14,(10/(PERALTE!$U$14-PERALTE!$Q$14)*(RASANTE!F129-PERALTE!$Q$14)-2),IF(RASANTE!F129&lt;=PERALTE!$X$14,8,IF(RASANTE!F129&lt;=PERALTE!$AB$14,(10/(PERALTE!$X$14-PERALTE!$AB$14)*(RASANTE!F129-PERALTE!$AB$14)-2))))),IF(AND(AH!$H$18="Derecha",RASANTE!F129&lt;=PERALTE!$AB$16),IF(RASANTE!F129&lt;=PERALTE!$S$16,-2,IF(RASANTE!F129&lt;=PERALTE!$U$16,(-6/(PERALTE!$U$16-PERALTE!$S$16)*(RASANTE!F129-PERALTE!$S$16)-2),IF(RASANTE!F129&lt;=PERALTE!$X$16,-8,IF(RASANTE!F129&lt;=PERALTE!$Z$16,(-6/(PERALTE!$X$16-PERALTE!$Z$16)*(RASANTE!F129-PERALTE!$Z$16)-2),IF(RASANTE!F129&lt;=PERALTE!$AB$16,-2))))),IF(AND(AH!$H$18="Izquierda",RASANTE!F129&lt;=PERALTE!$AB$16),IF(RASANTE!F129&lt;=PERALTE!$Q$16,-2,IF(RASANTE!F129&lt;=PERALTE!$U$16,(10/(PERALTE!$U$16-PERALTE!$Q$16)*(RASANTE!F129-PERALTE!$Q$16)-2),IF(RASANTE!F129&lt;=PERALTE!$X$16,8,IF(RASANTE!F129&lt;=PERALTE!$AB$16,(10/(PERALTE!$X$16-PERALTE!$AB$16)*(RASANTE!F129-PERALTE!$AB$16)-2))))),IF(AND(AH!$H$20="Derecha",RASANTE!F129&lt;=PERALTE!$AB$18),IF(RASANTE!F129&lt;=PERALTE!$S$18,-2,IF(RASANTE!F129&lt;=PERALTE!$U$18,(-6/(PERALTE!$U$18-PERALTE!$S$18)*(RASANTE!F129-PERALTE!$S$18)-2),IF(RASANTE!F129&lt;=PERALTE!$X$18,-8,IF(RASANTE!F129&lt;=PERALTE!$Z$18,(-6/(PERALTE!$X$18-PERALTE!$Z$18)*(RASANTE!F129-PERALTE!$Z$18)-2),IF(RASANTE!F129&lt;=PERALTE!$AB$18,-2))))),IF(AND(AH!$H$20="Izquierda",RASANTE!F129&lt;=PERALTE!$AB$18),IF(RASANTE!F129&lt;=PERALTE!$Q$18,-2,IF(RASANTE!F129&lt;=PERALTE!$U$18,(10/(PERALTE!$U$18-PERALTE!$Q$18)*(RASANTE!F129-PERALTE!$Q$18)-2),IF(RASANTE!F129&lt;=PERALTE!$X$18,8,IF(RASANTE!F129&lt;=PERALTE!$AB$18,(10/(PERALTE!$X$18-PERALTE!$AB$18)*(RASANTE!F129-PERALTE!$AB$18)-2))))),IF(AND(AH!$H$24="Derecha",RASANTE!F129&lt;=PERALTE!$AB$22),IF(RASANTE!F129&lt;=PERALTE!$S$22,-2,IF(RASANTE!F129&lt;=PERALTE!$U$22,(-6/(PERALTE!$U$22-PERALTE!$S$22)*(RASANTE!F129-PERALTE!$S$22)-2),IF(RASANTE!F129&lt;=PERALTE!$X$22,-8,IF(RASANTE!F129&lt;=PERALTE!$Z$22,(-6/(PERALTE!$X$22-PERALTE!$Z$22)*(RASANTE!F129-PERALTE!$Z$22)-2),IF(RASANTE!F129&lt;=PERALTE!$AB$22,-2))))),IF(AND(AH!$H$24="Izquierda",RASANTE!F129&lt;=PERALTE!$AB$22),IF(RASANTE!F129&lt;=PERALTE!$Q$22,-2,IF(RASANTE!F129&lt;=PERALTE!$U$22,(10/(PERALTE!$U$22-PERALTE!$Q$22)*(RASANTE!F129-PERALTE!$Q$22)-2),IF(RASANTE!F129&lt;=PERALTE!$X$22,8,IF(RASANTE!F129&lt;=PERALTE!$AB$22,(10/(PERALTE!$X$22-PERALTE!$AB$22)*(RASANTE!F129-PERALTE!$AB$22)-2))))),IF(AND(AH!#REF!="Derecha",RASANTE!F129&lt;=PERALTE!#REF!),IF(RASANTE!F129&lt;=PERALTE!#REF!,-2,IF(RASANTE!F129&lt;=PERALTE!#REF!,(-6/(PERALTE!#REF!-PERALTE!#REF!)*(RASANTE!F129-PERALTE!#REF!)-2),IF(RASANTE!F129&lt;=PERALTE!#REF!,-8,IF(RASANTE!F129&lt;=PERALTE!#REF!,(-6/(PERALTE!#REF!-PERALTE!#REF!)*(RASANTE!F129-PERALTE!#REF!)-2),IF(RASANTE!F129&lt;=PERALTE!#REF!,-2))))),IF(AND(AH!#REF!="Izquierda",RASANTE!F129&lt;=PERALTE!#REF!),IF(RASANTE!F129&lt;=PERALTE!#REF!,-2,IF(RASANTE!F129&lt;=PERALTE!#REF!,(10/(PERALTE!#REF!-PERALTE!#REF!)*(RASANTE!F129-PERALTE!#REF!)-2),IF(RASANTE!F129&lt;=PERALTE!#REF!,8,IF(RASANTE!F129&lt;=PERALTE!#REF!,(10/(PERALTE!#REF!-PERALTE!#REF!)*(RASANTE!F129-PERALTE!#REF!)-2))))),IF(AND(AH!#REF!="Derecha",RASANTE!F129&lt;=PERALTE!$AB$26),IF(RASANTE!F129&lt;=PERALTE!$S$26,-2,IF(RASANTE!F129&lt;=PERALTE!$U$26,(-6/(PERALTE!$U$26-PERALTE!$S$26)*(RASANTE!F129-PERALTE!$S$26)-2),IF(RASANTE!F129&lt;=PERALTE!$X$26,-8,IF(RASANTE!F129&lt;=PERALTE!$Z$26,(-6/(PERALTE!$X$26-PERALTE!$Z$26)*(RASANTE!F129-PERALTE!$Z$26)-2),IF(RASANTE!F129&lt;=PERALTE!$AB$26,-2))))),IF(AND(AH!#REF!="Izquierda",RASANTE!F129&lt;=PERALTE!$AB$26),IF(RASANTE!F129&lt;=PERALTE!$Q$26,-2,IF(RASANTE!F129&lt;=PERALTE!$U$26,(10/(PERALTE!$U$26-PERALTE!$Q$26)*(RASANTE!F129-PERALTE!$Q$26)-2),IF(RASANTE!F129&lt;=PERALTE!$X$26,8,IF(RASANTE!F129&lt;=PERALTE!$AB$26,(10/(PERALTE!$X$26-PERALTE!$AB$26)*(RASANTE!F129-PERALTE!$AB$26)-2))))),IF(F129&lt;=PERALTE!#REF!,-2,"Abscisa fuera de la vía")))))))))))))))))))))</f>
        <v>2.0000000000000098</v>
      </c>
      <c r="J129" s="28">
        <f t="shared" si="4"/>
        <v>1628.1844867453981</v>
      </c>
      <c r="K129" s="28">
        <f>+IF(AND(AV!$S$6&lt;F226,F226&lt;=AV!$T$6),AV!$P$6*((AV!$S$6-RASANTE!F226)/(AV!$N$6))^2,IF(AND(AV!$T$6&lt;RASANTE!F226,F226&lt;AV!$U$6),AV!$P$6*((AV!$U$6-RASANTE!F226)/(AV!$O$6))^2,IF(AND(AV!$S$8&lt;F226,F226&lt;=AV!$T$8),AV!$P$8*((AV!$S$8-RASANTE!F226)/(AV!$N$8))^2,IF(AND(AV!$T$8&lt;RASANTE!F226,F226&lt;AV!$U$8),AV!$P$8*((AV!$U$8-RASANTE!F226)/(AV!$O$8))^2,IF(AND(AV!$S$10&lt;F226,F226&lt;=AV!$T$10),AV!$P$10*((AV!$S$10-RASANTE!F226)/(AV!$N$10))^2,IF(AND(AV!$T$10&lt;RASANTE!F226,F226&lt;AV!$U$10),AV!$P$10*((AV!$U$10-RASANTE!F226)/(AV!$O$10))^2,IF(AND(AV!$S$12&lt;F226,F226&lt;=AV!$T$12),AV!$P$12*((AV!$S$12-RASANTE!F226)/(AV!$N$12))^2,IF(AND(AV!$T$12&lt;RASANTE!F226,F226&lt;AV!$U$12),AV!$P$12*((AV!$U$12-RASANTE!F226)/(AV!$O$12))^2,IF(AND(AV!$S$14&lt;F226,F226&lt;=AV!$T$14),AV!$P$14*((AV!$S$14-RASANTE!F226)/(AV!$N$14))^2,IF(AND(AV!$T$14&lt;RASANTE!F226,F226&lt;AV!$U$14),AV!$P$14*((AV!$U$14-RASANTE!F226)/(AV!$O$14))^2,IF(AND(AV!$S$16&lt;F226,F226&lt;=AV!$T$16),AV!$P$16*((AV!$S$16-RASANTE!F226)/(AV!$N$16))^2,IF(AND(AV!$T$16&lt;RASANTE!F226,F226&lt;AV!$U$16),AV!$P$16*((AV!$U$16-RASANTE!F226)/(AV!$O$16))^2,IF(AND(AV!$S$18&lt;F226,F226&lt;=AV!$T$18),AV!$P$18*((AV!$S$18-RASANTE!F226)/(AV!$N$18))^2,IF(AND(AV!$T$18&lt;RASANTE!F226,F226&lt;AV!$U$18),AV!$P$18*((AV!$U$18-RASANTE!F226)/(AV!$O$18))^2,IF(AND(AV!$S$20&lt;F226,F226&lt;=AV!$T$20),AV!$P$20*((AV!$S$20-RASANTE!F226)/(AV!$N$20))^2,IF(AND(AV!$T$20&lt;RASANTE!F226,F226&lt;AV!$U$20),AV!$P$20*((AV!$U$20-RASANTE!F226)/(AV!$O$20))^2,IF(AND(AV!$S$22&lt;F226,F226&lt;=AV!$T$22),AV!$P$22*((AV!$S$22-RASANTE!F226)/(AV!$N$22))^2,IF(AND(AV!$T$22&lt;RASANTE!F226,F226&lt;AV!$U$22),AV!$P$22*((AV!$U$22-RASANTE!F226)/(AV!$O$22))^2,IF(AND(AV!$S$24&lt;F226,F226&lt;=AV!$T$24),AV!$P$24*((AV!$S$24-RASANTE!F226)/(AV!$N$24))^2,IF(AND(AV!$T$24&lt;RASANTE!F226,F226&lt;AV!$U$24),AV!$P$24*((AV!$U$24-RASANTE!F226)/(AV!$O$24))^2,0))))))))))))))))))))</f>
        <v>0</v>
      </c>
      <c r="L129" s="28">
        <f>+M129+H129%*PERALTE!$C$32</f>
        <v>1628.1144867453982</v>
      </c>
      <c r="M129" s="28">
        <f t="shared" si="5"/>
        <v>1628.1844867453981</v>
      </c>
      <c r="N129" s="28">
        <f>+M129+I129%*PERALTE!$C$32</f>
        <v>1628.254486745398</v>
      </c>
      <c r="O129" s="92"/>
      <c r="P129" s="84"/>
      <c r="Q129" s="84"/>
      <c r="R129" s="84"/>
      <c r="S129" s="84"/>
      <c r="T129" s="84"/>
      <c r="U129" s="84"/>
      <c r="V129" s="84"/>
      <c r="W129" s="84"/>
      <c r="X129" s="84"/>
      <c r="Y129" s="84"/>
    </row>
    <row r="130" spans="1:25" ht="15.75" customHeight="1" x14ac:dyDescent="0.2">
      <c r="A130" s="90"/>
      <c r="E130" s="154">
        <f>AV!C11</f>
        <v>-7.2409999999999997</v>
      </c>
      <c r="F130" s="34">
        <v>790</v>
      </c>
      <c r="G130" s="88">
        <f>IF(F130&lt;=AV!$T$6,AV!$C$5,IF(RASANTE!F130&lt;=AV!$T$8,AV!$C$7,IF(RASANTE!F130&lt;=AV!$T$10,AV!$C$9,IF(RASANTE!F130&lt;=AV!$T$12,AV!$C$11,IF(RASANTE!F130&lt;=AV!$T$14,AV!$C$13,IF(RASANTE!F130&lt;=AV!$T$16,AV!$C$15, IF(RASANTE!F130&lt;=AV!$T$18,AV!$C$17,IF(RASANTE!F130&lt;=AV!$T$20,AV!$C$19,IF(RASANTE!F130&lt;=AV!$T$22,AV!$C$21,IF(RASANTE!F130&lt;=AV!$T$24,AV!$C$23,AV!$C$25))))))))))</f>
        <v>-7.2409999999999997</v>
      </c>
      <c r="H130" s="28">
        <f>+IF(AND(AH!$H$8="Izquierda",RASANTE!F130&lt;=PERALTE!$AB$6),IF(RASANTE!F130&lt;=PERALTE!$S$6,-2,IF(RASANTE!F130&lt;=PERALTE!$U$6,(-6/(PERALTE!$U$6-PERALTE!$S$6)*(RASANTE!F130-PERALTE!$S$6)-2),IF(RASANTE!F130&lt;=PERALTE!$X$6,-8,IF(RASANTE!F130&lt;=PERALTE!$Z$6,(-6/(PERALTE!$X$6-PERALTE!$Z$6)*(RASANTE!F130-PERALTE!$Z$6)-2),IF(RASANTE!F130&lt;=PERALTE!$AB$6,-2))))),IF(AND(AH!$H$8="Derecha",RASANTE!F130&lt;=PERALTE!$AB$6),IF(RASANTE!F130&lt;=PERALTE!$Q$6,-2,IF(RASANTE!F130&lt;=PERALTE!$U$6,(10/(PERALTE!$U$6-PERALTE!$Q$6)*(RASANTE!F130-PERALTE!$Q$6)-2),IF(RASANTE!F130&lt;=PERALTE!$X$6,8,IF(RASANTE!F130&lt;=PERALTE!$AB$6,(10/(PERALTE!$X$6-PERALTE!$AB$6)*(RASANTE!F130-PERALTE!$AB$6)-2))))),IF(AND(AH!$H$10="Izquierda",RASANTE!F130&lt;=PERALTE!$AB$8),IF(RASANTE!F130&lt;=PERALTE!$S$8,-2,IF(RASANTE!F130&lt;=PERALTE!$U$8,(-6/(PERALTE!$U$8-PERALTE!$S$8)*(RASANTE!F130-PERALTE!$S$8)-2),IF(RASANTE!F130&lt;=PERALTE!$X$8,-8,IF(RASANTE!F130&lt;=PERALTE!$Z$8,(-6/(PERALTE!$X$8-PERALTE!$Z$8)*(RASANTE!F130-PERALTE!$Z$8)-2),IF(RASANTE!F130&lt;=PERALTE!$AB$8,-2))))),IF(AND(AH!$H$10="Derecha",RASANTE!F130&lt;=PERALTE!$AB$8),IF(RASANTE!F130&lt;=PERALTE!$Q$8,-2,IF(RASANTE!F130&lt;=PERALTE!$U$8,(10/(PERALTE!$U$8-PERALTE!$Q$8)*(RASANTE!F130-PERALTE!$Q$8)-2),IF(RASANTE!F130&lt;=PERALTE!$X$8,8,IF(RASANTE!F130&lt;=PERALTE!$AB$8,(10/(PERALTE!$X$8-PERALTE!$AB$8)*(RASANTE!F130-PERALTE!$AB$8)-2))))),IF(AND(AH!$H$12="Izquierda",RASANTE!F130&lt;=PERALTE!$AB$10),IF(RASANTE!F130&lt;=PERALTE!$S$10,-2,IF(RASANTE!F130&lt;=PERALTE!$U$10,(-6/(PERALTE!$U$10-PERALTE!$S$10)*(RASANTE!F130-PERALTE!$S$10)-2),IF(RASANTE!F130&lt;=PERALTE!$X$10,-8,IF(RASANTE!F130&lt;=PERALTE!$Z$10,(-6/(PERALTE!$X$10-PERALTE!$Z$10)*(RASANTE!F130-PERALTE!$Z$10)-2),IF(RASANTE!F130&lt;=PERALTE!$AB$10,-2))))),IF(AND(AH!$H$12="Derecha",RASANTE!F130&lt;=PERALTE!$AB$10),IF(RASANTE!F130&lt;=PERALTE!$Q$10,-2,IF(RASANTE!F130&lt;=PERALTE!$U$10,(10/(PERALTE!$U$10-PERALTE!$Q$10)*(RASANTE!F130-PERALTE!$Q$10)-2),IF(RASANTE!F130&lt;=PERALTE!$X$10,8,IF(RASANTE!F130&lt;=PERALTE!$AB$10,(10/(PERALTE!$X$10-PERALTE!$AB$10)*(RASANTE!F130-PERALTE!$AB$10)-2))))),IF(AND(AH!$H$14="Izquierda",RASANTE!F130&lt;=PERALTE!$AB$12),IF(RASANTE!F130&lt;=PERALTE!$S$12,-2,IF(RASANTE!F130&lt;=PERALTE!$U$12,(-6/(PERALTE!$U$12-PERALTE!$S$12)*(RASANTE!F130-PERALTE!$S$12)-2),IF(RASANTE!F130&lt;=PERALTE!$X$12,-8,IF(RASANTE!F130&lt;=PERALTE!$Z$12,(-6/(PERALTE!$X$12-PERALTE!$Z$12)*(RASANTE!F130-PERALTE!$Z$12)-2),IF(RASANTE!F130&lt;=PERALTE!$AB$12,-2))))),IF(AND(AH!$H$14="Derecha",RASANTE!F130&lt;=PERALTE!$AB$12),IF(RASANTE!F130&lt;=PERALTE!$Q$12,-2,IF(RASANTE!F130&lt;=PERALTE!$U$12,(10/(PERALTE!$U$12-PERALTE!$Q$12)*(RASANTE!F130-PERALTE!$Q$12)-2),IF(RASANTE!F130&lt;=PERALTE!$X$12,8,IF(RASANTE!F130&lt;=PERALTE!$AB$12,(10/(PERALTE!$X$12-PERALTE!$AB$12)*(RASANTE!F130-PERALTE!$AB$12)-2))))),IF(AND(AH!$H$16="Izquierda",RASANTE!F130&lt;=PERALTE!$AB$14),IF(RASANTE!F130&lt;=PERALTE!$S$14,-2,IF(RASANTE!F130&lt;=PERALTE!$U$14,(-6/(PERALTE!$U$14-PERALTE!$S$14)*(RASANTE!F130-PERALTE!$S$14)-2),IF(RASANTE!F130&lt;=PERALTE!$X$14,-8,IF(RASANTE!F130&lt;=PERALTE!$Z$14,(-6/(PERALTE!$X$14-PERALTE!$Z$14)*(RASANTE!F130-PERALTE!$Z$14)-2),IF(RASANTE!F130&lt;=PERALTE!$AB$14,-2))))),IF(AND(AH!$H$16="Derecha",RASANTE!F130&lt;=PERALTE!$AB$14),IF(RASANTE!F130&lt;=PERALTE!$Q$14,-2,IF(RASANTE!F130&lt;=PERALTE!$U$14,(10/(PERALTE!$U$14-PERALTE!$Q$14)*(RASANTE!F130-PERALTE!$Q$14)-2),IF(RASANTE!F130&lt;=PERALTE!$X$14,8,IF(RASANTE!F130&lt;=PERALTE!$AB$14,(10/(PERALTE!$X$14-PERALTE!$AB$14)*(RASANTE!F130-PERALTE!$AB$14)-2))))),IF(AND(AH!$H$18="Izquierda",RASANTE!F130&lt;=PERALTE!$AB$16),IF(RASANTE!F130&lt;=PERALTE!$S$16,-2,IF(RASANTE!F130&lt;=PERALTE!$U$16,(-6/(PERALTE!$U$16-PERALTE!$S$16)*(RASANTE!F130-PERALTE!$S$16)-2),IF(RASANTE!F130&lt;=PERALTE!$X$16,-8,IF(RASANTE!F130&lt;=PERALTE!$Z$16,(-6/(PERALTE!$X$16-PERALTE!$Z$16)*(RASANTE!F130-PERALTE!$Z$16)-2),IF(RASANTE!F130&lt;=PERALTE!$AB$16,-2))))),IF(AND(AH!$H$18="Derecha",RASANTE!F130&lt;=PERALTE!$AB$16),IF(RASANTE!F130&lt;=PERALTE!$Q$16,-2,IF(RASANTE!F130&lt;=PERALTE!$U$16,(10/(PERALTE!$U$16-PERALTE!$Q$16)*(RASANTE!F130-PERALTE!$Q$16)-2),IF(RASANTE!F130&lt;=PERALTE!$X$16,8,IF(RASANTE!F130&lt;=PERALTE!$AB$16,(10/(PERALTE!$X$16-PERALTE!$AB$16)*(RASANTE!F130-PERALTE!$AB$16)-2))))),IF(AND(AH!$H$20="Izquierda",RASANTE!F130&lt;=PERALTE!$AB$18),IF(RASANTE!F130&lt;=PERALTE!$S$18,-2,IF(RASANTE!F130&lt;=PERALTE!$U$18,(-6/(PERALTE!$U$18-PERALTE!$S$18)*(RASANTE!F130-PERALTE!$S$18)-2),IF(RASANTE!F130&lt;=PERALTE!$X$18,-8,IF(RASANTE!F130&lt;=PERALTE!$Z$18,(-6/(PERALTE!$X$18-PERALTE!$Z$18)*(RASANTE!F130-PERALTE!$Z$18)-2),IF(RASANTE!F130&lt;=PERALTE!$AB$18,-2))))),IF(AND(AH!$H$20="Derecha",RASANTE!F130&lt;=PERALTE!$AB$18),IF(RASANTE!F130&lt;=PERALTE!$Q$18,-2,IF(RASANTE!F130&lt;=PERALTE!$U$18,(10/(PERALTE!$U$18-PERALTE!$Q$18)*(RASANTE!F130-PERALTE!$Q$18)-2),IF(RASANTE!F130&lt;=PERALTE!$X$18,8,IF(RASANTE!F130&lt;=PERALTE!$AB$18,(10/(PERALTE!$X$18-PERALTE!$AB$18)*(RASANTE!F130-PERALTE!$AB$18)-2))))),IF(AND(AH!$H$24="Izquierda",RASANTE!F130&lt;=PERALTE!$AB$22),IF(RASANTE!F130&lt;=PERALTE!$S$22,-2,IF(RASANTE!F130&lt;=PERALTE!$U$22,(-6/(PERALTE!$U$22-PERALTE!$S$22)*(RASANTE!F130-PERALTE!$S$22)-2),IF(RASANTE!F130&lt;=PERALTE!$X$22,-8,IF(RASANTE!F130&lt;=PERALTE!$Z$22,(-6/(PERALTE!$X$22-PERALTE!$Z$22)*(RASANTE!F130-PERALTE!$Z$22)-2),IF(RASANTE!F130&lt;=PERALTE!$AB$22,-2))))),IF(AND(AH!$H$24="Derecha",RASANTE!F130&lt;=PERALTE!$AB$22),IF(RASANTE!F130&lt;=PERALTE!$Q$22,-2,IF(RASANTE!F130&lt;=PERALTE!$U$22,(10/(PERALTE!$U$22-PERALTE!$Q$22)*(RASANTE!F130-PERALTE!$Q$22)-2),IF(RASANTE!F130&lt;=PERALTE!$X$22,8,IF(RASANTE!F130&lt;=PERALTE!$AB$22,(10/(PERALTE!$X$22-PERALTE!$AB$22)*(RASANTE!F130-PERALTE!$AB$22)-2))))),IF(AND(AH!#REF!="Izquierda",RASANTE!F130&lt;=PERALTE!#REF!),IF(RASANTE!F130&lt;=PERALTE!#REF!,-2,IF(RASANTE!F130&lt;=PERALTE!#REF!,(-6/(PERALTE!#REF!-PERALTE!#REF!)*(RASANTE!F130-PERALTE!#REF!)-2),IF(RASANTE!F130&lt;=PERALTE!#REF!,-8,IF(RASANTE!F130&lt;=PERALTE!#REF!,(-6/(PERALTE!#REF!-PERALTE!#REF!)*(RASANTE!F130-PERALTE!#REF!)-2),IF(RASANTE!F130&lt;=PERALTE!#REF!,-2))))),IF(AND(AH!#REF!="Derecha",RASANTE!F130&lt;=PERALTE!#REF!),IF(RASANTE!F130&lt;=PERALTE!#REF!,-2,IF(RASANTE!F130&lt;=PERALTE!#REF!,(10/(PERALTE!#REF!-PERALTE!#REF!)*(RASANTE!F130-PERALTE!#REF!)-2),IF(RASANTE!F130&lt;=PERALTE!#REF!,8,IF(RASANTE!F130&lt;=PERALTE!#REF!,(10/(PERALTE!#REF!-PERALTE!#REF!)*(RASANTE!F130-PERALTE!#REF!)-2))))),IF(AND(AH!#REF!="Izquierda",RASANTE!F130&lt;=PERALTE!$AB$26),IF(RASANTE!F130&lt;=PERALTE!$S$26,-2,IF(RASANTE!F130&lt;=PERALTE!$U$26,(-6/(PERALTE!$U$26-PERALTE!$S$26)*(RASANTE!F130-PERALTE!$S$26)-2),IF(RASANTE!F130&lt;=PERALTE!$X$26,-8,IF(RASANTE!F130&lt;=PERALTE!$Z$26,(-6/(PERALTE!$X$26-PERALTE!$Z$26)*(RASANTE!F130-PERALTE!$Z$26)-2),IF(RASANTE!F130&lt;=PERALTE!$AB$26,-2))))),IF(AND(AH!#REF!="Derecha",RASANTE!F130&lt;=PERALTE!$AB$26),IF(RASANTE!F130&lt;=PERALTE!$Q$26,-2,IF(RASANTE!F130&lt;=PERALTE!$U$26,(10/(PERALTE!$U$26-PERALTE!$Q$26)*(RASANTE!F130-PERALTE!$Q$26)-2),IF(RASANTE!F130&lt;=PERALTE!$X$26,8,IF(RASANTE!F130&lt;=PERALTE!$AB$26,(10/(PERALTE!$X$26-PERALTE!$AB$26)*(RASANTE!F130-PERALTE!$AB$26)-2))))),IF(F130&lt;=PERALTE!#REF!,-2,"Abscisa fuera de la vía")))))))))))))))))))))</f>
        <v>-2.7193027995762629</v>
      </c>
      <c r="I130" s="28">
        <f>+IF(AND(AH!$H$8="Derecha",RASANTE!F130&lt;=PERALTE!$AB$6),IF(RASANTE!F130&lt;=PERALTE!$S$6,-2,IF(RASANTE!F130&lt;=PERALTE!$U$6,(-6/(PERALTE!$U$6-PERALTE!$S$6)*(RASANTE!F130-PERALTE!$S$6)-2),IF(RASANTE!F130&lt;=PERALTE!$X$6,-8,IF(RASANTE!F130&lt;=PERALTE!$Z$6,(-6/(PERALTE!$X$6-PERALTE!$Z$6)*(RASANTE!F130-PERALTE!$Z$6)-2),IF(RASANTE!F130&lt;=PERALTE!$AB$6,-2))))),IF(AND(AH!$H$8="Izquierda",RASANTE!F130&lt;=PERALTE!$AB$6),IF(RASANTE!F130&lt;=PERALTE!$Q$6,-2,IF(RASANTE!F130&lt;=PERALTE!$U$6,(10/(PERALTE!$U$6-PERALTE!$Q$6)*(RASANTE!F130-PERALTE!$Q$6)-2),IF(RASANTE!F130&lt;=PERALTE!$X$6,8,IF(RASANTE!F130&lt;=PERALTE!$AB$6,(10/(PERALTE!$X$6-PERALTE!$AB$6)*(RASANTE!F130-PERALTE!$AB$6)-2))))),IF(AND(AH!$H$10="Derecha",RASANTE!F130&lt;=PERALTE!$AB$8),IF(RASANTE!F130&lt;=PERALTE!$S$8,-2,IF(RASANTE!F130&lt;=PERALTE!$U$8,(-6/(PERALTE!$U$8-PERALTE!$S$8)*(RASANTE!F130-PERALTE!$S$8)-2),IF(RASANTE!F130&lt;=PERALTE!$X$8,-8,IF(RASANTE!F130&lt;=PERALTE!$Z$8,(-6/(PERALTE!$X$8-PERALTE!$Z$8)*(RASANTE!F130-PERALTE!$Z$8)-2),IF(RASANTE!F130&lt;=PERALTE!$AB$8,-2))))),IF(AND(AH!$H$10="Izquierda",RASANTE!F130&lt;=PERALTE!$AB$8),IF(RASANTE!F130&lt;=PERALTE!$Q$8,-2,IF(RASANTE!F130&lt;=PERALTE!$U$8,(10/(PERALTE!$U$8-PERALTE!$Q$8)*(RASANTE!F130-PERALTE!$Q$8)-2),IF(RASANTE!F130&lt;=PERALTE!$X$8,8,IF(RASANTE!F130&lt;=PERALTE!$AB$8,(10/(PERALTE!$X$8-PERALTE!$AB$8)*(RASANTE!F130-PERALTE!$AB$8)-2))))),IF(AND(AH!$H$12="Derecha",RASANTE!F130&lt;=PERALTE!$AB$10),IF(RASANTE!F130&lt;=PERALTE!$S$10,-2,IF(RASANTE!F130&lt;=PERALTE!$U$10,(-6/(PERALTE!$U$10-PERALTE!$S$10)*(RASANTE!F130-PERALTE!$S$10)-2),IF(RASANTE!F130&lt;=PERALTE!$X$10,-8,IF(RASANTE!F130&lt;=PERALTE!$Z$10,(-6/(PERALTE!$X$10-PERALTE!$Z$10)*(RASANTE!F130-PERALTE!$Z$10)-2),IF(RASANTE!F130&lt;=PERALTE!$AB$10,-2))))),IF(AND(AH!$H$12="Izquierda",RASANTE!F130&lt;=PERALTE!$AB$10),IF(RASANTE!F130&lt;=PERALTE!$Q$10,-2,IF(RASANTE!F130&lt;=PERALTE!$U$10,(10/(PERALTE!$U$10-PERALTE!$Q$10)*(RASANTE!F130-PERALTE!$Q$10)-2),IF(RASANTE!F130&lt;=PERALTE!$X$10,8,IF(RASANTE!F130&lt;=PERALTE!$AB$10,(10/(PERALTE!$X$10-PERALTE!$AB$10)*(RASANTE!F130-PERALTE!$AB$10)-2))))),IF(AND(AH!$H$14="Derecha",RASANTE!F130&lt;=PERALTE!$AB$12),IF(RASANTE!F130&lt;=PERALTE!$S$12,-2,IF(RASANTE!F130&lt;=PERALTE!$U$12,(-6/(PERALTE!$U$12-PERALTE!$S$12)*(RASANTE!F130-PERALTE!$S$12)-2),IF(RASANTE!F130&lt;=PERALTE!$X$12,-8,IF(RASANTE!F130&lt;=PERALTE!$Z$12,(-6/(PERALTE!$X$12-PERALTE!$Z$12)*(RASANTE!F130-PERALTE!$Z$12)-2),IF(RASANTE!F130&lt;=PERALTE!$AB$12,-2))))),IF(AND(AH!$H$14="Izquierda",RASANTE!F130&lt;=PERALTE!$AB$12),IF(RASANTE!F130&lt;=PERALTE!$Q$12,-2,IF(RASANTE!F130&lt;=PERALTE!$U$12,(10/(PERALTE!$U$12-PERALTE!$Q$12)*(RASANTE!F130-PERALTE!$Q$12)-2),IF(RASANTE!F130&lt;=PERALTE!$X$12,8,IF(RASANTE!F130&lt;=PERALTE!$AB$12,(10/(PERALTE!$X$12-PERALTE!$AB$12)*(RASANTE!F130-PERALTE!$AB$12)-2))))),IF(AND(AH!$H$16="Derecha",RASANTE!F130&lt;=PERALTE!$AB$14),IF(RASANTE!F130&lt;=PERALTE!$S$14,-2,IF(RASANTE!F130&lt;=PERALTE!$U$14,(-6/(PERALTE!$U$14-PERALTE!$S$14)*(RASANTE!F130-PERALTE!$S$14)-2),IF(RASANTE!F130&lt;=PERALTE!$X$14,-8,IF(RASANTE!F130&lt;=PERALTE!$Z$14,(-6/(PERALTE!$X$14-PERALTE!$Z$14)*(RASANTE!F130-PERALTE!$Z$14)-2),IF(RASANTE!F130&lt;=PERALTE!$AB$14,-2))))),IF(AND(AH!$H$16="Izquierda",RASANTE!F130&lt;=PERALTE!$AB$14),IF(RASANTE!F130&lt;=PERALTE!$Q$14,-2,IF(RASANTE!F130&lt;=PERALTE!$U$14,(10/(PERALTE!$U$14-PERALTE!$Q$14)*(RASANTE!F130-PERALTE!$Q$14)-2),IF(RASANTE!F130&lt;=PERALTE!$X$14,8,IF(RASANTE!F130&lt;=PERALTE!$AB$14,(10/(PERALTE!$X$14-PERALTE!$AB$14)*(RASANTE!F130-PERALTE!$AB$14)-2))))),IF(AND(AH!$H$18="Derecha",RASANTE!F130&lt;=PERALTE!$AB$16),IF(RASANTE!F130&lt;=PERALTE!$S$16,-2,IF(RASANTE!F130&lt;=PERALTE!$U$16,(-6/(PERALTE!$U$16-PERALTE!$S$16)*(RASANTE!F130-PERALTE!$S$16)-2),IF(RASANTE!F130&lt;=PERALTE!$X$16,-8,IF(RASANTE!F130&lt;=PERALTE!$Z$16,(-6/(PERALTE!$X$16-PERALTE!$Z$16)*(RASANTE!F130-PERALTE!$Z$16)-2),IF(RASANTE!F130&lt;=PERALTE!$AB$16,-2))))),IF(AND(AH!$H$18="Izquierda",RASANTE!F130&lt;=PERALTE!$AB$16),IF(RASANTE!F130&lt;=PERALTE!$Q$16,-2,IF(RASANTE!F130&lt;=PERALTE!$U$16,(10/(PERALTE!$U$16-PERALTE!$Q$16)*(RASANTE!F130-PERALTE!$Q$16)-2),IF(RASANTE!F130&lt;=PERALTE!$X$16,8,IF(RASANTE!F130&lt;=PERALTE!$AB$16,(10/(PERALTE!$X$16-PERALTE!$AB$16)*(RASANTE!F130-PERALTE!$AB$16)-2))))),IF(AND(AH!$H$20="Derecha",RASANTE!F130&lt;=PERALTE!$AB$18),IF(RASANTE!F130&lt;=PERALTE!$S$18,-2,IF(RASANTE!F130&lt;=PERALTE!$U$18,(-6/(PERALTE!$U$18-PERALTE!$S$18)*(RASANTE!F130-PERALTE!$S$18)-2),IF(RASANTE!F130&lt;=PERALTE!$X$18,-8,IF(RASANTE!F130&lt;=PERALTE!$Z$18,(-6/(PERALTE!$X$18-PERALTE!$Z$18)*(RASANTE!F130-PERALTE!$Z$18)-2),IF(RASANTE!F130&lt;=PERALTE!$AB$18,-2))))),IF(AND(AH!$H$20="Izquierda",RASANTE!F130&lt;=PERALTE!$AB$18),IF(RASANTE!F130&lt;=PERALTE!$Q$18,-2,IF(RASANTE!F130&lt;=PERALTE!$U$18,(10/(PERALTE!$U$18-PERALTE!$Q$18)*(RASANTE!F130-PERALTE!$Q$18)-2),IF(RASANTE!F130&lt;=PERALTE!$X$18,8,IF(RASANTE!F130&lt;=PERALTE!$AB$18,(10/(PERALTE!$X$18-PERALTE!$AB$18)*(RASANTE!F130-PERALTE!$AB$18)-2))))),IF(AND(AH!$H$24="Derecha",RASANTE!F130&lt;=PERALTE!$AB$22),IF(RASANTE!F130&lt;=PERALTE!$S$22,-2,IF(RASANTE!F130&lt;=PERALTE!$U$22,(-6/(PERALTE!$U$22-PERALTE!$S$22)*(RASANTE!F130-PERALTE!$S$22)-2),IF(RASANTE!F130&lt;=PERALTE!$X$22,-8,IF(RASANTE!F130&lt;=PERALTE!$Z$22,(-6/(PERALTE!$X$22-PERALTE!$Z$22)*(RASANTE!F130-PERALTE!$Z$22)-2),IF(RASANTE!F130&lt;=PERALTE!$AB$22,-2))))),IF(AND(AH!$H$24="Izquierda",RASANTE!F130&lt;=PERALTE!$AB$22),IF(RASANTE!F130&lt;=PERALTE!$Q$22,-2,IF(RASANTE!F130&lt;=PERALTE!$U$22,(10/(PERALTE!$U$22-PERALTE!$Q$22)*(RASANTE!F130-PERALTE!$Q$22)-2),IF(RASANTE!F130&lt;=PERALTE!$X$22,8,IF(RASANTE!F130&lt;=PERALTE!$AB$22,(10/(PERALTE!$X$22-PERALTE!$AB$22)*(RASANTE!F130-PERALTE!$AB$22)-2))))),IF(AND(AH!#REF!="Derecha",RASANTE!F130&lt;=PERALTE!#REF!),IF(RASANTE!F130&lt;=PERALTE!#REF!,-2,IF(RASANTE!F130&lt;=PERALTE!#REF!,(-6/(PERALTE!#REF!-PERALTE!#REF!)*(RASANTE!F130-PERALTE!#REF!)-2),IF(RASANTE!F130&lt;=PERALTE!#REF!,-8,IF(RASANTE!F130&lt;=PERALTE!#REF!,(-6/(PERALTE!#REF!-PERALTE!#REF!)*(RASANTE!F130-PERALTE!#REF!)-2),IF(RASANTE!F130&lt;=PERALTE!#REF!,-2))))),IF(AND(AH!#REF!="Izquierda",RASANTE!F130&lt;=PERALTE!#REF!),IF(RASANTE!F130&lt;=PERALTE!#REF!,-2,IF(RASANTE!F130&lt;=PERALTE!#REF!,(10/(PERALTE!#REF!-PERALTE!#REF!)*(RASANTE!F130-PERALTE!#REF!)-2),IF(RASANTE!F130&lt;=PERALTE!#REF!,8,IF(RASANTE!F130&lt;=PERALTE!#REF!,(10/(PERALTE!#REF!-PERALTE!#REF!)*(RASANTE!F130-PERALTE!#REF!)-2))))),IF(AND(AH!#REF!="Derecha",RASANTE!F130&lt;=PERALTE!$AB$26),IF(RASANTE!F130&lt;=PERALTE!$S$26,-2,IF(RASANTE!F130&lt;=PERALTE!$U$26,(-6/(PERALTE!$U$26-PERALTE!$S$26)*(RASANTE!F130-PERALTE!$S$26)-2),IF(RASANTE!F130&lt;=PERALTE!$X$26,-8,IF(RASANTE!F130&lt;=PERALTE!$Z$26,(-6/(PERALTE!$X$26-PERALTE!$Z$26)*(RASANTE!F130-PERALTE!$Z$26)-2),IF(RASANTE!F130&lt;=PERALTE!$AB$26,-2))))),IF(AND(AH!#REF!="Izquierda",RASANTE!F130&lt;=PERALTE!$AB$26),IF(RASANTE!F130&lt;=PERALTE!$Q$26,-2,IF(RASANTE!F130&lt;=PERALTE!$U$26,(10/(PERALTE!$U$26-PERALTE!$Q$26)*(RASANTE!F130-PERALTE!$Q$26)-2),IF(RASANTE!F130&lt;=PERALTE!$X$26,8,IF(RASANTE!F130&lt;=PERALTE!$AB$26,(10/(PERALTE!$X$26-PERALTE!$AB$26)*(RASANTE!F130-PERALTE!$AB$26)-2))))),IF(F130&lt;=PERALTE!#REF!,-2,"Abscisa fuera de la vía")))))))))))))))))))))</f>
        <v>2.7193027995762717</v>
      </c>
      <c r="J130" s="28">
        <f t="shared" si="4"/>
        <v>1627.947738037592</v>
      </c>
      <c r="K130" s="28">
        <f>+IF(AND(AV!$S$6&lt;F227,F227&lt;=AV!$T$6),AV!$P$6*((AV!$S$6-RASANTE!F227)/(AV!$N$6))^2,IF(AND(AV!$T$6&lt;RASANTE!F227,F227&lt;AV!$U$6),AV!$P$6*((AV!$U$6-RASANTE!F227)/(AV!$O$6))^2,IF(AND(AV!$S$8&lt;F227,F227&lt;=AV!$T$8),AV!$P$8*((AV!$S$8-RASANTE!F227)/(AV!$N$8))^2,IF(AND(AV!$T$8&lt;RASANTE!F227,F227&lt;AV!$U$8),AV!$P$8*((AV!$U$8-RASANTE!F227)/(AV!$O$8))^2,IF(AND(AV!$S$10&lt;F227,F227&lt;=AV!$T$10),AV!$P$10*((AV!$S$10-RASANTE!F227)/(AV!$N$10))^2,IF(AND(AV!$T$10&lt;RASANTE!F227,F227&lt;AV!$U$10),AV!$P$10*((AV!$U$10-RASANTE!F227)/(AV!$O$10))^2,IF(AND(AV!$S$12&lt;F227,F227&lt;=AV!$T$12),AV!$P$12*((AV!$S$12-RASANTE!F227)/(AV!$N$12))^2,IF(AND(AV!$T$12&lt;RASANTE!F227,F227&lt;AV!$U$12),AV!$P$12*((AV!$U$12-RASANTE!F227)/(AV!$O$12))^2,IF(AND(AV!$S$14&lt;F227,F227&lt;=AV!$T$14),AV!$P$14*((AV!$S$14-RASANTE!F227)/(AV!$N$14))^2,IF(AND(AV!$T$14&lt;RASANTE!F227,F227&lt;AV!$U$14),AV!$P$14*((AV!$U$14-RASANTE!F227)/(AV!$O$14))^2,IF(AND(AV!$S$16&lt;F227,F227&lt;=AV!$T$16),AV!$P$16*((AV!$S$16-RASANTE!F227)/(AV!$N$16))^2,IF(AND(AV!$T$16&lt;RASANTE!F227,F227&lt;AV!$U$16),AV!$P$16*((AV!$U$16-RASANTE!F227)/(AV!$O$16))^2,IF(AND(AV!$S$18&lt;F227,F227&lt;=AV!$T$18),AV!$P$18*((AV!$S$18-RASANTE!F227)/(AV!$N$18))^2,IF(AND(AV!$T$18&lt;RASANTE!F227,F227&lt;AV!$U$18),AV!$P$18*((AV!$U$18-RASANTE!F227)/(AV!$O$18))^2,IF(AND(AV!$S$20&lt;F227,F227&lt;=AV!$T$20),AV!$P$20*((AV!$S$20-RASANTE!F227)/(AV!$N$20))^2,IF(AND(AV!$T$20&lt;RASANTE!F227,F227&lt;AV!$U$20),AV!$P$20*((AV!$U$20-RASANTE!F227)/(AV!$O$20))^2,IF(AND(AV!$S$22&lt;F227,F227&lt;=AV!$T$22),AV!$P$22*((AV!$S$22-RASANTE!F227)/(AV!$N$22))^2,IF(AND(AV!$T$22&lt;RASANTE!F227,F227&lt;AV!$U$22),AV!$P$22*((AV!$U$22-RASANTE!F227)/(AV!$O$22))^2,IF(AND(AV!$S$24&lt;F227,F227&lt;=AV!$T$24),AV!$P$24*((AV!$S$24-RASANTE!F227)/(AV!$N$24))^2,IF(AND(AV!$T$24&lt;RASANTE!F227,F227&lt;AV!$U$24),AV!$P$24*((AV!$U$24-RASANTE!F227)/(AV!$O$24))^2,0))))))))))))))))))))</f>
        <v>0</v>
      </c>
      <c r="L130" s="28">
        <f>+M130+H130%*PERALTE!$C$32</f>
        <v>1627.8525624396068</v>
      </c>
      <c r="M130" s="28">
        <f t="shared" si="5"/>
        <v>1627.947738037592</v>
      </c>
      <c r="N130" s="28">
        <f>+M130+I130%*PERALTE!$C$32</f>
        <v>1628.0429136355772</v>
      </c>
      <c r="O130" s="92"/>
      <c r="P130" s="84"/>
      <c r="Q130" s="84"/>
      <c r="R130" s="84"/>
      <c r="S130" s="84"/>
      <c r="T130" s="84"/>
      <c r="U130" s="84"/>
      <c r="V130" s="84"/>
      <c r="W130" s="84"/>
      <c r="X130" s="84"/>
      <c r="Y130" s="84"/>
    </row>
    <row r="131" spans="1:25" ht="15.75" customHeight="1" x14ac:dyDescent="0.2">
      <c r="A131" s="90" t="s">
        <v>342</v>
      </c>
      <c r="E131" s="180" t="str">
        <f>AV!Q10</f>
        <v>CONVEXA</v>
      </c>
      <c r="F131" s="34">
        <f>PERALTE!T12</f>
        <v>795.82135091101691</v>
      </c>
      <c r="G131" s="88">
        <f>IF(F131&lt;=AV!$T$6,AV!$C$5,IF(RASANTE!F131&lt;=AV!$T$8,AV!$C$7,IF(RASANTE!F131&lt;=AV!$T$10,AV!$C$9,IF(RASANTE!F131&lt;=AV!$T$12,AV!$C$11,IF(RASANTE!F131&lt;=AV!$T$14,AV!$C$13,IF(RASANTE!F131&lt;=AV!$T$16,AV!$C$15, IF(RASANTE!F131&lt;=AV!$T$18,AV!$C$17,IF(RASANTE!F131&lt;=AV!$T$20,AV!$C$19,IF(RASANTE!F131&lt;=AV!$T$22,AV!$C$21,IF(RASANTE!F131&lt;=AV!$T$24,AV!$C$23,AV!$C$25))))))))))</f>
        <v>-7.2409999999999997</v>
      </c>
      <c r="H131" s="28">
        <f>+IF(AND(AH!$H$8="Izquierda",RASANTE!F131&lt;=PERALTE!$AB$6),IF(RASANTE!F131&lt;=PERALTE!$S$6,-2,IF(RASANTE!F131&lt;=PERALTE!$U$6,(-6/(PERALTE!$U$6-PERALTE!$S$6)*(RASANTE!F131-PERALTE!$S$6)-2),IF(RASANTE!F131&lt;=PERALTE!$X$6,-8,IF(RASANTE!F131&lt;=PERALTE!$Z$6,(-6/(PERALTE!$X$6-PERALTE!$Z$6)*(RASANTE!F131-PERALTE!$Z$6)-2),IF(RASANTE!F131&lt;=PERALTE!$AB$6,-2))))),IF(AND(AH!$H$8="Derecha",RASANTE!F131&lt;=PERALTE!$AB$6),IF(RASANTE!F131&lt;=PERALTE!$Q$6,-2,IF(RASANTE!F131&lt;=PERALTE!$U$6,(10/(PERALTE!$U$6-PERALTE!$Q$6)*(RASANTE!F131-PERALTE!$Q$6)-2),IF(RASANTE!F131&lt;=PERALTE!$X$6,8,IF(RASANTE!F131&lt;=PERALTE!$AB$6,(10/(PERALTE!$X$6-PERALTE!$AB$6)*(RASANTE!F131-PERALTE!$AB$6)-2))))),IF(AND(AH!$H$10="Izquierda",RASANTE!F131&lt;=PERALTE!$AB$8),IF(RASANTE!F131&lt;=PERALTE!$S$8,-2,IF(RASANTE!F131&lt;=PERALTE!$U$8,(-6/(PERALTE!$U$8-PERALTE!$S$8)*(RASANTE!F131-PERALTE!$S$8)-2),IF(RASANTE!F131&lt;=PERALTE!$X$8,-8,IF(RASANTE!F131&lt;=PERALTE!$Z$8,(-6/(PERALTE!$X$8-PERALTE!$Z$8)*(RASANTE!F131-PERALTE!$Z$8)-2),IF(RASANTE!F131&lt;=PERALTE!$AB$8,-2))))),IF(AND(AH!$H$10="Derecha",RASANTE!F131&lt;=PERALTE!$AB$8),IF(RASANTE!F131&lt;=PERALTE!$Q$8,-2,IF(RASANTE!F131&lt;=PERALTE!$U$8,(10/(PERALTE!$U$8-PERALTE!$Q$8)*(RASANTE!F131-PERALTE!$Q$8)-2),IF(RASANTE!F131&lt;=PERALTE!$X$8,8,IF(RASANTE!F131&lt;=PERALTE!$AB$8,(10/(PERALTE!$X$8-PERALTE!$AB$8)*(RASANTE!F131-PERALTE!$AB$8)-2))))),IF(AND(AH!$H$12="Izquierda",RASANTE!F131&lt;=PERALTE!$AB$10),IF(RASANTE!F131&lt;=PERALTE!$S$10,-2,IF(RASANTE!F131&lt;=PERALTE!$U$10,(-6/(PERALTE!$U$10-PERALTE!$S$10)*(RASANTE!F131-PERALTE!$S$10)-2),IF(RASANTE!F131&lt;=PERALTE!$X$10,-8,IF(RASANTE!F131&lt;=PERALTE!$Z$10,(-6/(PERALTE!$X$10-PERALTE!$Z$10)*(RASANTE!F131-PERALTE!$Z$10)-2),IF(RASANTE!F131&lt;=PERALTE!$AB$10,-2))))),IF(AND(AH!$H$12="Derecha",RASANTE!F131&lt;=PERALTE!$AB$10),IF(RASANTE!F131&lt;=PERALTE!$Q$10,-2,IF(RASANTE!F131&lt;=PERALTE!$U$10,(10/(PERALTE!$U$10-PERALTE!$Q$10)*(RASANTE!F131-PERALTE!$Q$10)-2),IF(RASANTE!F131&lt;=PERALTE!$X$10,8,IF(RASANTE!F131&lt;=PERALTE!$AB$10,(10/(PERALTE!$X$10-PERALTE!$AB$10)*(RASANTE!F131-PERALTE!$AB$10)-2))))),IF(AND(AH!$H$14="Izquierda",RASANTE!F131&lt;=PERALTE!$AB$12),IF(RASANTE!F131&lt;=PERALTE!$S$12,-2,IF(RASANTE!F131&lt;=PERALTE!$U$12,(-6/(PERALTE!$U$12-PERALTE!$S$12)*(RASANTE!F131-PERALTE!$S$12)-2),IF(RASANTE!F131&lt;=PERALTE!$X$12,-8,IF(RASANTE!F131&lt;=PERALTE!$Z$12,(-6/(PERALTE!$X$12-PERALTE!$Z$12)*(RASANTE!F131-PERALTE!$Z$12)-2),IF(RASANTE!F131&lt;=PERALTE!$AB$12,-2))))),IF(AND(AH!$H$14="Derecha",RASANTE!F131&lt;=PERALTE!$AB$12),IF(RASANTE!F131&lt;=PERALTE!$Q$12,-2,IF(RASANTE!F131&lt;=PERALTE!$U$12,(10/(PERALTE!$U$12-PERALTE!$Q$12)*(RASANTE!F131-PERALTE!$Q$12)-2),IF(RASANTE!F131&lt;=PERALTE!$X$12,8,IF(RASANTE!F131&lt;=PERALTE!$AB$12,(10/(PERALTE!$X$12-PERALTE!$AB$12)*(RASANTE!F131-PERALTE!$AB$12)-2))))),IF(AND(AH!$H$16="Izquierda",RASANTE!F131&lt;=PERALTE!$AB$14),IF(RASANTE!F131&lt;=PERALTE!$S$14,-2,IF(RASANTE!F131&lt;=PERALTE!$U$14,(-6/(PERALTE!$U$14-PERALTE!$S$14)*(RASANTE!F131-PERALTE!$S$14)-2),IF(RASANTE!F131&lt;=PERALTE!$X$14,-8,IF(RASANTE!F131&lt;=PERALTE!$Z$14,(-6/(PERALTE!$X$14-PERALTE!$Z$14)*(RASANTE!F131-PERALTE!$Z$14)-2),IF(RASANTE!F131&lt;=PERALTE!$AB$14,-2))))),IF(AND(AH!$H$16="Derecha",RASANTE!F131&lt;=PERALTE!$AB$14),IF(RASANTE!F131&lt;=PERALTE!$Q$14,-2,IF(RASANTE!F131&lt;=PERALTE!$U$14,(10/(PERALTE!$U$14-PERALTE!$Q$14)*(RASANTE!F131-PERALTE!$Q$14)-2),IF(RASANTE!F131&lt;=PERALTE!$X$14,8,IF(RASANTE!F131&lt;=PERALTE!$AB$14,(10/(PERALTE!$X$14-PERALTE!$AB$14)*(RASANTE!F131-PERALTE!$AB$14)-2))))),IF(AND(AH!$H$18="Izquierda",RASANTE!F131&lt;=PERALTE!$AB$16),IF(RASANTE!F131&lt;=PERALTE!$S$16,-2,IF(RASANTE!F131&lt;=PERALTE!$U$16,(-6/(PERALTE!$U$16-PERALTE!$S$16)*(RASANTE!F131-PERALTE!$S$16)-2),IF(RASANTE!F131&lt;=PERALTE!$X$16,-8,IF(RASANTE!F131&lt;=PERALTE!$Z$16,(-6/(PERALTE!$X$16-PERALTE!$Z$16)*(RASANTE!F131-PERALTE!$Z$16)-2),IF(RASANTE!F131&lt;=PERALTE!$AB$16,-2))))),IF(AND(AH!$H$18="Derecha",RASANTE!F131&lt;=PERALTE!$AB$16),IF(RASANTE!F131&lt;=PERALTE!$Q$16,-2,IF(RASANTE!F131&lt;=PERALTE!$U$16,(10/(PERALTE!$U$16-PERALTE!$Q$16)*(RASANTE!F131-PERALTE!$Q$16)-2),IF(RASANTE!F131&lt;=PERALTE!$X$16,8,IF(RASANTE!F131&lt;=PERALTE!$AB$16,(10/(PERALTE!$X$16-PERALTE!$AB$16)*(RASANTE!F131-PERALTE!$AB$16)-2))))),IF(AND(AH!$H$20="Izquierda",RASANTE!F131&lt;=PERALTE!$AB$18),IF(RASANTE!F131&lt;=PERALTE!$S$18,-2,IF(RASANTE!F131&lt;=PERALTE!$U$18,(-6/(PERALTE!$U$18-PERALTE!$S$18)*(RASANTE!F131-PERALTE!$S$18)-2),IF(RASANTE!F131&lt;=PERALTE!$X$18,-8,IF(RASANTE!F131&lt;=PERALTE!$Z$18,(-6/(PERALTE!$X$18-PERALTE!$Z$18)*(RASANTE!F131-PERALTE!$Z$18)-2),IF(RASANTE!F131&lt;=PERALTE!$AB$18,-2))))),IF(AND(AH!$H$20="Derecha",RASANTE!F131&lt;=PERALTE!$AB$18),IF(RASANTE!F131&lt;=PERALTE!$Q$18,-2,IF(RASANTE!F131&lt;=PERALTE!$U$18,(10/(PERALTE!$U$18-PERALTE!$Q$18)*(RASANTE!F131-PERALTE!$Q$18)-2),IF(RASANTE!F131&lt;=PERALTE!$X$18,8,IF(RASANTE!F131&lt;=PERALTE!$AB$18,(10/(PERALTE!$X$18-PERALTE!$AB$18)*(RASANTE!F131-PERALTE!$AB$18)-2))))),IF(AND(AH!$H$24="Izquierda",RASANTE!F131&lt;=PERALTE!$AB$22),IF(RASANTE!F131&lt;=PERALTE!$S$22,-2,IF(RASANTE!F131&lt;=PERALTE!$U$22,(-6/(PERALTE!$U$22-PERALTE!$S$22)*(RASANTE!F131-PERALTE!$S$22)-2),IF(RASANTE!F131&lt;=PERALTE!$X$22,-8,IF(RASANTE!F131&lt;=PERALTE!$Z$22,(-6/(PERALTE!$X$22-PERALTE!$Z$22)*(RASANTE!F131-PERALTE!$Z$22)-2),IF(RASANTE!F131&lt;=PERALTE!$AB$22,-2))))),IF(AND(AH!$H$24="Derecha",RASANTE!F131&lt;=PERALTE!$AB$22),IF(RASANTE!F131&lt;=PERALTE!$Q$22,-2,IF(RASANTE!F131&lt;=PERALTE!$U$22,(10/(PERALTE!$U$22-PERALTE!$Q$22)*(RASANTE!F131-PERALTE!$Q$22)-2),IF(RASANTE!F131&lt;=PERALTE!$X$22,8,IF(RASANTE!F131&lt;=PERALTE!$AB$22,(10/(PERALTE!$X$22-PERALTE!$AB$22)*(RASANTE!F131-PERALTE!$AB$22)-2))))),IF(AND(AH!#REF!="Izquierda",RASANTE!F131&lt;=PERALTE!#REF!),IF(RASANTE!F131&lt;=PERALTE!#REF!,-2,IF(RASANTE!F131&lt;=PERALTE!#REF!,(-6/(PERALTE!#REF!-PERALTE!#REF!)*(RASANTE!F131-PERALTE!#REF!)-2),IF(RASANTE!F131&lt;=PERALTE!#REF!,-8,IF(RASANTE!F131&lt;=PERALTE!#REF!,(-6/(PERALTE!#REF!-PERALTE!#REF!)*(RASANTE!F131-PERALTE!#REF!)-2),IF(RASANTE!F131&lt;=PERALTE!#REF!,-2))))),IF(AND(AH!#REF!="Derecha",RASANTE!F131&lt;=PERALTE!#REF!),IF(RASANTE!F131&lt;=PERALTE!#REF!,-2,IF(RASANTE!F131&lt;=PERALTE!#REF!,(10/(PERALTE!#REF!-PERALTE!#REF!)*(RASANTE!F131-PERALTE!#REF!)-2),IF(RASANTE!F131&lt;=PERALTE!#REF!,8,IF(RASANTE!F131&lt;=PERALTE!#REF!,(10/(PERALTE!#REF!-PERALTE!#REF!)*(RASANTE!F131-PERALTE!#REF!)-2))))),IF(AND(AH!#REF!="Izquierda",RASANTE!F131&lt;=PERALTE!$AB$26),IF(RASANTE!F131&lt;=PERALTE!$S$26,-2,IF(RASANTE!F131&lt;=PERALTE!$U$26,(-6/(PERALTE!$U$26-PERALTE!$S$26)*(RASANTE!F131-PERALTE!$S$26)-2),IF(RASANTE!F131&lt;=PERALTE!$X$26,-8,IF(RASANTE!F131&lt;=PERALTE!$Z$26,(-6/(PERALTE!$X$26-PERALTE!$Z$26)*(RASANTE!F131-PERALTE!$Z$26)-2),IF(RASANTE!F131&lt;=PERALTE!$AB$26,-2))))),IF(AND(AH!#REF!="Derecha",RASANTE!F131&lt;=PERALTE!$AB$26),IF(RASANTE!F131&lt;=PERALTE!$Q$26,-2,IF(RASANTE!F131&lt;=PERALTE!$U$26,(10/(PERALTE!$U$26-PERALTE!$Q$26)*(RASANTE!F131-PERALTE!$Q$26)-2),IF(RASANTE!F131&lt;=PERALTE!$X$26,8,IF(RASANTE!F131&lt;=PERALTE!$AB$26,(10/(PERALTE!$X$26-PERALTE!$AB$26)*(RASANTE!F131-PERALTE!$AB$26)-2))))),IF(F131&lt;=PERALTE!#REF!,-2,"Abscisa fuera de la vía")))))))))))))))))))))</f>
        <v>-3.9999999999999831</v>
      </c>
      <c r="I131" s="28">
        <f>+IF(AND(AH!$H$8="Derecha",RASANTE!F131&lt;=PERALTE!$AB$6),IF(RASANTE!F131&lt;=PERALTE!$S$6,-2,IF(RASANTE!F131&lt;=PERALTE!$U$6,(-6/(PERALTE!$U$6-PERALTE!$S$6)*(RASANTE!F131-PERALTE!$S$6)-2),IF(RASANTE!F131&lt;=PERALTE!$X$6,-8,IF(RASANTE!F131&lt;=PERALTE!$Z$6,(-6/(PERALTE!$X$6-PERALTE!$Z$6)*(RASANTE!F131-PERALTE!$Z$6)-2),IF(RASANTE!F131&lt;=PERALTE!$AB$6,-2))))),IF(AND(AH!$H$8="Izquierda",RASANTE!F131&lt;=PERALTE!$AB$6),IF(RASANTE!F131&lt;=PERALTE!$Q$6,-2,IF(RASANTE!F131&lt;=PERALTE!$U$6,(10/(PERALTE!$U$6-PERALTE!$Q$6)*(RASANTE!F131-PERALTE!$Q$6)-2),IF(RASANTE!F131&lt;=PERALTE!$X$6,8,IF(RASANTE!F131&lt;=PERALTE!$AB$6,(10/(PERALTE!$X$6-PERALTE!$AB$6)*(RASANTE!F131-PERALTE!$AB$6)-2))))),IF(AND(AH!$H$10="Derecha",RASANTE!F131&lt;=PERALTE!$AB$8),IF(RASANTE!F131&lt;=PERALTE!$S$8,-2,IF(RASANTE!F131&lt;=PERALTE!$U$8,(-6/(PERALTE!$U$8-PERALTE!$S$8)*(RASANTE!F131-PERALTE!$S$8)-2),IF(RASANTE!F131&lt;=PERALTE!$X$8,-8,IF(RASANTE!F131&lt;=PERALTE!$Z$8,(-6/(PERALTE!$X$8-PERALTE!$Z$8)*(RASANTE!F131-PERALTE!$Z$8)-2),IF(RASANTE!F131&lt;=PERALTE!$AB$8,-2))))),IF(AND(AH!$H$10="Izquierda",RASANTE!F131&lt;=PERALTE!$AB$8),IF(RASANTE!F131&lt;=PERALTE!$Q$8,-2,IF(RASANTE!F131&lt;=PERALTE!$U$8,(10/(PERALTE!$U$8-PERALTE!$Q$8)*(RASANTE!F131-PERALTE!$Q$8)-2),IF(RASANTE!F131&lt;=PERALTE!$X$8,8,IF(RASANTE!F131&lt;=PERALTE!$AB$8,(10/(PERALTE!$X$8-PERALTE!$AB$8)*(RASANTE!F131-PERALTE!$AB$8)-2))))),IF(AND(AH!$H$12="Derecha",RASANTE!F131&lt;=PERALTE!$AB$10),IF(RASANTE!F131&lt;=PERALTE!$S$10,-2,IF(RASANTE!F131&lt;=PERALTE!$U$10,(-6/(PERALTE!$U$10-PERALTE!$S$10)*(RASANTE!F131-PERALTE!$S$10)-2),IF(RASANTE!F131&lt;=PERALTE!$X$10,-8,IF(RASANTE!F131&lt;=PERALTE!$Z$10,(-6/(PERALTE!$X$10-PERALTE!$Z$10)*(RASANTE!F131-PERALTE!$Z$10)-2),IF(RASANTE!F131&lt;=PERALTE!$AB$10,-2))))),IF(AND(AH!$H$12="Izquierda",RASANTE!F131&lt;=PERALTE!$AB$10),IF(RASANTE!F131&lt;=PERALTE!$Q$10,-2,IF(RASANTE!F131&lt;=PERALTE!$U$10,(10/(PERALTE!$U$10-PERALTE!$Q$10)*(RASANTE!F131-PERALTE!$Q$10)-2),IF(RASANTE!F131&lt;=PERALTE!$X$10,8,IF(RASANTE!F131&lt;=PERALTE!$AB$10,(10/(PERALTE!$X$10-PERALTE!$AB$10)*(RASANTE!F131-PERALTE!$AB$10)-2))))),IF(AND(AH!$H$14="Derecha",RASANTE!F131&lt;=PERALTE!$AB$12),IF(RASANTE!F131&lt;=PERALTE!$S$12,-2,IF(RASANTE!F131&lt;=PERALTE!$U$12,(-6/(PERALTE!$U$12-PERALTE!$S$12)*(RASANTE!F131-PERALTE!$S$12)-2),IF(RASANTE!F131&lt;=PERALTE!$X$12,-8,IF(RASANTE!F131&lt;=PERALTE!$Z$12,(-6/(PERALTE!$X$12-PERALTE!$Z$12)*(RASANTE!F131-PERALTE!$Z$12)-2),IF(RASANTE!F131&lt;=PERALTE!$AB$12,-2))))),IF(AND(AH!$H$14="Izquierda",RASANTE!F131&lt;=PERALTE!$AB$12),IF(RASANTE!F131&lt;=PERALTE!$Q$12,-2,IF(RASANTE!F131&lt;=PERALTE!$U$12,(10/(PERALTE!$U$12-PERALTE!$Q$12)*(RASANTE!F131-PERALTE!$Q$12)-2),IF(RASANTE!F131&lt;=PERALTE!$X$12,8,IF(RASANTE!F131&lt;=PERALTE!$AB$12,(10/(PERALTE!$X$12-PERALTE!$AB$12)*(RASANTE!F131-PERALTE!$AB$12)-2))))),IF(AND(AH!$H$16="Derecha",RASANTE!F131&lt;=PERALTE!$AB$14),IF(RASANTE!F131&lt;=PERALTE!$S$14,-2,IF(RASANTE!F131&lt;=PERALTE!$U$14,(-6/(PERALTE!$U$14-PERALTE!$S$14)*(RASANTE!F131-PERALTE!$S$14)-2),IF(RASANTE!F131&lt;=PERALTE!$X$14,-8,IF(RASANTE!F131&lt;=PERALTE!$Z$14,(-6/(PERALTE!$X$14-PERALTE!$Z$14)*(RASANTE!F131-PERALTE!$Z$14)-2),IF(RASANTE!F131&lt;=PERALTE!$AB$14,-2))))),IF(AND(AH!$H$16="Izquierda",RASANTE!F131&lt;=PERALTE!$AB$14),IF(RASANTE!F131&lt;=PERALTE!$Q$14,-2,IF(RASANTE!F131&lt;=PERALTE!$U$14,(10/(PERALTE!$U$14-PERALTE!$Q$14)*(RASANTE!F131-PERALTE!$Q$14)-2),IF(RASANTE!F131&lt;=PERALTE!$X$14,8,IF(RASANTE!F131&lt;=PERALTE!$AB$14,(10/(PERALTE!$X$14-PERALTE!$AB$14)*(RASANTE!F131-PERALTE!$AB$14)-2))))),IF(AND(AH!$H$18="Derecha",RASANTE!F131&lt;=PERALTE!$AB$16),IF(RASANTE!F131&lt;=PERALTE!$S$16,-2,IF(RASANTE!F131&lt;=PERALTE!$U$16,(-6/(PERALTE!$U$16-PERALTE!$S$16)*(RASANTE!F131-PERALTE!$S$16)-2),IF(RASANTE!F131&lt;=PERALTE!$X$16,-8,IF(RASANTE!F131&lt;=PERALTE!$Z$16,(-6/(PERALTE!$X$16-PERALTE!$Z$16)*(RASANTE!F131-PERALTE!$Z$16)-2),IF(RASANTE!F131&lt;=PERALTE!$AB$16,-2))))),IF(AND(AH!$H$18="Izquierda",RASANTE!F131&lt;=PERALTE!$AB$16),IF(RASANTE!F131&lt;=PERALTE!$Q$16,-2,IF(RASANTE!F131&lt;=PERALTE!$U$16,(10/(PERALTE!$U$16-PERALTE!$Q$16)*(RASANTE!F131-PERALTE!$Q$16)-2),IF(RASANTE!F131&lt;=PERALTE!$X$16,8,IF(RASANTE!F131&lt;=PERALTE!$AB$16,(10/(PERALTE!$X$16-PERALTE!$AB$16)*(RASANTE!F131-PERALTE!$AB$16)-2))))),IF(AND(AH!$H$20="Derecha",RASANTE!F131&lt;=PERALTE!$AB$18),IF(RASANTE!F131&lt;=PERALTE!$S$18,-2,IF(RASANTE!F131&lt;=PERALTE!$U$18,(-6/(PERALTE!$U$18-PERALTE!$S$18)*(RASANTE!F131-PERALTE!$S$18)-2),IF(RASANTE!F131&lt;=PERALTE!$X$18,-8,IF(RASANTE!F131&lt;=PERALTE!$Z$18,(-6/(PERALTE!$X$18-PERALTE!$Z$18)*(RASANTE!F131-PERALTE!$Z$18)-2),IF(RASANTE!F131&lt;=PERALTE!$AB$18,-2))))),IF(AND(AH!$H$20="Izquierda",RASANTE!F131&lt;=PERALTE!$AB$18),IF(RASANTE!F131&lt;=PERALTE!$Q$18,-2,IF(RASANTE!F131&lt;=PERALTE!$U$18,(10/(PERALTE!$U$18-PERALTE!$Q$18)*(RASANTE!F131-PERALTE!$Q$18)-2),IF(RASANTE!F131&lt;=PERALTE!$X$18,8,IF(RASANTE!F131&lt;=PERALTE!$AB$18,(10/(PERALTE!$X$18-PERALTE!$AB$18)*(RASANTE!F131-PERALTE!$AB$18)-2))))),IF(AND(AH!$H$24="Derecha",RASANTE!F131&lt;=PERALTE!$AB$22),IF(RASANTE!F131&lt;=PERALTE!$S$22,-2,IF(RASANTE!F131&lt;=PERALTE!$U$22,(-6/(PERALTE!$U$22-PERALTE!$S$22)*(RASANTE!F131-PERALTE!$S$22)-2),IF(RASANTE!F131&lt;=PERALTE!$X$22,-8,IF(RASANTE!F131&lt;=PERALTE!$Z$22,(-6/(PERALTE!$X$22-PERALTE!$Z$22)*(RASANTE!F131-PERALTE!$Z$22)-2),IF(RASANTE!F131&lt;=PERALTE!$AB$22,-2))))),IF(AND(AH!$H$24="Izquierda",RASANTE!F131&lt;=PERALTE!$AB$22),IF(RASANTE!F131&lt;=PERALTE!$Q$22,-2,IF(RASANTE!F131&lt;=PERALTE!$U$22,(10/(PERALTE!$U$22-PERALTE!$Q$22)*(RASANTE!F131-PERALTE!$Q$22)-2),IF(RASANTE!F131&lt;=PERALTE!$X$22,8,IF(RASANTE!F131&lt;=PERALTE!$AB$22,(10/(PERALTE!$X$22-PERALTE!$AB$22)*(RASANTE!F131-PERALTE!$AB$22)-2))))),IF(AND(AH!#REF!="Derecha",RASANTE!F131&lt;=PERALTE!#REF!),IF(RASANTE!F131&lt;=PERALTE!#REF!,-2,IF(RASANTE!F131&lt;=PERALTE!#REF!,(-6/(PERALTE!#REF!-PERALTE!#REF!)*(RASANTE!F131-PERALTE!#REF!)-2),IF(RASANTE!F131&lt;=PERALTE!#REF!,-8,IF(RASANTE!F131&lt;=PERALTE!#REF!,(-6/(PERALTE!#REF!-PERALTE!#REF!)*(RASANTE!F131-PERALTE!#REF!)-2),IF(RASANTE!F131&lt;=PERALTE!#REF!,-2))))),IF(AND(AH!#REF!="Izquierda",RASANTE!F131&lt;=PERALTE!#REF!),IF(RASANTE!F131&lt;=PERALTE!#REF!,-2,IF(RASANTE!F131&lt;=PERALTE!#REF!,(10/(PERALTE!#REF!-PERALTE!#REF!)*(RASANTE!F131-PERALTE!#REF!)-2),IF(RASANTE!F131&lt;=PERALTE!#REF!,8,IF(RASANTE!F131&lt;=PERALTE!#REF!,(10/(PERALTE!#REF!-PERALTE!#REF!)*(RASANTE!F131-PERALTE!#REF!)-2))))),IF(AND(AH!#REF!="Derecha",RASANTE!F131&lt;=PERALTE!$AB$26),IF(RASANTE!F131&lt;=PERALTE!$S$26,-2,IF(RASANTE!F131&lt;=PERALTE!$U$26,(-6/(PERALTE!$U$26-PERALTE!$S$26)*(RASANTE!F131-PERALTE!$S$26)-2),IF(RASANTE!F131&lt;=PERALTE!$X$26,-8,IF(RASANTE!F131&lt;=PERALTE!$Z$26,(-6/(PERALTE!$X$26-PERALTE!$Z$26)*(RASANTE!F131-PERALTE!$Z$26)-2),IF(RASANTE!F131&lt;=PERALTE!$AB$26,-2))))),IF(AND(AH!#REF!="Izquierda",RASANTE!F131&lt;=PERALTE!$AB$26),IF(RASANTE!F131&lt;=PERALTE!$Q$26,-2,IF(RASANTE!F131&lt;=PERALTE!$U$26,(10/(PERALTE!$U$26-PERALTE!$Q$26)*(RASANTE!F131-PERALTE!$Q$26)-2),IF(RASANTE!F131&lt;=PERALTE!$X$26,8,IF(RASANTE!F131&lt;=PERALTE!$AB$26,(10/(PERALTE!$X$26-PERALTE!$AB$26)*(RASANTE!F131-PERALTE!$AB$26)-2))))),IF(F131&lt;=PERALTE!#REF!,-2,"Abscisa fuera de la vía")))))))))))))))))))))</f>
        <v>3.9999999999999902</v>
      </c>
      <c r="J131" s="28">
        <f t="shared" si="4"/>
        <v>1627.5262140181253</v>
      </c>
      <c r="K131" s="28">
        <f>+IF(AND(AV!$S$6&lt;F228,F228&lt;=AV!$T$6),AV!$P$6*((AV!$S$6-RASANTE!F228)/(AV!$N$6))^2,IF(AND(AV!$T$6&lt;RASANTE!F228,F228&lt;AV!$U$6),AV!$P$6*((AV!$U$6-RASANTE!F228)/(AV!$O$6))^2,IF(AND(AV!$S$8&lt;F228,F228&lt;=AV!$T$8),AV!$P$8*((AV!$S$8-RASANTE!F228)/(AV!$N$8))^2,IF(AND(AV!$T$8&lt;RASANTE!F228,F228&lt;AV!$U$8),AV!$P$8*((AV!$U$8-RASANTE!F228)/(AV!$O$8))^2,IF(AND(AV!$S$10&lt;F228,F228&lt;=AV!$T$10),AV!$P$10*((AV!$S$10-RASANTE!F228)/(AV!$N$10))^2,IF(AND(AV!$T$10&lt;RASANTE!F228,F228&lt;AV!$U$10),AV!$P$10*((AV!$U$10-RASANTE!F228)/(AV!$O$10))^2,IF(AND(AV!$S$12&lt;F228,F228&lt;=AV!$T$12),AV!$P$12*((AV!$S$12-RASANTE!F228)/(AV!$N$12))^2,IF(AND(AV!$T$12&lt;RASANTE!F228,F228&lt;AV!$U$12),AV!$P$12*((AV!$U$12-RASANTE!F228)/(AV!$O$12))^2,IF(AND(AV!$S$14&lt;F228,F228&lt;=AV!$T$14),AV!$P$14*((AV!$S$14-RASANTE!F228)/(AV!$N$14))^2,IF(AND(AV!$T$14&lt;RASANTE!F228,F228&lt;AV!$U$14),AV!$P$14*((AV!$U$14-RASANTE!F228)/(AV!$O$14))^2,IF(AND(AV!$S$16&lt;F228,F228&lt;=AV!$T$16),AV!$P$16*((AV!$S$16-RASANTE!F228)/(AV!$N$16))^2,IF(AND(AV!$T$16&lt;RASANTE!F228,F228&lt;AV!$U$16),AV!$P$16*((AV!$U$16-RASANTE!F228)/(AV!$O$16))^2,IF(AND(AV!$S$18&lt;F228,F228&lt;=AV!$T$18),AV!$P$18*((AV!$S$18-RASANTE!F228)/(AV!$N$18))^2,IF(AND(AV!$T$18&lt;RASANTE!F228,F228&lt;AV!$U$18),AV!$P$18*((AV!$U$18-RASANTE!F228)/(AV!$O$18))^2,IF(AND(AV!$S$20&lt;F228,F228&lt;=AV!$T$20),AV!$P$20*((AV!$S$20-RASANTE!F228)/(AV!$N$20))^2,IF(AND(AV!$T$20&lt;RASANTE!F228,F228&lt;AV!$U$20),AV!$P$20*((AV!$U$20-RASANTE!F228)/(AV!$O$20))^2,IF(AND(AV!$S$22&lt;F228,F228&lt;=AV!$T$22),AV!$P$22*((AV!$S$22-RASANTE!F228)/(AV!$N$22))^2,IF(AND(AV!$T$22&lt;RASANTE!F228,F228&lt;AV!$U$22),AV!$P$22*((AV!$U$22-RASANTE!F228)/(AV!$O$22))^2,IF(AND(AV!$S$24&lt;F228,F228&lt;=AV!$T$24),AV!$P$24*((AV!$S$24-RASANTE!F228)/(AV!$N$24))^2,IF(AND(AV!$T$24&lt;RASANTE!F228,F228&lt;AV!$U$24),AV!$P$24*((AV!$U$24-RASANTE!F228)/(AV!$O$24))^2,0))))))))))))))))))))</f>
        <v>0</v>
      </c>
      <c r="L131" s="28">
        <f>+M131+H131%*PERALTE!$C$32</f>
        <v>1627.3862140181252</v>
      </c>
      <c r="M131" s="28">
        <f t="shared" si="5"/>
        <v>1627.5262140181253</v>
      </c>
      <c r="N131" s="28">
        <f>+M131+I131%*PERALTE!$C$32</f>
        <v>1627.6662140181254</v>
      </c>
      <c r="O131" s="92"/>
      <c r="P131" s="84"/>
      <c r="Q131" s="84"/>
      <c r="R131" s="84"/>
      <c r="S131" s="84"/>
      <c r="T131" s="84"/>
      <c r="U131" s="84"/>
      <c r="V131" s="84"/>
      <c r="W131" s="84"/>
      <c r="X131" s="84"/>
      <c r="Y131" s="84"/>
    </row>
    <row r="132" spans="1:25" ht="15.75" customHeight="1" x14ac:dyDescent="0.2">
      <c r="A132" s="130" t="s">
        <v>208</v>
      </c>
      <c r="F132" s="34">
        <f>AV!U10</f>
        <v>798.88199999999995</v>
      </c>
      <c r="G132" s="88">
        <f>IF(F132&lt;=AV!$T$6,AV!$C$5,IF(RASANTE!F132&lt;=AV!$T$8,AV!$C$7,IF(RASANTE!F132&lt;=AV!$T$10,AV!$C$9,IF(RASANTE!F132&lt;=AV!$T$12,AV!$C$11,IF(RASANTE!F132&lt;=AV!$T$14,AV!$C$13,IF(RASANTE!F132&lt;=AV!$T$16,AV!$C$15, IF(RASANTE!F132&lt;=AV!$T$18,AV!$C$17,IF(RASANTE!F132&lt;=AV!$T$20,AV!$C$19,IF(RASANTE!F132&lt;=AV!$T$22,AV!$C$21,IF(RASANTE!F132&lt;=AV!$T$24,AV!$C$23,AV!$C$25))))))))))</f>
        <v>-7.2409999999999997</v>
      </c>
      <c r="H132" s="28">
        <f>+IF(AND(AH!$H$8="Izquierda",RASANTE!F132&lt;=PERALTE!$AB$6),IF(RASANTE!F132&lt;=PERALTE!$S$6,-2,IF(RASANTE!F132&lt;=PERALTE!$U$6,(-6/(PERALTE!$U$6-PERALTE!$S$6)*(RASANTE!F132-PERALTE!$S$6)-2),IF(RASANTE!F132&lt;=PERALTE!$X$6,-8,IF(RASANTE!F132&lt;=PERALTE!$Z$6,(-6/(PERALTE!$X$6-PERALTE!$Z$6)*(RASANTE!F132-PERALTE!$Z$6)-2),IF(RASANTE!F132&lt;=PERALTE!$AB$6,-2))))),IF(AND(AH!$H$8="Derecha",RASANTE!F132&lt;=PERALTE!$AB$6),IF(RASANTE!F132&lt;=PERALTE!$Q$6,-2,IF(RASANTE!F132&lt;=PERALTE!$U$6,(10/(PERALTE!$U$6-PERALTE!$Q$6)*(RASANTE!F132-PERALTE!$Q$6)-2),IF(RASANTE!F132&lt;=PERALTE!$X$6,8,IF(RASANTE!F132&lt;=PERALTE!$AB$6,(10/(PERALTE!$X$6-PERALTE!$AB$6)*(RASANTE!F132-PERALTE!$AB$6)-2))))),IF(AND(AH!$H$10="Izquierda",RASANTE!F132&lt;=PERALTE!$AB$8),IF(RASANTE!F132&lt;=PERALTE!$S$8,-2,IF(RASANTE!F132&lt;=PERALTE!$U$8,(-6/(PERALTE!$U$8-PERALTE!$S$8)*(RASANTE!F132-PERALTE!$S$8)-2),IF(RASANTE!F132&lt;=PERALTE!$X$8,-8,IF(RASANTE!F132&lt;=PERALTE!$Z$8,(-6/(PERALTE!$X$8-PERALTE!$Z$8)*(RASANTE!F132-PERALTE!$Z$8)-2),IF(RASANTE!F132&lt;=PERALTE!$AB$8,-2))))),IF(AND(AH!$H$10="Derecha",RASANTE!F132&lt;=PERALTE!$AB$8),IF(RASANTE!F132&lt;=PERALTE!$Q$8,-2,IF(RASANTE!F132&lt;=PERALTE!$U$8,(10/(PERALTE!$U$8-PERALTE!$Q$8)*(RASANTE!F132-PERALTE!$Q$8)-2),IF(RASANTE!F132&lt;=PERALTE!$X$8,8,IF(RASANTE!F132&lt;=PERALTE!$AB$8,(10/(PERALTE!$X$8-PERALTE!$AB$8)*(RASANTE!F132-PERALTE!$AB$8)-2))))),IF(AND(AH!$H$12="Izquierda",RASANTE!F132&lt;=PERALTE!$AB$10),IF(RASANTE!F132&lt;=PERALTE!$S$10,-2,IF(RASANTE!F132&lt;=PERALTE!$U$10,(-6/(PERALTE!$U$10-PERALTE!$S$10)*(RASANTE!F132-PERALTE!$S$10)-2),IF(RASANTE!F132&lt;=PERALTE!$X$10,-8,IF(RASANTE!F132&lt;=PERALTE!$Z$10,(-6/(PERALTE!$X$10-PERALTE!$Z$10)*(RASANTE!F132-PERALTE!$Z$10)-2),IF(RASANTE!F132&lt;=PERALTE!$AB$10,-2))))),IF(AND(AH!$H$12="Derecha",RASANTE!F132&lt;=PERALTE!$AB$10),IF(RASANTE!F132&lt;=PERALTE!$Q$10,-2,IF(RASANTE!F132&lt;=PERALTE!$U$10,(10/(PERALTE!$U$10-PERALTE!$Q$10)*(RASANTE!F132-PERALTE!$Q$10)-2),IF(RASANTE!F132&lt;=PERALTE!$X$10,8,IF(RASANTE!F132&lt;=PERALTE!$AB$10,(10/(PERALTE!$X$10-PERALTE!$AB$10)*(RASANTE!F132-PERALTE!$AB$10)-2))))),IF(AND(AH!$H$14="Izquierda",RASANTE!F132&lt;=PERALTE!$AB$12),IF(RASANTE!F132&lt;=PERALTE!$S$12,-2,IF(RASANTE!F132&lt;=PERALTE!$U$12,(-6/(PERALTE!$U$12-PERALTE!$S$12)*(RASANTE!F132-PERALTE!$S$12)-2),IF(RASANTE!F132&lt;=PERALTE!$X$12,-8,IF(RASANTE!F132&lt;=PERALTE!$Z$12,(-6/(PERALTE!$X$12-PERALTE!$Z$12)*(RASANTE!F132-PERALTE!$Z$12)-2),IF(RASANTE!F132&lt;=PERALTE!$AB$12,-2))))),IF(AND(AH!$H$14="Derecha",RASANTE!F132&lt;=PERALTE!$AB$12),IF(RASANTE!F132&lt;=PERALTE!$Q$12,-2,IF(RASANTE!F132&lt;=PERALTE!$U$12,(10/(PERALTE!$U$12-PERALTE!$Q$12)*(RASANTE!F132-PERALTE!$Q$12)-2),IF(RASANTE!F132&lt;=PERALTE!$X$12,8,IF(RASANTE!F132&lt;=PERALTE!$AB$12,(10/(PERALTE!$X$12-PERALTE!$AB$12)*(RASANTE!F132-PERALTE!$AB$12)-2))))),IF(AND(AH!$H$16="Izquierda",RASANTE!F132&lt;=PERALTE!$AB$14),IF(RASANTE!F132&lt;=PERALTE!$S$14,-2,IF(RASANTE!F132&lt;=PERALTE!$U$14,(-6/(PERALTE!$U$14-PERALTE!$S$14)*(RASANTE!F132-PERALTE!$S$14)-2),IF(RASANTE!F132&lt;=PERALTE!$X$14,-8,IF(RASANTE!F132&lt;=PERALTE!$Z$14,(-6/(PERALTE!$X$14-PERALTE!$Z$14)*(RASANTE!F132-PERALTE!$Z$14)-2),IF(RASANTE!F132&lt;=PERALTE!$AB$14,-2))))),IF(AND(AH!$H$16="Derecha",RASANTE!F132&lt;=PERALTE!$AB$14),IF(RASANTE!F132&lt;=PERALTE!$Q$14,-2,IF(RASANTE!F132&lt;=PERALTE!$U$14,(10/(PERALTE!$U$14-PERALTE!$Q$14)*(RASANTE!F132-PERALTE!$Q$14)-2),IF(RASANTE!F132&lt;=PERALTE!$X$14,8,IF(RASANTE!F132&lt;=PERALTE!$AB$14,(10/(PERALTE!$X$14-PERALTE!$AB$14)*(RASANTE!F132-PERALTE!$AB$14)-2))))),IF(AND(AH!$H$18="Izquierda",RASANTE!F132&lt;=PERALTE!$AB$16),IF(RASANTE!F132&lt;=PERALTE!$S$16,-2,IF(RASANTE!F132&lt;=PERALTE!$U$16,(-6/(PERALTE!$U$16-PERALTE!$S$16)*(RASANTE!F132-PERALTE!$S$16)-2),IF(RASANTE!F132&lt;=PERALTE!$X$16,-8,IF(RASANTE!F132&lt;=PERALTE!$Z$16,(-6/(PERALTE!$X$16-PERALTE!$Z$16)*(RASANTE!F132-PERALTE!$Z$16)-2),IF(RASANTE!F132&lt;=PERALTE!$AB$16,-2))))),IF(AND(AH!$H$18="Derecha",RASANTE!F132&lt;=PERALTE!$AB$16),IF(RASANTE!F132&lt;=PERALTE!$Q$16,-2,IF(RASANTE!F132&lt;=PERALTE!$U$16,(10/(PERALTE!$U$16-PERALTE!$Q$16)*(RASANTE!F132-PERALTE!$Q$16)-2),IF(RASANTE!F132&lt;=PERALTE!$X$16,8,IF(RASANTE!F132&lt;=PERALTE!$AB$16,(10/(PERALTE!$X$16-PERALTE!$AB$16)*(RASANTE!F132-PERALTE!$AB$16)-2))))),IF(AND(AH!$H$20="Izquierda",RASANTE!F132&lt;=PERALTE!$AB$18),IF(RASANTE!F132&lt;=PERALTE!$S$18,-2,IF(RASANTE!F132&lt;=PERALTE!$U$18,(-6/(PERALTE!$U$18-PERALTE!$S$18)*(RASANTE!F132-PERALTE!$S$18)-2),IF(RASANTE!F132&lt;=PERALTE!$X$18,-8,IF(RASANTE!F132&lt;=PERALTE!$Z$18,(-6/(PERALTE!$X$18-PERALTE!$Z$18)*(RASANTE!F132-PERALTE!$Z$18)-2),IF(RASANTE!F132&lt;=PERALTE!$AB$18,-2))))),IF(AND(AH!$H$20="Derecha",RASANTE!F132&lt;=PERALTE!$AB$18),IF(RASANTE!F132&lt;=PERALTE!$Q$18,-2,IF(RASANTE!F132&lt;=PERALTE!$U$18,(10/(PERALTE!$U$18-PERALTE!$Q$18)*(RASANTE!F132-PERALTE!$Q$18)-2),IF(RASANTE!F132&lt;=PERALTE!$X$18,8,IF(RASANTE!F132&lt;=PERALTE!$AB$18,(10/(PERALTE!$X$18-PERALTE!$AB$18)*(RASANTE!F132-PERALTE!$AB$18)-2))))),IF(AND(AH!$H$24="Izquierda",RASANTE!F132&lt;=PERALTE!$AB$22),IF(RASANTE!F132&lt;=PERALTE!$S$22,-2,IF(RASANTE!F132&lt;=PERALTE!$U$22,(-6/(PERALTE!$U$22-PERALTE!$S$22)*(RASANTE!F132-PERALTE!$S$22)-2),IF(RASANTE!F132&lt;=PERALTE!$X$22,-8,IF(RASANTE!F132&lt;=PERALTE!$Z$22,(-6/(PERALTE!$X$22-PERALTE!$Z$22)*(RASANTE!F132-PERALTE!$Z$22)-2),IF(RASANTE!F132&lt;=PERALTE!$AB$22,-2))))),IF(AND(AH!$H$24="Derecha",RASANTE!F132&lt;=PERALTE!$AB$22),IF(RASANTE!F132&lt;=PERALTE!$Q$22,-2,IF(RASANTE!F132&lt;=PERALTE!$U$22,(10/(PERALTE!$U$22-PERALTE!$Q$22)*(RASANTE!F132-PERALTE!$Q$22)-2),IF(RASANTE!F132&lt;=PERALTE!$X$22,8,IF(RASANTE!F132&lt;=PERALTE!$AB$22,(10/(PERALTE!$X$22-PERALTE!$AB$22)*(RASANTE!F132-PERALTE!$AB$22)-2))))),IF(AND(AH!#REF!="Izquierda",RASANTE!F132&lt;=PERALTE!#REF!),IF(RASANTE!F132&lt;=PERALTE!#REF!,-2,IF(RASANTE!F132&lt;=PERALTE!#REF!,(-6/(PERALTE!#REF!-PERALTE!#REF!)*(RASANTE!F132-PERALTE!#REF!)-2),IF(RASANTE!F132&lt;=PERALTE!#REF!,-8,IF(RASANTE!F132&lt;=PERALTE!#REF!,(-6/(PERALTE!#REF!-PERALTE!#REF!)*(RASANTE!F132-PERALTE!#REF!)-2),IF(RASANTE!F132&lt;=PERALTE!#REF!,-2))))),IF(AND(AH!#REF!="Derecha",RASANTE!F132&lt;=PERALTE!#REF!),IF(RASANTE!F132&lt;=PERALTE!#REF!,-2,IF(RASANTE!F132&lt;=PERALTE!#REF!,(10/(PERALTE!#REF!-PERALTE!#REF!)*(RASANTE!F132-PERALTE!#REF!)-2),IF(RASANTE!F132&lt;=PERALTE!#REF!,8,IF(RASANTE!F132&lt;=PERALTE!#REF!,(10/(PERALTE!#REF!-PERALTE!#REF!)*(RASANTE!F132-PERALTE!#REF!)-2))))),IF(AND(AH!#REF!="Izquierda",RASANTE!F132&lt;=PERALTE!$AB$26),IF(RASANTE!F132&lt;=PERALTE!$S$26,-2,IF(RASANTE!F132&lt;=PERALTE!$U$26,(-6/(PERALTE!$U$26-PERALTE!$S$26)*(RASANTE!F132-PERALTE!$S$26)-2),IF(RASANTE!F132&lt;=PERALTE!$X$26,-8,IF(RASANTE!F132&lt;=PERALTE!$Z$26,(-6/(PERALTE!$X$26-PERALTE!$Z$26)*(RASANTE!F132-PERALTE!$Z$26)-2),IF(RASANTE!F132&lt;=PERALTE!$AB$26,-2))))),IF(AND(AH!#REF!="Derecha",RASANTE!F132&lt;=PERALTE!$AB$26),IF(RASANTE!F132&lt;=PERALTE!$Q$26,-2,IF(RASANTE!F132&lt;=PERALTE!$U$26,(10/(PERALTE!$U$26-PERALTE!$Q$26)*(RASANTE!F132-PERALTE!$Q$26)-2),IF(RASANTE!F132&lt;=PERALTE!$X$26,8,IF(RASANTE!F132&lt;=PERALTE!$AB$26,(10/(PERALTE!$X$26-PERALTE!$AB$26)*(RASANTE!F132-PERALTE!$AB$26)-2))))),IF(F132&lt;=PERALTE!#REF!,-2,"Abscisa fuera de la vía")))))))))))))))))))))</f>
        <v>-4.6733427995762531</v>
      </c>
      <c r="I132" s="28">
        <f>+IF(AND(AH!$H$8="Derecha",RASANTE!F132&lt;=PERALTE!$AB$6),IF(RASANTE!F132&lt;=PERALTE!$S$6,-2,IF(RASANTE!F132&lt;=PERALTE!$U$6,(-6/(PERALTE!$U$6-PERALTE!$S$6)*(RASANTE!F132-PERALTE!$S$6)-2),IF(RASANTE!F132&lt;=PERALTE!$X$6,-8,IF(RASANTE!F132&lt;=PERALTE!$Z$6,(-6/(PERALTE!$X$6-PERALTE!$Z$6)*(RASANTE!F132-PERALTE!$Z$6)-2),IF(RASANTE!F132&lt;=PERALTE!$AB$6,-2))))),IF(AND(AH!$H$8="Izquierda",RASANTE!F132&lt;=PERALTE!$AB$6),IF(RASANTE!F132&lt;=PERALTE!$Q$6,-2,IF(RASANTE!F132&lt;=PERALTE!$U$6,(10/(PERALTE!$U$6-PERALTE!$Q$6)*(RASANTE!F132-PERALTE!$Q$6)-2),IF(RASANTE!F132&lt;=PERALTE!$X$6,8,IF(RASANTE!F132&lt;=PERALTE!$AB$6,(10/(PERALTE!$X$6-PERALTE!$AB$6)*(RASANTE!F132-PERALTE!$AB$6)-2))))),IF(AND(AH!$H$10="Derecha",RASANTE!F132&lt;=PERALTE!$AB$8),IF(RASANTE!F132&lt;=PERALTE!$S$8,-2,IF(RASANTE!F132&lt;=PERALTE!$U$8,(-6/(PERALTE!$U$8-PERALTE!$S$8)*(RASANTE!F132-PERALTE!$S$8)-2),IF(RASANTE!F132&lt;=PERALTE!$X$8,-8,IF(RASANTE!F132&lt;=PERALTE!$Z$8,(-6/(PERALTE!$X$8-PERALTE!$Z$8)*(RASANTE!F132-PERALTE!$Z$8)-2),IF(RASANTE!F132&lt;=PERALTE!$AB$8,-2))))),IF(AND(AH!$H$10="Izquierda",RASANTE!F132&lt;=PERALTE!$AB$8),IF(RASANTE!F132&lt;=PERALTE!$Q$8,-2,IF(RASANTE!F132&lt;=PERALTE!$U$8,(10/(PERALTE!$U$8-PERALTE!$Q$8)*(RASANTE!F132-PERALTE!$Q$8)-2),IF(RASANTE!F132&lt;=PERALTE!$X$8,8,IF(RASANTE!F132&lt;=PERALTE!$AB$8,(10/(PERALTE!$X$8-PERALTE!$AB$8)*(RASANTE!F132-PERALTE!$AB$8)-2))))),IF(AND(AH!$H$12="Derecha",RASANTE!F132&lt;=PERALTE!$AB$10),IF(RASANTE!F132&lt;=PERALTE!$S$10,-2,IF(RASANTE!F132&lt;=PERALTE!$U$10,(-6/(PERALTE!$U$10-PERALTE!$S$10)*(RASANTE!F132-PERALTE!$S$10)-2),IF(RASANTE!F132&lt;=PERALTE!$X$10,-8,IF(RASANTE!F132&lt;=PERALTE!$Z$10,(-6/(PERALTE!$X$10-PERALTE!$Z$10)*(RASANTE!F132-PERALTE!$Z$10)-2),IF(RASANTE!F132&lt;=PERALTE!$AB$10,-2))))),IF(AND(AH!$H$12="Izquierda",RASANTE!F132&lt;=PERALTE!$AB$10),IF(RASANTE!F132&lt;=PERALTE!$Q$10,-2,IF(RASANTE!F132&lt;=PERALTE!$U$10,(10/(PERALTE!$U$10-PERALTE!$Q$10)*(RASANTE!F132-PERALTE!$Q$10)-2),IF(RASANTE!F132&lt;=PERALTE!$X$10,8,IF(RASANTE!F132&lt;=PERALTE!$AB$10,(10/(PERALTE!$X$10-PERALTE!$AB$10)*(RASANTE!F132-PERALTE!$AB$10)-2))))),IF(AND(AH!$H$14="Derecha",RASANTE!F132&lt;=PERALTE!$AB$12),IF(RASANTE!F132&lt;=PERALTE!$S$12,-2,IF(RASANTE!F132&lt;=PERALTE!$U$12,(-6/(PERALTE!$U$12-PERALTE!$S$12)*(RASANTE!F132-PERALTE!$S$12)-2),IF(RASANTE!F132&lt;=PERALTE!$X$12,-8,IF(RASANTE!F132&lt;=PERALTE!$Z$12,(-6/(PERALTE!$X$12-PERALTE!$Z$12)*(RASANTE!F132-PERALTE!$Z$12)-2),IF(RASANTE!F132&lt;=PERALTE!$AB$12,-2))))),IF(AND(AH!$H$14="Izquierda",RASANTE!F132&lt;=PERALTE!$AB$12),IF(RASANTE!F132&lt;=PERALTE!$Q$12,-2,IF(RASANTE!F132&lt;=PERALTE!$U$12,(10/(PERALTE!$U$12-PERALTE!$Q$12)*(RASANTE!F132-PERALTE!$Q$12)-2),IF(RASANTE!F132&lt;=PERALTE!$X$12,8,IF(RASANTE!F132&lt;=PERALTE!$AB$12,(10/(PERALTE!$X$12-PERALTE!$AB$12)*(RASANTE!F132-PERALTE!$AB$12)-2))))),IF(AND(AH!$H$16="Derecha",RASANTE!F132&lt;=PERALTE!$AB$14),IF(RASANTE!F132&lt;=PERALTE!$S$14,-2,IF(RASANTE!F132&lt;=PERALTE!$U$14,(-6/(PERALTE!$U$14-PERALTE!$S$14)*(RASANTE!F132-PERALTE!$S$14)-2),IF(RASANTE!F132&lt;=PERALTE!$X$14,-8,IF(RASANTE!F132&lt;=PERALTE!$Z$14,(-6/(PERALTE!$X$14-PERALTE!$Z$14)*(RASANTE!F132-PERALTE!$Z$14)-2),IF(RASANTE!F132&lt;=PERALTE!$AB$14,-2))))),IF(AND(AH!$H$16="Izquierda",RASANTE!F132&lt;=PERALTE!$AB$14),IF(RASANTE!F132&lt;=PERALTE!$Q$14,-2,IF(RASANTE!F132&lt;=PERALTE!$U$14,(10/(PERALTE!$U$14-PERALTE!$Q$14)*(RASANTE!F132-PERALTE!$Q$14)-2),IF(RASANTE!F132&lt;=PERALTE!$X$14,8,IF(RASANTE!F132&lt;=PERALTE!$AB$14,(10/(PERALTE!$X$14-PERALTE!$AB$14)*(RASANTE!F132-PERALTE!$AB$14)-2))))),IF(AND(AH!$H$18="Derecha",RASANTE!F132&lt;=PERALTE!$AB$16),IF(RASANTE!F132&lt;=PERALTE!$S$16,-2,IF(RASANTE!F132&lt;=PERALTE!$U$16,(-6/(PERALTE!$U$16-PERALTE!$S$16)*(RASANTE!F132-PERALTE!$S$16)-2),IF(RASANTE!F132&lt;=PERALTE!$X$16,-8,IF(RASANTE!F132&lt;=PERALTE!$Z$16,(-6/(PERALTE!$X$16-PERALTE!$Z$16)*(RASANTE!F132-PERALTE!$Z$16)-2),IF(RASANTE!F132&lt;=PERALTE!$AB$16,-2))))),IF(AND(AH!$H$18="Izquierda",RASANTE!F132&lt;=PERALTE!$AB$16),IF(RASANTE!F132&lt;=PERALTE!$Q$16,-2,IF(RASANTE!F132&lt;=PERALTE!$U$16,(10/(PERALTE!$U$16-PERALTE!$Q$16)*(RASANTE!F132-PERALTE!$Q$16)-2),IF(RASANTE!F132&lt;=PERALTE!$X$16,8,IF(RASANTE!F132&lt;=PERALTE!$AB$16,(10/(PERALTE!$X$16-PERALTE!$AB$16)*(RASANTE!F132-PERALTE!$AB$16)-2))))),IF(AND(AH!$H$20="Derecha",RASANTE!F132&lt;=PERALTE!$AB$18),IF(RASANTE!F132&lt;=PERALTE!$S$18,-2,IF(RASANTE!F132&lt;=PERALTE!$U$18,(-6/(PERALTE!$U$18-PERALTE!$S$18)*(RASANTE!F132-PERALTE!$S$18)-2),IF(RASANTE!F132&lt;=PERALTE!$X$18,-8,IF(RASANTE!F132&lt;=PERALTE!$Z$18,(-6/(PERALTE!$X$18-PERALTE!$Z$18)*(RASANTE!F132-PERALTE!$Z$18)-2),IF(RASANTE!F132&lt;=PERALTE!$AB$18,-2))))),IF(AND(AH!$H$20="Izquierda",RASANTE!F132&lt;=PERALTE!$AB$18),IF(RASANTE!F132&lt;=PERALTE!$Q$18,-2,IF(RASANTE!F132&lt;=PERALTE!$U$18,(10/(PERALTE!$U$18-PERALTE!$Q$18)*(RASANTE!F132-PERALTE!$Q$18)-2),IF(RASANTE!F132&lt;=PERALTE!$X$18,8,IF(RASANTE!F132&lt;=PERALTE!$AB$18,(10/(PERALTE!$X$18-PERALTE!$AB$18)*(RASANTE!F132-PERALTE!$AB$18)-2))))),IF(AND(AH!$H$24="Derecha",RASANTE!F132&lt;=PERALTE!$AB$22),IF(RASANTE!F132&lt;=PERALTE!$S$22,-2,IF(RASANTE!F132&lt;=PERALTE!$U$22,(-6/(PERALTE!$U$22-PERALTE!$S$22)*(RASANTE!F132-PERALTE!$S$22)-2),IF(RASANTE!F132&lt;=PERALTE!$X$22,-8,IF(RASANTE!F132&lt;=PERALTE!$Z$22,(-6/(PERALTE!$X$22-PERALTE!$Z$22)*(RASANTE!F132-PERALTE!$Z$22)-2),IF(RASANTE!F132&lt;=PERALTE!$AB$22,-2))))),IF(AND(AH!$H$24="Izquierda",RASANTE!F132&lt;=PERALTE!$AB$22),IF(RASANTE!F132&lt;=PERALTE!$Q$22,-2,IF(RASANTE!F132&lt;=PERALTE!$U$22,(10/(PERALTE!$U$22-PERALTE!$Q$22)*(RASANTE!F132-PERALTE!$Q$22)-2),IF(RASANTE!F132&lt;=PERALTE!$X$22,8,IF(RASANTE!F132&lt;=PERALTE!$AB$22,(10/(PERALTE!$X$22-PERALTE!$AB$22)*(RASANTE!F132-PERALTE!$AB$22)-2))))),IF(AND(AH!#REF!="Derecha",RASANTE!F132&lt;=PERALTE!#REF!),IF(RASANTE!F132&lt;=PERALTE!#REF!,-2,IF(RASANTE!F132&lt;=PERALTE!#REF!,(-6/(PERALTE!#REF!-PERALTE!#REF!)*(RASANTE!F132-PERALTE!#REF!)-2),IF(RASANTE!F132&lt;=PERALTE!#REF!,-8,IF(RASANTE!F132&lt;=PERALTE!#REF!,(-6/(PERALTE!#REF!-PERALTE!#REF!)*(RASANTE!F132-PERALTE!#REF!)-2),IF(RASANTE!F132&lt;=PERALTE!#REF!,-2))))),IF(AND(AH!#REF!="Izquierda",RASANTE!F132&lt;=PERALTE!#REF!),IF(RASANTE!F132&lt;=PERALTE!#REF!,-2,IF(RASANTE!F132&lt;=PERALTE!#REF!,(10/(PERALTE!#REF!-PERALTE!#REF!)*(RASANTE!F132-PERALTE!#REF!)-2),IF(RASANTE!F132&lt;=PERALTE!#REF!,8,IF(RASANTE!F132&lt;=PERALTE!#REF!,(10/(PERALTE!#REF!-PERALTE!#REF!)*(RASANTE!F132-PERALTE!#REF!)-2))))),IF(AND(AH!#REF!="Derecha",RASANTE!F132&lt;=PERALTE!$AB$26),IF(RASANTE!F132&lt;=PERALTE!$S$26,-2,IF(RASANTE!F132&lt;=PERALTE!$U$26,(-6/(PERALTE!$U$26-PERALTE!$S$26)*(RASANTE!F132-PERALTE!$S$26)-2),IF(RASANTE!F132&lt;=PERALTE!$X$26,-8,IF(RASANTE!F132&lt;=PERALTE!$Z$26,(-6/(PERALTE!$X$26-PERALTE!$Z$26)*(RASANTE!F132-PERALTE!$Z$26)-2),IF(RASANTE!F132&lt;=PERALTE!$AB$26,-2))))),IF(AND(AH!#REF!="Izquierda",RASANTE!F132&lt;=PERALTE!$AB$26),IF(RASANTE!F132&lt;=PERALTE!$Q$26,-2,IF(RASANTE!F132&lt;=PERALTE!$U$26,(10/(PERALTE!$U$26-PERALTE!$Q$26)*(RASANTE!F132-PERALTE!$Q$26)-2),IF(RASANTE!F132&lt;=PERALTE!$X$26,8,IF(RASANTE!F132&lt;=PERALTE!$AB$26,(10/(PERALTE!$X$26-PERALTE!$AB$26)*(RASANTE!F132-PERALTE!$AB$26)-2))))),IF(F132&lt;=PERALTE!#REF!,-2,"Abscisa fuera de la vía")))))))))))))))))))))</f>
        <v>4.6733427995762584</v>
      </c>
      <c r="J132" s="28">
        <f t="shared" si="4"/>
        <v>1627.3045924175919</v>
      </c>
      <c r="K132" s="28">
        <f>+IF(AND(AV!$S$6&lt;F180,F180&lt;=AV!$T$6),AV!$P$6*((AV!$S$6-RASANTE!F180)/(AV!$N$6))^2,IF(AND(AV!$T$6&lt;RASANTE!F180,F180&lt;AV!$U$6),AV!$P$6*((AV!$U$6-RASANTE!F180)/(AV!$O$6))^2,IF(AND(AV!$S$8&lt;F180,F180&lt;=AV!$T$8),AV!$P$8*((AV!$S$8-RASANTE!F180)/(AV!$N$8))^2,IF(AND(AV!$T$8&lt;RASANTE!F180,F180&lt;AV!$U$8),AV!$P$8*((AV!$U$8-RASANTE!F180)/(AV!$O$8))^2,IF(AND(AV!$S$10&lt;F180,F180&lt;=AV!$T$10),AV!$P$10*((AV!$S$10-RASANTE!F180)/(AV!$N$10))^2,IF(AND(AV!$T$10&lt;RASANTE!F180,F180&lt;AV!$U$10),AV!$P$10*((AV!$U$10-RASANTE!F180)/(AV!$O$10))^2,IF(AND(AV!$S$12&lt;F180,F180&lt;=AV!$T$12),AV!$P$12*((AV!$S$12-RASANTE!F180)/(AV!$N$12))^2,IF(AND(AV!$T$12&lt;RASANTE!F180,F180&lt;AV!$U$12),AV!$P$12*((AV!$U$12-RASANTE!F180)/(AV!$O$12))^2,IF(AND(AV!$S$14&lt;F180,F180&lt;=AV!$T$14),AV!$P$14*((AV!$S$14-RASANTE!F180)/(AV!$N$14))^2,IF(AND(AV!$T$14&lt;RASANTE!F180,F180&lt;AV!$U$14),AV!$P$14*((AV!$U$14-RASANTE!F180)/(AV!$O$14))^2,IF(AND(AV!$S$16&lt;F180,F180&lt;=AV!$T$16),AV!$P$16*((AV!$S$16-RASANTE!F180)/(AV!$N$16))^2,IF(AND(AV!$T$16&lt;RASANTE!F180,F180&lt;AV!$U$16),AV!$P$16*((AV!$U$16-RASANTE!F180)/(AV!$O$16))^2,IF(AND(AV!$S$18&lt;F180,F180&lt;=AV!$T$18),AV!$P$18*((AV!$S$18-RASANTE!F180)/(AV!$N$18))^2,IF(AND(AV!$T$18&lt;RASANTE!F180,F180&lt;AV!$U$18),AV!$P$18*((AV!$U$18-RASANTE!F180)/(AV!$O$18))^2,IF(AND(AV!$S$20&lt;F180,F180&lt;=AV!$T$20),AV!$P$20*((AV!$S$20-RASANTE!F180)/(AV!$N$20))^2,IF(AND(AV!$T$20&lt;RASANTE!F180,F180&lt;AV!$U$20),AV!$P$20*((AV!$U$20-RASANTE!F180)/(AV!$O$20))^2,IF(AND(AV!$S$22&lt;F180,F180&lt;=AV!$T$22),AV!$P$22*((AV!$S$22-RASANTE!F180)/(AV!$N$22))^2,IF(AND(AV!$T$22&lt;RASANTE!F180,F180&lt;AV!$U$22),AV!$P$22*((AV!$U$22-RASANTE!F180)/(AV!$O$22))^2,IF(AND(AV!$S$24&lt;F180,F180&lt;=AV!$T$24),AV!$P$24*((AV!$S$24-RASANTE!F180)/(AV!$N$24))^2,IF(AND(AV!$T$24&lt;RASANTE!F180,F180&lt;AV!$U$24),AV!$P$24*((AV!$U$24-RASANTE!F180)/(AV!$O$24))^2,0))))))))))))))))))))</f>
        <v>0</v>
      </c>
      <c r="L132" s="28">
        <f>+M132+H132%*PERALTE!$C$32</f>
        <v>1627.1410254196069</v>
      </c>
      <c r="M132" s="28">
        <f t="shared" si="5"/>
        <v>1627.3045924175919</v>
      </c>
      <c r="N132" s="28">
        <f>+M132+I132%*PERALTE!$C$32</f>
        <v>1627.468159415577</v>
      </c>
      <c r="O132" s="92"/>
      <c r="P132" s="84"/>
      <c r="Q132" s="84"/>
      <c r="R132" s="84"/>
      <c r="S132" s="84"/>
      <c r="T132" s="84"/>
      <c r="U132" s="84"/>
      <c r="V132" s="84"/>
      <c r="W132" s="84"/>
      <c r="X132" s="84"/>
      <c r="Y132" s="84"/>
    </row>
    <row r="133" spans="1:25" ht="15.75" customHeight="1" x14ac:dyDescent="0.2">
      <c r="A133" s="90"/>
      <c r="B133" s="86"/>
      <c r="C133" s="86"/>
      <c r="D133" s="86"/>
      <c r="F133" s="34">
        <v>800</v>
      </c>
      <c r="G133" s="88">
        <f>IF(F133&lt;=AV!$T$6,AV!$C$5,IF(RASANTE!F133&lt;=AV!$T$8,AV!$C$7,IF(RASANTE!F133&lt;=AV!$T$10,AV!$C$9,IF(RASANTE!F133&lt;=AV!$T$12,AV!$C$11,IF(RASANTE!F133&lt;=AV!$T$14,AV!$C$13,IF(RASANTE!F133&lt;=AV!$T$16,AV!$C$15, IF(RASANTE!F133&lt;=AV!$T$18,AV!$C$17,IF(RASANTE!F133&lt;=AV!$T$20,AV!$C$19,IF(RASANTE!F133&lt;=AV!$T$22,AV!$C$21,IF(RASANTE!F133&lt;=AV!$T$24,AV!$C$23,AV!$C$25))))))))))</f>
        <v>-7.2409999999999997</v>
      </c>
      <c r="H133" s="28">
        <f>+IF(AND(AH!$H$8="Izquierda",RASANTE!F133&lt;=PERALTE!$AB$6),IF(RASANTE!F133&lt;=PERALTE!$S$6,-2,IF(RASANTE!F133&lt;=PERALTE!$U$6,(-6/(PERALTE!$U$6-PERALTE!$S$6)*(RASANTE!F133-PERALTE!$S$6)-2),IF(RASANTE!F133&lt;=PERALTE!$X$6,-8,IF(RASANTE!F133&lt;=PERALTE!$Z$6,(-6/(PERALTE!$X$6-PERALTE!$Z$6)*(RASANTE!F133-PERALTE!$Z$6)-2),IF(RASANTE!F133&lt;=PERALTE!$AB$6,-2))))),IF(AND(AH!$H$8="Derecha",RASANTE!F133&lt;=PERALTE!$AB$6),IF(RASANTE!F133&lt;=PERALTE!$Q$6,-2,IF(RASANTE!F133&lt;=PERALTE!$U$6,(10/(PERALTE!$U$6-PERALTE!$Q$6)*(RASANTE!F133-PERALTE!$Q$6)-2),IF(RASANTE!F133&lt;=PERALTE!$X$6,8,IF(RASANTE!F133&lt;=PERALTE!$AB$6,(10/(PERALTE!$X$6-PERALTE!$AB$6)*(RASANTE!F133-PERALTE!$AB$6)-2))))),IF(AND(AH!$H$10="Izquierda",RASANTE!F133&lt;=PERALTE!$AB$8),IF(RASANTE!F133&lt;=PERALTE!$S$8,-2,IF(RASANTE!F133&lt;=PERALTE!$U$8,(-6/(PERALTE!$U$8-PERALTE!$S$8)*(RASANTE!F133-PERALTE!$S$8)-2),IF(RASANTE!F133&lt;=PERALTE!$X$8,-8,IF(RASANTE!F133&lt;=PERALTE!$Z$8,(-6/(PERALTE!$X$8-PERALTE!$Z$8)*(RASANTE!F133-PERALTE!$Z$8)-2),IF(RASANTE!F133&lt;=PERALTE!$AB$8,-2))))),IF(AND(AH!$H$10="Derecha",RASANTE!F133&lt;=PERALTE!$AB$8),IF(RASANTE!F133&lt;=PERALTE!$Q$8,-2,IF(RASANTE!F133&lt;=PERALTE!$U$8,(10/(PERALTE!$U$8-PERALTE!$Q$8)*(RASANTE!F133-PERALTE!$Q$8)-2),IF(RASANTE!F133&lt;=PERALTE!$X$8,8,IF(RASANTE!F133&lt;=PERALTE!$AB$8,(10/(PERALTE!$X$8-PERALTE!$AB$8)*(RASANTE!F133-PERALTE!$AB$8)-2))))),IF(AND(AH!$H$12="Izquierda",RASANTE!F133&lt;=PERALTE!$AB$10),IF(RASANTE!F133&lt;=PERALTE!$S$10,-2,IF(RASANTE!F133&lt;=PERALTE!$U$10,(-6/(PERALTE!$U$10-PERALTE!$S$10)*(RASANTE!F133-PERALTE!$S$10)-2),IF(RASANTE!F133&lt;=PERALTE!$X$10,-8,IF(RASANTE!F133&lt;=PERALTE!$Z$10,(-6/(PERALTE!$X$10-PERALTE!$Z$10)*(RASANTE!F133-PERALTE!$Z$10)-2),IF(RASANTE!F133&lt;=PERALTE!$AB$10,-2))))),IF(AND(AH!$H$12="Derecha",RASANTE!F133&lt;=PERALTE!$AB$10),IF(RASANTE!F133&lt;=PERALTE!$Q$10,-2,IF(RASANTE!F133&lt;=PERALTE!$U$10,(10/(PERALTE!$U$10-PERALTE!$Q$10)*(RASANTE!F133-PERALTE!$Q$10)-2),IF(RASANTE!F133&lt;=PERALTE!$X$10,8,IF(RASANTE!F133&lt;=PERALTE!$AB$10,(10/(PERALTE!$X$10-PERALTE!$AB$10)*(RASANTE!F133-PERALTE!$AB$10)-2))))),IF(AND(AH!$H$14="Izquierda",RASANTE!F133&lt;=PERALTE!$AB$12),IF(RASANTE!F133&lt;=PERALTE!$S$12,-2,IF(RASANTE!F133&lt;=PERALTE!$U$12,(-6/(PERALTE!$U$12-PERALTE!$S$12)*(RASANTE!F133-PERALTE!$S$12)-2),IF(RASANTE!F133&lt;=PERALTE!$X$12,-8,IF(RASANTE!F133&lt;=PERALTE!$Z$12,(-6/(PERALTE!$X$12-PERALTE!$Z$12)*(RASANTE!F133-PERALTE!$Z$12)-2),IF(RASANTE!F133&lt;=PERALTE!$AB$12,-2))))),IF(AND(AH!$H$14="Derecha",RASANTE!F133&lt;=PERALTE!$AB$12),IF(RASANTE!F133&lt;=PERALTE!$Q$12,-2,IF(RASANTE!F133&lt;=PERALTE!$U$12,(10/(PERALTE!$U$12-PERALTE!$Q$12)*(RASANTE!F133-PERALTE!$Q$12)-2),IF(RASANTE!F133&lt;=PERALTE!$X$12,8,IF(RASANTE!F133&lt;=PERALTE!$AB$12,(10/(PERALTE!$X$12-PERALTE!$AB$12)*(RASANTE!F133-PERALTE!$AB$12)-2))))),IF(AND(AH!$H$16="Izquierda",RASANTE!F133&lt;=PERALTE!$AB$14),IF(RASANTE!F133&lt;=PERALTE!$S$14,-2,IF(RASANTE!F133&lt;=PERALTE!$U$14,(-6/(PERALTE!$U$14-PERALTE!$S$14)*(RASANTE!F133-PERALTE!$S$14)-2),IF(RASANTE!F133&lt;=PERALTE!$X$14,-8,IF(RASANTE!F133&lt;=PERALTE!$Z$14,(-6/(PERALTE!$X$14-PERALTE!$Z$14)*(RASANTE!F133-PERALTE!$Z$14)-2),IF(RASANTE!F133&lt;=PERALTE!$AB$14,-2))))),IF(AND(AH!$H$16="Derecha",RASANTE!F133&lt;=PERALTE!$AB$14),IF(RASANTE!F133&lt;=PERALTE!$Q$14,-2,IF(RASANTE!F133&lt;=PERALTE!$U$14,(10/(PERALTE!$U$14-PERALTE!$Q$14)*(RASANTE!F133-PERALTE!$Q$14)-2),IF(RASANTE!F133&lt;=PERALTE!$X$14,8,IF(RASANTE!F133&lt;=PERALTE!$AB$14,(10/(PERALTE!$X$14-PERALTE!$AB$14)*(RASANTE!F133-PERALTE!$AB$14)-2))))),IF(AND(AH!$H$18="Izquierda",RASANTE!F133&lt;=PERALTE!$AB$16),IF(RASANTE!F133&lt;=PERALTE!$S$16,-2,IF(RASANTE!F133&lt;=PERALTE!$U$16,(-6/(PERALTE!$U$16-PERALTE!$S$16)*(RASANTE!F133-PERALTE!$S$16)-2),IF(RASANTE!F133&lt;=PERALTE!$X$16,-8,IF(RASANTE!F133&lt;=PERALTE!$Z$16,(-6/(PERALTE!$X$16-PERALTE!$Z$16)*(RASANTE!F133-PERALTE!$Z$16)-2),IF(RASANTE!F133&lt;=PERALTE!$AB$16,-2))))),IF(AND(AH!$H$18="Derecha",RASANTE!F133&lt;=PERALTE!$AB$16),IF(RASANTE!F133&lt;=PERALTE!$Q$16,-2,IF(RASANTE!F133&lt;=PERALTE!$U$16,(10/(PERALTE!$U$16-PERALTE!$Q$16)*(RASANTE!F133-PERALTE!$Q$16)-2),IF(RASANTE!F133&lt;=PERALTE!$X$16,8,IF(RASANTE!F133&lt;=PERALTE!$AB$16,(10/(PERALTE!$X$16-PERALTE!$AB$16)*(RASANTE!F133-PERALTE!$AB$16)-2))))),IF(AND(AH!$H$20="Izquierda",RASANTE!F133&lt;=PERALTE!$AB$18),IF(RASANTE!F133&lt;=PERALTE!$S$18,-2,IF(RASANTE!F133&lt;=PERALTE!$U$18,(-6/(PERALTE!$U$18-PERALTE!$S$18)*(RASANTE!F133-PERALTE!$S$18)-2),IF(RASANTE!F133&lt;=PERALTE!$X$18,-8,IF(RASANTE!F133&lt;=PERALTE!$Z$18,(-6/(PERALTE!$X$18-PERALTE!$Z$18)*(RASANTE!F133-PERALTE!$Z$18)-2),IF(RASANTE!F133&lt;=PERALTE!$AB$18,-2))))),IF(AND(AH!$H$20="Derecha",RASANTE!F133&lt;=PERALTE!$AB$18),IF(RASANTE!F133&lt;=PERALTE!$Q$18,-2,IF(RASANTE!F133&lt;=PERALTE!$U$18,(10/(PERALTE!$U$18-PERALTE!$Q$18)*(RASANTE!F133-PERALTE!$Q$18)-2),IF(RASANTE!F133&lt;=PERALTE!$X$18,8,IF(RASANTE!F133&lt;=PERALTE!$AB$18,(10/(PERALTE!$X$18-PERALTE!$AB$18)*(RASANTE!F133-PERALTE!$AB$18)-2))))),IF(AND(AH!$H$24="Izquierda",RASANTE!F133&lt;=PERALTE!$AB$22),IF(RASANTE!F133&lt;=PERALTE!$S$22,-2,IF(RASANTE!F133&lt;=PERALTE!$U$22,(-6/(PERALTE!$U$22-PERALTE!$S$22)*(RASANTE!F133-PERALTE!$S$22)-2),IF(RASANTE!F133&lt;=PERALTE!$X$22,-8,IF(RASANTE!F133&lt;=PERALTE!$Z$22,(-6/(PERALTE!$X$22-PERALTE!$Z$22)*(RASANTE!F133-PERALTE!$Z$22)-2),IF(RASANTE!F133&lt;=PERALTE!$AB$22,-2))))),IF(AND(AH!$H$24="Derecha",RASANTE!F133&lt;=PERALTE!$AB$22),IF(RASANTE!F133&lt;=PERALTE!$Q$22,-2,IF(RASANTE!F133&lt;=PERALTE!$U$22,(10/(PERALTE!$U$22-PERALTE!$Q$22)*(RASANTE!F133-PERALTE!$Q$22)-2),IF(RASANTE!F133&lt;=PERALTE!$X$22,8,IF(RASANTE!F133&lt;=PERALTE!$AB$22,(10/(PERALTE!$X$22-PERALTE!$AB$22)*(RASANTE!F133-PERALTE!$AB$22)-2))))),IF(AND(AH!#REF!="Izquierda",RASANTE!F133&lt;=PERALTE!#REF!),IF(RASANTE!F133&lt;=PERALTE!#REF!,-2,IF(RASANTE!F133&lt;=PERALTE!#REF!,(-6/(PERALTE!#REF!-PERALTE!#REF!)*(RASANTE!F133-PERALTE!#REF!)-2),IF(RASANTE!F133&lt;=PERALTE!#REF!,-8,IF(RASANTE!F133&lt;=PERALTE!#REF!,(-6/(PERALTE!#REF!-PERALTE!#REF!)*(RASANTE!F133-PERALTE!#REF!)-2),IF(RASANTE!F133&lt;=PERALTE!#REF!,-2))))),IF(AND(AH!#REF!="Derecha",RASANTE!F133&lt;=PERALTE!#REF!),IF(RASANTE!F133&lt;=PERALTE!#REF!,-2,IF(RASANTE!F133&lt;=PERALTE!#REF!,(10/(PERALTE!#REF!-PERALTE!#REF!)*(RASANTE!F133-PERALTE!#REF!)-2),IF(RASANTE!F133&lt;=PERALTE!#REF!,8,IF(RASANTE!F133&lt;=PERALTE!#REF!,(10/(PERALTE!#REF!-PERALTE!#REF!)*(RASANTE!F133-PERALTE!#REF!)-2))))),IF(AND(AH!#REF!="Izquierda",RASANTE!F133&lt;=PERALTE!$AB$26),IF(RASANTE!F133&lt;=PERALTE!$S$26,-2,IF(RASANTE!F133&lt;=PERALTE!$U$26,(-6/(PERALTE!$U$26-PERALTE!$S$26)*(RASANTE!F133-PERALTE!$S$26)-2),IF(RASANTE!F133&lt;=PERALTE!$X$26,-8,IF(RASANTE!F133&lt;=PERALTE!$Z$26,(-6/(PERALTE!$X$26-PERALTE!$Z$26)*(RASANTE!F133-PERALTE!$Z$26)-2),IF(RASANTE!F133&lt;=PERALTE!$AB$26,-2))))),IF(AND(AH!#REF!="Derecha",RASANTE!F133&lt;=PERALTE!$AB$26),IF(RASANTE!F133&lt;=PERALTE!$Q$26,-2,IF(RASANTE!F133&lt;=PERALTE!$U$26,(10/(PERALTE!$U$26-PERALTE!$Q$26)*(RASANTE!F133-PERALTE!$Q$26)-2),IF(RASANTE!F133&lt;=PERALTE!$X$26,8,IF(RASANTE!F133&lt;=PERALTE!$AB$26,(10/(PERALTE!$X$26-PERALTE!$AB$26)*(RASANTE!F133-PERALTE!$AB$26)-2))))),IF(F133&lt;=PERALTE!#REF!,-2,"Abscisa fuera de la vía")))))))))))))))))))))</f>
        <v>-4.9193027995762648</v>
      </c>
      <c r="I133" s="28">
        <f>+IF(AND(AH!$H$8="Derecha",RASANTE!F133&lt;=PERALTE!$AB$6),IF(RASANTE!F133&lt;=PERALTE!$S$6,-2,IF(RASANTE!F133&lt;=PERALTE!$U$6,(-6/(PERALTE!$U$6-PERALTE!$S$6)*(RASANTE!F133-PERALTE!$S$6)-2),IF(RASANTE!F133&lt;=PERALTE!$X$6,-8,IF(RASANTE!F133&lt;=PERALTE!$Z$6,(-6/(PERALTE!$X$6-PERALTE!$Z$6)*(RASANTE!F133-PERALTE!$Z$6)-2),IF(RASANTE!F133&lt;=PERALTE!$AB$6,-2))))),IF(AND(AH!$H$8="Izquierda",RASANTE!F133&lt;=PERALTE!$AB$6),IF(RASANTE!F133&lt;=PERALTE!$Q$6,-2,IF(RASANTE!F133&lt;=PERALTE!$U$6,(10/(PERALTE!$U$6-PERALTE!$Q$6)*(RASANTE!F133-PERALTE!$Q$6)-2),IF(RASANTE!F133&lt;=PERALTE!$X$6,8,IF(RASANTE!F133&lt;=PERALTE!$AB$6,(10/(PERALTE!$X$6-PERALTE!$AB$6)*(RASANTE!F133-PERALTE!$AB$6)-2))))),IF(AND(AH!$H$10="Derecha",RASANTE!F133&lt;=PERALTE!$AB$8),IF(RASANTE!F133&lt;=PERALTE!$S$8,-2,IF(RASANTE!F133&lt;=PERALTE!$U$8,(-6/(PERALTE!$U$8-PERALTE!$S$8)*(RASANTE!F133-PERALTE!$S$8)-2),IF(RASANTE!F133&lt;=PERALTE!$X$8,-8,IF(RASANTE!F133&lt;=PERALTE!$Z$8,(-6/(PERALTE!$X$8-PERALTE!$Z$8)*(RASANTE!F133-PERALTE!$Z$8)-2),IF(RASANTE!F133&lt;=PERALTE!$AB$8,-2))))),IF(AND(AH!$H$10="Izquierda",RASANTE!F133&lt;=PERALTE!$AB$8),IF(RASANTE!F133&lt;=PERALTE!$Q$8,-2,IF(RASANTE!F133&lt;=PERALTE!$U$8,(10/(PERALTE!$U$8-PERALTE!$Q$8)*(RASANTE!F133-PERALTE!$Q$8)-2),IF(RASANTE!F133&lt;=PERALTE!$X$8,8,IF(RASANTE!F133&lt;=PERALTE!$AB$8,(10/(PERALTE!$X$8-PERALTE!$AB$8)*(RASANTE!F133-PERALTE!$AB$8)-2))))),IF(AND(AH!$H$12="Derecha",RASANTE!F133&lt;=PERALTE!$AB$10),IF(RASANTE!F133&lt;=PERALTE!$S$10,-2,IF(RASANTE!F133&lt;=PERALTE!$U$10,(-6/(PERALTE!$U$10-PERALTE!$S$10)*(RASANTE!F133-PERALTE!$S$10)-2),IF(RASANTE!F133&lt;=PERALTE!$X$10,-8,IF(RASANTE!F133&lt;=PERALTE!$Z$10,(-6/(PERALTE!$X$10-PERALTE!$Z$10)*(RASANTE!F133-PERALTE!$Z$10)-2),IF(RASANTE!F133&lt;=PERALTE!$AB$10,-2))))),IF(AND(AH!$H$12="Izquierda",RASANTE!F133&lt;=PERALTE!$AB$10),IF(RASANTE!F133&lt;=PERALTE!$Q$10,-2,IF(RASANTE!F133&lt;=PERALTE!$U$10,(10/(PERALTE!$U$10-PERALTE!$Q$10)*(RASANTE!F133-PERALTE!$Q$10)-2),IF(RASANTE!F133&lt;=PERALTE!$X$10,8,IF(RASANTE!F133&lt;=PERALTE!$AB$10,(10/(PERALTE!$X$10-PERALTE!$AB$10)*(RASANTE!F133-PERALTE!$AB$10)-2))))),IF(AND(AH!$H$14="Derecha",RASANTE!F133&lt;=PERALTE!$AB$12),IF(RASANTE!F133&lt;=PERALTE!$S$12,-2,IF(RASANTE!F133&lt;=PERALTE!$U$12,(-6/(PERALTE!$U$12-PERALTE!$S$12)*(RASANTE!F133-PERALTE!$S$12)-2),IF(RASANTE!F133&lt;=PERALTE!$X$12,-8,IF(RASANTE!F133&lt;=PERALTE!$Z$12,(-6/(PERALTE!$X$12-PERALTE!$Z$12)*(RASANTE!F133-PERALTE!$Z$12)-2),IF(RASANTE!F133&lt;=PERALTE!$AB$12,-2))))),IF(AND(AH!$H$14="Izquierda",RASANTE!F133&lt;=PERALTE!$AB$12),IF(RASANTE!F133&lt;=PERALTE!$Q$12,-2,IF(RASANTE!F133&lt;=PERALTE!$U$12,(10/(PERALTE!$U$12-PERALTE!$Q$12)*(RASANTE!F133-PERALTE!$Q$12)-2),IF(RASANTE!F133&lt;=PERALTE!$X$12,8,IF(RASANTE!F133&lt;=PERALTE!$AB$12,(10/(PERALTE!$X$12-PERALTE!$AB$12)*(RASANTE!F133-PERALTE!$AB$12)-2))))),IF(AND(AH!$H$16="Derecha",RASANTE!F133&lt;=PERALTE!$AB$14),IF(RASANTE!F133&lt;=PERALTE!$S$14,-2,IF(RASANTE!F133&lt;=PERALTE!$U$14,(-6/(PERALTE!$U$14-PERALTE!$S$14)*(RASANTE!F133-PERALTE!$S$14)-2),IF(RASANTE!F133&lt;=PERALTE!$X$14,-8,IF(RASANTE!F133&lt;=PERALTE!$Z$14,(-6/(PERALTE!$X$14-PERALTE!$Z$14)*(RASANTE!F133-PERALTE!$Z$14)-2),IF(RASANTE!F133&lt;=PERALTE!$AB$14,-2))))),IF(AND(AH!$H$16="Izquierda",RASANTE!F133&lt;=PERALTE!$AB$14),IF(RASANTE!F133&lt;=PERALTE!$Q$14,-2,IF(RASANTE!F133&lt;=PERALTE!$U$14,(10/(PERALTE!$U$14-PERALTE!$Q$14)*(RASANTE!F133-PERALTE!$Q$14)-2),IF(RASANTE!F133&lt;=PERALTE!$X$14,8,IF(RASANTE!F133&lt;=PERALTE!$AB$14,(10/(PERALTE!$X$14-PERALTE!$AB$14)*(RASANTE!F133-PERALTE!$AB$14)-2))))),IF(AND(AH!$H$18="Derecha",RASANTE!F133&lt;=PERALTE!$AB$16),IF(RASANTE!F133&lt;=PERALTE!$S$16,-2,IF(RASANTE!F133&lt;=PERALTE!$U$16,(-6/(PERALTE!$U$16-PERALTE!$S$16)*(RASANTE!F133-PERALTE!$S$16)-2),IF(RASANTE!F133&lt;=PERALTE!$X$16,-8,IF(RASANTE!F133&lt;=PERALTE!$Z$16,(-6/(PERALTE!$X$16-PERALTE!$Z$16)*(RASANTE!F133-PERALTE!$Z$16)-2),IF(RASANTE!F133&lt;=PERALTE!$AB$16,-2))))),IF(AND(AH!$H$18="Izquierda",RASANTE!F133&lt;=PERALTE!$AB$16),IF(RASANTE!F133&lt;=PERALTE!$Q$16,-2,IF(RASANTE!F133&lt;=PERALTE!$U$16,(10/(PERALTE!$U$16-PERALTE!$Q$16)*(RASANTE!F133-PERALTE!$Q$16)-2),IF(RASANTE!F133&lt;=PERALTE!$X$16,8,IF(RASANTE!F133&lt;=PERALTE!$AB$16,(10/(PERALTE!$X$16-PERALTE!$AB$16)*(RASANTE!F133-PERALTE!$AB$16)-2))))),IF(AND(AH!$H$20="Derecha",RASANTE!F133&lt;=PERALTE!$AB$18),IF(RASANTE!F133&lt;=PERALTE!$S$18,-2,IF(RASANTE!F133&lt;=PERALTE!$U$18,(-6/(PERALTE!$U$18-PERALTE!$S$18)*(RASANTE!F133-PERALTE!$S$18)-2),IF(RASANTE!F133&lt;=PERALTE!$X$18,-8,IF(RASANTE!F133&lt;=PERALTE!$Z$18,(-6/(PERALTE!$X$18-PERALTE!$Z$18)*(RASANTE!F133-PERALTE!$Z$18)-2),IF(RASANTE!F133&lt;=PERALTE!$AB$18,-2))))),IF(AND(AH!$H$20="Izquierda",RASANTE!F133&lt;=PERALTE!$AB$18),IF(RASANTE!F133&lt;=PERALTE!$Q$18,-2,IF(RASANTE!F133&lt;=PERALTE!$U$18,(10/(PERALTE!$U$18-PERALTE!$Q$18)*(RASANTE!F133-PERALTE!$Q$18)-2),IF(RASANTE!F133&lt;=PERALTE!$X$18,8,IF(RASANTE!F133&lt;=PERALTE!$AB$18,(10/(PERALTE!$X$18-PERALTE!$AB$18)*(RASANTE!F133-PERALTE!$AB$18)-2))))),IF(AND(AH!$H$24="Derecha",RASANTE!F133&lt;=PERALTE!$AB$22),IF(RASANTE!F133&lt;=PERALTE!$S$22,-2,IF(RASANTE!F133&lt;=PERALTE!$U$22,(-6/(PERALTE!$U$22-PERALTE!$S$22)*(RASANTE!F133-PERALTE!$S$22)-2),IF(RASANTE!F133&lt;=PERALTE!$X$22,-8,IF(RASANTE!F133&lt;=PERALTE!$Z$22,(-6/(PERALTE!$X$22-PERALTE!$Z$22)*(RASANTE!F133-PERALTE!$Z$22)-2),IF(RASANTE!F133&lt;=PERALTE!$AB$22,-2))))),IF(AND(AH!$H$24="Izquierda",RASANTE!F133&lt;=PERALTE!$AB$22),IF(RASANTE!F133&lt;=PERALTE!$Q$22,-2,IF(RASANTE!F133&lt;=PERALTE!$U$22,(10/(PERALTE!$U$22-PERALTE!$Q$22)*(RASANTE!F133-PERALTE!$Q$22)-2),IF(RASANTE!F133&lt;=PERALTE!$X$22,8,IF(RASANTE!F133&lt;=PERALTE!$AB$22,(10/(PERALTE!$X$22-PERALTE!$AB$22)*(RASANTE!F133-PERALTE!$AB$22)-2))))),IF(AND(AH!#REF!="Derecha",RASANTE!F133&lt;=PERALTE!#REF!),IF(RASANTE!F133&lt;=PERALTE!#REF!,-2,IF(RASANTE!F133&lt;=PERALTE!#REF!,(-6/(PERALTE!#REF!-PERALTE!#REF!)*(RASANTE!F133-PERALTE!#REF!)-2),IF(RASANTE!F133&lt;=PERALTE!#REF!,-8,IF(RASANTE!F133&lt;=PERALTE!#REF!,(-6/(PERALTE!#REF!-PERALTE!#REF!)*(RASANTE!F133-PERALTE!#REF!)-2),IF(RASANTE!F133&lt;=PERALTE!#REF!,-2))))),IF(AND(AH!#REF!="Izquierda",RASANTE!F133&lt;=PERALTE!#REF!),IF(RASANTE!F133&lt;=PERALTE!#REF!,-2,IF(RASANTE!F133&lt;=PERALTE!#REF!,(10/(PERALTE!#REF!-PERALTE!#REF!)*(RASANTE!F133-PERALTE!#REF!)-2),IF(RASANTE!F133&lt;=PERALTE!#REF!,8,IF(RASANTE!F133&lt;=PERALTE!#REF!,(10/(PERALTE!#REF!-PERALTE!#REF!)*(RASANTE!F133-PERALTE!#REF!)-2))))),IF(AND(AH!#REF!="Derecha",RASANTE!F133&lt;=PERALTE!$AB$26),IF(RASANTE!F133&lt;=PERALTE!$S$26,-2,IF(RASANTE!F133&lt;=PERALTE!$U$26,(-6/(PERALTE!$U$26-PERALTE!$S$26)*(RASANTE!F133-PERALTE!$S$26)-2),IF(RASANTE!F133&lt;=PERALTE!$X$26,-8,IF(RASANTE!F133&lt;=PERALTE!$Z$26,(-6/(PERALTE!$X$26-PERALTE!$Z$26)*(RASANTE!F133-PERALTE!$Z$26)-2),IF(RASANTE!F133&lt;=PERALTE!$AB$26,-2))))),IF(AND(AH!#REF!="Izquierda",RASANTE!F133&lt;=PERALTE!$AB$26),IF(RASANTE!F133&lt;=PERALTE!$Q$26,-2,IF(RASANTE!F133&lt;=PERALTE!$U$26,(10/(PERALTE!$U$26-PERALTE!$Q$26)*(RASANTE!F133-PERALTE!$Q$26)-2),IF(RASANTE!F133&lt;=PERALTE!$X$26,8,IF(RASANTE!F133&lt;=PERALTE!$AB$26,(10/(PERALTE!$X$26-PERALTE!$AB$26)*(RASANTE!F133-PERALTE!$AB$26)-2))))),IF(F133&lt;=PERALTE!#REF!,-2,"Abscisa fuera de la vía")))))))))))))))))))))</f>
        <v>4.9193027995762701</v>
      </c>
      <c r="J133" s="28">
        <f t="shared" si="4"/>
        <v>1627.2236380375919</v>
      </c>
      <c r="K133" s="28">
        <f>+IF(AND(AV!$S$6&lt;F181,F181&lt;=AV!$T$6),AV!$P$6*((AV!$S$6-RASANTE!F181)/(AV!$N$6))^2,IF(AND(AV!$T$6&lt;RASANTE!F181,F181&lt;AV!$U$6),AV!$P$6*((AV!$U$6-RASANTE!F181)/(AV!$O$6))^2,IF(AND(AV!$S$8&lt;F181,F181&lt;=AV!$T$8),AV!$P$8*((AV!$S$8-RASANTE!F181)/(AV!$N$8))^2,IF(AND(AV!$T$8&lt;RASANTE!F181,F181&lt;AV!$U$8),AV!$P$8*((AV!$U$8-RASANTE!F181)/(AV!$O$8))^2,IF(AND(AV!$S$10&lt;F181,F181&lt;=AV!$T$10),AV!$P$10*((AV!$S$10-RASANTE!F181)/(AV!$N$10))^2,IF(AND(AV!$T$10&lt;RASANTE!F181,F181&lt;AV!$U$10),AV!$P$10*((AV!$U$10-RASANTE!F181)/(AV!$O$10))^2,IF(AND(AV!$S$12&lt;F181,F181&lt;=AV!$T$12),AV!$P$12*((AV!$S$12-RASANTE!F181)/(AV!$N$12))^2,IF(AND(AV!$T$12&lt;RASANTE!F181,F181&lt;AV!$U$12),AV!$P$12*((AV!$U$12-RASANTE!F181)/(AV!$O$12))^2,IF(AND(AV!$S$14&lt;F181,F181&lt;=AV!$T$14),AV!$P$14*((AV!$S$14-RASANTE!F181)/(AV!$N$14))^2,IF(AND(AV!$T$14&lt;RASANTE!F181,F181&lt;AV!$U$14),AV!$P$14*((AV!$U$14-RASANTE!F181)/(AV!$O$14))^2,IF(AND(AV!$S$16&lt;F181,F181&lt;=AV!$T$16),AV!$P$16*((AV!$S$16-RASANTE!F181)/(AV!$N$16))^2,IF(AND(AV!$T$16&lt;RASANTE!F181,F181&lt;AV!$U$16),AV!$P$16*((AV!$U$16-RASANTE!F181)/(AV!$O$16))^2,IF(AND(AV!$S$18&lt;F181,F181&lt;=AV!$T$18),AV!$P$18*((AV!$S$18-RASANTE!F181)/(AV!$N$18))^2,IF(AND(AV!$T$18&lt;RASANTE!F181,F181&lt;AV!$U$18),AV!$P$18*((AV!$U$18-RASANTE!F181)/(AV!$O$18))^2,IF(AND(AV!$S$20&lt;F181,F181&lt;=AV!$T$20),AV!$P$20*((AV!$S$20-RASANTE!F181)/(AV!$N$20))^2,IF(AND(AV!$T$20&lt;RASANTE!F181,F181&lt;AV!$U$20),AV!$P$20*((AV!$U$20-RASANTE!F181)/(AV!$O$20))^2,IF(AND(AV!$S$22&lt;F181,F181&lt;=AV!$T$22),AV!$P$22*((AV!$S$22-RASANTE!F181)/(AV!$N$22))^2,IF(AND(AV!$T$22&lt;RASANTE!F181,F181&lt;AV!$U$22),AV!$P$22*((AV!$U$22-RASANTE!F181)/(AV!$O$22))^2,IF(AND(AV!$S$24&lt;F181,F181&lt;=AV!$T$24),AV!$P$24*((AV!$S$24-RASANTE!F181)/(AV!$N$24))^2,IF(AND(AV!$T$24&lt;RASANTE!F181,F181&lt;AV!$U$24),AV!$P$24*((AV!$U$24-RASANTE!F181)/(AV!$O$24))^2,0))))))))))))))))))))</f>
        <v>0</v>
      </c>
      <c r="L133" s="28">
        <f>+M133+H133%*PERALTE!$C$32</f>
        <v>1627.0514624396067</v>
      </c>
      <c r="M133" s="28">
        <f t="shared" si="5"/>
        <v>1627.2236380375919</v>
      </c>
      <c r="N133" s="28">
        <f>+M133+I133%*PERALTE!$C$32</f>
        <v>1627.395813635577</v>
      </c>
      <c r="O133" s="92"/>
      <c r="P133" s="84"/>
      <c r="Q133" s="84"/>
      <c r="R133" s="84"/>
      <c r="S133" s="84"/>
      <c r="T133" s="84"/>
      <c r="U133" s="84"/>
      <c r="V133" s="84"/>
      <c r="W133" s="84"/>
      <c r="X133" s="84"/>
      <c r="Y133" s="84"/>
    </row>
    <row r="134" spans="1:25" ht="15.75" customHeight="1" x14ac:dyDescent="0.2">
      <c r="A134" s="90"/>
      <c r="B134" s="86"/>
      <c r="C134" s="86"/>
      <c r="D134" s="86"/>
      <c r="F134" s="34">
        <v>810</v>
      </c>
      <c r="G134" s="88">
        <f>IF(F134&lt;=AV!$T$6,AV!$C$5,IF(RASANTE!F134&lt;=AV!$T$8,AV!$C$7,IF(RASANTE!F134&lt;=AV!$T$10,AV!$C$9,IF(RASANTE!F134&lt;=AV!$T$12,AV!$C$11,IF(RASANTE!F134&lt;=AV!$T$14,AV!$C$13,IF(RASANTE!F134&lt;=AV!$T$16,AV!$C$15, IF(RASANTE!F134&lt;=AV!$T$18,AV!$C$17,IF(RASANTE!F134&lt;=AV!$T$20,AV!$C$19,IF(RASANTE!F134&lt;=AV!$T$22,AV!$C$21,IF(RASANTE!F134&lt;=AV!$T$24,AV!$C$23,AV!$C$25))))))))))</f>
        <v>-7.2409999999999997</v>
      </c>
      <c r="H134" s="28">
        <f>+IF(AND(AH!$H$8="Izquierda",RASANTE!F134&lt;=PERALTE!$AB$6),IF(RASANTE!F134&lt;=PERALTE!$S$6,-2,IF(RASANTE!F134&lt;=PERALTE!$U$6,(-6/(PERALTE!$U$6-PERALTE!$S$6)*(RASANTE!F134-PERALTE!$S$6)-2),IF(RASANTE!F134&lt;=PERALTE!$X$6,-8,IF(RASANTE!F134&lt;=PERALTE!$Z$6,(-6/(PERALTE!$X$6-PERALTE!$Z$6)*(RASANTE!F134-PERALTE!$Z$6)-2),IF(RASANTE!F134&lt;=PERALTE!$AB$6,-2))))),IF(AND(AH!$H$8="Derecha",RASANTE!F134&lt;=PERALTE!$AB$6),IF(RASANTE!F134&lt;=PERALTE!$Q$6,-2,IF(RASANTE!F134&lt;=PERALTE!$U$6,(10/(PERALTE!$U$6-PERALTE!$Q$6)*(RASANTE!F134-PERALTE!$Q$6)-2),IF(RASANTE!F134&lt;=PERALTE!$X$6,8,IF(RASANTE!F134&lt;=PERALTE!$AB$6,(10/(PERALTE!$X$6-PERALTE!$AB$6)*(RASANTE!F134-PERALTE!$AB$6)-2))))),IF(AND(AH!$H$10="Izquierda",RASANTE!F134&lt;=PERALTE!$AB$8),IF(RASANTE!F134&lt;=PERALTE!$S$8,-2,IF(RASANTE!F134&lt;=PERALTE!$U$8,(-6/(PERALTE!$U$8-PERALTE!$S$8)*(RASANTE!F134-PERALTE!$S$8)-2),IF(RASANTE!F134&lt;=PERALTE!$X$8,-8,IF(RASANTE!F134&lt;=PERALTE!$Z$8,(-6/(PERALTE!$X$8-PERALTE!$Z$8)*(RASANTE!F134-PERALTE!$Z$8)-2),IF(RASANTE!F134&lt;=PERALTE!$AB$8,-2))))),IF(AND(AH!$H$10="Derecha",RASANTE!F134&lt;=PERALTE!$AB$8),IF(RASANTE!F134&lt;=PERALTE!$Q$8,-2,IF(RASANTE!F134&lt;=PERALTE!$U$8,(10/(PERALTE!$U$8-PERALTE!$Q$8)*(RASANTE!F134-PERALTE!$Q$8)-2),IF(RASANTE!F134&lt;=PERALTE!$X$8,8,IF(RASANTE!F134&lt;=PERALTE!$AB$8,(10/(PERALTE!$X$8-PERALTE!$AB$8)*(RASANTE!F134-PERALTE!$AB$8)-2))))),IF(AND(AH!$H$12="Izquierda",RASANTE!F134&lt;=PERALTE!$AB$10),IF(RASANTE!F134&lt;=PERALTE!$S$10,-2,IF(RASANTE!F134&lt;=PERALTE!$U$10,(-6/(PERALTE!$U$10-PERALTE!$S$10)*(RASANTE!F134-PERALTE!$S$10)-2),IF(RASANTE!F134&lt;=PERALTE!$X$10,-8,IF(RASANTE!F134&lt;=PERALTE!$Z$10,(-6/(PERALTE!$X$10-PERALTE!$Z$10)*(RASANTE!F134-PERALTE!$Z$10)-2),IF(RASANTE!F134&lt;=PERALTE!$AB$10,-2))))),IF(AND(AH!$H$12="Derecha",RASANTE!F134&lt;=PERALTE!$AB$10),IF(RASANTE!F134&lt;=PERALTE!$Q$10,-2,IF(RASANTE!F134&lt;=PERALTE!$U$10,(10/(PERALTE!$U$10-PERALTE!$Q$10)*(RASANTE!F134-PERALTE!$Q$10)-2),IF(RASANTE!F134&lt;=PERALTE!$X$10,8,IF(RASANTE!F134&lt;=PERALTE!$AB$10,(10/(PERALTE!$X$10-PERALTE!$AB$10)*(RASANTE!F134-PERALTE!$AB$10)-2))))),IF(AND(AH!$H$14="Izquierda",RASANTE!F134&lt;=PERALTE!$AB$12),IF(RASANTE!F134&lt;=PERALTE!$S$12,-2,IF(RASANTE!F134&lt;=PERALTE!$U$12,(-6/(PERALTE!$U$12-PERALTE!$S$12)*(RASANTE!F134-PERALTE!$S$12)-2),IF(RASANTE!F134&lt;=PERALTE!$X$12,-8,IF(RASANTE!F134&lt;=PERALTE!$Z$12,(-6/(PERALTE!$X$12-PERALTE!$Z$12)*(RASANTE!F134-PERALTE!$Z$12)-2),IF(RASANTE!F134&lt;=PERALTE!$AB$12,-2))))),IF(AND(AH!$H$14="Derecha",RASANTE!F134&lt;=PERALTE!$AB$12),IF(RASANTE!F134&lt;=PERALTE!$Q$12,-2,IF(RASANTE!F134&lt;=PERALTE!$U$12,(10/(PERALTE!$U$12-PERALTE!$Q$12)*(RASANTE!F134-PERALTE!$Q$12)-2),IF(RASANTE!F134&lt;=PERALTE!$X$12,8,IF(RASANTE!F134&lt;=PERALTE!$AB$12,(10/(PERALTE!$X$12-PERALTE!$AB$12)*(RASANTE!F134-PERALTE!$AB$12)-2))))),IF(AND(AH!$H$16="Izquierda",RASANTE!F134&lt;=PERALTE!$AB$14),IF(RASANTE!F134&lt;=PERALTE!$S$14,-2,IF(RASANTE!F134&lt;=PERALTE!$U$14,(-6/(PERALTE!$U$14-PERALTE!$S$14)*(RASANTE!F134-PERALTE!$S$14)-2),IF(RASANTE!F134&lt;=PERALTE!$X$14,-8,IF(RASANTE!F134&lt;=PERALTE!$Z$14,(-6/(PERALTE!$X$14-PERALTE!$Z$14)*(RASANTE!F134-PERALTE!$Z$14)-2),IF(RASANTE!F134&lt;=PERALTE!$AB$14,-2))))),IF(AND(AH!$H$16="Derecha",RASANTE!F134&lt;=PERALTE!$AB$14),IF(RASANTE!F134&lt;=PERALTE!$Q$14,-2,IF(RASANTE!F134&lt;=PERALTE!$U$14,(10/(PERALTE!$U$14-PERALTE!$Q$14)*(RASANTE!F134-PERALTE!$Q$14)-2),IF(RASANTE!F134&lt;=PERALTE!$X$14,8,IF(RASANTE!F134&lt;=PERALTE!$AB$14,(10/(PERALTE!$X$14-PERALTE!$AB$14)*(RASANTE!F134-PERALTE!$AB$14)-2))))),IF(AND(AH!$H$18="Izquierda",RASANTE!F134&lt;=PERALTE!$AB$16),IF(RASANTE!F134&lt;=PERALTE!$S$16,-2,IF(RASANTE!F134&lt;=PERALTE!$U$16,(-6/(PERALTE!$U$16-PERALTE!$S$16)*(RASANTE!F134-PERALTE!$S$16)-2),IF(RASANTE!F134&lt;=PERALTE!$X$16,-8,IF(RASANTE!F134&lt;=PERALTE!$Z$16,(-6/(PERALTE!$X$16-PERALTE!$Z$16)*(RASANTE!F134-PERALTE!$Z$16)-2),IF(RASANTE!F134&lt;=PERALTE!$AB$16,-2))))),IF(AND(AH!$H$18="Derecha",RASANTE!F134&lt;=PERALTE!$AB$16),IF(RASANTE!F134&lt;=PERALTE!$Q$16,-2,IF(RASANTE!F134&lt;=PERALTE!$U$16,(10/(PERALTE!$U$16-PERALTE!$Q$16)*(RASANTE!F134-PERALTE!$Q$16)-2),IF(RASANTE!F134&lt;=PERALTE!$X$16,8,IF(RASANTE!F134&lt;=PERALTE!$AB$16,(10/(PERALTE!$X$16-PERALTE!$AB$16)*(RASANTE!F134-PERALTE!$AB$16)-2))))),IF(AND(AH!$H$20="Izquierda",RASANTE!F134&lt;=PERALTE!$AB$18),IF(RASANTE!F134&lt;=PERALTE!$S$18,-2,IF(RASANTE!F134&lt;=PERALTE!$U$18,(-6/(PERALTE!$U$18-PERALTE!$S$18)*(RASANTE!F134-PERALTE!$S$18)-2),IF(RASANTE!F134&lt;=PERALTE!$X$18,-8,IF(RASANTE!F134&lt;=PERALTE!$Z$18,(-6/(PERALTE!$X$18-PERALTE!$Z$18)*(RASANTE!F134-PERALTE!$Z$18)-2),IF(RASANTE!F134&lt;=PERALTE!$AB$18,-2))))),IF(AND(AH!$H$20="Derecha",RASANTE!F134&lt;=PERALTE!$AB$18),IF(RASANTE!F134&lt;=PERALTE!$Q$18,-2,IF(RASANTE!F134&lt;=PERALTE!$U$18,(10/(PERALTE!$U$18-PERALTE!$Q$18)*(RASANTE!F134-PERALTE!$Q$18)-2),IF(RASANTE!F134&lt;=PERALTE!$X$18,8,IF(RASANTE!F134&lt;=PERALTE!$AB$18,(10/(PERALTE!$X$18-PERALTE!$AB$18)*(RASANTE!F134-PERALTE!$AB$18)-2))))),IF(AND(AH!$H$24="Izquierda",RASANTE!F134&lt;=PERALTE!$AB$22),IF(RASANTE!F134&lt;=PERALTE!$S$22,-2,IF(RASANTE!F134&lt;=PERALTE!$U$22,(-6/(PERALTE!$U$22-PERALTE!$S$22)*(RASANTE!F134-PERALTE!$S$22)-2),IF(RASANTE!F134&lt;=PERALTE!$X$22,-8,IF(RASANTE!F134&lt;=PERALTE!$Z$22,(-6/(PERALTE!$X$22-PERALTE!$Z$22)*(RASANTE!F134-PERALTE!$Z$22)-2),IF(RASANTE!F134&lt;=PERALTE!$AB$22,-2))))),IF(AND(AH!$H$24="Derecha",RASANTE!F134&lt;=PERALTE!$AB$22),IF(RASANTE!F134&lt;=PERALTE!$Q$22,-2,IF(RASANTE!F134&lt;=PERALTE!$U$22,(10/(PERALTE!$U$22-PERALTE!$Q$22)*(RASANTE!F134-PERALTE!$Q$22)-2),IF(RASANTE!F134&lt;=PERALTE!$X$22,8,IF(RASANTE!F134&lt;=PERALTE!$AB$22,(10/(PERALTE!$X$22-PERALTE!$AB$22)*(RASANTE!F134-PERALTE!$AB$22)-2))))),IF(AND(AH!#REF!="Izquierda",RASANTE!F134&lt;=PERALTE!#REF!),IF(RASANTE!F134&lt;=PERALTE!#REF!,-2,IF(RASANTE!F134&lt;=PERALTE!#REF!,(-6/(PERALTE!#REF!-PERALTE!#REF!)*(RASANTE!F134-PERALTE!#REF!)-2),IF(RASANTE!F134&lt;=PERALTE!#REF!,-8,IF(RASANTE!F134&lt;=PERALTE!#REF!,(-6/(PERALTE!#REF!-PERALTE!#REF!)*(RASANTE!F134-PERALTE!#REF!)-2),IF(RASANTE!F134&lt;=PERALTE!#REF!,-2))))),IF(AND(AH!#REF!="Derecha",RASANTE!F134&lt;=PERALTE!#REF!),IF(RASANTE!F134&lt;=PERALTE!#REF!,-2,IF(RASANTE!F134&lt;=PERALTE!#REF!,(10/(PERALTE!#REF!-PERALTE!#REF!)*(RASANTE!F134-PERALTE!#REF!)-2),IF(RASANTE!F134&lt;=PERALTE!#REF!,8,IF(RASANTE!F134&lt;=PERALTE!#REF!,(10/(PERALTE!#REF!-PERALTE!#REF!)*(RASANTE!F134-PERALTE!#REF!)-2))))),IF(AND(AH!#REF!="Izquierda",RASANTE!F134&lt;=PERALTE!$AB$26),IF(RASANTE!F134&lt;=PERALTE!$S$26,-2,IF(RASANTE!F134&lt;=PERALTE!$U$26,(-6/(PERALTE!$U$26-PERALTE!$S$26)*(RASANTE!F134-PERALTE!$S$26)-2),IF(RASANTE!F134&lt;=PERALTE!$X$26,-8,IF(RASANTE!F134&lt;=PERALTE!$Z$26,(-6/(PERALTE!$X$26-PERALTE!$Z$26)*(RASANTE!F134-PERALTE!$Z$26)-2),IF(RASANTE!F134&lt;=PERALTE!$AB$26,-2))))),IF(AND(AH!#REF!="Derecha",RASANTE!F134&lt;=PERALTE!$AB$26),IF(RASANTE!F134&lt;=PERALTE!$Q$26,-2,IF(RASANTE!F134&lt;=PERALTE!$U$26,(10/(PERALTE!$U$26-PERALTE!$Q$26)*(RASANTE!F134-PERALTE!$Q$26)-2),IF(RASANTE!F134&lt;=PERALTE!$X$26,8,IF(RASANTE!F134&lt;=PERALTE!$AB$26,(10/(PERALTE!$X$26-PERALTE!$AB$26)*(RASANTE!F134-PERALTE!$AB$26)-2))))),IF(F134&lt;=PERALTE!#REF!,-2,"Abscisa fuera de la vía")))))))))))))))))))))</f>
        <v>-7.1193027995762659</v>
      </c>
      <c r="I134" s="28">
        <f>+IF(AND(AH!$H$8="Derecha",RASANTE!F134&lt;=PERALTE!$AB$6),IF(RASANTE!F134&lt;=PERALTE!$S$6,-2,IF(RASANTE!F134&lt;=PERALTE!$U$6,(-6/(PERALTE!$U$6-PERALTE!$S$6)*(RASANTE!F134-PERALTE!$S$6)-2),IF(RASANTE!F134&lt;=PERALTE!$X$6,-8,IF(RASANTE!F134&lt;=PERALTE!$Z$6,(-6/(PERALTE!$X$6-PERALTE!$Z$6)*(RASANTE!F134-PERALTE!$Z$6)-2),IF(RASANTE!F134&lt;=PERALTE!$AB$6,-2))))),IF(AND(AH!$H$8="Izquierda",RASANTE!F134&lt;=PERALTE!$AB$6),IF(RASANTE!F134&lt;=PERALTE!$Q$6,-2,IF(RASANTE!F134&lt;=PERALTE!$U$6,(10/(PERALTE!$U$6-PERALTE!$Q$6)*(RASANTE!F134-PERALTE!$Q$6)-2),IF(RASANTE!F134&lt;=PERALTE!$X$6,8,IF(RASANTE!F134&lt;=PERALTE!$AB$6,(10/(PERALTE!$X$6-PERALTE!$AB$6)*(RASANTE!F134-PERALTE!$AB$6)-2))))),IF(AND(AH!$H$10="Derecha",RASANTE!F134&lt;=PERALTE!$AB$8),IF(RASANTE!F134&lt;=PERALTE!$S$8,-2,IF(RASANTE!F134&lt;=PERALTE!$U$8,(-6/(PERALTE!$U$8-PERALTE!$S$8)*(RASANTE!F134-PERALTE!$S$8)-2),IF(RASANTE!F134&lt;=PERALTE!$X$8,-8,IF(RASANTE!F134&lt;=PERALTE!$Z$8,(-6/(PERALTE!$X$8-PERALTE!$Z$8)*(RASANTE!F134-PERALTE!$Z$8)-2),IF(RASANTE!F134&lt;=PERALTE!$AB$8,-2))))),IF(AND(AH!$H$10="Izquierda",RASANTE!F134&lt;=PERALTE!$AB$8),IF(RASANTE!F134&lt;=PERALTE!$Q$8,-2,IF(RASANTE!F134&lt;=PERALTE!$U$8,(10/(PERALTE!$U$8-PERALTE!$Q$8)*(RASANTE!F134-PERALTE!$Q$8)-2),IF(RASANTE!F134&lt;=PERALTE!$X$8,8,IF(RASANTE!F134&lt;=PERALTE!$AB$8,(10/(PERALTE!$X$8-PERALTE!$AB$8)*(RASANTE!F134-PERALTE!$AB$8)-2))))),IF(AND(AH!$H$12="Derecha",RASANTE!F134&lt;=PERALTE!$AB$10),IF(RASANTE!F134&lt;=PERALTE!$S$10,-2,IF(RASANTE!F134&lt;=PERALTE!$U$10,(-6/(PERALTE!$U$10-PERALTE!$S$10)*(RASANTE!F134-PERALTE!$S$10)-2),IF(RASANTE!F134&lt;=PERALTE!$X$10,-8,IF(RASANTE!F134&lt;=PERALTE!$Z$10,(-6/(PERALTE!$X$10-PERALTE!$Z$10)*(RASANTE!F134-PERALTE!$Z$10)-2),IF(RASANTE!F134&lt;=PERALTE!$AB$10,-2))))),IF(AND(AH!$H$12="Izquierda",RASANTE!F134&lt;=PERALTE!$AB$10),IF(RASANTE!F134&lt;=PERALTE!$Q$10,-2,IF(RASANTE!F134&lt;=PERALTE!$U$10,(10/(PERALTE!$U$10-PERALTE!$Q$10)*(RASANTE!F134-PERALTE!$Q$10)-2),IF(RASANTE!F134&lt;=PERALTE!$X$10,8,IF(RASANTE!F134&lt;=PERALTE!$AB$10,(10/(PERALTE!$X$10-PERALTE!$AB$10)*(RASANTE!F134-PERALTE!$AB$10)-2))))),IF(AND(AH!$H$14="Derecha",RASANTE!F134&lt;=PERALTE!$AB$12),IF(RASANTE!F134&lt;=PERALTE!$S$12,-2,IF(RASANTE!F134&lt;=PERALTE!$U$12,(-6/(PERALTE!$U$12-PERALTE!$S$12)*(RASANTE!F134-PERALTE!$S$12)-2),IF(RASANTE!F134&lt;=PERALTE!$X$12,-8,IF(RASANTE!F134&lt;=PERALTE!$Z$12,(-6/(PERALTE!$X$12-PERALTE!$Z$12)*(RASANTE!F134-PERALTE!$Z$12)-2),IF(RASANTE!F134&lt;=PERALTE!$AB$12,-2))))),IF(AND(AH!$H$14="Izquierda",RASANTE!F134&lt;=PERALTE!$AB$12),IF(RASANTE!F134&lt;=PERALTE!$Q$12,-2,IF(RASANTE!F134&lt;=PERALTE!$U$12,(10/(PERALTE!$U$12-PERALTE!$Q$12)*(RASANTE!F134-PERALTE!$Q$12)-2),IF(RASANTE!F134&lt;=PERALTE!$X$12,8,IF(RASANTE!F134&lt;=PERALTE!$AB$12,(10/(PERALTE!$X$12-PERALTE!$AB$12)*(RASANTE!F134-PERALTE!$AB$12)-2))))),IF(AND(AH!$H$16="Derecha",RASANTE!F134&lt;=PERALTE!$AB$14),IF(RASANTE!F134&lt;=PERALTE!$S$14,-2,IF(RASANTE!F134&lt;=PERALTE!$U$14,(-6/(PERALTE!$U$14-PERALTE!$S$14)*(RASANTE!F134-PERALTE!$S$14)-2),IF(RASANTE!F134&lt;=PERALTE!$X$14,-8,IF(RASANTE!F134&lt;=PERALTE!$Z$14,(-6/(PERALTE!$X$14-PERALTE!$Z$14)*(RASANTE!F134-PERALTE!$Z$14)-2),IF(RASANTE!F134&lt;=PERALTE!$AB$14,-2))))),IF(AND(AH!$H$16="Izquierda",RASANTE!F134&lt;=PERALTE!$AB$14),IF(RASANTE!F134&lt;=PERALTE!$Q$14,-2,IF(RASANTE!F134&lt;=PERALTE!$U$14,(10/(PERALTE!$U$14-PERALTE!$Q$14)*(RASANTE!F134-PERALTE!$Q$14)-2),IF(RASANTE!F134&lt;=PERALTE!$X$14,8,IF(RASANTE!F134&lt;=PERALTE!$AB$14,(10/(PERALTE!$X$14-PERALTE!$AB$14)*(RASANTE!F134-PERALTE!$AB$14)-2))))),IF(AND(AH!$H$18="Derecha",RASANTE!F134&lt;=PERALTE!$AB$16),IF(RASANTE!F134&lt;=PERALTE!$S$16,-2,IF(RASANTE!F134&lt;=PERALTE!$U$16,(-6/(PERALTE!$U$16-PERALTE!$S$16)*(RASANTE!F134-PERALTE!$S$16)-2),IF(RASANTE!F134&lt;=PERALTE!$X$16,-8,IF(RASANTE!F134&lt;=PERALTE!$Z$16,(-6/(PERALTE!$X$16-PERALTE!$Z$16)*(RASANTE!F134-PERALTE!$Z$16)-2),IF(RASANTE!F134&lt;=PERALTE!$AB$16,-2))))),IF(AND(AH!$H$18="Izquierda",RASANTE!F134&lt;=PERALTE!$AB$16),IF(RASANTE!F134&lt;=PERALTE!$Q$16,-2,IF(RASANTE!F134&lt;=PERALTE!$U$16,(10/(PERALTE!$U$16-PERALTE!$Q$16)*(RASANTE!F134-PERALTE!$Q$16)-2),IF(RASANTE!F134&lt;=PERALTE!$X$16,8,IF(RASANTE!F134&lt;=PERALTE!$AB$16,(10/(PERALTE!$X$16-PERALTE!$AB$16)*(RASANTE!F134-PERALTE!$AB$16)-2))))),IF(AND(AH!$H$20="Derecha",RASANTE!F134&lt;=PERALTE!$AB$18),IF(RASANTE!F134&lt;=PERALTE!$S$18,-2,IF(RASANTE!F134&lt;=PERALTE!$U$18,(-6/(PERALTE!$U$18-PERALTE!$S$18)*(RASANTE!F134-PERALTE!$S$18)-2),IF(RASANTE!F134&lt;=PERALTE!$X$18,-8,IF(RASANTE!F134&lt;=PERALTE!$Z$18,(-6/(PERALTE!$X$18-PERALTE!$Z$18)*(RASANTE!F134-PERALTE!$Z$18)-2),IF(RASANTE!F134&lt;=PERALTE!$AB$18,-2))))),IF(AND(AH!$H$20="Izquierda",RASANTE!F134&lt;=PERALTE!$AB$18),IF(RASANTE!F134&lt;=PERALTE!$Q$18,-2,IF(RASANTE!F134&lt;=PERALTE!$U$18,(10/(PERALTE!$U$18-PERALTE!$Q$18)*(RASANTE!F134-PERALTE!$Q$18)-2),IF(RASANTE!F134&lt;=PERALTE!$X$18,8,IF(RASANTE!F134&lt;=PERALTE!$AB$18,(10/(PERALTE!$X$18-PERALTE!$AB$18)*(RASANTE!F134-PERALTE!$AB$18)-2))))),IF(AND(AH!$H$24="Derecha",RASANTE!F134&lt;=PERALTE!$AB$22),IF(RASANTE!F134&lt;=PERALTE!$S$22,-2,IF(RASANTE!F134&lt;=PERALTE!$U$22,(-6/(PERALTE!$U$22-PERALTE!$S$22)*(RASANTE!F134-PERALTE!$S$22)-2),IF(RASANTE!F134&lt;=PERALTE!$X$22,-8,IF(RASANTE!F134&lt;=PERALTE!$Z$22,(-6/(PERALTE!$X$22-PERALTE!$Z$22)*(RASANTE!F134-PERALTE!$Z$22)-2),IF(RASANTE!F134&lt;=PERALTE!$AB$22,-2))))),IF(AND(AH!$H$24="Izquierda",RASANTE!F134&lt;=PERALTE!$AB$22),IF(RASANTE!F134&lt;=PERALTE!$Q$22,-2,IF(RASANTE!F134&lt;=PERALTE!$U$22,(10/(PERALTE!$U$22-PERALTE!$Q$22)*(RASANTE!F134-PERALTE!$Q$22)-2),IF(RASANTE!F134&lt;=PERALTE!$X$22,8,IF(RASANTE!F134&lt;=PERALTE!$AB$22,(10/(PERALTE!$X$22-PERALTE!$AB$22)*(RASANTE!F134-PERALTE!$AB$22)-2))))),IF(AND(AH!#REF!="Derecha",RASANTE!F134&lt;=PERALTE!#REF!),IF(RASANTE!F134&lt;=PERALTE!#REF!,-2,IF(RASANTE!F134&lt;=PERALTE!#REF!,(-6/(PERALTE!#REF!-PERALTE!#REF!)*(RASANTE!F134-PERALTE!#REF!)-2),IF(RASANTE!F134&lt;=PERALTE!#REF!,-8,IF(RASANTE!F134&lt;=PERALTE!#REF!,(-6/(PERALTE!#REF!-PERALTE!#REF!)*(RASANTE!F134-PERALTE!#REF!)-2),IF(RASANTE!F134&lt;=PERALTE!#REF!,-2))))),IF(AND(AH!#REF!="Izquierda",RASANTE!F134&lt;=PERALTE!#REF!),IF(RASANTE!F134&lt;=PERALTE!#REF!,-2,IF(RASANTE!F134&lt;=PERALTE!#REF!,(10/(PERALTE!#REF!-PERALTE!#REF!)*(RASANTE!F134-PERALTE!#REF!)-2),IF(RASANTE!F134&lt;=PERALTE!#REF!,8,IF(RASANTE!F134&lt;=PERALTE!#REF!,(10/(PERALTE!#REF!-PERALTE!#REF!)*(RASANTE!F134-PERALTE!#REF!)-2))))),IF(AND(AH!#REF!="Derecha",RASANTE!F134&lt;=PERALTE!$AB$26),IF(RASANTE!F134&lt;=PERALTE!$S$26,-2,IF(RASANTE!F134&lt;=PERALTE!$U$26,(-6/(PERALTE!$U$26-PERALTE!$S$26)*(RASANTE!F134-PERALTE!$S$26)-2),IF(RASANTE!F134&lt;=PERALTE!$X$26,-8,IF(RASANTE!F134&lt;=PERALTE!$Z$26,(-6/(PERALTE!$X$26-PERALTE!$Z$26)*(RASANTE!F134-PERALTE!$Z$26)-2),IF(RASANTE!F134&lt;=PERALTE!$AB$26,-2))))),IF(AND(AH!#REF!="Izquierda",RASANTE!F134&lt;=PERALTE!$AB$26),IF(RASANTE!F134&lt;=PERALTE!$Q$26,-2,IF(RASANTE!F134&lt;=PERALTE!$U$26,(10/(PERALTE!$U$26-PERALTE!$Q$26)*(RASANTE!F134-PERALTE!$Q$26)-2),IF(RASANTE!F134&lt;=PERALTE!$X$26,8,IF(RASANTE!F134&lt;=PERALTE!$AB$26,(10/(PERALTE!$X$26-PERALTE!$AB$26)*(RASANTE!F134-PERALTE!$AB$26)-2))))),IF(F134&lt;=PERALTE!#REF!,-2,"Abscisa fuera de la vía")))))))))))))))))))))</f>
        <v>7.1193027995762677</v>
      </c>
      <c r="J134" s="28">
        <f t="shared" si="4"/>
        <v>1626.4995380375919</v>
      </c>
      <c r="K134" s="28">
        <f>+IF(AND(AV!$S$6&lt;F182,F182&lt;=AV!$T$6),AV!$P$6*((AV!$S$6-RASANTE!F182)/(AV!$N$6))^2,IF(AND(AV!$T$6&lt;RASANTE!F182,F182&lt;AV!$U$6),AV!$P$6*((AV!$U$6-RASANTE!F182)/(AV!$O$6))^2,IF(AND(AV!$S$8&lt;F182,F182&lt;=AV!$T$8),AV!$P$8*((AV!$S$8-RASANTE!F182)/(AV!$N$8))^2,IF(AND(AV!$T$8&lt;RASANTE!F182,F182&lt;AV!$U$8),AV!$P$8*((AV!$U$8-RASANTE!F182)/(AV!$O$8))^2,IF(AND(AV!$S$10&lt;F182,F182&lt;=AV!$T$10),AV!$P$10*((AV!$S$10-RASANTE!F182)/(AV!$N$10))^2,IF(AND(AV!$T$10&lt;RASANTE!F182,F182&lt;AV!$U$10),AV!$P$10*((AV!$U$10-RASANTE!F182)/(AV!$O$10))^2,IF(AND(AV!$S$12&lt;F182,F182&lt;=AV!$T$12),AV!$P$12*((AV!$S$12-RASANTE!F182)/(AV!$N$12))^2,IF(AND(AV!$T$12&lt;RASANTE!F182,F182&lt;AV!$U$12),AV!$P$12*((AV!$U$12-RASANTE!F182)/(AV!$O$12))^2,IF(AND(AV!$S$14&lt;F182,F182&lt;=AV!$T$14),AV!$P$14*((AV!$S$14-RASANTE!F182)/(AV!$N$14))^2,IF(AND(AV!$T$14&lt;RASANTE!F182,F182&lt;AV!$U$14),AV!$P$14*((AV!$U$14-RASANTE!F182)/(AV!$O$14))^2,IF(AND(AV!$S$16&lt;F182,F182&lt;=AV!$T$16),AV!$P$16*((AV!$S$16-RASANTE!F182)/(AV!$N$16))^2,IF(AND(AV!$T$16&lt;RASANTE!F182,F182&lt;AV!$U$16),AV!$P$16*((AV!$U$16-RASANTE!F182)/(AV!$O$16))^2,IF(AND(AV!$S$18&lt;F182,F182&lt;=AV!$T$18),AV!$P$18*((AV!$S$18-RASANTE!F182)/(AV!$N$18))^2,IF(AND(AV!$T$18&lt;RASANTE!F182,F182&lt;AV!$U$18),AV!$P$18*((AV!$U$18-RASANTE!F182)/(AV!$O$18))^2,IF(AND(AV!$S$20&lt;F182,F182&lt;=AV!$T$20),AV!$P$20*((AV!$S$20-RASANTE!F182)/(AV!$N$20))^2,IF(AND(AV!$T$20&lt;RASANTE!F182,F182&lt;AV!$U$20),AV!$P$20*((AV!$U$20-RASANTE!F182)/(AV!$O$20))^2,IF(AND(AV!$S$22&lt;F182,F182&lt;=AV!$T$22),AV!$P$22*((AV!$S$22-RASANTE!F182)/(AV!$N$22))^2,IF(AND(AV!$T$22&lt;RASANTE!F182,F182&lt;AV!$U$22),AV!$P$22*((AV!$U$22-RASANTE!F182)/(AV!$O$22))^2,IF(AND(AV!$S$24&lt;F182,F182&lt;=AV!$T$24),AV!$P$24*((AV!$S$24-RASANTE!F182)/(AV!$N$24))^2,IF(AND(AV!$T$24&lt;RASANTE!F182,F182&lt;AV!$U$24),AV!$P$24*((AV!$U$24-RASANTE!F182)/(AV!$O$24))^2,0))))))))))))))))))))</f>
        <v>0</v>
      </c>
      <c r="L134" s="28">
        <f>+M134+H134%*PERALTE!$C$32</f>
        <v>1626.2503624396068</v>
      </c>
      <c r="M134" s="28">
        <f t="shared" si="5"/>
        <v>1626.4995380375919</v>
      </c>
      <c r="N134" s="28">
        <f>+M134+I134%*PERALTE!$C$32</f>
        <v>1626.7487136355771</v>
      </c>
      <c r="O134" s="92"/>
      <c r="P134" s="84"/>
      <c r="Q134" s="84"/>
      <c r="R134" s="84"/>
      <c r="S134" s="84"/>
      <c r="T134" s="84"/>
      <c r="U134" s="84"/>
      <c r="V134" s="84"/>
      <c r="W134" s="84"/>
      <c r="X134" s="84"/>
      <c r="Y134" s="84"/>
    </row>
    <row r="135" spans="1:25" ht="15.75" customHeight="1" x14ac:dyDescent="0.2">
      <c r="A135" s="90" t="s">
        <v>343</v>
      </c>
      <c r="E135" s="91"/>
      <c r="F135" s="34">
        <f>PERALTE!U12</f>
        <v>814.00316909283515</v>
      </c>
      <c r="G135" s="88">
        <f>IF(F135&lt;=AV!$T$6,AV!$C$5,IF(RASANTE!F135&lt;=AV!$T$8,AV!$C$7,IF(RASANTE!F135&lt;=AV!$T$10,AV!$C$9,IF(RASANTE!F135&lt;=AV!$T$12,AV!$C$11,IF(RASANTE!F135&lt;=AV!$T$14,AV!$C$13,IF(RASANTE!F135&lt;=AV!$T$16,AV!$C$15, IF(RASANTE!F135&lt;=AV!$T$18,AV!$C$17,IF(RASANTE!F135&lt;=AV!$T$20,AV!$C$19,IF(RASANTE!F135&lt;=AV!$T$22,AV!$C$21,IF(RASANTE!F135&lt;=AV!$T$24,AV!$C$23,AV!$C$25))))))))))</f>
        <v>-7.2409999999999997</v>
      </c>
      <c r="H135" s="28">
        <f>+IF(AND(AH!$H$8="Izquierda",RASANTE!F135&lt;=PERALTE!$AB$6),IF(RASANTE!F135&lt;=PERALTE!$S$6,-2,IF(RASANTE!F135&lt;=PERALTE!$U$6,(-6/(PERALTE!$U$6-PERALTE!$S$6)*(RASANTE!F135-PERALTE!$S$6)-2),IF(RASANTE!F135&lt;=PERALTE!$X$6,-8,IF(RASANTE!F135&lt;=PERALTE!$Z$6,(-6/(PERALTE!$X$6-PERALTE!$Z$6)*(RASANTE!F135-PERALTE!$Z$6)-2),IF(RASANTE!F135&lt;=PERALTE!$AB$6,-2))))),IF(AND(AH!$H$8="Derecha",RASANTE!F135&lt;=PERALTE!$AB$6),IF(RASANTE!F135&lt;=PERALTE!$Q$6,-2,IF(RASANTE!F135&lt;=PERALTE!$U$6,(10/(PERALTE!$U$6-PERALTE!$Q$6)*(RASANTE!F135-PERALTE!$Q$6)-2),IF(RASANTE!F135&lt;=PERALTE!$X$6,8,IF(RASANTE!F135&lt;=PERALTE!$AB$6,(10/(PERALTE!$X$6-PERALTE!$AB$6)*(RASANTE!F135-PERALTE!$AB$6)-2))))),IF(AND(AH!$H$10="Izquierda",RASANTE!F135&lt;=PERALTE!$AB$8),IF(RASANTE!F135&lt;=PERALTE!$S$8,-2,IF(RASANTE!F135&lt;=PERALTE!$U$8,(-6/(PERALTE!$U$8-PERALTE!$S$8)*(RASANTE!F135-PERALTE!$S$8)-2),IF(RASANTE!F135&lt;=PERALTE!$X$8,-8,IF(RASANTE!F135&lt;=PERALTE!$Z$8,(-6/(PERALTE!$X$8-PERALTE!$Z$8)*(RASANTE!F135-PERALTE!$Z$8)-2),IF(RASANTE!F135&lt;=PERALTE!$AB$8,-2))))),IF(AND(AH!$H$10="Derecha",RASANTE!F135&lt;=PERALTE!$AB$8),IF(RASANTE!F135&lt;=PERALTE!$Q$8,-2,IF(RASANTE!F135&lt;=PERALTE!$U$8,(10/(PERALTE!$U$8-PERALTE!$Q$8)*(RASANTE!F135-PERALTE!$Q$8)-2),IF(RASANTE!F135&lt;=PERALTE!$X$8,8,IF(RASANTE!F135&lt;=PERALTE!$AB$8,(10/(PERALTE!$X$8-PERALTE!$AB$8)*(RASANTE!F135-PERALTE!$AB$8)-2))))),IF(AND(AH!$H$12="Izquierda",RASANTE!F135&lt;=PERALTE!$AB$10),IF(RASANTE!F135&lt;=PERALTE!$S$10,-2,IF(RASANTE!F135&lt;=PERALTE!$U$10,(-6/(PERALTE!$U$10-PERALTE!$S$10)*(RASANTE!F135-PERALTE!$S$10)-2),IF(RASANTE!F135&lt;=PERALTE!$X$10,-8,IF(RASANTE!F135&lt;=PERALTE!$Z$10,(-6/(PERALTE!$X$10-PERALTE!$Z$10)*(RASANTE!F135-PERALTE!$Z$10)-2),IF(RASANTE!F135&lt;=PERALTE!$AB$10,-2))))),IF(AND(AH!$H$12="Derecha",RASANTE!F135&lt;=PERALTE!$AB$10),IF(RASANTE!F135&lt;=PERALTE!$Q$10,-2,IF(RASANTE!F135&lt;=PERALTE!$U$10,(10/(PERALTE!$U$10-PERALTE!$Q$10)*(RASANTE!F135-PERALTE!$Q$10)-2),IF(RASANTE!F135&lt;=PERALTE!$X$10,8,IF(RASANTE!F135&lt;=PERALTE!$AB$10,(10/(PERALTE!$X$10-PERALTE!$AB$10)*(RASANTE!F135-PERALTE!$AB$10)-2))))),IF(AND(AH!$H$14="Izquierda",RASANTE!F135&lt;=PERALTE!$AB$12),IF(RASANTE!F135&lt;=PERALTE!$S$12,-2,IF(RASANTE!F135&lt;=PERALTE!$U$12,(-6/(PERALTE!$U$12-PERALTE!$S$12)*(RASANTE!F135-PERALTE!$S$12)-2),IF(RASANTE!F135&lt;=PERALTE!$X$12,-8,IF(RASANTE!F135&lt;=PERALTE!$Z$12,(-6/(PERALTE!$X$12-PERALTE!$Z$12)*(RASANTE!F135-PERALTE!$Z$12)-2),IF(RASANTE!F135&lt;=PERALTE!$AB$12,-2))))),IF(AND(AH!$H$14="Derecha",RASANTE!F135&lt;=PERALTE!$AB$12),IF(RASANTE!F135&lt;=PERALTE!$Q$12,-2,IF(RASANTE!F135&lt;=PERALTE!$U$12,(10/(PERALTE!$U$12-PERALTE!$Q$12)*(RASANTE!F135-PERALTE!$Q$12)-2),IF(RASANTE!F135&lt;=PERALTE!$X$12,8,IF(RASANTE!F135&lt;=PERALTE!$AB$12,(10/(PERALTE!$X$12-PERALTE!$AB$12)*(RASANTE!F135-PERALTE!$AB$12)-2))))),IF(AND(AH!$H$16="Izquierda",RASANTE!F135&lt;=PERALTE!$AB$14),IF(RASANTE!F135&lt;=PERALTE!$S$14,-2,IF(RASANTE!F135&lt;=PERALTE!$U$14,(-6/(PERALTE!$U$14-PERALTE!$S$14)*(RASANTE!F135-PERALTE!$S$14)-2),IF(RASANTE!F135&lt;=PERALTE!$X$14,-8,IF(RASANTE!F135&lt;=PERALTE!$Z$14,(-6/(PERALTE!$X$14-PERALTE!$Z$14)*(RASANTE!F135-PERALTE!$Z$14)-2),IF(RASANTE!F135&lt;=PERALTE!$AB$14,-2))))),IF(AND(AH!$H$16="Derecha",RASANTE!F135&lt;=PERALTE!$AB$14),IF(RASANTE!F135&lt;=PERALTE!$Q$14,-2,IF(RASANTE!F135&lt;=PERALTE!$U$14,(10/(PERALTE!$U$14-PERALTE!$Q$14)*(RASANTE!F135-PERALTE!$Q$14)-2),IF(RASANTE!F135&lt;=PERALTE!$X$14,8,IF(RASANTE!F135&lt;=PERALTE!$AB$14,(10/(PERALTE!$X$14-PERALTE!$AB$14)*(RASANTE!F135-PERALTE!$AB$14)-2))))),IF(AND(AH!$H$18="Izquierda",RASANTE!F135&lt;=PERALTE!$AB$16),IF(RASANTE!F135&lt;=PERALTE!$S$16,-2,IF(RASANTE!F135&lt;=PERALTE!$U$16,(-6/(PERALTE!$U$16-PERALTE!$S$16)*(RASANTE!F135-PERALTE!$S$16)-2),IF(RASANTE!F135&lt;=PERALTE!$X$16,-8,IF(RASANTE!F135&lt;=PERALTE!$Z$16,(-6/(PERALTE!$X$16-PERALTE!$Z$16)*(RASANTE!F135-PERALTE!$Z$16)-2),IF(RASANTE!F135&lt;=PERALTE!$AB$16,-2))))),IF(AND(AH!$H$18="Derecha",RASANTE!F135&lt;=PERALTE!$AB$16),IF(RASANTE!F135&lt;=PERALTE!$Q$16,-2,IF(RASANTE!F135&lt;=PERALTE!$U$16,(10/(PERALTE!$U$16-PERALTE!$Q$16)*(RASANTE!F135-PERALTE!$Q$16)-2),IF(RASANTE!F135&lt;=PERALTE!$X$16,8,IF(RASANTE!F135&lt;=PERALTE!$AB$16,(10/(PERALTE!$X$16-PERALTE!$AB$16)*(RASANTE!F135-PERALTE!$AB$16)-2))))),IF(AND(AH!$H$20="Izquierda",RASANTE!F135&lt;=PERALTE!$AB$18),IF(RASANTE!F135&lt;=PERALTE!$S$18,-2,IF(RASANTE!F135&lt;=PERALTE!$U$18,(-6/(PERALTE!$U$18-PERALTE!$S$18)*(RASANTE!F135-PERALTE!$S$18)-2),IF(RASANTE!F135&lt;=PERALTE!$X$18,-8,IF(RASANTE!F135&lt;=PERALTE!$Z$18,(-6/(PERALTE!$X$18-PERALTE!$Z$18)*(RASANTE!F135-PERALTE!$Z$18)-2),IF(RASANTE!F135&lt;=PERALTE!$AB$18,-2))))),IF(AND(AH!$H$20="Derecha",RASANTE!F135&lt;=PERALTE!$AB$18),IF(RASANTE!F135&lt;=PERALTE!$Q$18,-2,IF(RASANTE!F135&lt;=PERALTE!$U$18,(10/(PERALTE!$U$18-PERALTE!$Q$18)*(RASANTE!F135-PERALTE!$Q$18)-2),IF(RASANTE!F135&lt;=PERALTE!$X$18,8,IF(RASANTE!F135&lt;=PERALTE!$AB$18,(10/(PERALTE!$X$18-PERALTE!$AB$18)*(RASANTE!F135-PERALTE!$AB$18)-2))))),IF(AND(AH!$H$24="Izquierda",RASANTE!F135&lt;=PERALTE!$AB$22),IF(RASANTE!F135&lt;=PERALTE!$S$22,-2,IF(RASANTE!F135&lt;=PERALTE!$U$22,(-6/(PERALTE!$U$22-PERALTE!$S$22)*(RASANTE!F135-PERALTE!$S$22)-2),IF(RASANTE!F135&lt;=PERALTE!$X$22,-8,IF(RASANTE!F135&lt;=PERALTE!$Z$22,(-6/(PERALTE!$X$22-PERALTE!$Z$22)*(RASANTE!F135-PERALTE!$Z$22)-2),IF(RASANTE!F135&lt;=PERALTE!$AB$22,-2))))),IF(AND(AH!$H$24="Derecha",RASANTE!F135&lt;=PERALTE!$AB$22),IF(RASANTE!F135&lt;=PERALTE!$Q$22,-2,IF(RASANTE!F135&lt;=PERALTE!$U$22,(10/(PERALTE!$U$22-PERALTE!$Q$22)*(RASANTE!F135-PERALTE!$Q$22)-2),IF(RASANTE!F135&lt;=PERALTE!$X$22,8,IF(RASANTE!F135&lt;=PERALTE!$AB$22,(10/(PERALTE!$X$22-PERALTE!$AB$22)*(RASANTE!F135-PERALTE!$AB$22)-2))))),IF(AND(AH!#REF!="Izquierda",RASANTE!F135&lt;=PERALTE!#REF!),IF(RASANTE!F135&lt;=PERALTE!#REF!,-2,IF(RASANTE!F135&lt;=PERALTE!#REF!,(-6/(PERALTE!#REF!-PERALTE!#REF!)*(RASANTE!F135-PERALTE!#REF!)-2),IF(RASANTE!F135&lt;=PERALTE!#REF!,-8,IF(RASANTE!F135&lt;=PERALTE!#REF!,(-6/(PERALTE!#REF!-PERALTE!#REF!)*(RASANTE!F135-PERALTE!#REF!)-2),IF(RASANTE!F135&lt;=PERALTE!#REF!,-2))))),IF(AND(AH!#REF!="Derecha",RASANTE!F135&lt;=PERALTE!#REF!),IF(RASANTE!F135&lt;=PERALTE!#REF!,-2,IF(RASANTE!F135&lt;=PERALTE!#REF!,(10/(PERALTE!#REF!-PERALTE!#REF!)*(RASANTE!F135-PERALTE!#REF!)-2),IF(RASANTE!F135&lt;=PERALTE!#REF!,8,IF(RASANTE!F135&lt;=PERALTE!#REF!,(10/(PERALTE!#REF!-PERALTE!#REF!)*(RASANTE!F135-PERALTE!#REF!)-2))))),IF(AND(AH!#REF!="Izquierda",RASANTE!F135&lt;=PERALTE!$AB$26),IF(RASANTE!F135&lt;=PERALTE!$S$26,-2,IF(RASANTE!F135&lt;=PERALTE!$U$26,(-6/(PERALTE!$U$26-PERALTE!$S$26)*(RASANTE!F135-PERALTE!$S$26)-2),IF(RASANTE!F135&lt;=PERALTE!$X$26,-8,IF(RASANTE!F135&lt;=PERALTE!$Z$26,(-6/(PERALTE!$X$26-PERALTE!$Z$26)*(RASANTE!F135-PERALTE!$Z$26)-2),IF(RASANTE!F135&lt;=PERALTE!$AB$26,-2))))),IF(AND(AH!#REF!="Derecha",RASANTE!F135&lt;=PERALTE!$AB$26),IF(RASANTE!F135&lt;=PERALTE!$Q$26,-2,IF(RASANTE!F135&lt;=PERALTE!$U$26,(10/(PERALTE!$U$26-PERALTE!$Q$26)*(RASANTE!F135-PERALTE!$Q$26)-2),IF(RASANTE!F135&lt;=PERALTE!$X$26,8,IF(RASANTE!F135&lt;=PERALTE!$AB$26,(10/(PERALTE!$X$26-PERALTE!$AB$26)*(RASANTE!F135-PERALTE!$AB$26)-2))))),IF(F135&lt;=PERALTE!#REF!,-2,"Abscisa fuera de la vía")))))))))))))))))))))</f>
        <v>-8</v>
      </c>
      <c r="I135" s="28">
        <f>+IF(AND(AH!$H$8="Derecha",RASANTE!F135&lt;=PERALTE!$AB$6),IF(RASANTE!F135&lt;=PERALTE!$S$6,-2,IF(RASANTE!F135&lt;=PERALTE!$U$6,(-6/(PERALTE!$U$6-PERALTE!$S$6)*(RASANTE!F135-PERALTE!$S$6)-2),IF(RASANTE!F135&lt;=PERALTE!$X$6,-8,IF(RASANTE!F135&lt;=PERALTE!$Z$6,(-6/(PERALTE!$X$6-PERALTE!$Z$6)*(RASANTE!F135-PERALTE!$Z$6)-2),IF(RASANTE!F135&lt;=PERALTE!$AB$6,-2))))),IF(AND(AH!$H$8="Izquierda",RASANTE!F135&lt;=PERALTE!$AB$6),IF(RASANTE!F135&lt;=PERALTE!$Q$6,-2,IF(RASANTE!F135&lt;=PERALTE!$U$6,(10/(PERALTE!$U$6-PERALTE!$Q$6)*(RASANTE!F135-PERALTE!$Q$6)-2),IF(RASANTE!F135&lt;=PERALTE!$X$6,8,IF(RASANTE!F135&lt;=PERALTE!$AB$6,(10/(PERALTE!$X$6-PERALTE!$AB$6)*(RASANTE!F135-PERALTE!$AB$6)-2))))),IF(AND(AH!$H$10="Derecha",RASANTE!F135&lt;=PERALTE!$AB$8),IF(RASANTE!F135&lt;=PERALTE!$S$8,-2,IF(RASANTE!F135&lt;=PERALTE!$U$8,(-6/(PERALTE!$U$8-PERALTE!$S$8)*(RASANTE!F135-PERALTE!$S$8)-2),IF(RASANTE!F135&lt;=PERALTE!$X$8,-8,IF(RASANTE!F135&lt;=PERALTE!$Z$8,(-6/(PERALTE!$X$8-PERALTE!$Z$8)*(RASANTE!F135-PERALTE!$Z$8)-2),IF(RASANTE!F135&lt;=PERALTE!$AB$8,-2))))),IF(AND(AH!$H$10="Izquierda",RASANTE!F135&lt;=PERALTE!$AB$8),IF(RASANTE!F135&lt;=PERALTE!$Q$8,-2,IF(RASANTE!F135&lt;=PERALTE!$U$8,(10/(PERALTE!$U$8-PERALTE!$Q$8)*(RASANTE!F135-PERALTE!$Q$8)-2),IF(RASANTE!F135&lt;=PERALTE!$X$8,8,IF(RASANTE!F135&lt;=PERALTE!$AB$8,(10/(PERALTE!$X$8-PERALTE!$AB$8)*(RASANTE!F135-PERALTE!$AB$8)-2))))),IF(AND(AH!$H$12="Derecha",RASANTE!F135&lt;=PERALTE!$AB$10),IF(RASANTE!F135&lt;=PERALTE!$S$10,-2,IF(RASANTE!F135&lt;=PERALTE!$U$10,(-6/(PERALTE!$U$10-PERALTE!$S$10)*(RASANTE!F135-PERALTE!$S$10)-2),IF(RASANTE!F135&lt;=PERALTE!$X$10,-8,IF(RASANTE!F135&lt;=PERALTE!$Z$10,(-6/(PERALTE!$X$10-PERALTE!$Z$10)*(RASANTE!F135-PERALTE!$Z$10)-2),IF(RASANTE!F135&lt;=PERALTE!$AB$10,-2))))),IF(AND(AH!$H$12="Izquierda",RASANTE!F135&lt;=PERALTE!$AB$10),IF(RASANTE!F135&lt;=PERALTE!$Q$10,-2,IF(RASANTE!F135&lt;=PERALTE!$U$10,(10/(PERALTE!$U$10-PERALTE!$Q$10)*(RASANTE!F135-PERALTE!$Q$10)-2),IF(RASANTE!F135&lt;=PERALTE!$X$10,8,IF(RASANTE!F135&lt;=PERALTE!$AB$10,(10/(PERALTE!$X$10-PERALTE!$AB$10)*(RASANTE!F135-PERALTE!$AB$10)-2))))),IF(AND(AH!$H$14="Derecha",RASANTE!F135&lt;=PERALTE!$AB$12),IF(RASANTE!F135&lt;=PERALTE!$S$12,-2,IF(RASANTE!F135&lt;=PERALTE!$U$12,(-6/(PERALTE!$U$12-PERALTE!$S$12)*(RASANTE!F135-PERALTE!$S$12)-2),IF(RASANTE!F135&lt;=PERALTE!$X$12,-8,IF(RASANTE!F135&lt;=PERALTE!$Z$12,(-6/(PERALTE!$X$12-PERALTE!$Z$12)*(RASANTE!F135-PERALTE!$Z$12)-2),IF(RASANTE!F135&lt;=PERALTE!$AB$12,-2))))),IF(AND(AH!$H$14="Izquierda",RASANTE!F135&lt;=PERALTE!$AB$12),IF(RASANTE!F135&lt;=PERALTE!$Q$12,-2,IF(RASANTE!F135&lt;=PERALTE!$U$12,(10/(PERALTE!$U$12-PERALTE!$Q$12)*(RASANTE!F135-PERALTE!$Q$12)-2),IF(RASANTE!F135&lt;=PERALTE!$X$12,8,IF(RASANTE!F135&lt;=PERALTE!$AB$12,(10/(PERALTE!$X$12-PERALTE!$AB$12)*(RASANTE!F135-PERALTE!$AB$12)-2))))),IF(AND(AH!$H$16="Derecha",RASANTE!F135&lt;=PERALTE!$AB$14),IF(RASANTE!F135&lt;=PERALTE!$S$14,-2,IF(RASANTE!F135&lt;=PERALTE!$U$14,(-6/(PERALTE!$U$14-PERALTE!$S$14)*(RASANTE!F135-PERALTE!$S$14)-2),IF(RASANTE!F135&lt;=PERALTE!$X$14,-8,IF(RASANTE!F135&lt;=PERALTE!$Z$14,(-6/(PERALTE!$X$14-PERALTE!$Z$14)*(RASANTE!F135-PERALTE!$Z$14)-2),IF(RASANTE!F135&lt;=PERALTE!$AB$14,-2))))),IF(AND(AH!$H$16="Izquierda",RASANTE!F135&lt;=PERALTE!$AB$14),IF(RASANTE!F135&lt;=PERALTE!$Q$14,-2,IF(RASANTE!F135&lt;=PERALTE!$U$14,(10/(PERALTE!$U$14-PERALTE!$Q$14)*(RASANTE!F135-PERALTE!$Q$14)-2),IF(RASANTE!F135&lt;=PERALTE!$X$14,8,IF(RASANTE!F135&lt;=PERALTE!$AB$14,(10/(PERALTE!$X$14-PERALTE!$AB$14)*(RASANTE!F135-PERALTE!$AB$14)-2))))),IF(AND(AH!$H$18="Derecha",RASANTE!F135&lt;=PERALTE!$AB$16),IF(RASANTE!F135&lt;=PERALTE!$S$16,-2,IF(RASANTE!F135&lt;=PERALTE!$U$16,(-6/(PERALTE!$U$16-PERALTE!$S$16)*(RASANTE!F135-PERALTE!$S$16)-2),IF(RASANTE!F135&lt;=PERALTE!$X$16,-8,IF(RASANTE!F135&lt;=PERALTE!$Z$16,(-6/(PERALTE!$X$16-PERALTE!$Z$16)*(RASANTE!F135-PERALTE!$Z$16)-2),IF(RASANTE!F135&lt;=PERALTE!$AB$16,-2))))),IF(AND(AH!$H$18="Izquierda",RASANTE!F135&lt;=PERALTE!$AB$16),IF(RASANTE!F135&lt;=PERALTE!$Q$16,-2,IF(RASANTE!F135&lt;=PERALTE!$U$16,(10/(PERALTE!$U$16-PERALTE!$Q$16)*(RASANTE!F135-PERALTE!$Q$16)-2),IF(RASANTE!F135&lt;=PERALTE!$X$16,8,IF(RASANTE!F135&lt;=PERALTE!$AB$16,(10/(PERALTE!$X$16-PERALTE!$AB$16)*(RASANTE!F135-PERALTE!$AB$16)-2))))),IF(AND(AH!$H$20="Derecha",RASANTE!F135&lt;=PERALTE!$AB$18),IF(RASANTE!F135&lt;=PERALTE!$S$18,-2,IF(RASANTE!F135&lt;=PERALTE!$U$18,(-6/(PERALTE!$U$18-PERALTE!$S$18)*(RASANTE!F135-PERALTE!$S$18)-2),IF(RASANTE!F135&lt;=PERALTE!$X$18,-8,IF(RASANTE!F135&lt;=PERALTE!$Z$18,(-6/(PERALTE!$X$18-PERALTE!$Z$18)*(RASANTE!F135-PERALTE!$Z$18)-2),IF(RASANTE!F135&lt;=PERALTE!$AB$18,-2))))),IF(AND(AH!$H$20="Izquierda",RASANTE!F135&lt;=PERALTE!$AB$18),IF(RASANTE!F135&lt;=PERALTE!$Q$18,-2,IF(RASANTE!F135&lt;=PERALTE!$U$18,(10/(PERALTE!$U$18-PERALTE!$Q$18)*(RASANTE!F135-PERALTE!$Q$18)-2),IF(RASANTE!F135&lt;=PERALTE!$X$18,8,IF(RASANTE!F135&lt;=PERALTE!$AB$18,(10/(PERALTE!$X$18-PERALTE!$AB$18)*(RASANTE!F135-PERALTE!$AB$18)-2))))),IF(AND(AH!$H$24="Derecha",RASANTE!F135&lt;=PERALTE!$AB$22),IF(RASANTE!F135&lt;=PERALTE!$S$22,-2,IF(RASANTE!F135&lt;=PERALTE!$U$22,(-6/(PERALTE!$U$22-PERALTE!$S$22)*(RASANTE!F135-PERALTE!$S$22)-2),IF(RASANTE!F135&lt;=PERALTE!$X$22,-8,IF(RASANTE!F135&lt;=PERALTE!$Z$22,(-6/(PERALTE!$X$22-PERALTE!$Z$22)*(RASANTE!F135-PERALTE!$Z$22)-2),IF(RASANTE!F135&lt;=PERALTE!$AB$22,-2))))),IF(AND(AH!$H$24="Izquierda",RASANTE!F135&lt;=PERALTE!$AB$22),IF(RASANTE!F135&lt;=PERALTE!$Q$22,-2,IF(RASANTE!F135&lt;=PERALTE!$U$22,(10/(PERALTE!$U$22-PERALTE!$Q$22)*(RASANTE!F135-PERALTE!$Q$22)-2),IF(RASANTE!F135&lt;=PERALTE!$X$22,8,IF(RASANTE!F135&lt;=PERALTE!$AB$22,(10/(PERALTE!$X$22-PERALTE!$AB$22)*(RASANTE!F135-PERALTE!$AB$22)-2))))),IF(AND(AH!#REF!="Derecha",RASANTE!F135&lt;=PERALTE!#REF!),IF(RASANTE!F135&lt;=PERALTE!#REF!,-2,IF(RASANTE!F135&lt;=PERALTE!#REF!,(-6/(PERALTE!#REF!-PERALTE!#REF!)*(RASANTE!F135-PERALTE!#REF!)-2),IF(RASANTE!F135&lt;=PERALTE!#REF!,-8,IF(RASANTE!F135&lt;=PERALTE!#REF!,(-6/(PERALTE!#REF!-PERALTE!#REF!)*(RASANTE!F135-PERALTE!#REF!)-2),IF(RASANTE!F135&lt;=PERALTE!#REF!,-2))))),IF(AND(AH!#REF!="Izquierda",RASANTE!F135&lt;=PERALTE!#REF!),IF(RASANTE!F135&lt;=PERALTE!#REF!,-2,IF(RASANTE!F135&lt;=PERALTE!#REF!,(10/(PERALTE!#REF!-PERALTE!#REF!)*(RASANTE!F135-PERALTE!#REF!)-2),IF(RASANTE!F135&lt;=PERALTE!#REF!,8,IF(RASANTE!F135&lt;=PERALTE!#REF!,(10/(PERALTE!#REF!-PERALTE!#REF!)*(RASANTE!F135-PERALTE!#REF!)-2))))),IF(AND(AH!#REF!="Derecha",RASANTE!F135&lt;=PERALTE!$AB$26),IF(RASANTE!F135&lt;=PERALTE!$S$26,-2,IF(RASANTE!F135&lt;=PERALTE!$U$26,(-6/(PERALTE!$U$26-PERALTE!$S$26)*(RASANTE!F135-PERALTE!$S$26)-2),IF(RASANTE!F135&lt;=PERALTE!$X$26,-8,IF(RASANTE!F135&lt;=PERALTE!$Z$26,(-6/(PERALTE!$X$26-PERALTE!$Z$26)*(RASANTE!F135-PERALTE!$Z$26)-2),IF(RASANTE!F135&lt;=PERALTE!$AB$26,-2))))),IF(AND(AH!#REF!="Izquierda",RASANTE!F135&lt;=PERALTE!$AB$26),IF(RASANTE!F135&lt;=PERALTE!$Q$26,-2,IF(RASANTE!F135&lt;=PERALTE!$U$26,(10/(PERALTE!$U$26-PERALTE!$Q$26)*(RASANTE!F135-PERALTE!$Q$26)-2),IF(RASANTE!F135&lt;=PERALTE!$X$26,8,IF(RASANTE!F135&lt;=PERALTE!$AB$26,(10/(PERALTE!$X$26-PERALTE!$AB$26)*(RASANTE!F135-PERALTE!$AB$26)-2))))),IF(F135&lt;=PERALTE!#REF!,-2,"Abscisa fuera de la vía")))))))))))))))))))))</f>
        <v>8</v>
      </c>
      <c r="J135" s="28">
        <f t="shared" si="4"/>
        <v>1626.2096685635797</v>
      </c>
      <c r="K135" s="28">
        <f>+IF(AND(AV!$S$6&lt;F183,F183&lt;=AV!$T$6),AV!$P$6*((AV!$S$6-RASANTE!F183)/(AV!$N$6))^2,IF(AND(AV!$T$6&lt;RASANTE!F183,F183&lt;AV!$U$6),AV!$P$6*((AV!$U$6-RASANTE!F183)/(AV!$O$6))^2,IF(AND(AV!$S$8&lt;F183,F183&lt;=AV!$T$8),AV!$P$8*((AV!$S$8-RASANTE!F183)/(AV!$N$8))^2,IF(AND(AV!$T$8&lt;RASANTE!F183,F183&lt;AV!$U$8),AV!$P$8*((AV!$U$8-RASANTE!F183)/(AV!$O$8))^2,IF(AND(AV!$S$10&lt;F183,F183&lt;=AV!$T$10),AV!$P$10*((AV!$S$10-RASANTE!F183)/(AV!$N$10))^2,IF(AND(AV!$T$10&lt;RASANTE!F183,F183&lt;AV!$U$10),AV!$P$10*((AV!$U$10-RASANTE!F183)/(AV!$O$10))^2,IF(AND(AV!$S$12&lt;F183,F183&lt;=AV!$T$12),AV!$P$12*((AV!$S$12-RASANTE!F183)/(AV!$N$12))^2,IF(AND(AV!$T$12&lt;RASANTE!F183,F183&lt;AV!$U$12),AV!$P$12*((AV!$U$12-RASANTE!F183)/(AV!$O$12))^2,IF(AND(AV!$S$14&lt;F183,F183&lt;=AV!$T$14),AV!$P$14*((AV!$S$14-RASANTE!F183)/(AV!$N$14))^2,IF(AND(AV!$T$14&lt;RASANTE!F183,F183&lt;AV!$U$14),AV!$P$14*((AV!$U$14-RASANTE!F183)/(AV!$O$14))^2,IF(AND(AV!$S$16&lt;F183,F183&lt;=AV!$T$16),AV!$P$16*((AV!$S$16-RASANTE!F183)/(AV!$N$16))^2,IF(AND(AV!$T$16&lt;RASANTE!F183,F183&lt;AV!$U$16),AV!$P$16*((AV!$U$16-RASANTE!F183)/(AV!$O$16))^2,IF(AND(AV!$S$18&lt;F183,F183&lt;=AV!$T$18),AV!$P$18*((AV!$S$18-RASANTE!F183)/(AV!$N$18))^2,IF(AND(AV!$T$18&lt;RASANTE!F183,F183&lt;AV!$U$18),AV!$P$18*((AV!$U$18-RASANTE!F183)/(AV!$O$18))^2,IF(AND(AV!$S$20&lt;F183,F183&lt;=AV!$T$20),AV!$P$20*((AV!$S$20-RASANTE!F183)/(AV!$N$20))^2,IF(AND(AV!$T$20&lt;RASANTE!F183,F183&lt;AV!$U$20),AV!$P$20*((AV!$U$20-RASANTE!F183)/(AV!$O$20))^2,IF(AND(AV!$S$22&lt;F183,F183&lt;=AV!$T$22),AV!$P$22*((AV!$S$22-RASANTE!F183)/(AV!$N$22))^2,IF(AND(AV!$T$22&lt;RASANTE!F183,F183&lt;AV!$U$22),AV!$P$22*((AV!$U$22-RASANTE!F183)/(AV!$O$22))^2,IF(AND(AV!$S$24&lt;F183,F183&lt;=AV!$T$24),AV!$P$24*((AV!$S$24-RASANTE!F183)/(AV!$N$24))^2,IF(AND(AV!$T$24&lt;RASANTE!F183,F183&lt;AV!$U$24),AV!$P$24*((AV!$U$24-RASANTE!F183)/(AV!$O$24))^2,0))))))))))))))))))))</f>
        <v>0</v>
      </c>
      <c r="L135" s="28">
        <f>+M135+H135%*PERALTE!$C$32</f>
        <v>1625.9296685635798</v>
      </c>
      <c r="M135" s="28">
        <f t="shared" si="5"/>
        <v>1626.2096685635797</v>
      </c>
      <c r="N135" s="28">
        <f>+M135+I135%*PERALTE!$C$32</f>
        <v>1626.4896685635797</v>
      </c>
      <c r="O135" s="92"/>
      <c r="P135" s="84"/>
      <c r="Q135" s="84"/>
      <c r="R135" s="84"/>
      <c r="S135" s="84"/>
      <c r="T135" s="84"/>
      <c r="U135" s="84"/>
      <c r="V135" s="84"/>
      <c r="W135" s="84"/>
      <c r="X135" s="84"/>
      <c r="Y135" s="84"/>
    </row>
    <row r="136" spans="1:25" ht="15.75" customHeight="1" x14ac:dyDescent="0.2">
      <c r="A136" s="139" t="s">
        <v>209</v>
      </c>
      <c r="B136" s="372" t="s">
        <v>210</v>
      </c>
      <c r="C136" s="373"/>
      <c r="D136" s="374"/>
      <c r="E136" s="91"/>
      <c r="F136" s="34">
        <f>PERALTE!V12</f>
        <v>814.00316909283515</v>
      </c>
      <c r="G136" s="88">
        <f>IF(F136&lt;=AV!$T$6,AV!$C$5,IF(RASANTE!F136&lt;=AV!$T$8,AV!$C$7,IF(RASANTE!F136&lt;=AV!$T$10,AV!$C$9,IF(RASANTE!F136&lt;=AV!$T$12,AV!$C$11,IF(RASANTE!F136&lt;=AV!$T$14,AV!$C$13,IF(RASANTE!F136&lt;=AV!$T$16,AV!$C$15, IF(RASANTE!F136&lt;=AV!$T$18,AV!$C$17,IF(RASANTE!F136&lt;=AV!$T$20,AV!$C$19,IF(RASANTE!F136&lt;=AV!$T$22,AV!$C$21,IF(RASANTE!F136&lt;=AV!$T$24,AV!$C$23,AV!$C$25))))))))))</f>
        <v>-7.2409999999999997</v>
      </c>
      <c r="H136" s="28">
        <f>+IF(AND(AH!$H$8="Izquierda",RASANTE!F136&lt;=PERALTE!$AB$6),IF(RASANTE!F136&lt;=PERALTE!$S$6,-2,IF(RASANTE!F136&lt;=PERALTE!$U$6,(-6/(PERALTE!$U$6-PERALTE!$S$6)*(RASANTE!F136-PERALTE!$S$6)-2),IF(RASANTE!F136&lt;=PERALTE!$X$6,-8,IF(RASANTE!F136&lt;=PERALTE!$Z$6,(-6/(PERALTE!$X$6-PERALTE!$Z$6)*(RASANTE!F136-PERALTE!$Z$6)-2),IF(RASANTE!F136&lt;=PERALTE!$AB$6,-2))))),IF(AND(AH!$H$8="Derecha",RASANTE!F136&lt;=PERALTE!$AB$6),IF(RASANTE!F136&lt;=PERALTE!$Q$6,-2,IF(RASANTE!F136&lt;=PERALTE!$U$6,(10/(PERALTE!$U$6-PERALTE!$Q$6)*(RASANTE!F136-PERALTE!$Q$6)-2),IF(RASANTE!F136&lt;=PERALTE!$X$6,8,IF(RASANTE!F136&lt;=PERALTE!$AB$6,(10/(PERALTE!$X$6-PERALTE!$AB$6)*(RASANTE!F136-PERALTE!$AB$6)-2))))),IF(AND(AH!$H$10="Izquierda",RASANTE!F136&lt;=PERALTE!$AB$8),IF(RASANTE!F136&lt;=PERALTE!$S$8,-2,IF(RASANTE!F136&lt;=PERALTE!$U$8,(-6/(PERALTE!$U$8-PERALTE!$S$8)*(RASANTE!F136-PERALTE!$S$8)-2),IF(RASANTE!F136&lt;=PERALTE!$X$8,-8,IF(RASANTE!F136&lt;=PERALTE!$Z$8,(-6/(PERALTE!$X$8-PERALTE!$Z$8)*(RASANTE!F136-PERALTE!$Z$8)-2),IF(RASANTE!F136&lt;=PERALTE!$AB$8,-2))))),IF(AND(AH!$H$10="Derecha",RASANTE!F136&lt;=PERALTE!$AB$8),IF(RASANTE!F136&lt;=PERALTE!$Q$8,-2,IF(RASANTE!F136&lt;=PERALTE!$U$8,(10/(PERALTE!$U$8-PERALTE!$Q$8)*(RASANTE!F136-PERALTE!$Q$8)-2),IF(RASANTE!F136&lt;=PERALTE!$X$8,8,IF(RASANTE!F136&lt;=PERALTE!$AB$8,(10/(PERALTE!$X$8-PERALTE!$AB$8)*(RASANTE!F136-PERALTE!$AB$8)-2))))),IF(AND(AH!$H$12="Izquierda",RASANTE!F136&lt;=PERALTE!$AB$10),IF(RASANTE!F136&lt;=PERALTE!$S$10,-2,IF(RASANTE!F136&lt;=PERALTE!$U$10,(-6/(PERALTE!$U$10-PERALTE!$S$10)*(RASANTE!F136-PERALTE!$S$10)-2),IF(RASANTE!F136&lt;=PERALTE!$X$10,-8,IF(RASANTE!F136&lt;=PERALTE!$Z$10,(-6/(PERALTE!$X$10-PERALTE!$Z$10)*(RASANTE!F136-PERALTE!$Z$10)-2),IF(RASANTE!F136&lt;=PERALTE!$AB$10,-2))))),IF(AND(AH!$H$12="Derecha",RASANTE!F136&lt;=PERALTE!$AB$10),IF(RASANTE!F136&lt;=PERALTE!$Q$10,-2,IF(RASANTE!F136&lt;=PERALTE!$U$10,(10/(PERALTE!$U$10-PERALTE!$Q$10)*(RASANTE!F136-PERALTE!$Q$10)-2),IF(RASANTE!F136&lt;=PERALTE!$X$10,8,IF(RASANTE!F136&lt;=PERALTE!$AB$10,(10/(PERALTE!$X$10-PERALTE!$AB$10)*(RASANTE!F136-PERALTE!$AB$10)-2))))),IF(AND(AH!$H$14="Izquierda",RASANTE!F136&lt;=PERALTE!$AB$12),IF(RASANTE!F136&lt;=PERALTE!$S$12,-2,IF(RASANTE!F136&lt;=PERALTE!$U$12,(-6/(PERALTE!$U$12-PERALTE!$S$12)*(RASANTE!F136-PERALTE!$S$12)-2),IF(RASANTE!F136&lt;=PERALTE!$X$12,-8,IF(RASANTE!F136&lt;=PERALTE!$Z$12,(-6/(PERALTE!$X$12-PERALTE!$Z$12)*(RASANTE!F136-PERALTE!$Z$12)-2),IF(RASANTE!F136&lt;=PERALTE!$AB$12,-2))))),IF(AND(AH!$H$14="Derecha",RASANTE!F136&lt;=PERALTE!$AB$12),IF(RASANTE!F136&lt;=PERALTE!$Q$12,-2,IF(RASANTE!F136&lt;=PERALTE!$U$12,(10/(PERALTE!$U$12-PERALTE!$Q$12)*(RASANTE!F136-PERALTE!$Q$12)-2),IF(RASANTE!F136&lt;=PERALTE!$X$12,8,IF(RASANTE!F136&lt;=PERALTE!$AB$12,(10/(PERALTE!$X$12-PERALTE!$AB$12)*(RASANTE!F136-PERALTE!$AB$12)-2))))),IF(AND(AH!$H$16="Izquierda",RASANTE!F136&lt;=PERALTE!$AB$14),IF(RASANTE!F136&lt;=PERALTE!$S$14,-2,IF(RASANTE!F136&lt;=PERALTE!$U$14,(-6/(PERALTE!$U$14-PERALTE!$S$14)*(RASANTE!F136-PERALTE!$S$14)-2),IF(RASANTE!F136&lt;=PERALTE!$X$14,-8,IF(RASANTE!F136&lt;=PERALTE!$Z$14,(-6/(PERALTE!$X$14-PERALTE!$Z$14)*(RASANTE!F136-PERALTE!$Z$14)-2),IF(RASANTE!F136&lt;=PERALTE!$AB$14,-2))))),IF(AND(AH!$H$16="Derecha",RASANTE!F136&lt;=PERALTE!$AB$14),IF(RASANTE!F136&lt;=PERALTE!$Q$14,-2,IF(RASANTE!F136&lt;=PERALTE!$U$14,(10/(PERALTE!$U$14-PERALTE!$Q$14)*(RASANTE!F136-PERALTE!$Q$14)-2),IF(RASANTE!F136&lt;=PERALTE!$X$14,8,IF(RASANTE!F136&lt;=PERALTE!$AB$14,(10/(PERALTE!$X$14-PERALTE!$AB$14)*(RASANTE!F136-PERALTE!$AB$14)-2))))),IF(AND(AH!$H$18="Izquierda",RASANTE!F136&lt;=PERALTE!$AB$16),IF(RASANTE!F136&lt;=PERALTE!$S$16,-2,IF(RASANTE!F136&lt;=PERALTE!$U$16,(-6/(PERALTE!$U$16-PERALTE!$S$16)*(RASANTE!F136-PERALTE!$S$16)-2),IF(RASANTE!F136&lt;=PERALTE!$X$16,-8,IF(RASANTE!F136&lt;=PERALTE!$Z$16,(-6/(PERALTE!$X$16-PERALTE!$Z$16)*(RASANTE!F136-PERALTE!$Z$16)-2),IF(RASANTE!F136&lt;=PERALTE!$AB$16,-2))))),IF(AND(AH!$H$18="Derecha",RASANTE!F136&lt;=PERALTE!$AB$16),IF(RASANTE!F136&lt;=PERALTE!$Q$16,-2,IF(RASANTE!F136&lt;=PERALTE!$U$16,(10/(PERALTE!$U$16-PERALTE!$Q$16)*(RASANTE!F136-PERALTE!$Q$16)-2),IF(RASANTE!F136&lt;=PERALTE!$X$16,8,IF(RASANTE!F136&lt;=PERALTE!$AB$16,(10/(PERALTE!$X$16-PERALTE!$AB$16)*(RASANTE!F136-PERALTE!$AB$16)-2))))),IF(AND(AH!$H$20="Izquierda",RASANTE!F136&lt;=PERALTE!$AB$18),IF(RASANTE!F136&lt;=PERALTE!$S$18,-2,IF(RASANTE!F136&lt;=PERALTE!$U$18,(-6/(PERALTE!$U$18-PERALTE!$S$18)*(RASANTE!F136-PERALTE!$S$18)-2),IF(RASANTE!F136&lt;=PERALTE!$X$18,-8,IF(RASANTE!F136&lt;=PERALTE!$Z$18,(-6/(PERALTE!$X$18-PERALTE!$Z$18)*(RASANTE!F136-PERALTE!$Z$18)-2),IF(RASANTE!F136&lt;=PERALTE!$AB$18,-2))))),IF(AND(AH!$H$20="Derecha",RASANTE!F136&lt;=PERALTE!$AB$18),IF(RASANTE!F136&lt;=PERALTE!$Q$18,-2,IF(RASANTE!F136&lt;=PERALTE!$U$18,(10/(PERALTE!$U$18-PERALTE!$Q$18)*(RASANTE!F136-PERALTE!$Q$18)-2),IF(RASANTE!F136&lt;=PERALTE!$X$18,8,IF(RASANTE!F136&lt;=PERALTE!$AB$18,(10/(PERALTE!$X$18-PERALTE!$AB$18)*(RASANTE!F136-PERALTE!$AB$18)-2))))),IF(AND(AH!$H$24="Izquierda",RASANTE!F136&lt;=PERALTE!$AB$22),IF(RASANTE!F136&lt;=PERALTE!$S$22,-2,IF(RASANTE!F136&lt;=PERALTE!$U$22,(-6/(PERALTE!$U$22-PERALTE!$S$22)*(RASANTE!F136-PERALTE!$S$22)-2),IF(RASANTE!F136&lt;=PERALTE!$X$22,-8,IF(RASANTE!F136&lt;=PERALTE!$Z$22,(-6/(PERALTE!$X$22-PERALTE!$Z$22)*(RASANTE!F136-PERALTE!$Z$22)-2),IF(RASANTE!F136&lt;=PERALTE!$AB$22,-2))))),IF(AND(AH!$H$24="Derecha",RASANTE!F136&lt;=PERALTE!$AB$22),IF(RASANTE!F136&lt;=PERALTE!$Q$22,-2,IF(RASANTE!F136&lt;=PERALTE!$U$22,(10/(PERALTE!$U$22-PERALTE!$Q$22)*(RASANTE!F136-PERALTE!$Q$22)-2),IF(RASANTE!F136&lt;=PERALTE!$X$22,8,IF(RASANTE!F136&lt;=PERALTE!$AB$22,(10/(PERALTE!$X$22-PERALTE!$AB$22)*(RASANTE!F136-PERALTE!$AB$22)-2))))),IF(AND(AH!#REF!="Izquierda",RASANTE!F136&lt;=PERALTE!#REF!),IF(RASANTE!F136&lt;=PERALTE!#REF!,-2,IF(RASANTE!F136&lt;=PERALTE!#REF!,(-6/(PERALTE!#REF!-PERALTE!#REF!)*(RASANTE!F136-PERALTE!#REF!)-2),IF(RASANTE!F136&lt;=PERALTE!#REF!,-8,IF(RASANTE!F136&lt;=PERALTE!#REF!,(-6/(PERALTE!#REF!-PERALTE!#REF!)*(RASANTE!F136-PERALTE!#REF!)-2),IF(RASANTE!F136&lt;=PERALTE!#REF!,-2))))),IF(AND(AH!#REF!="Derecha",RASANTE!F136&lt;=PERALTE!#REF!),IF(RASANTE!F136&lt;=PERALTE!#REF!,-2,IF(RASANTE!F136&lt;=PERALTE!#REF!,(10/(PERALTE!#REF!-PERALTE!#REF!)*(RASANTE!F136-PERALTE!#REF!)-2),IF(RASANTE!F136&lt;=PERALTE!#REF!,8,IF(RASANTE!F136&lt;=PERALTE!#REF!,(10/(PERALTE!#REF!-PERALTE!#REF!)*(RASANTE!F136-PERALTE!#REF!)-2))))),IF(AND(AH!#REF!="Izquierda",RASANTE!F136&lt;=PERALTE!$AB$26),IF(RASANTE!F136&lt;=PERALTE!$S$26,-2,IF(RASANTE!F136&lt;=PERALTE!$U$26,(-6/(PERALTE!$U$26-PERALTE!$S$26)*(RASANTE!F136-PERALTE!$S$26)-2),IF(RASANTE!F136&lt;=PERALTE!$X$26,-8,IF(RASANTE!F136&lt;=PERALTE!$Z$26,(-6/(PERALTE!$X$26-PERALTE!$Z$26)*(RASANTE!F136-PERALTE!$Z$26)-2),IF(RASANTE!F136&lt;=PERALTE!$AB$26,-2))))),IF(AND(AH!#REF!="Derecha",RASANTE!F136&lt;=PERALTE!$AB$26),IF(RASANTE!F136&lt;=PERALTE!$Q$26,-2,IF(RASANTE!F136&lt;=PERALTE!$U$26,(10/(PERALTE!$U$26-PERALTE!$Q$26)*(RASANTE!F136-PERALTE!$Q$26)-2),IF(RASANTE!F136&lt;=PERALTE!$X$26,8,IF(RASANTE!F136&lt;=PERALTE!$AB$26,(10/(PERALTE!$X$26-PERALTE!$AB$26)*(RASANTE!F136-PERALTE!$AB$26)-2))))),IF(F136&lt;=PERALTE!#REF!,-2,"Abscisa fuera de la vía")))))))))))))))))))))</f>
        <v>-8</v>
      </c>
      <c r="I136" s="28">
        <f>+IF(AND(AH!$H$8="Derecha",RASANTE!F136&lt;=PERALTE!$AB$6),IF(RASANTE!F136&lt;=PERALTE!$S$6,-2,IF(RASANTE!F136&lt;=PERALTE!$U$6,(-6/(PERALTE!$U$6-PERALTE!$S$6)*(RASANTE!F136-PERALTE!$S$6)-2),IF(RASANTE!F136&lt;=PERALTE!$X$6,-8,IF(RASANTE!F136&lt;=PERALTE!$Z$6,(-6/(PERALTE!$X$6-PERALTE!$Z$6)*(RASANTE!F136-PERALTE!$Z$6)-2),IF(RASANTE!F136&lt;=PERALTE!$AB$6,-2))))),IF(AND(AH!$H$8="Izquierda",RASANTE!F136&lt;=PERALTE!$AB$6),IF(RASANTE!F136&lt;=PERALTE!$Q$6,-2,IF(RASANTE!F136&lt;=PERALTE!$U$6,(10/(PERALTE!$U$6-PERALTE!$Q$6)*(RASANTE!F136-PERALTE!$Q$6)-2),IF(RASANTE!F136&lt;=PERALTE!$X$6,8,IF(RASANTE!F136&lt;=PERALTE!$AB$6,(10/(PERALTE!$X$6-PERALTE!$AB$6)*(RASANTE!F136-PERALTE!$AB$6)-2))))),IF(AND(AH!$H$10="Derecha",RASANTE!F136&lt;=PERALTE!$AB$8),IF(RASANTE!F136&lt;=PERALTE!$S$8,-2,IF(RASANTE!F136&lt;=PERALTE!$U$8,(-6/(PERALTE!$U$8-PERALTE!$S$8)*(RASANTE!F136-PERALTE!$S$8)-2),IF(RASANTE!F136&lt;=PERALTE!$X$8,-8,IF(RASANTE!F136&lt;=PERALTE!$Z$8,(-6/(PERALTE!$X$8-PERALTE!$Z$8)*(RASANTE!F136-PERALTE!$Z$8)-2),IF(RASANTE!F136&lt;=PERALTE!$AB$8,-2))))),IF(AND(AH!$H$10="Izquierda",RASANTE!F136&lt;=PERALTE!$AB$8),IF(RASANTE!F136&lt;=PERALTE!$Q$8,-2,IF(RASANTE!F136&lt;=PERALTE!$U$8,(10/(PERALTE!$U$8-PERALTE!$Q$8)*(RASANTE!F136-PERALTE!$Q$8)-2),IF(RASANTE!F136&lt;=PERALTE!$X$8,8,IF(RASANTE!F136&lt;=PERALTE!$AB$8,(10/(PERALTE!$X$8-PERALTE!$AB$8)*(RASANTE!F136-PERALTE!$AB$8)-2))))),IF(AND(AH!$H$12="Derecha",RASANTE!F136&lt;=PERALTE!$AB$10),IF(RASANTE!F136&lt;=PERALTE!$S$10,-2,IF(RASANTE!F136&lt;=PERALTE!$U$10,(-6/(PERALTE!$U$10-PERALTE!$S$10)*(RASANTE!F136-PERALTE!$S$10)-2),IF(RASANTE!F136&lt;=PERALTE!$X$10,-8,IF(RASANTE!F136&lt;=PERALTE!$Z$10,(-6/(PERALTE!$X$10-PERALTE!$Z$10)*(RASANTE!F136-PERALTE!$Z$10)-2),IF(RASANTE!F136&lt;=PERALTE!$AB$10,-2))))),IF(AND(AH!$H$12="Izquierda",RASANTE!F136&lt;=PERALTE!$AB$10),IF(RASANTE!F136&lt;=PERALTE!$Q$10,-2,IF(RASANTE!F136&lt;=PERALTE!$U$10,(10/(PERALTE!$U$10-PERALTE!$Q$10)*(RASANTE!F136-PERALTE!$Q$10)-2),IF(RASANTE!F136&lt;=PERALTE!$X$10,8,IF(RASANTE!F136&lt;=PERALTE!$AB$10,(10/(PERALTE!$X$10-PERALTE!$AB$10)*(RASANTE!F136-PERALTE!$AB$10)-2))))),IF(AND(AH!$H$14="Derecha",RASANTE!F136&lt;=PERALTE!$AB$12),IF(RASANTE!F136&lt;=PERALTE!$S$12,-2,IF(RASANTE!F136&lt;=PERALTE!$U$12,(-6/(PERALTE!$U$12-PERALTE!$S$12)*(RASANTE!F136-PERALTE!$S$12)-2),IF(RASANTE!F136&lt;=PERALTE!$X$12,-8,IF(RASANTE!F136&lt;=PERALTE!$Z$12,(-6/(PERALTE!$X$12-PERALTE!$Z$12)*(RASANTE!F136-PERALTE!$Z$12)-2),IF(RASANTE!F136&lt;=PERALTE!$AB$12,-2))))),IF(AND(AH!$H$14="Izquierda",RASANTE!F136&lt;=PERALTE!$AB$12),IF(RASANTE!F136&lt;=PERALTE!$Q$12,-2,IF(RASANTE!F136&lt;=PERALTE!$U$12,(10/(PERALTE!$U$12-PERALTE!$Q$12)*(RASANTE!F136-PERALTE!$Q$12)-2),IF(RASANTE!F136&lt;=PERALTE!$X$12,8,IF(RASANTE!F136&lt;=PERALTE!$AB$12,(10/(PERALTE!$X$12-PERALTE!$AB$12)*(RASANTE!F136-PERALTE!$AB$12)-2))))),IF(AND(AH!$H$16="Derecha",RASANTE!F136&lt;=PERALTE!$AB$14),IF(RASANTE!F136&lt;=PERALTE!$S$14,-2,IF(RASANTE!F136&lt;=PERALTE!$U$14,(-6/(PERALTE!$U$14-PERALTE!$S$14)*(RASANTE!F136-PERALTE!$S$14)-2),IF(RASANTE!F136&lt;=PERALTE!$X$14,-8,IF(RASANTE!F136&lt;=PERALTE!$Z$14,(-6/(PERALTE!$X$14-PERALTE!$Z$14)*(RASANTE!F136-PERALTE!$Z$14)-2),IF(RASANTE!F136&lt;=PERALTE!$AB$14,-2))))),IF(AND(AH!$H$16="Izquierda",RASANTE!F136&lt;=PERALTE!$AB$14),IF(RASANTE!F136&lt;=PERALTE!$Q$14,-2,IF(RASANTE!F136&lt;=PERALTE!$U$14,(10/(PERALTE!$U$14-PERALTE!$Q$14)*(RASANTE!F136-PERALTE!$Q$14)-2),IF(RASANTE!F136&lt;=PERALTE!$X$14,8,IF(RASANTE!F136&lt;=PERALTE!$AB$14,(10/(PERALTE!$X$14-PERALTE!$AB$14)*(RASANTE!F136-PERALTE!$AB$14)-2))))),IF(AND(AH!$H$18="Derecha",RASANTE!F136&lt;=PERALTE!$AB$16),IF(RASANTE!F136&lt;=PERALTE!$S$16,-2,IF(RASANTE!F136&lt;=PERALTE!$U$16,(-6/(PERALTE!$U$16-PERALTE!$S$16)*(RASANTE!F136-PERALTE!$S$16)-2),IF(RASANTE!F136&lt;=PERALTE!$X$16,-8,IF(RASANTE!F136&lt;=PERALTE!$Z$16,(-6/(PERALTE!$X$16-PERALTE!$Z$16)*(RASANTE!F136-PERALTE!$Z$16)-2),IF(RASANTE!F136&lt;=PERALTE!$AB$16,-2))))),IF(AND(AH!$H$18="Izquierda",RASANTE!F136&lt;=PERALTE!$AB$16),IF(RASANTE!F136&lt;=PERALTE!$Q$16,-2,IF(RASANTE!F136&lt;=PERALTE!$U$16,(10/(PERALTE!$U$16-PERALTE!$Q$16)*(RASANTE!F136-PERALTE!$Q$16)-2),IF(RASANTE!F136&lt;=PERALTE!$X$16,8,IF(RASANTE!F136&lt;=PERALTE!$AB$16,(10/(PERALTE!$X$16-PERALTE!$AB$16)*(RASANTE!F136-PERALTE!$AB$16)-2))))),IF(AND(AH!$H$20="Derecha",RASANTE!F136&lt;=PERALTE!$AB$18),IF(RASANTE!F136&lt;=PERALTE!$S$18,-2,IF(RASANTE!F136&lt;=PERALTE!$U$18,(-6/(PERALTE!$U$18-PERALTE!$S$18)*(RASANTE!F136-PERALTE!$S$18)-2),IF(RASANTE!F136&lt;=PERALTE!$X$18,-8,IF(RASANTE!F136&lt;=PERALTE!$Z$18,(-6/(PERALTE!$X$18-PERALTE!$Z$18)*(RASANTE!F136-PERALTE!$Z$18)-2),IF(RASANTE!F136&lt;=PERALTE!$AB$18,-2))))),IF(AND(AH!$H$20="Izquierda",RASANTE!F136&lt;=PERALTE!$AB$18),IF(RASANTE!F136&lt;=PERALTE!$Q$18,-2,IF(RASANTE!F136&lt;=PERALTE!$U$18,(10/(PERALTE!$U$18-PERALTE!$Q$18)*(RASANTE!F136-PERALTE!$Q$18)-2),IF(RASANTE!F136&lt;=PERALTE!$X$18,8,IF(RASANTE!F136&lt;=PERALTE!$AB$18,(10/(PERALTE!$X$18-PERALTE!$AB$18)*(RASANTE!F136-PERALTE!$AB$18)-2))))),IF(AND(AH!$H$24="Derecha",RASANTE!F136&lt;=PERALTE!$AB$22),IF(RASANTE!F136&lt;=PERALTE!$S$22,-2,IF(RASANTE!F136&lt;=PERALTE!$U$22,(-6/(PERALTE!$U$22-PERALTE!$S$22)*(RASANTE!F136-PERALTE!$S$22)-2),IF(RASANTE!F136&lt;=PERALTE!$X$22,-8,IF(RASANTE!F136&lt;=PERALTE!$Z$22,(-6/(PERALTE!$X$22-PERALTE!$Z$22)*(RASANTE!F136-PERALTE!$Z$22)-2),IF(RASANTE!F136&lt;=PERALTE!$AB$22,-2))))),IF(AND(AH!$H$24="Izquierda",RASANTE!F136&lt;=PERALTE!$AB$22),IF(RASANTE!F136&lt;=PERALTE!$Q$22,-2,IF(RASANTE!F136&lt;=PERALTE!$U$22,(10/(PERALTE!$U$22-PERALTE!$Q$22)*(RASANTE!F136-PERALTE!$Q$22)-2),IF(RASANTE!F136&lt;=PERALTE!$X$22,8,IF(RASANTE!F136&lt;=PERALTE!$AB$22,(10/(PERALTE!$X$22-PERALTE!$AB$22)*(RASANTE!F136-PERALTE!$AB$22)-2))))),IF(AND(AH!#REF!="Derecha",RASANTE!F136&lt;=PERALTE!#REF!),IF(RASANTE!F136&lt;=PERALTE!#REF!,-2,IF(RASANTE!F136&lt;=PERALTE!#REF!,(-6/(PERALTE!#REF!-PERALTE!#REF!)*(RASANTE!F136-PERALTE!#REF!)-2),IF(RASANTE!F136&lt;=PERALTE!#REF!,-8,IF(RASANTE!F136&lt;=PERALTE!#REF!,(-6/(PERALTE!#REF!-PERALTE!#REF!)*(RASANTE!F136-PERALTE!#REF!)-2),IF(RASANTE!F136&lt;=PERALTE!#REF!,-2))))),IF(AND(AH!#REF!="Izquierda",RASANTE!F136&lt;=PERALTE!#REF!),IF(RASANTE!F136&lt;=PERALTE!#REF!,-2,IF(RASANTE!F136&lt;=PERALTE!#REF!,(10/(PERALTE!#REF!-PERALTE!#REF!)*(RASANTE!F136-PERALTE!#REF!)-2),IF(RASANTE!F136&lt;=PERALTE!#REF!,8,IF(RASANTE!F136&lt;=PERALTE!#REF!,(10/(PERALTE!#REF!-PERALTE!#REF!)*(RASANTE!F136-PERALTE!#REF!)-2))))),IF(AND(AH!#REF!="Derecha",RASANTE!F136&lt;=PERALTE!$AB$26),IF(RASANTE!F136&lt;=PERALTE!$S$26,-2,IF(RASANTE!F136&lt;=PERALTE!$U$26,(-6/(PERALTE!$U$26-PERALTE!$S$26)*(RASANTE!F136-PERALTE!$S$26)-2),IF(RASANTE!F136&lt;=PERALTE!$X$26,-8,IF(RASANTE!F136&lt;=PERALTE!$Z$26,(-6/(PERALTE!$X$26-PERALTE!$Z$26)*(RASANTE!F136-PERALTE!$Z$26)-2),IF(RASANTE!F136&lt;=PERALTE!$AB$26,-2))))),IF(AND(AH!#REF!="Izquierda",RASANTE!F136&lt;=PERALTE!$AB$26),IF(RASANTE!F136&lt;=PERALTE!$Q$26,-2,IF(RASANTE!F136&lt;=PERALTE!$U$26,(10/(PERALTE!$U$26-PERALTE!$Q$26)*(RASANTE!F136-PERALTE!$Q$26)-2),IF(RASANTE!F136&lt;=PERALTE!$X$26,8,IF(RASANTE!F136&lt;=PERALTE!$AB$26,(10/(PERALTE!$X$26-PERALTE!$AB$26)*(RASANTE!F136-PERALTE!$AB$26)-2))))),IF(F136&lt;=PERALTE!#REF!,-2,"Abscisa fuera de la vía")))))))))))))))))))))</f>
        <v>8</v>
      </c>
      <c r="J136" s="28">
        <f t="shared" ref="J136:J189" si="6">J135+((F136-F135)*G135/100)</f>
        <v>1626.2096685635797</v>
      </c>
      <c r="K136" s="28">
        <f>+IF(AND(AV!$S$6&lt;F184,F184&lt;=AV!$T$6),AV!$P$6*((AV!$S$6-RASANTE!F184)/(AV!$N$6))^2,IF(AND(AV!$T$6&lt;RASANTE!F184,F184&lt;AV!$U$6),AV!$P$6*((AV!$U$6-RASANTE!F184)/(AV!$O$6))^2,IF(AND(AV!$S$8&lt;F184,F184&lt;=AV!$T$8),AV!$P$8*((AV!$S$8-RASANTE!F184)/(AV!$N$8))^2,IF(AND(AV!$T$8&lt;RASANTE!F184,F184&lt;AV!$U$8),AV!$P$8*((AV!$U$8-RASANTE!F184)/(AV!$O$8))^2,IF(AND(AV!$S$10&lt;F184,F184&lt;=AV!$T$10),AV!$P$10*((AV!$S$10-RASANTE!F184)/(AV!$N$10))^2,IF(AND(AV!$T$10&lt;RASANTE!F184,F184&lt;AV!$U$10),AV!$P$10*((AV!$U$10-RASANTE!F184)/(AV!$O$10))^2,IF(AND(AV!$S$12&lt;F184,F184&lt;=AV!$T$12),AV!$P$12*((AV!$S$12-RASANTE!F184)/(AV!$N$12))^2,IF(AND(AV!$T$12&lt;RASANTE!F184,F184&lt;AV!$U$12),AV!$P$12*((AV!$U$12-RASANTE!F184)/(AV!$O$12))^2,IF(AND(AV!$S$14&lt;F184,F184&lt;=AV!$T$14),AV!$P$14*((AV!$S$14-RASANTE!F184)/(AV!$N$14))^2,IF(AND(AV!$T$14&lt;RASANTE!F184,F184&lt;AV!$U$14),AV!$P$14*((AV!$U$14-RASANTE!F184)/(AV!$O$14))^2,IF(AND(AV!$S$16&lt;F184,F184&lt;=AV!$T$16),AV!$P$16*((AV!$S$16-RASANTE!F184)/(AV!$N$16))^2,IF(AND(AV!$T$16&lt;RASANTE!F184,F184&lt;AV!$U$16),AV!$P$16*((AV!$U$16-RASANTE!F184)/(AV!$O$16))^2,IF(AND(AV!$S$18&lt;F184,F184&lt;=AV!$T$18),AV!$P$18*((AV!$S$18-RASANTE!F184)/(AV!$N$18))^2,IF(AND(AV!$T$18&lt;RASANTE!F184,F184&lt;AV!$U$18),AV!$P$18*((AV!$U$18-RASANTE!F184)/(AV!$O$18))^2,IF(AND(AV!$S$20&lt;F184,F184&lt;=AV!$T$20),AV!$P$20*((AV!$S$20-RASANTE!F184)/(AV!$N$20))^2,IF(AND(AV!$T$20&lt;RASANTE!F184,F184&lt;AV!$U$20),AV!$P$20*((AV!$U$20-RASANTE!F184)/(AV!$O$20))^2,IF(AND(AV!$S$22&lt;F184,F184&lt;=AV!$T$22),AV!$P$22*((AV!$S$22-RASANTE!F184)/(AV!$N$22))^2,IF(AND(AV!$T$22&lt;RASANTE!F184,F184&lt;AV!$U$22),AV!$P$22*((AV!$U$22-RASANTE!F184)/(AV!$O$22))^2,IF(AND(AV!$S$24&lt;F184,F184&lt;=AV!$T$24),AV!$P$24*((AV!$S$24-RASANTE!F184)/(AV!$N$24))^2,IF(AND(AV!$T$24&lt;RASANTE!F184,F184&lt;AV!$U$24),AV!$P$24*((AV!$U$24-RASANTE!F184)/(AV!$O$24))^2,0))))))))))))))))))))</f>
        <v>0</v>
      </c>
      <c r="L136" s="28">
        <f>+M136+H136%*PERALTE!$C$32</f>
        <v>1625.9296685635798</v>
      </c>
      <c r="M136" s="28">
        <f t="shared" si="5"/>
        <v>1626.2096685635797</v>
      </c>
      <c r="N136" s="28">
        <f>+M136+I136%*PERALTE!$C$32</f>
        <v>1626.4896685635797</v>
      </c>
      <c r="O136" s="92"/>
      <c r="P136" s="84"/>
      <c r="Q136" s="84"/>
      <c r="R136" s="84"/>
      <c r="S136" s="84"/>
      <c r="T136" s="84"/>
      <c r="U136" s="84"/>
      <c r="V136" s="84"/>
      <c r="W136" s="84"/>
      <c r="X136" s="84"/>
      <c r="Y136" s="84"/>
    </row>
    <row r="137" spans="1:25" ht="15.75" customHeight="1" x14ac:dyDescent="0.2">
      <c r="A137" s="90"/>
      <c r="B137" s="181">
        <f>AH!L14</f>
        <v>1.8246785479669125</v>
      </c>
      <c r="C137" s="182">
        <f>AH!V14</f>
        <v>62.560407358865575</v>
      </c>
      <c r="D137" s="183"/>
      <c r="E137" s="155"/>
      <c r="F137" s="34">
        <v>820</v>
      </c>
      <c r="G137" s="88">
        <f>IF(F137&lt;=AV!$T$6,AV!$C$5,IF(RASANTE!F137&lt;=AV!$T$8,AV!$C$7,IF(RASANTE!F137&lt;=AV!$T$10,AV!$C$9,IF(RASANTE!F137&lt;=AV!$T$12,AV!$C$11,IF(RASANTE!F137&lt;=AV!$T$14,AV!$C$13,IF(RASANTE!F137&lt;=AV!$T$16,AV!$C$15, IF(RASANTE!F137&lt;=AV!$T$18,AV!$C$17,IF(RASANTE!F137&lt;=AV!$T$20,AV!$C$19,IF(RASANTE!F137&lt;=AV!$T$22,AV!$C$21,IF(RASANTE!F137&lt;=AV!$T$24,AV!$C$23,AV!$C$25))))))))))</f>
        <v>-7.2409999999999997</v>
      </c>
      <c r="H137" s="28">
        <f>+IF(AND(AH!$H$8="Izquierda",RASANTE!F137&lt;=PERALTE!$AB$6),IF(RASANTE!F137&lt;=PERALTE!$S$6,-2,IF(RASANTE!F137&lt;=PERALTE!$U$6,(-6/(PERALTE!$U$6-PERALTE!$S$6)*(RASANTE!F137-PERALTE!$S$6)-2),IF(RASANTE!F137&lt;=PERALTE!$X$6,-8,IF(RASANTE!F137&lt;=PERALTE!$Z$6,(-6/(PERALTE!$X$6-PERALTE!$Z$6)*(RASANTE!F137-PERALTE!$Z$6)-2),IF(RASANTE!F137&lt;=PERALTE!$AB$6,-2))))),IF(AND(AH!$H$8="Derecha",RASANTE!F137&lt;=PERALTE!$AB$6),IF(RASANTE!F137&lt;=PERALTE!$Q$6,-2,IF(RASANTE!F137&lt;=PERALTE!$U$6,(10/(PERALTE!$U$6-PERALTE!$Q$6)*(RASANTE!F137-PERALTE!$Q$6)-2),IF(RASANTE!F137&lt;=PERALTE!$X$6,8,IF(RASANTE!F137&lt;=PERALTE!$AB$6,(10/(PERALTE!$X$6-PERALTE!$AB$6)*(RASANTE!F137-PERALTE!$AB$6)-2))))),IF(AND(AH!$H$10="Izquierda",RASANTE!F137&lt;=PERALTE!$AB$8),IF(RASANTE!F137&lt;=PERALTE!$S$8,-2,IF(RASANTE!F137&lt;=PERALTE!$U$8,(-6/(PERALTE!$U$8-PERALTE!$S$8)*(RASANTE!F137-PERALTE!$S$8)-2),IF(RASANTE!F137&lt;=PERALTE!$X$8,-8,IF(RASANTE!F137&lt;=PERALTE!$Z$8,(-6/(PERALTE!$X$8-PERALTE!$Z$8)*(RASANTE!F137-PERALTE!$Z$8)-2),IF(RASANTE!F137&lt;=PERALTE!$AB$8,-2))))),IF(AND(AH!$H$10="Derecha",RASANTE!F137&lt;=PERALTE!$AB$8),IF(RASANTE!F137&lt;=PERALTE!$Q$8,-2,IF(RASANTE!F137&lt;=PERALTE!$U$8,(10/(PERALTE!$U$8-PERALTE!$Q$8)*(RASANTE!F137-PERALTE!$Q$8)-2),IF(RASANTE!F137&lt;=PERALTE!$X$8,8,IF(RASANTE!F137&lt;=PERALTE!$AB$8,(10/(PERALTE!$X$8-PERALTE!$AB$8)*(RASANTE!F137-PERALTE!$AB$8)-2))))),IF(AND(AH!$H$12="Izquierda",RASANTE!F137&lt;=PERALTE!$AB$10),IF(RASANTE!F137&lt;=PERALTE!$S$10,-2,IF(RASANTE!F137&lt;=PERALTE!$U$10,(-6/(PERALTE!$U$10-PERALTE!$S$10)*(RASANTE!F137-PERALTE!$S$10)-2),IF(RASANTE!F137&lt;=PERALTE!$X$10,-8,IF(RASANTE!F137&lt;=PERALTE!$Z$10,(-6/(PERALTE!$X$10-PERALTE!$Z$10)*(RASANTE!F137-PERALTE!$Z$10)-2),IF(RASANTE!F137&lt;=PERALTE!$AB$10,-2))))),IF(AND(AH!$H$12="Derecha",RASANTE!F137&lt;=PERALTE!$AB$10),IF(RASANTE!F137&lt;=PERALTE!$Q$10,-2,IF(RASANTE!F137&lt;=PERALTE!$U$10,(10/(PERALTE!$U$10-PERALTE!$Q$10)*(RASANTE!F137-PERALTE!$Q$10)-2),IF(RASANTE!F137&lt;=PERALTE!$X$10,8,IF(RASANTE!F137&lt;=PERALTE!$AB$10,(10/(PERALTE!$X$10-PERALTE!$AB$10)*(RASANTE!F137-PERALTE!$AB$10)-2))))),IF(AND(AH!$H$14="Izquierda",RASANTE!F137&lt;=PERALTE!$AB$12),IF(RASANTE!F137&lt;=PERALTE!$S$12,-2,IF(RASANTE!F137&lt;=PERALTE!$U$12,(-6/(PERALTE!$U$12-PERALTE!$S$12)*(RASANTE!F137-PERALTE!$S$12)-2),IF(RASANTE!F137&lt;=PERALTE!$X$12,-8,IF(RASANTE!F137&lt;=PERALTE!$Z$12,(-6/(PERALTE!$X$12-PERALTE!$Z$12)*(RASANTE!F137-PERALTE!$Z$12)-2),IF(RASANTE!F137&lt;=PERALTE!$AB$12,-2))))),IF(AND(AH!$H$14="Derecha",RASANTE!F137&lt;=PERALTE!$AB$12),IF(RASANTE!F137&lt;=PERALTE!$Q$12,-2,IF(RASANTE!F137&lt;=PERALTE!$U$12,(10/(PERALTE!$U$12-PERALTE!$Q$12)*(RASANTE!F137-PERALTE!$Q$12)-2),IF(RASANTE!F137&lt;=PERALTE!$X$12,8,IF(RASANTE!F137&lt;=PERALTE!$AB$12,(10/(PERALTE!$X$12-PERALTE!$AB$12)*(RASANTE!F137-PERALTE!$AB$12)-2))))),IF(AND(AH!$H$16="Izquierda",RASANTE!F137&lt;=PERALTE!$AB$14),IF(RASANTE!F137&lt;=PERALTE!$S$14,-2,IF(RASANTE!F137&lt;=PERALTE!$U$14,(-6/(PERALTE!$U$14-PERALTE!$S$14)*(RASANTE!F137-PERALTE!$S$14)-2),IF(RASANTE!F137&lt;=PERALTE!$X$14,-8,IF(RASANTE!F137&lt;=PERALTE!$Z$14,(-6/(PERALTE!$X$14-PERALTE!$Z$14)*(RASANTE!F137-PERALTE!$Z$14)-2),IF(RASANTE!F137&lt;=PERALTE!$AB$14,-2))))),IF(AND(AH!$H$16="Derecha",RASANTE!F137&lt;=PERALTE!$AB$14),IF(RASANTE!F137&lt;=PERALTE!$Q$14,-2,IF(RASANTE!F137&lt;=PERALTE!$U$14,(10/(PERALTE!$U$14-PERALTE!$Q$14)*(RASANTE!F137-PERALTE!$Q$14)-2),IF(RASANTE!F137&lt;=PERALTE!$X$14,8,IF(RASANTE!F137&lt;=PERALTE!$AB$14,(10/(PERALTE!$X$14-PERALTE!$AB$14)*(RASANTE!F137-PERALTE!$AB$14)-2))))),IF(AND(AH!$H$18="Izquierda",RASANTE!F137&lt;=PERALTE!$AB$16),IF(RASANTE!F137&lt;=PERALTE!$S$16,-2,IF(RASANTE!F137&lt;=PERALTE!$U$16,(-6/(PERALTE!$U$16-PERALTE!$S$16)*(RASANTE!F137-PERALTE!$S$16)-2),IF(RASANTE!F137&lt;=PERALTE!$X$16,-8,IF(RASANTE!F137&lt;=PERALTE!$Z$16,(-6/(PERALTE!$X$16-PERALTE!$Z$16)*(RASANTE!F137-PERALTE!$Z$16)-2),IF(RASANTE!F137&lt;=PERALTE!$AB$16,-2))))),IF(AND(AH!$H$18="Derecha",RASANTE!F137&lt;=PERALTE!$AB$16),IF(RASANTE!F137&lt;=PERALTE!$Q$16,-2,IF(RASANTE!F137&lt;=PERALTE!$U$16,(10/(PERALTE!$U$16-PERALTE!$Q$16)*(RASANTE!F137-PERALTE!$Q$16)-2),IF(RASANTE!F137&lt;=PERALTE!$X$16,8,IF(RASANTE!F137&lt;=PERALTE!$AB$16,(10/(PERALTE!$X$16-PERALTE!$AB$16)*(RASANTE!F137-PERALTE!$AB$16)-2))))),IF(AND(AH!$H$20="Izquierda",RASANTE!F137&lt;=PERALTE!$AB$18),IF(RASANTE!F137&lt;=PERALTE!$S$18,-2,IF(RASANTE!F137&lt;=PERALTE!$U$18,(-6/(PERALTE!$U$18-PERALTE!$S$18)*(RASANTE!F137-PERALTE!$S$18)-2),IF(RASANTE!F137&lt;=PERALTE!$X$18,-8,IF(RASANTE!F137&lt;=PERALTE!$Z$18,(-6/(PERALTE!$X$18-PERALTE!$Z$18)*(RASANTE!F137-PERALTE!$Z$18)-2),IF(RASANTE!F137&lt;=PERALTE!$AB$18,-2))))),IF(AND(AH!$H$20="Derecha",RASANTE!F137&lt;=PERALTE!$AB$18),IF(RASANTE!F137&lt;=PERALTE!$Q$18,-2,IF(RASANTE!F137&lt;=PERALTE!$U$18,(10/(PERALTE!$U$18-PERALTE!$Q$18)*(RASANTE!F137-PERALTE!$Q$18)-2),IF(RASANTE!F137&lt;=PERALTE!$X$18,8,IF(RASANTE!F137&lt;=PERALTE!$AB$18,(10/(PERALTE!$X$18-PERALTE!$AB$18)*(RASANTE!F137-PERALTE!$AB$18)-2))))),IF(AND(AH!$H$24="Izquierda",RASANTE!F137&lt;=PERALTE!$AB$22),IF(RASANTE!F137&lt;=PERALTE!$S$22,-2,IF(RASANTE!F137&lt;=PERALTE!$U$22,(-6/(PERALTE!$U$22-PERALTE!$S$22)*(RASANTE!F137-PERALTE!$S$22)-2),IF(RASANTE!F137&lt;=PERALTE!$X$22,-8,IF(RASANTE!F137&lt;=PERALTE!$Z$22,(-6/(PERALTE!$X$22-PERALTE!$Z$22)*(RASANTE!F137-PERALTE!$Z$22)-2),IF(RASANTE!F137&lt;=PERALTE!$AB$22,-2))))),IF(AND(AH!$H$24="Derecha",RASANTE!F137&lt;=PERALTE!$AB$22),IF(RASANTE!F137&lt;=PERALTE!$Q$22,-2,IF(RASANTE!F137&lt;=PERALTE!$U$22,(10/(PERALTE!$U$22-PERALTE!$Q$22)*(RASANTE!F137-PERALTE!$Q$22)-2),IF(RASANTE!F137&lt;=PERALTE!$X$22,8,IF(RASANTE!F137&lt;=PERALTE!$AB$22,(10/(PERALTE!$X$22-PERALTE!$AB$22)*(RASANTE!F137-PERALTE!$AB$22)-2))))),IF(AND(AH!#REF!="Izquierda",RASANTE!F137&lt;=PERALTE!#REF!),IF(RASANTE!F137&lt;=PERALTE!#REF!,-2,IF(RASANTE!F137&lt;=PERALTE!#REF!,(-6/(PERALTE!#REF!-PERALTE!#REF!)*(RASANTE!F137-PERALTE!#REF!)-2),IF(RASANTE!F137&lt;=PERALTE!#REF!,-8,IF(RASANTE!F137&lt;=PERALTE!#REF!,(-6/(PERALTE!#REF!-PERALTE!#REF!)*(RASANTE!F137-PERALTE!#REF!)-2),IF(RASANTE!F137&lt;=PERALTE!#REF!,-2))))),IF(AND(AH!#REF!="Derecha",RASANTE!F137&lt;=PERALTE!#REF!),IF(RASANTE!F137&lt;=PERALTE!#REF!,-2,IF(RASANTE!F137&lt;=PERALTE!#REF!,(10/(PERALTE!#REF!-PERALTE!#REF!)*(RASANTE!F137-PERALTE!#REF!)-2),IF(RASANTE!F137&lt;=PERALTE!#REF!,8,IF(RASANTE!F137&lt;=PERALTE!#REF!,(10/(PERALTE!#REF!-PERALTE!#REF!)*(RASANTE!F137-PERALTE!#REF!)-2))))),IF(AND(AH!#REF!="Izquierda",RASANTE!F137&lt;=PERALTE!$AB$26),IF(RASANTE!F137&lt;=PERALTE!$S$26,-2,IF(RASANTE!F137&lt;=PERALTE!$U$26,(-6/(PERALTE!$U$26-PERALTE!$S$26)*(RASANTE!F137-PERALTE!$S$26)-2),IF(RASANTE!F137&lt;=PERALTE!$X$26,-8,IF(RASANTE!F137&lt;=PERALTE!$Z$26,(-6/(PERALTE!$X$26-PERALTE!$Z$26)*(RASANTE!F137-PERALTE!$Z$26)-2),IF(RASANTE!F137&lt;=PERALTE!$AB$26,-2))))),IF(AND(AH!#REF!="Derecha",RASANTE!F137&lt;=PERALTE!$AB$26),IF(RASANTE!F137&lt;=PERALTE!$Q$26,-2,IF(RASANTE!F137&lt;=PERALTE!$U$26,(10/(PERALTE!$U$26-PERALTE!$Q$26)*(RASANTE!F137-PERALTE!$Q$26)-2),IF(RASANTE!F137&lt;=PERALTE!$X$26,8,IF(RASANTE!F137&lt;=PERALTE!$AB$26,(10/(PERALTE!$X$26-PERALTE!$AB$26)*(RASANTE!F137-PERALTE!$AB$26)-2))))),IF(F137&lt;=PERALTE!#REF!,-2,"Abscisa fuera de la vía")))))))))))))))))))))</f>
        <v>-8</v>
      </c>
      <c r="I137" s="28">
        <f>+IF(AND(AH!$H$8="Derecha",RASANTE!F137&lt;=PERALTE!$AB$6),IF(RASANTE!F137&lt;=PERALTE!$S$6,-2,IF(RASANTE!F137&lt;=PERALTE!$U$6,(-6/(PERALTE!$U$6-PERALTE!$S$6)*(RASANTE!F137-PERALTE!$S$6)-2),IF(RASANTE!F137&lt;=PERALTE!$X$6,-8,IF(RASANTE!F137&lt;=PERALTE!$Z$6,(-6/(PERALTE!$X$6-PERALTE!$Z$6)*(RASANTE!F137-PERALTE!$Z$6)-2),IF(RASANTE!F137&lt;=PERALTE!$AB$6,-2))))),IF(AND(AH!$H$8="Izquierda",RASANTE!F137&lt;=PERALTE!$AB$6),IF(RASANTE!F137&lt;=PERALTE!$Q$6,-2,IF(RASANTE!F137&lt;=PERALTE!$U$6,(10/(PERALTE!$U$6-PERALTE!$Q$6)*(RASANTE!F137-PERALTE!$Q$6)-2),IF(RASANTE!F137&lt;=PERALTE!$X$6,8,IF(RASANTE!F137&lt;=PERALTE!$AB$6,(10/(PERALTE!$X$6-PERALTE!$AB$6)*(RASANTE!F137-PERALTE!$AB$6)-2))))),IF(AND(AH!$H$10="Derecha",RASANTE!F137&lt;=PERALTE!$AB$8),IF(RASANTE!F137&lt;=PERALTE!$S$8,-2,IF(RASANTE!F137&lt;=PERALTE!$U$8,(-6/(PERALTE!$U$8-PERALTE!$S$8)*(RASANTE!F137-PERALTE!$S$8)-2),IF(RASANTE!F137&lt;=PERALTE!$X$8,-8,IF(RASANTE!F137&lt;=PERALTE!$Z$8,(-6/(PERALTE!$X$8-PERALTE!$Z$8)*(RASANTE!F137-PERALTE!$Z$8)-2),IF(RASANTE!F137&lt;=PERALTE!$AB$8,-2))))),IF(AND(AH!$H$10="Izquierda",RASANTE!F137&lt;=PERALTE!$AB$8),IF(RASANTE!F137&lt;=PERALTE!$Q$8,-2,IF(RASANTE!F137&lt;=PERALTE!$U$8,(10/(PERALTE!$U$8-PERALTE!$Q$8)*(RASANTE!F137-PERALTE!$Q$8)-2),IF(RASANTE!F137&lt;=PERALTE!$X$8,8,IF(RASANTE!F137&lt;=PERALTE!$AB$8,(10/(PERALTE!$X$8-PERALTE!$AB$8)*(RASANTE!F137-PERALTE!$AB$8)-2))))),IF(AND(AH!$H$12="Derecha",RASANTE!F137&lt;=PERALTE!$AB$10),IF(RASANTE!F137&lt;=PERALTE!$S$10,-2,IF(RASANTE!F137&lt;=PERALTE!$U$10,(-6/(PERALTE!$U$10-PERALTE!$S$10)*(RASANTE!F137-PERALTE!$S$10)-2),IF(RASANTE!F137&lt;=PERALTE!$X$10,-8,IF(RASANTE!F137&lt;=PERALTE!$Z$10,(-6/(PERALTE!$X$10-PERALTE!$Z$10)*(RASANTE!F137-PERALTE!$Z$10)-2),IF(RASANTE!F137&lt;=PERALTE!$AB$10,-2))))),IF(AND(AH!$H$12="Izquierda",RASANTE!F137&lt;=PERALTE!$AB$10),IF(RASANTE!F137&lt;=PERALTE!$Q$10,-2,IF(RASANTE!F137&lt;=PERALTE!$U$10,(10/(PERALTE!$U$10-PERALTE!$Q$10)*(RASANTE!F137-PERALTE!$Q$10)-2),IF(RASANTE!F137&lt;=PERALTE!$X$10,8,IF(RASANTE!F137&lt;=PERALTE!$AB$10,(10/(PERALTE!$X$10-PERALTE!$AB$10)*(RASANTE!F137-PERALTE!$AB$10)-2))))),IF(AND(AH!$H$14="Derecha",RASANTE!F137&lt;=PERALTE!$AB$12),IF(RASANTE!F137&lt;=PERALTE!$S$12,-2,IF(RASANTE!F137&lt;=PERALTE!$U$12,(-6/(PERALTE!$U$12-PERALTE!$S$12)*(RASANTE!F137-PERALTE!$S$12)-2),IF(RASANTE!F137&lt;=PERALTE!$X$12,-8,IF(RASANTE!F137&lt;=PERALTE!$Z$12,(-6/(PERALTE!$X$12-PERALTE!$Z$12)*(RASANTE!F137-PERALTE!$Z$12)-2),IF(RASANTE!F137&lt;=PERALTE!$AB$12,-2))))),IF(AND(AH!$H$14="Izquierda",RASANTE!F137&lt;=PERALTE!$AB$12),IF(RASANTE!F137&lt;=PERALTE!$Q$12,-2,IF(RASANTE!F137&lt;=PERALTE!$U$12,(10/(PERALTE!$U$12-PERALTE!$Q$12)*(RASANTE!F137-PERALTE!$Q$12)-2),IF(RASANTE!F137&lt;=PERALTE!$X$12,8,IF(RASANTE!F137&lt;=PERALTE!$AB$12,(10/(PERALTE!$X$12-PERALTE!$AB$12)*(RASANTE!F137-PERALTE!$AB$12)-2))))),IF(AND(AH!$H$16="Derecha",RASANTE!F137&lt;=PERALTE!$AB$14),IF(RASANTE!F137&lt;=PERALTE!$S$14,-2,IF(RASANTE!F137&lt;=PERALTE!$U$14,(-6/(PERALTE!$U$14-PERALTE!$S$14)*(RASANTE!F137-PERALTE!$S$14)-2),IF(RASANTE!F137&lt;=PERALTE!$X$14,-8,IF(RASANTE!F137&lt;=PERALTE!$Z$14,(-6/(PERALTE!$X$14-PERALTE!$Z$14)*(RASANTE!F137-PERALTE!$Z$14)-2),IF(RASANTE!F137&lt;=PERALTE!$AB$14,-2))))),IF(AND(AH!$H$16="Izquierda",RASANTE!F137&lt;=PERALTE!$AB$14),IF(RASANTE!F137&lt;=PERALTE!$Q$14,-2,IF(RASANTE!F137&lt;=PERALTE!$U$14,(10/(PERALTE!$U$14-PERALTE!$Q$14)*(RASANTE!F137-PERALTE!$Q$14)-2),IF(RASANTE!F137&lt;=PERALTE!$X$14,8,IF(RASANTE!F137&lt;=PERALTE!$AB$14,(10/(PERALTE!$X$14-PERALTE!$AB$14)*(RASANTE!F137-PERALTE!$AB$14)-2))))),IF(AND(AH!$H$18="Derecha",RASANTE!F137&lt;=PERALTE!$AB$16),IF(RASANTE!F137&lt;=PERALTE!$S$16,-2,IF(RASANTE!F137&lt;=PERALTE!$U$16,(-6/(PERALTE!$U$16-PERALTE!$S$16)*(RASANTE!F137-PERALTE!$S$16)-2),IF(RASANTE!F137&lt;=PERALTE!$X$16,-8,IF(RASANTE!F137&lt;=PERALTE!$Z$16,(-6/(PERALTE!$X$16-PERALTE!$Z$16)*(RASANTE!F137-PERALTE!$Z$16)-2),IF(RASANTE!F137&lt;=PERALTE!$AB$16,-2))))),IF(AND(AH!$H$18="Izquierda",RASANTE!F137&lt;=PERALTE!$AB$16),IF(RASANTE!F137&lt;=PERALTE!$Q$16,-2,IF(RASANTE!F137&lt;=PERALTE!$U$16,(10/(PERALTE!$U$16-PERALTE!$Q$16)*(RASANTE!F137-PERALTE!$Q$16)-2),IF(RASANTE!F137&lt;=PERALTE!$X$16,8,IF(RASANTE!F137&lt;=PERALTE!$AB$16,(10/(PERALTE!$X$16-PERALTE!$AB$16)*(RASANTE!F137-PERALTE!$AB$16)-2))))),IF(AND(AH!$H$20="Derecha",RASANTE!F137&lt;=PERALTE!$AB$18),IF(RASANTE!F137&lt;=PERALTE!$S$18,-2,IF(RASANTE!F137&lt;=PERALTE!$U$18,(-6/(PERALTE!$U$18-PERALTE!$S$18)*(RASANTE!F137-PERALTE!$S$18)-2),IF(RASANTE!F137&lt;=PERALTE!$X$18,-8,IF(RASANTE!F137&lt;=PERALTE!$Z$18,(-6/(PERALTE!$X$18-PERALTE!$Z$18)*(RASANTE!F137-PERALTE!$Z$18)-2),IF(RASANTE!F137&lt;=PERALTE!$AB$18,-2))))),IF(AND(AH!$H$20="Izquierda",RASANTE!F137&lt;=PERALTE!$AB$18),IF(RASANTE!F137&lt;=PERALTE!$Q$18,-2,IF(RASANTE!F137&lt;=PERALTE!$U$18,(10/(PERALTE!$U$18-PERALTE!$Q$18)*(RASANTE!F137-PERALTE!$Q$18)-2),IF(RASANTE!F137&lt;=PERALTE!$X$18,8,IF(RASANTE!F137&lt;=PERALTE!$AB$18,(10/(PERALTE!$X$18-PERALTE!$AB$18)*(RASANTE!F137-PERALTE!$AB$18)-2))))),IF(AND(AH!$H$24="Derecha",RASANTE!F137&lt;=PERALTE!$AB$22),IF(RASANTE!F137&lt;=PERALTE!$S$22,-2,IF(RASANTE!F137&lt;=PERALTE!$U$22,(-6/(PERALTE!$U$22-PERALTE!$S$22)*(RASANTE!F137-PERALTE!$S$22)-2),IF(RASANTE!F137&lt;=PERALTE!$X$22,-8,IF(RASANTE!F137&lt;=PERALTE!$Z$22,(-6/(PERALTE!$X$22-PERALTE!$Z$22)*(RASANTE!F137-PERALTE!$Z$22)-2),IF(RASANTE!F137&lt;=PERALTE!$AB$22,-2))))),IF(AND(AH!$H$24="Izquierda",RASANTE!F137&lt;=PERALTE!$AB$22),IF(RASANTE!F137&lt;=PERALTE!$Q$22,-2,IF(RASANTE!F137&lt;=PERALTE!$U$22,(10/(PERALTE!$U$22-PERALTE!$Q$22)*(RASANTE!F137-PERALTE!$Q$22)-2),IF(RASANTE!F137&lt;=PERALTE!$X$22,8,IF(RASANTE!F137&lt;=PERALTE!$AB$22,(10/(PERALTE!$X$22-PERALTE!$AB$22)*(RASANTE!F137-PERALTE!$AB$22)-2))))),IF(AND(AH!#REF!="Derecha",RASANTE!F137&lt;=PERALTE!#REF!),IF(RASANTE!F137&lt;=PERALTE!#REF!,-2,IF(RASANTE!F137&lt;=PERALTE!#REF!,(-6/(PERALTE!#REF!-PERALTE!#REF!)*(RASANTE!F137-PERALTE!#REF!)-2),IF(RASANTE!F137&lt;=PERALTE!#REF!,-8,IF(RASANTE!F137&lt;=PERALTE!#REF!,(-6/(PERALTE!#REF!-PERALTE!#REF!)*(RASANTE!F137-PERALTE!#REF!)-2),IF(RASANTE!F137&lt;=PERALTE!#REF!,-2))))),IF(AND(AH!#REF!="Izquierda",RASANTE!F137&lt;=PERALTE!#REF!),IF(RASANTE!F137&lt;=PERALTE!#REF!,-2,IF(RASANTE!F137&lt;=PERALTE!#REF!,(10/(PERALTE!#REF!-PERALTE!#REF!)*(RASANTE!F137-PERALTE!#REF!)-2),IF(RASANTE!F137&lt;=PERALTE!#REF!,8,IF(RASANTE!F137&lt;=PERALTE!#REF!,(10/(PERALTE!#REF!-PERALTE!#REF!)*(RASANTE!F137-PERALTE!#REF!)-2))))),IF(AND(AH!#REF!="Derecha",RASANTE!F137&lt;=PERALTE!$AB$26),IF(RASANTE!F137&lt;=PERALTE!$S$26,-2,IF(RASANTE!F137&lt;=PERALTE!$U$26,(-6/(PERALTE!$U$26-PERALTE!$S$26)*(RASANTE!F137-PERALTE!$S$26)-2),IF(RASANTE!F137&lt;=PERALTE!$X$26,-8,IF(RASANTE!F137&lt;=PERALTE!$Z$26,(-6/(PERALTE!$X$26-PERALTE!$Z$26)*(RASANTE!F137-PERALTE!$Z$26)-2),IF(RASANTE!F137&lt;=PERALTE!$AB$26,-2))))),IF(AND(AH!#REF!="Izquierda",RASANTE!F137&lt;=PERALTE!$AB$26),IF(RASANTE!F137&lt;=PERALTE!$Q$26,-2,IF(RASANTE!F137&lt;=PERALTE!$U$26,(10/(PERALTE!$U$26-PERALTE!$Q$26)*(RASANTE!F137-PERALTE!$Q$26)-2),IF(RASANTE!F137&lt;=PERALTE!$X$26,8,IF(RASANTE!F137&lt;=PERALTE!$AB$26,(10/(PERALTE!$X$26-PERALTE!$AB$26)*(RASANTE!F137-PERALTE!$AB$26)-2))))),IF(F137&lt;=PERALTE!#REF!,-2,"Abscisa fuera de la vía")))))))))))))))))))))</f>
        <v>8</v>
      </c>
      <c r="J137" s="28">
        <f t="shared" si="6"/>
        <v>1625.7754380375918</v>
      </c>
      <c r="K137" s="28">
        <f>+IF(AND(AV!$S$6&lt;F185,F185&lt;=AV!$T$6),AV!$P$6*((AV!$S$6-RASANTE!F185)/(AV!$N$6))^2,IF(AND(AV!$T$6&lt;RASANTE!F185,F185&lt;AV!$U$6),AV!$P$6*((AV!$U$6-RASANTE!F185)/(AV!$O$6))^2,IF(AND(AV!$S$8&lt;F185,F185&lt;=AV!$T$8),AV!$P$8*((AV!$S$8-RASANTE!F185)/(AV!$N$8))^2,IF(AND(AV!$T$8&lt;RASANTE!F185,F185&lt;AV!$U$8),AV!$P$8*((AV!$U$8-RASANTE!F185)/(AV!$O$8))^2,IF(AND(AV!$S$10&lt;F185,F185&lt;=AV!$T$10),AV!$P$10*((AV!$S$10-RASANTE!F185)/(AV!$N$10))^2,IF(AND(AV!$T$10&lt;RASANTE!F185,F185&lt;AV!$U$10),AV!$P$10*((AV!$U$10-RASANTE!F185)/(AV!$O$10))^2,IF(AND(AV!$S$12&lt;F185,F185&lt;=AV!$T$12),AV!$P$12*((AV!$S$12-RASANTE!F185)/(AV!$N$12))^2,IF(AND(AV!$T$12&lt;RASANTE!F185,F185&lt;AV!$U$12),AV!$P$12*((AV!$U$12-RASANTE!F185)/(AV!$O$12))^2,IF(AND(AV!$S$14&lt;F185,F185&lt;=AV!$T$14),AV!$P$14*((AV!$S$14-RASANTE!F185)/(AV!$N$14))^2,IF(AND(AV!$T$14&lt;RASANTE!F185,F185&lt;AV!$U$14),AV!$P$14*((AV!$U$14-RASANTE!F185)/(AV!$O$14))^2,IF(AND(AV!$S$16&lt;F185,F185&lt;=AV!$T$16),AV!$P$16*((AV!$S$16-RASANTE!F185)/(AV!$N$16))^2,IF(AND(AV!$T$16&lt;RASANTE!F185,F185&lt;AV!$U$16),AV!$P$16*((AV!$U$16-RASANTE!F185)/(AV!$O$16))^2,IF(AND(AV!$S$18&lt;F185,F185&lt;=AV!$T$18),AV!$P$18*((AV!$S$18-RASANTE!F185)/(AV!$N$18))^2,IF(AND(AV!$T$18&lt;RASANTE!F185,F185&lt;AV!$U$18),AV!$P$18*((AV!$U$18-RASANTE!F185)/(AV!$O$18))^2,IF(AND(AV!$S$20&lt;F185,F185&lt;=AV!$T$20),AV!$P$20*((AV!$S$20-RASANTE!F185)/(AV!$N$20))^2,IF(AND(AV!$T$20&lt;RASANTE!F185,F185&lt;AV!$U$20),AV!$P$20*((AV!$U$20-RASANTE!F185)/(AV!$O$20))^2,IF(AND(AV!$S$22&lt;F185,F185&lt;=AV!$T$22),AV!$P$22*((AV!$S$22-RASANTE!F185)/(AV!$N$22))^2,IF(AND(AV!$T$22&lt;RASANTE!F185,F185&lt;AV!$U$22),AV!$P$22*((AV!$U$22-RASANTE!F185)/(AV!$O$22))^2,IF(AND(AV!$S$24&lt;F185,F185&lt;=AV!$T$24),AV!$P$24*((AV!$S$24-RASANTE!F185)/(AV!$N$24))^2,IF(AND(AV!$T$24&lt;RASANTE!F185,F185&lt;AV!$U$24),AV!$P$24*((AV!$U$24-RASANTE!F185)/(AV!$O$24))^2,0))))))))))))))))))))</f>
        <v>0</v>
      </c>
      <c r="L137" s="28">
        <f>+M137+H137%*PERALTE!$C$32</f>
        <v>1625.4954380375918</v>
      </c>
      <c r="M137" s="28">
        <f t="shared" si="5"/>
        <v>1625.7754380375918</v>
      </c>
      <c r="N137" s="28">
        <f>+M137+I137%*PERALTE!$C$32</f>
        <v>1626.0554380375918</v>
      </c>
      <c r="O137" s="92"/>
      <c r="P137" s="84"/>
      <c r="Q137" s="84"/>
      <c r="R137" s="84"/>
      <c r="S137" s="84"/>
      <c r="T137" s="84"/>
      <c r="U137" s="84"/>
      <c r="V137" s="84"/>
      <c r="W137" s="84"/>
      <c r="X137" s="84"/>
      <c r="Y137" s="84"/>
    </row>
    <row r="138" spans="1:25" ht="15.75" customHeight="1" x14ac:dyDescent="0.2">
      <c r="A138" s="90"/>
      <c r="B138" s="184">
        <f>AH!R14</f>
        <v>0.14583333333333334</v>
      </c>
      <c r="C138" s="185">
        <f>AH!F2</f>
        <v>5</v>
      </c>
      <c r="D138" s="186"/>
      <c r="E138" s="156"/>
      <c r="F138" s="34">
        <v>830</v>
      </c>
      <c r="G138" s="88">
        <f>IF(F138&lt;=AV!$T$6,AV!$C$5,IF(RASANTE!F138&lt;=AV!$T$8,AV!$C$7,IF(RASANTE!F138&lt;=AV!$T$10,AV!$C$9,IF(RASANTE!F138&lt;=AV!$T$12,AV!$C$11,IF(RASANTE!F138&lt;=AV!$T$14,AV!$C$13,IF(RASANTE!F138&lt;=AV!$T$16,AV!$C$15, IF(RASANTE!F138&lt;=AV!$T$18,AV!$C$17,IF(RASANTE!F138&lt;=AV!$T$20,AV!$C$19,IF(RASANTE!F138&lt;=AV!$T$22,AV!$C$21,IF(RASANTE!F138&lt;=AV!$T$24,AV!$C$23,AV!$C$25))))))))))</f>
        <v>-7.2409999999999997</v>
      </c>
      <c r="H138" s="28">
        <f>+IF(AND(AH!$H$8="Izquierda",RASANTE!F138&lt;=PERALTE!$AB$6),IF(RASANTE!F138&lt;=PERALTE!$S$6,-2,IF(RASANTE!F138&lt;=PERALTE!$U$6,(-6/(PERALTE!$U$6-PERALTE!$S$6)*(RASANTE!F138-PERALTE!$S$6)-2),IF(RASANTE!F138&lt;=PERALTE!$X$6,-8,IF(RASANTE!F138&lt;=PERALTE!$Z$6,(-6/(PERALTE!$X$6-PERALTE!$Z$6)*(RASANTE!F138-PERALTE!$Z$6)-2),IF(RASANTE!F138&lt;=PERALTE!$AB$6,-2))))),IF(AND(AH!$H$8="Derecha",RASANTE!F138&lt;=PERALTE!$AB$6),IF(RASANTE!F138&lt;=PERALTE!$Q$6,-2,IF(RASANTE!F138&lt;=PERALTE!$U$6,(10/(PERALTE!$U$6-PERALTE!$Q$6)*(RASANTE!F138-PERALTE!$Q$6)-2),IF(RASANTE!F138&lt;=PERALTE!$X$6,8,IF(RASANTE!F138&lt;=PERALTE!$AB$6,(10/(PERALTE!$X$6-PERALTE!$AB$6)*(RASANTE!F138-PERALTE!$AB$6)-2))))),IF(AND(AH!$H$10="Izquierda",RASANTE!F138&lt;=PERALTE!$AB$8),IF(RASANTE!F138&lt;=PERALTE!$S$8,-2,IF(RASANTE!F138&lt;=PERALTE!$U$8,(-6/(PERALTE!$U$8-PERALTE!$S$8)*(RASANTE!F138-PERALTE!$S$8)-2),IF(RASANTE!F138&lt;=PERALTE!$X$8,-8,IF(RASANTE!F138&lt;=PERALTE!$Z$8,(-6/(PERALTE!$X$8-PERALTE!$Z$8)*(RASANTE!F138-PERALTE!$Z$8)-2),IF(RASANTE!F138&lt;=PERALTE!$AB$8,-2))))),IF(AND(AH!$H$10="Derecha",RASANTE!F138&lt;=PERALTE!$AB$8),IF(RASANTE!F138&lt;=PERALTE!$Q$8,-2,IF(RASANTE!F138&lt;=PERALTE!$U$8,(10/(PERALTE!$U$8-PERALTE!$Q$8)*(RASANTE!F138-PERALTE!$Q$8)-2),IF(RASANTE!F138&lt;=PERALTE!$X$8,8,IF(RASANTE!F138&lt;=PERALTE!$AB$8,(10/(PERALTE!$X$8-PERALTE!$AB$8)*(RASANTE!F138-PERALTE!$AB$8)-2))))),IF(AND(AH!$H$12="Izquierda",RASANTE!F138&lt;=PERALTE!$AB$10),IF(RASANTE!F138&lt;=PERALTE!$S$10,-2,IF(RASANTE!F138&lt;=PERALTE!$U$10,(-6/(PERALTE!$U$10-PERALTE!$S$10)*(RASANTE!F138-PERALTE!$S$10)-2),IF(RASANTE!F138&lt;=PERALTE!$X$10,-8,IF(RASANTE!F138&lt;=PERALTE!$Z$10,(-6/(PERALTE!$X$10-PERALTE!$Z$10)*(RASANTE!F138-PERALTE!$Z$10)-2),IF(RASANTE!F138&lt;=PERALTE!$AB$10,-2))))),IF(AND(AH!$H$12="Derecha",RASANTE!F138&lt;=PERALTE!$AB$10),IF(RASANTE!F138&lt;=PERALTE!$Q$10,-2,IF(RASANTE!F138&lt;=PERALTE!$U$10,(10/(PERALTE!$U$10-PERALTE!$Q$10)*(RASANTE!F138-PERALTE!$Q$10)-2),IF(RASANTE!F138&lt;=PERALTE!$X$10,8,IF(RASANTE!F138&lt;=PERALTE!$AB$10,(10/(PERALTE!$X$10-PERALTE!$AB$10)*(RASANTE!F138-PERALTE!$AB$10)-2))))),IF(AND(AH!$H$14="Izquierda",RASANTE!F138&lt;=PERALTE!$AB$12),IF(RASANTE!F138&lt;=PERALTE!$S$12,-2,IF(RASANTE!F138&lt;=PERALTE!$U$12,(-6/(PERALTE!$U$12-PERALTE!$S$12)*(RASANTE!F138-PERALTE!$S$12)-2),IF(RASANTE!F138&lt;=PERALTE!$X$12,-8,IF(RASANTE!F138&lt;=PERALTE!$Z$12,(-6/(PERALTE!$X$12-PERALTE!$Z$12)*(RASANTE!F138-PERALTE!$Z$12)-2),IF(RASANTE!F138&lt;=PERALTE!$AB$12,-2))))),IF(AND(AH!$H$14="Derecha",RASANTE!F138&lt;=PERALTE!$AB$12),IF(RASANTE!F138&lt;=PERALTE!$Q$12,-2,IF(RASANTE!F138&lt;=PERALTE!$U$12,(10/(PERALTE!$U$12-PERALTE!$Q$12)*(RASANTE!F138-PERALTE!$Q$12)-2),IF(RASANTE!F138&lt;=PERALTE!$X$12,8,IF(RASANTE!F138&lt;=PERALTE!$AB$12,(10/(PERALTE!$X$12-PERALTE!$AB$12)*(RASANTE!F138-PERALTE!$AB$12)-2))))),IF(AND(AH!$H$16="Izquierda",RASANTE!F138&lt;=PERALTE!$AB$14),IF(RASANTE!F138&lt;=PERALTE!$S$14,-2,IF(RASANTE!F138&lt;=PERALTE!$U$14,(-6/(PERALTE!$U$14-PERALTE!$S$14)*(RASANTE!F138-PERALTE!$S$14)-2),IF(RASANTE!F138&lt;=PERALTE!$X$14,-8,IF(RASANTE!F138&lt;=PERALTE!$Z$14,(-6/(PERALTE!$X$14-PERALTE!$Z$14)*(RASANTE!F138-PERALTE!$Z$14)-2),IF(RASANTE!F138&lt;=PERALTE!$AB$14,-2))))),IF(AND(AH!$H$16="Derecha",RASANTE!F138&lt;=PERALTE!$AB$14),IF(RASANTE!F138&lt;=PERALTE!$Q$14,-2,IF(RASANTE!F138&lt;=PERALTE!$U$14,(10/(PERALTE!$U$14-PERALTE!$Q$14)*(RASANTE!F138-PERALTE!$Q$14)-2),IF(RASANTE!F138&lt;=PERALTE!$X$14,8,IF(RASANTE!F138&lt;=PERALTE!$AB$14,(10/(PERALTE!$X$14-PERALTE!$AB$14)*(RASANTE!F138-PERALTE!$AB$14)-2))))),IF(AND(AH!$H$18="Izquierda",RASANTE!F138&lt;=PERALTE!$AB$16),IF(RASANTE!F138&lt;=PERALTE!$S$16,-2,IF(RASANTE!F138&lt;=PERALTE!$U$16,(-6/(PERALTE!$U$16-PERALTE!$S$16)*(RASANTE!F138-PERALTE!$S$16)-2),IF(RASANTE!F138&lt;=PERALTE!$X$16,-8,IF(RASANTE!F138&lt;=PERALTE!$Z$16,(-6/(PERALTE!$X$16-PERALTE!$Z$16)*(RASANTE!F138-PERALTE!$Z$16)-2),IF(RASANTE!F138&lt;=PERALTE!$AB$16,-2))))),IF(AND(AH!$H$18="Derecha",RASANTE!F138&lt;=PERALTE!$AB$16),IF(RASANTE!F138&lt;=PERALTE!$Q$16,-2,IF(RASANTE!F138&lt;=PERALTE!$U$16,(10/(PERALTE!$U$16-PERALTE!$Q$16)*(RASANTE!F138-PERALTE!$Q$16)-2),IF(RASANTE!F138&lt;=PERALTE!$X$16,8,IF(RASANTE!F138&lt;=PERALTE!$AB$16,(10/(PERALTE!$X$16-PERALTE!$AB$16)*(RASANTE!F138-PERALTE!$AB$16)-2))))),IF(AND(AH!$H$20="Izquierda",RASANTE!F138&lt;=PERALTE!$AB$18),IF(RASANTE!F138&lt;=PERALTE!$S$18,-2,IF(RASANTE!F138&lt;=PERALTE!$U$18,(-6/(PERALTE!$U$18-PERALTE!$S$18)*(RASANTE!F138-PERALTE!$S$18)-2),IF(RASANTE!F138&lt;=PERALTE!$X$18,-8,IF(RASANTE!F138&lt;=PERALTE!$Z$18,(-6/(PERALTE!$X$18-PERALTE!$Z$18)*(RASANTE!F138-PERALTE!$Z$18)-2),IF(RASANTE!F138&lt;=PERALTE!$AB$18,-2))))),IF(AND(AH!$H$20="Derecha",RASANTE!F138&lt;=PERALTE!$AB$18),IF(RASANTE!F138&lt;=PERALTE!$Q$18,-2,IF(RASANTE!F138&lt;=PERALTE!$U$18,(10/(PERALTE!$U$18-PERALTE!$Q$18)*(RASANTE!F138-PERALTE!$Q$18)-2),IF(RASANTE!F138&lt;=PERALTE!$X$18,8,IF(RASANTE!F138&lt;=PERALTE!$AB$18,(10/(PERALTE!$X$18-PERALTE!$AB$18)*(RASANTE!F138-PERALTE!$AB$18)-2))))),IF(AND(AH!$H$24="Izquierda",RASANTE!F138&lt;=PERALTE!$AB$22),IF(RASANTE!F138&lt;=PERALTE!$S$22,-2,IF(RASANTE!F138&lt;=PERALTE!$U$22,(-6/(PERALTE!$U$22-PERALTE!$S$22)*(RASANTE!F138-PERALTE!$S$22)-2),IF(RASANTE!F138&lt;=PERALTE!$X$22,-8,IF(RASANTE!F138&lt;=PERALTE!$Z$22,(-6/(PERALTE!$X$22-PERALTE!$Z$22)*(RASANTE!F138-PERALTE!$Z$22)-2),IF(RASANTE!F138&lt;=PERALTE!$AB$22,-2))))),IF(AND(AH!$H$24="Derecha",RASANTE!F138&lt;=PERALTE!$AB$22),IF(RASANTE!F138&lt;=PERALTE!$Q$22,-2,IF(RASANTE!F138&lt;=PERALTE!$U$22,(10/(PERALTE!$U$22-PERALTE!$Q$22)*(RASANTE!F138-PERALTE!$Q$22)-2),IF(RASANTE!F138&lt;=PERALTE!$X$22,8,IF(RASANTE!F138&lt;=PERALTE!$AB$22,(10/(PERALTE!$X$22-PERALTE!$AB$22)*(RASANTE!F138-PERALTE!$AB$22)-2))))),IF(AND(AH!#REF!="Izquierda",RASANTE!F138&lt;=PERALTE!#REF!),IF(RASANTE!F138&lt;=PERALTE!#REF!,-2,IF(RASANTE!F138&lt;=PERALTE!#REF!,(-6/(PERALTE!#REF!-PERALTE!#REF!)*(RASANTE!F138-PERALTE!#REF!)-2),IF(RASANTE!F138&lt;=PERALTE!#REF!,-8,IF(RASANTE!F138&lt;=PERALTE!#REF!,(-6/(PERALTE!#REF!-PERALTE!#REF!)*(RASANTE!F138-PERALTE!#REF!)-2),IF(RASANTE!F138&lt;=PERALTE!#REF!,-2))))),IF(AND(AH!#REF!="Derecha",RASANTE!F138&lt;=PERALTE!#REF!),IF(RASANTE!F138&lt;=PERALTE!#REF!,-2,IF(RASANTE!F138&lt;=PERALTE!#REF!,(10/(PERALTE!#REF!-PERALTE!#REF!)*(RASANTE!F138-PERALTE!#REF!)-2),IF(RASANTE!F138&lt;=PERALTE!#REF!,8,IF(RASANTE!F138&lt;=PERALTE!#REF!,(10/(PERALTE!#REF!-PERALTE!#REF!)*(RASANTE!F138-PERALTE!#REF!)-2))))),IF(AND(AH!#REF!="Izquierda",RASANTE!F138&lt;=PERALTE!$AB$26),IF(RASANTE!F138&lt;=PERALTE!$S$26,-2,IF(RASANTE!F138&lt;=PERALTE!$U$26,(-6/(PERALTE!$U$26-PERALTE!$S$26)*(RASANTE!F138-PERALTE!$S$26)-2),IF(RASANTE!F138&lt;=PERALTE!$X$26,-8,IF(RASANTE!F138&lt;=PERALTE!$Z$26,(-6/(PERALTE!$X$26-PERALTE!$Z$26)*(RASANTE!F138-PERALTE!$Z$26)-2),IF(RASANTE!F138&lt;=PERALTE!$AB$26,-2))))),IF(AND(AH!#REF!="Derecha",RASANTE!F138&lt;=PERALTE!$AB$26),IF(RASANTE!F138&lt;=PERALTE!$Q$26,-2,IF(RASANTE!F138&lt;=PERALTE!$U$26,(10/(PERALTE!$U$26-PERALTE!$Q$26)*(RASANTE!F138-PERALTE!$Q$26)-2),IF(RASANTE!F138&lt;=PERALTE!$X$26,8,IF(RASANTE!F138&lt;=PERALTE!$AB$26,(10/(PERALTE!$X$26-PERALTE!$AB$26)*(RASANTE!F138-PERALTE!$AB$26)-2))))),IF(F138&lt;=PERALTE!#REF!,-2,"Abscisa fuera de la vía")))))))))))))))))))))</f>
        <v>-8</v>
      </c>
      <c r="I138" s="28">
        <f>+IF(AND(AH!$H$8="Derecha",RASANTE!F138&lt;=PERALTE!$AB$6),IF(RASANTE!F138&lt;=PERALTE!$S$6,-2,IF(RASANTE!F138&lt;=PERALTE!$U$6,(-6/(PERALTE!$U$6-PERALTE!$S$6)*(RASANTE!F138-PERALTE!$S$6)-2),IF(RASANTE!F138&lt;=PERALTE!$X$6,-8,IF(RASANTE!F138&lt;=PERALTE!$Z$6,(-6/(PERALTE!$X$6-PERALTE!$Z$6)*(RASANTE!F138-PERALTE!$Z$6)-2),IF(RASANTE!F138&lt;=PERALTE!$AB$6,-2))))),IF(AND(AH!$H$8="Izquierda",RASANTE!F138&lt;=PERALTE!$AB$6),IF(RASANTE!F138&lt;=PERALTE!$Q$6,-2,IF(RASANTE!F138&lt;=PERALTE!$U$6,(10/(PERALTE!$U$6-PERALTE!$Q$6)*(RASANTE!F138-PERALTE!$Q$6)-2),IF(RASANTE!F138&lt;=PERALTE!$X$6,8,IF(RASANTE!F138&lt;=PERALTE!$AB$6,(10/(PERALTE!$X$6-PERALTE!$AB$6)*(RASANTE!F138-PERALTE!$AB$6)-2))))),IF(AND(AH!$H$10="Derecha",RASANTE!F138&lt;=PERALTE!$AB$8),IF(RASANTE!F138&lt;=PERALTE!$S$8,-2,IF(RASANTE!F138&lt;=PERALTE!$U$8,(-6/(PERALTE!$U$8-PERALTE!$S$8)*(RASANTE!F138-PERALTE!$S$8)-2),IF(RASANTE!F138&lt;=PERALTE!$X$8,-8,IF(RASANTE!F138&lt;=PERALTE!$Z$8,(-6/(PERALTE!$X$8-PERALTE!$Z$8)*(RASANTE!F138-PERALTE!$Z$8)-2),IF(RASANTE!F138&lt;=PERALTE!$AB$8,-2))))),IF(AND(AH!$H$10="Izquierda",RASANTE!F138&lt;=PERALTE!$AB$8),IF(RASANTE!F138&lt;=PERALTE!$Q$8,-2,IF(RASANTE!F138&lt;=PERALTE!$U$8,(10/(PERALTE!$U$8-PERALTE!$Q$8)*(RASANTE!F138-PERALTE!$Q$8)-2),IF(RASANTE!F138&lt;=PERALTE!$X$8,8,IF(RASANTE!F138&lt;=PERALTE!$AB$8,(10/(PERALTE!$X$8-PERALTE!$AB$8)*(RASANTE!F138-PERALTE!$AB$8)-2))))),IF(AND(AH!$H$12="Derecha",RASANTE!F138&lt;=PERALTE!$AB$10),IF(RASANTE!F138&lt;=PERALTE!$S$10,-2,IF(RASANTE!F138&lt;=PERALTE!$U$10,(-6/(PERALTE!$U$10-PERALTE!$S$10)*(RASANTE!F138-PERALTE!$S$10)-2),IF(RASANTE!F138&lt;=PERALTE!$X$10,-8,IF(RASANTE!F138&lt;=PERALTE!$Z$10,(-6/(PERALTE!$X$10-PERALTE!$Z$10)*(RASANTE!F138-PERALTE!$Z$10)-2),IF(RASANTE!F138&lt;=PERALTE!$AB$10,-2))))),IF(AND(AH!$H$12="Izquierda",RASANTE!F138&lt;=PERALTE!$AB$10),IF(RASANTE!F138&lt;=PERALTE!$Q$10,-2,IF(RASANTE!F138&lt;=PERALTE!$U$10,(10/(PERALTE!$U$10-PERALTE!$Q$10)*(RASANTE!F138-PERALTE!$Q$10)-2),IF(RASANTE!F138&lt;=PERALTE!$X$10,8,IF(RASANTE!F138&lt;=PERALTE!$AB$10,(10/(PERALTE!$X$10-PERALTE!$AB$10)*(RASANTE!F138-PERALTE!$AB$10)-2))))),IF(AND(AH!$H$14="Derecha",RASANTE!F138&lt;=PERALTE!$AB$12),IF(RASANTE!F138&lt;=PERALTE!$S$12,-2,IF(RASANTE!F138&lt;=PERALTE!$U$12,(-6/(PERALTE!$U$12-PERALTE!$S$12)*(RASANTE!F138-PERALTE!$S$12)-2),IF(RASANTE!F138&lt;=PERALTE!$X$12,-8,IF(RASANTE!F138&lt;=PERALTE!$Z$12,(-6/(PERALTE!$X$12-PERALTE!$Z$12)*(RASANTE!F138-PERALTE!$Z$12)-2),IF(RASANTE!F138&lt;=PERALTE!$AB$12,-2))))),IF(AND(AH!$H$14="Izquierda",RASANTE!F138&lt;=PERALTE!$AB$12),IF(RASANTE!F138&lt;=PERALTE!$Q$12,-2,IF(RASANTE!F138&lt;=PERALTE!$U$12,(10/(PERALTE!$U$12-PERALTE!$Q$12)*(RASANTE!F138-PERALTE!$Q$12)-2),IF(RASANTE!F138&lt;=PERALTE!$X$12,8,IF(RASANTE!F138&lt;=PERALTE!$AB$12,(10/(PERALTE!$X$12-PERALTE!$AB$12)*(RASANTE!F138-PERALTE!$AB$12)-2))))),IF(AND(AH!$H$16="Derecha",RASANTE!F138&lt;=PERALTE!$AB$14),IF(RASANTE!F138&lt;=PERALTE!$S$14,-2,IF(RASANTE!F138&lt;=PERALTE!$U$14,(-6/(PERALTE!$U$14-PERALTE!$S$14)*(RASANTE!F138-PERALTE!$S$14)-2),IF(RASANTE!F138&lt;=PERALTE!$X$14,-8,IF(RASANTE!F138&lt;=PERALTE!$Z$14,(-6/(PERALTE!$X$14-PERALTE!$Z$14)*(RASANTE!F138-PERALTE!$Z$14)-2),IF(RASANTE!F138&lt;=PERALTE!$AB$14,-2))))),IF(AND(AH!$H$16="Izquierda",RASANTE!F138&lt;=PERALTE!$AB$14),IF(RASANTE!F138&lt;=PERALTE!$Q$14,-2,IF(RASANTE!F138&lt;=PERALTE!$U$14,(10/(PERALTE!$U$14-PERALTE!$Q$14)*(RASANTE!F138-PERALTE!$Q$14)-2),IF(RASANTE!F138&lt;=PERALTE!$X$14,8,IF(RASANTE!F138&lt;=PERALTE!$AB$14,(10/(PERALTE!$X$14-PERALTE!$AB$14)*(RASANTE!F138-PERALTE!$AB$14)-2))))),IF(AND(AH!$H$18="Derecha",RASANTE!F138&lt;=PERALTE!$AB$16),IF(RASANTE!F138&lt;=PERALTE!$S$16,-2,IF(RASANTE!F138&lt;=PERALTE!$U$16,(-6/(PERALTE!$U$16-PERALTE!$S$16)*(RASANTE!F138-PERALTE!$S$16)-2),IF(RASANTE!F138&lt;=PERALTE!$X$16,-8,IF(RASANTE!F138&lt;=PERALTE!$Z$16,(-6/(PERALTE!$X$16-PERALTE!$Z$16)*(RASANTE!F138-PERALTE!$Z$16)-2),IF(RASANTE!F138&lt;=PERALTE!$AB$16,-2))))),IF(AND(AH!$H$18="Izquierda",RASANTE!F138&lt;=PERALTE!$AB$16),IF(RASANTE!F138&lt;=PERALTE!$Q$16,-2,IF(RASANTE!F138&lt;=PERALTE!$U$16,(10/(PERALTE!$U$16-PERALTE!$Q$16)*(RASANTE!F138-PERALTE!$Q$16)-2),IF(RASANTE!F138&lt;=PERALTE!$X$16,8,IF(RASANTE!F138&lt;=PERALTE!$AB$16,(10/(PERALTE!$X$16-PERALTE!$AB$16)*(RASANTE!F138-PERALTE!$AB$16)-2))))),IF(AND(AH!$H$20="Derecha",RASANTE!F138&lt;=PERALTE!$AB$18),IF(RASANTE!F138&lt;=PERALTE!$S$18,-2,IF(RASANTE!F138&lt;=PERALTE!$U$18,(-6/(PERALTE!$U$18-PERALTE!$S$18)*(RASANTE!F138-PERALTE!$S$18)-2),IF(RASANTE!F138&lt;=PERALTE!$X$18,-8,IF(RASANTE!F138&lt;=PERALTE!$Z$18,(-6/(PERALTE!$X$18-PERALTE!$Z$18)*(RASANTE!F138-PERALTE!$Z$18)-2),IF(RASANTE!F138&lt;=PERALTE!$AB$18,-2))))),IF(AND(AH!$H$20="Izquierda",RASANTE!F138&lt;=PERALTE!$AB$18),IF(RASANTE!F138&lt;=PERALTE!$Q$18,-2,IF(RASANTE!F138&lt;=PERALTE!$U$18,(10/(PERALTE!$U$18-PERALTE!$Q$18)*(RASANTE!F138-PERALTE!$Q$18)-2),IF(RASANTE!F138&lt;=PERALTE!$X$18,8,IF(RASANTE!F138&lt;=PERALTE!$AB$18,(10/(PERALTE!$X$18-PERALTE!$AB$18)*(RASANTE!F138-PERALTE!$AB$18)-2))))),IF(AND(AH!$H$24="Derecha",RASANTE!F138&lt;=PERALTE!$AB$22),IF(RASANTE!F138&lt;=PERALTE!$S$22,-2,IF(RASANTE!F138&lt;=PERALTE!$U$22,(-6/(PERALTE!$U$22-PERALTE!$S$22)*(RASANTE!F138-PERALTE!$S$22)-2),IF(RASANTE!F138&lt;=PERALTE!$X$22,-8,IF(RASANTE!F138&lt;=PERALTE!$Z$22,(-6/(PERALTE!$X$22-PERALTE!$Z$22)*(RASANTE!F138-PERALTE!$Z$22)-2),IF(RASANTE!F138&lt;=PERALTE!$AB$22,-2))))),IF(AND(AH!$H$24="Izquierda",RASANTE!F138&lt;=PERALTE!$AB$22),IF(RASANTE!F138&lt;=PERALTE!$Q$22,-2,IF(RASANTE!F138&lt;=PERALTE!$U$22,(10/(PERALTE!$U$22-PERALTE!$Q$22)*(RASANTE!F138-PERALTE!$Q$22)-2),IF(RASANTE!F138&lt;=PERALTE!$X$22,8,IF(RASANTE!F138&lt;=PERALTE!$AB$22,(10/(PERALTE!$X$22-PERALTE!$AB$22)*(RASANTE!F138-PERALTE!$AB$22)-2))))),IF(AND(AH!#REF!="Derecha",RASANTE!F138&lt;=PERALTE!#REF!),IF(RASANTE!F138&lt;=PERALTE!#REF!,-2,IF(RASANTE!F138&lt;=PERALTE!#REF!,(-6/(PERALTE!#REF!-PERALTE!#REF!)*(RASANTE!F138-PERALTE!#REF!)-2),IF(RASANTE!F138&lt;=PERALTE!#REF!,-8,IF(RASANTE!F138&lt;=PERALTE!#REF!,(-6/(PERALTE!#REF!-PERALTE!#REF!)*(RASANTE!F138-PERALTE!#REF!)-2),IF(RASANTE!F138&lt;=PERALTE!#REF!,-2))))),IF(AND(AH!#REF!="Izquierda",RASANTE!F138&lt;=PERALTE!#REF!),IF(RASANTE!F138&lt;=PERALTE!#REF!,-2,IF(RASANTE!F138&lt;=PERALTE!#REF!,(10/(PERALTE!#REF!-PERALTE!#REF!)*(RASANTE!F138-PERALTE!#REF!)-2),IF(RASANTE!F138&lt;=PERALTE!#REF!,8,IF(RASANTE!F138&lt;=PERALTE!#REF!,(10/(PERALTE!#REF!-PERALTE!#REF!)*(RASANTE!F138-PERALTE!#REF!)-2))))),IF(AND(AH!#REF!="Derecha",RASANTE!F138&lt;=PERALTE!$AB$26),IF(RASANTE!F138&lt;=PERALTE!$S$26,-2,IF(RASANTE!F138&lt;=PERALTE!$U$26,(-6/(PERALTE!$U$26-PERALTE!$S$26)*(RASANTE!F138-PERALTE!$S$26)-2),IF(RASANTE!F138&lt;=PERALTE!$X$26,-8,IF(RASANTE!F138&lt;=PERALTE!$Z$26,(-6/(PERALTE!$X$26-PERALTE!$Z$26)*(RASANTE!F138-PERALTE!$Z$26)-2),IF(RASANTE!F138&lt;=PERALTE!$AB$26,-2))))),IF(AND(AH!#REF!="Izquierda",RASANTE!F138&lt;=PERALTE!$AB$26),IF(RASANTE!F138&lt;=PERALTE!$Q$26,-2,IF(RASANTE!F138&lt;=PERALTE!$U$26,(10/(PERALTE!$U$26-PERALTE!$Q$26)*(RASANTE!F138-PERALTE!$Q$26)-2),IF(RASANTE!F138&lt;=PERALTE!$X$26,8,IF(RASANTE!F138&lt;=PERALTE!$AB$26,(10/(PERALTE!$X$26-PERALTE!$AB$26)*(RASANTE!F138-PERALTE!$AB$26)-2))))),IF(F138&lt;=PERALTE!#REF!,-2,"Abscisa fuera de la vía")))))))))))))))))))))</f>
        <v>8</v>
      </c>
      <c r="J138" s="28">
        <f t="shared" si="6"/>
        <v>1625.0513380375919</v>
      </c>
      <c r="K138" s="28">
        <f>+IF(AND(AV!$S$6&lt;F186,F186&lt;=AV!$T$6),AV!$P$6*((AV!$S$6-RASANTE!F186)/(AV!$N$6))^2,IF(AND(AV!$T$6&lt;RASANTE!F186,F186&lt;AV!$U$6),AV!$P$6*((AV!$U$6-RASANTE!F186)/(AV!$O$6))^2,IF(AND(AV!$S$8&lt;F186,F186&lt;=AV!$T$8),AV!$P$8*((AV!$S$8-RASANTE!F186)/(AV!$N$8))^2,IF(AND(AV!$T$8&lt;RASANTE!F186,F186&lt;AV!$U$8),AV!$P$8*((AV!$U$8-RASANTE!F186)/(AV!$O$8))^2,IF(AND(AV!$S$10&lt;F186,F186&lt;=AV!$T$10),AV!$P$10*((AV!$S$10-RASANTE!F186)/(AV!$N$10))^2,IF(AND(AV!$T$10&lt;RASANTE!F186,F186&lt;AV!$U$10),AV!$P$10*((AV!$U$10-RASANTE!F186)/(AV!$O$10))^2,IF(AND(AV!$S$12&lt;F186,F186&lt;=AV!$T$12),AV!$P$12*((AV!$S$12-RASANTE!F186)/(AV!$N$12))^2,IF(AND(AV!$T$12&lt;RASANTE!F186,F186&lt;AV!$U$12),AV!$P$12*((AV!$U$12-RASANTE!F186)/(AV!$O$12))^2,IF(AND(AV!$S$14&lt;F186,F186&lt;=AV!$T$14),AV!$P$14*((AV!$S$14-RASANTE!F186)/(AV!$N$14))^2,IF(AND(AV!$T$14&lt;RASANTE!F186,F186&lt;AV!$U$14),AV!$P$14*((AV!$U$14-RASANTE!F186)/(AV!$O$14))^2,IF(AND(AV!$S$16&lt;F186,F186&lt;=AV!$T$16),AV!$P$16*((AV!$S$16-RASANTE!F186)/(AV!$N$16))^2,IF(AND(AV!$T$16&lt;RASANTE!F186,F186&lt;AV!$U$16),AV!$P$16*((AV!$U$16-RASANTE!F186)/(AV!$O$16))^2,IF(AND(AV!$S$18&lt;F186,F186&lt;=AV!$T$18),AV!$P$18*((AV!$S$18-RASANTE!F186)/(AV!$N$18))^2,IF(AND(AV!$T$18&lt;RASANTE!F186,F186&lt;AV!$U$18),AV!$P$18*((AV!$U$18-RASANTE!F186)/(AV!$O$18))^2,IF(AND(AV!$S$20&lt;F186,F186&lt;=AV!$T$20),AV!$P$20*((AV!$S$20-RASANTE!F186)/(AV!$N$20))^2,IF(AND(AV!$T$20&lt;RASANTE!F186,F186&lt;AV!$U$20),AV!$P$20*((AV!$U$20-RASANTE!F186)/(AV!$O$20))^2,IF(AND(AV!$S$22&lt;F186,F186&lt;=AV!$T$22),AV!$P$22*((AV!$S$22-RASANTE!F186)/(AV!$N$22))^2,IF(AND(AV!$T$22&lt;RASANTE!F186,F186&lt;AV!$U$22),AV!$P$22*((AV!$U$22-RASANTE!F186)/(AV!$O$22))^2,IF(AND(AV!$S$24&lt;F186,F186&lt;=AV!$T$24),AV!$P$24*((AV!$S$24-RASANTE!F186)/(AV!$N$24))^2,IF(AND(AV!$T$24&lt;RASANTE!F186,F186&lt;AV!$U$24),AV!$P$24*((AV!$U$24-RASANTE!F186)/(AV!$O$24))^2,0))))))))))))))))))))</f>
        <v>0</v>
      </c>
      <c r="L138" s="28">
        <f>+M138+H138%*PERALTE!$C$32</f>
        <v>1624.7713380375919</v>
      </c>
      <c r="M138" s="28">
        <f t="shared" si="5"/>
        <v>1625.0513380375919</v>
      </c>
      <c r="N138" s="28">
        <f>+M138+I138%*PERALTE!$C$32</f>
        <v>1625.3313380375919</v>
      </c>
      <c r="O138" s="92"/>
      <c r="P138" s="84"/>
      <c r="Q138" s="84"/>
      <c r="R138" s="84"/>
      <c r="S138" s="84"/>
      <c r="T138" s="84"/>
      <c r="U138" s="84"/>
      <c r="V138" s="84"/>
      <c r="W138" s="84"/>
      <c r="X138" s="84"/>
      <c r="Y138" s="84"/>
    </row>
    <row r="139" spans="1:25" ht="15.75" customHeight="1" x14ac:dyDescent="0.2">
      <c r="A139" s="90"/>
      <c r="B139" s="187">
        <f>AH!S14</f>
        <v>81.863841334485116</v>
      </c>
      <c r="C139" s="188">
        <f>PERALTE!C34</f>
        <v>8</v>
      </c>
      <c r="D139" s="186"/>
      <c r="E139" s="157"/>
      <c r="F139" s="34">
        <v>840</v>
      </c>
      <c r="G139" s="88">
        <f>IF(F139&lt;=AV!$T$6,AV!$C$5,IF(RASANTE!F139&lt;=AV!$T$8,AV!$C$7,IF(RASANTE!F139&lt;=AV!$T$10,AV!$C$9,IF(RASANTE!F139&lt;=AV!$T$12,AV!$C$11,IF(RASANTE!F139&lt;=AV!$T$14,AV!$C$13,IF(RASANTE!F139&lt;=AV!$T$16,AV!$C$15, IF(RASANTE!F139&lt;=AV!$T$18,AV!$C$17,IF(RASANTE!F139&lt;=AV!$T$20,AV!$C$19,IF(RASANTE!F139&lt;=AV!$T$22,AV!$C$21,IF(RASANTE!F139&lt;=AV!$T$24,AV!$C$23,AV!$C$25))))))))))</f>
        <v>-7.2409999999999997</v>
      </c>
      <c r="H139" s="28">
        <f>+IF(AND(AH!$H$8="Izquierda",RASANTE!F139&lt;=PERALTE!$AB$6),IF(RASANTE!F139&lt;=PERALTE!$S$6,-2,IF(RASANTE!F139&lt;=PERALTE!$U$6,(-6/(PERALTE!$U$6-PERALTE!$S$6)*(RASANTE!F139-PERALTE!$S$6)-2),IF(RASANTE!F139&lt;=PERALTE!$X$6,-8,IF(RASANTE!F139&lt;=PERALTE!$Z$6,(-6/(PERALTE!$X$6-PERALTE!$Z$6)*(RASANTE!F139-PERALTE!$Z$6)-2),IF(RASANTE!F139&lt;=PERALTE!$AB$6,-2))))),IF(AND(AH!$H$8="Derecha",RASANTE!F139&lt;=PERALTE!$AB$6),IF(RASANTE!F139&lt;=PERALTE!$Q$6,-2,IF(RASANTE!F139&lt;=PERALTE!$U$6,(10/(PERALTE!$U$6-PERALTE!$Q$6)*(RASANTE!F139-PERALTE!$Q$6)-2),IF(RASANTE!F139&lt;=PERALTE!$X$6,8,IF(RASANTE!F139&lt;=PERALTE!$AB$6,(10/(PERALTE!$X$6-PERALTE!$AB$6)*(RASANTE!F139-PERALTE!$AB$6)-2))))),IF(AND(AH!$H$10="Izquierda",RASANTE!F139&lt;=PERALTE!$AB$8),IF(RASANTE!F139&lt;=PERALTE!$S$8,-2,IF(RASANTE!F139&lt;=PERALTE!$U$8,(-6/(PERALTE!$U$8-PERALTE!$S$8)*(RASANTE!F139-PERALTE!$S$8)-2),IF(RASANTE!F139&lt;=PERALTE!$X$8,-8,IF(RASANTE!F139&lt;=PERALTE!$Z$8,(-6/(PERALTE!$X$8-PERALTE!$Z$8)*(RASANTE!F139-PERALTE!$Z$8)-2),IF(RASANTE!F139&lt;=PERALTE!$AB$8,-2))))),IF(AND(AH!$H$10="Derecha",RASANTE!F139&lt;=PERALTE!$AB$8),IF(RASANTE!F139&lt;=PERALTE!$Q$8,-2,IF(RASANTE!F139&lt;=PERALTE!$U$8,(10/(PERALTE!$U$8-PERALTE!$Q$8)*(RASANTE!F139-PERALTE!$Q$8)-2),IF(RASANTE!F139&lt;=PERALTE!$X$8,8,IF(RASANTE!F139&lt;=PERALTE!$AB$8,(10/(PERALTE!$X$8-PERALTE!$AB$8)*(RASANTE!F139-PERALTE!$AB$8)-2))))),IF(AND(AH!$H$12="Izquierda",RASANTE!F139&lt;=PERALTE!$AB$10),IF(RASANTE!F139&lt;=PERALTE!$S$10,-2,IF(RASANTE!F139&lt;=PERALTE!$U$10,(-6/(PERALTE!$U$10-PERALTE!$S$10)*(RASANTE!F139-PERALTE!$S$10)-2),IF(RASANTE!F139&lt;=PERALTE!$X$10,-8,IF(RASANTE!F139&lt;=PERALTE!$Z$10,(-6/(PERALTE!$X$10-PERALTE!$Z$10)*(RASANTE!F139-PERALTE!$Z$10)-2),IF(RASANTE!F139&lt;=PERALTE!$AB$10,-2))))),IF(AND(AH!$H$12="Derecha",RASANTE!F139&lt;=PERALTE!$AB$10),IF(RASANTE!F139&lt;=PERALTE!$Q$10,-2,IF(RASANTE!F139&lt;=PERALTE!$U$10,(10/(PERALTE!$U$10-PERALTE!$Q$10)*(RASANTE!F139-PERALTE!$Q$10)-2),IF(RASANTE!F139&lt;=PERALTE!$X$10,8,IF(RASANTE!F139&lt;=PERALTE!$AB$10,(10/(PERALTE!$X$10-PERALTE!$AB$10)*(RASANTE!F139-PERALTE!$AB$10)-2))))),IF(AND(AH!$H$14="Izquierda",RASANTE!F139&lt;=PERALTE!$AB$12),IF(RASANTE!F139&lt;=PERALTE!$S$12,-2,IF(RASANTE!F139&lt;=PERALTE!$U$12,(-6/(PERALTE!$U$12-PERALTE!$S$12)*(RASANTE!F139-PERALTE!$S$12)-2),IF(RASANTE!F139&lt;=PERALTE!$X$12,-8,IF(RASANTE!F139&lt;=PERALTE!$Z$12,(-6/(PERALTE!$X$12-PERALTE!$Z$12)*(RASANTE!F139-PERALTE!$Z$12)-2),IF(RASANTE!F139&lt;=PERALTE!$AB$12,-2))))),IF(AND(AH!$H$14="Derecha",RASANTE!F139&lt;=PERALTE!$AB$12),IF(RASANTE!F139&lt;=PERALTE!$Q$12,-2,IF(RASANTE!F139&lt;=PERALTE!$U$12,(10/(PERALTE!$U$12-PERALTE!$Q$12)*(RASANTE!F139-PERALTE!$Q$12)-2),IF(RASANTE!F139&lt;=PERALTE!$X$12,8,IF(RASANTE!F139&lt;=PERALTE!$AB$12,(10/(PERALTE!$X$12-PERALTE!$AB$12)*(RASANTE!F139-PERALTE!$AB$12)-2))))),IF(AND(AH!$H$16="Izquierda",RASANTE!F139&lt;=PERALTE!$AB$14),IF(RASANTE!F139&lt;=PERALTE!$S$14,-2,IF(RASANTE!F139&lt;=PERALTE!$U$14,(-6/(PERALTE!$U$14-PERALTE!$S$14)*(RASANTE!F139-PERALTE!$S$14)-2),IF(RASANTE!F139&lt;=PERALTE!$X$14,-8,IF(RASANTE!F139&lt;=PERALTE!$Z$14,(-6/(PERALTE!$X$14-PERALTE!$Z$14)*(RASANTE!F139-PERALTE!$Z$14)-2),IF(RASANTE!F139&lt;=PERALTE!$AB$14,-2))))),IF(AND(AH!$H$16="Derecha",RASANTE!F139&lt;=PERALTE!$AB$14),IF(RASANTE!F139&lt;=PERALTE!$Q$14,-2,IF(RASANTE!F139&lt;=PERALTE!$U$14,(10/(PERALTE!$U$14-PERALTE!$Q$14)*(RASANTE!F139-PERALTE!$Q$14)-2),IF(RASANTE!F139&lt;=PERALTE!$X$14,8,IF(RASANTE!F139&lt;=PERALTE!$AB$14,(10/(PERALTE!$X$14-PERALTE!$AB$14)*(RASANTE!F139-PERALTE!$AB$14)-2))))),IF(AND(AH!$H$18="Izquierda",RASANTE!F139&lt;=PERALTE!$AB$16),IF(RASANTE!F139&lt;=PERALTE!$S$16,-2,IF(RASANTE!F139&lt;=PERALTE!$U$16,(-6/(PERALTE!$U$16-PERALTE!$S$16)*(RASANTE!F139-PERALTE!$S$16)-2),IF(RASANTE!F139&lt;=PERALTE!$X$16,-8,IF(RASANTE!F139&lt;=PERALTE!$Z$16,(-6/(PERALTE!$X$16-PERALTE!$Z$16)*(RASANTE!F139-PERALTE!$Z$16)-2),IF(RASANTE!F139&lt;=PERALTE!$AB$16,-2))))),IF(AND(AH!$H$18="Derecha",RASANTE!F139&lt;=PERALTE!$AB$16),IF(RASANTE!F139&lt;=PERALTE!$Q$16,-2,IF(RASANTE!F139&lt;=PERALTE!$U$16,(10/(PERALTE!$U$16-PERALTE!$Q$16)*(RASANTE!F139-PERALTE!$Q$16)-2),IF(RASANTE!F139&lt;=PERALTE!$X$16,8,IF(RASANTE!F139&lt;=PERALTE!$AB$16,(10/(PERALTE!$X$16-PERALTE!$AB$16)*(RASANTE!F139-PERALTE!$AB$16)-2))))),IF(AND(AH!$H$20="Izquierda",RASANTE!F139&lt;=PERALTE!$AB$18),IF(RASANTE!F139&lt;=PERALTE!$S$18,-2,IF(RASANTE!F139&lt;=PERALTE!$U$18,(-6/(PERALTE!$U$18-PERALTE!$S$18)*(RASANTE!F139-PERALTE!$S$18)-2),IF(RASANTE!F139&lt;=PERALTE!$X$18,-8,IF(RASANTE!F139&lt;=PERALTE!$Z$18,(-6/(PERALTE!$X$18-PERALTE!$Z$18)*(RASANTE!F139-PERALTE!$Z$18)-2),IF(RASANTE!F139&lt;=PERALTE!$AB$18,-2))))),IF(AND(AH!$H$20="Derecha",RASANTE!F139&lt;=PERALTE!$AB$18),IF(RASANTE!F139&lt;=PERALTE!$Q$18,-2,IF(RASANTE!F139&lt;=PERALTE!$U$18,(10/(PERALTE!$U$18-PERALTE!$Q$18)*(RASANTE!F139-PERALTE!$Q$18)-2),IF(RASANTE!F139&lt;=PERALTE!$X$18,8,IF(RASANTE!F139&lt;=PERALTE!$AB$18,(10/(PERALTE!$X$18-PERALTE!$AB$18)*(RASANTE!F139-PERALTE!$AB$18)-2))))),IF(AND(AH!$H$24="Izquierda",RASANTE!F139&lt;=PERALTE!$AB$22),IF(RASANTE!F139&lt;=PERALTE!$S$22,-2,IF(RASANTE!F139&lt;=PERALTE!$U$22,(-6/(PERALTE!$U$22-PERALTE!$S$22)*(RASANTE!F139-PERALTE!$S$22)-2),IF(RASANTE!F139&lt;=PERALTE!$X$22,-8,IF(RASANTE!F139&lt;=PERALTE!$Z$22,(-6/(PERALTE!$X$22-PERALTE!$Z$22)*(RASANTE!F139-PERALTE!$Z$22)-2),IF(RASANTE!F139&lt;=PERALTE!$AB$22,-2))))),IF(AND(AH!$H$24="Derecha",RASANTE!F139&lt;=PERALTE!$AB$22),IF(RASANTE!F139&lt;=PERALTE!$Q$22,-2,IF(RASANTE!F139&lt;=PERALTE!$U$22,(10/(PERALTE!$U$22-PERALTE!$Q$22)*(RASANTE!F139-PERALTE!$Q$22)-2),IF(RASANTE!F139&lt;=PERALTE!$X$22,8,IF(RASANTE!F139&lt;=PERALTE!$AB$22,(10/(PERALTE!$X$22-PERALTE!$AB$22)*(RASANTE!F139-PERALTE!$AB$22)-2))))),IF(AND(AH!#REF!="Izquierda",RASANTE!F139&lt;=PERALTE!#REF!),IF(RASANTE!F139&lt;=PERALTE!#REF!,-2,IF(RASANTE!F139&lt;=PERALTE!#REF!,(-6/(PERALTE!#REF!-PERALTE!#REF!)*(RASANTE!F139-PERALTE!#REF!)-2),IF(RASANTE!F139&lt;=PERALTE!#REF!,-8,IF(RASANTE!F139&lt;=PERALTE!#REF!,(-6/(PERALTE!#REF!-PERALTE!#REF!)*(RASANTE!F139-PERALTE!#REF!)-2),IF(RASANTE!F139&lt;=PERALTE!#REF!,-2))))),IF(AND(AH!#REF!="Derecha",RASANTE!F139&lt;=PERALTE!#REF!),IF(RASANTE!F139&lt;=PERALTE!#REF!,-2,IF(RASANTE!F139&lt;=PERALTE!#REF!,(10/(PERALTE!#REF!-PERALTE!#REF!)*(RASANTE!F139-PERALTE!#REF!)-2),IF(RASANTE!F139&lt;=PERALTE!#REF!,8,IF(RASANTE!F139&lt;=PERALTE!#REF!,(10/(PERALTE!#REF!-PERALTE!#REF!)*(RASANTE!F139-PERALTE!#REF!)-2))))),IF(AND(AH!#REF!="Izquierda",RASANTE!F139&lt;=PERALTE!$AB$26),IF(RASANTE!F139&lt;=PERALTE!$S$26,-2,IF(RASANTE!F139&lt;=PERALTE!$U$26,(-6/(PERALTE!$U$26-PERALTE!$S$26)*(RASANTE!F139-PERALTE!$S$26)-2),IF(RASANTE!F139&lt;=PERALTE!$X$26,-8,IF(RASANTE!F139&lt;=PERALTE!$Z$26,(-6/(PERALTE!$X$26-PERALTE!$Z$26)*(RASANTE!F139-PERALTE!$Z$26)-2),IF(RASANTE!F139&lt;=PERALTE!$AB$26,-2))))),IF(AND(AH!#REF!="Derecha",RASANTE!F139&lt;=PERALTE!$AB$26),IF(RASANTE!F139&lt;=PERALTE!$Q$26,-2,IF(RASANTE!F139&lt;=PERALTE!$U$26,(10/(PERALTE!$U$26-PERALTE!$Q$26)*(RASANTE!F139-PERALTE!$Q$26)-2),IF(RASANTE!F139&lt;=PERALTE!$X$26,8,IF(RASANTE!F139&lt;=PERALTE!$AB$26,(10/(PERALTE!$X$26-PERALTE!$AB$26)*(RASANTE!F139-PERALTE!$AB$26)-2))))),IF(F139&lt;=PERALTE!#REF!,-2,"Abscisa fuera de la vía")))))))))))))))))))))</f>
        <v>-8</v>
      </c>
      <c r="I139" s="28">
        <f>+IF(AND(AH!$H$8="Derecha",RASANTE!F139&lt;=PERALTE!$AB$6),IF(RASANTE!F139&lt;=PERALTE!$S$6,-2,IF(RASANTE!F139&lt;=PERALTE!$U$6,(-6/(PERALTE!$U$6-PERALTE!$S$6)*(RASANTE!F139-PERALTE!$S$6)-2),IF(RASANTE!F139&lt;=PERALTE!$X$6,-8,IF(RASANTE!F139&lt;=PERALTE!$Z$6,(-6/(PERALTE!$X$6-PERALTE!$Z$6)*(RASANTE!F139-PERALTE!$Z$6)-2),IF(RASANTE!F139&lt;=PERALTE!$AB$6,-2))))),IF(AND(AH!$H$8="Izquierda",RASANTE!F139&lt;=PERALTE!$AB$6),IF(RASANTE!F139&lt;=PERALTE!$Q$6,-2,IF(RASANTE!F139&lt;=PERALTE!$U$6,(10/(PERALTE!$U$6-PERALTE!$Q$6)*(RASANTE!F139-PERALTE!$Q$6)-2),IF(RASANTE!F139&lt;=PERALTE!$X$6,8,IF(RASANTE!F139&lt;=PERALTE!$AB$6,(10/(PERALTE!$X$6-PERALTE!$AB$6)*(RASANTE!F139-PERALTE!$AB$6)-2))))),IF(AND(AH!$H$10="Derecha",RASANTE!F139&lt;=PERALTE!$AB$8),IF(RASANTE!F139&lt;=PERALTE!$S$8,-2,IF(RASANTE!F139&lt;=PERALTE!$U$8,(-6/(PERALTE!$U$8-PERALTE!$S$8)*(RASANTE!F139-PERALTE!$S$8)-2),IF(RASANTE!F139&lt;=PERALTE!$X$8,-8,IF(RASANTE!F139&lt;=PERALTE!$Z$8,(-6/(PERALTE!$X$8-PERALTE!$Z$8)*(RASANTE!F139-PERALTE!$Z$8)-2),IF(RASANTE!F139&lt;=PERALTE!$AB$8,-2))))),IF(AND(AH!$H$10="Izquierda",RASANTE!F139&lt;=PERALTE!$AB$8),IF(RASANTE!F139&lt;=PERALTE!$Q$8,-2,IF(RASANTE!F139&lt;=PERALTE!$U$8,(10/(PERALTE!$U$8-PERALTE!$Q$8)*(RASANTE!F139-PERALTE!$Q$8)-2),IF(RASANTE!F139&lt;=PERALTE!$X$8,8,IF(RASANTE!F139&lt;=PERALTE!$AB$8,(10/(PERALTE!$X$8-PERALTE!$AB$8)*(RASANTE!F139-PERALTE!$AB$8)-2))))),IF(AND(AH!$H$12="Derecha",RASANTE!F139&lt;=PERALTE!$AB$10),IF(RASANTE!F139&lt;=PERALTE!$S$10,-2,IF(RASANTE!F139&lt;=PERALTE!$U$10,(-6/(PERALTE!$U$10-PERALTE!$S$10)*(RASANTE!F139-PERALTE!$S$10)-2),IF(RASANTE!F139&lt;=PERALTE!$X$10,-8,IF(RASANTE!F139&lt;=PERALTE!$Z$10,(-6/(PERALTE!$X$10-PERALTE!$Z$10)*(RASANTE!F139-PERALTE!$Z$10)-2),IF(RASANTE!F139&lt;=PERALTE!$AB$10,-2))))),IF(AND(AH!$H$12="Izquierda",RASANTE!F139&lt;=PERALTE!$AB$10),IF(RASANTE!F139&lt;=PERALTE!$Q$10,-2,IF(RASANTE!F139&lt;=PERALTE!$U$10,(10/(PERALTE!$U$10-PERALTE!$Q$10)*(RASANTE!F139-PERALTE!$Q$10)-2),IF(RASANTE!F139&lt;=PERALTE!$X$10,8,IF(RASANTE!F139&lt;=PERALTE!$AB$10,(10/(PERALTE!$X$10-PERALTE!$AB$10)*(RASANTE!F139-PERALTE!$AB$10)-2))))),IF(AND(AH!$H$14="Derecha",RASANTE!F139&lt;=PERALTE!$AB$12),IF(RASANTE!F139&lt;=PERALTE!$S$12,-2,IF(RASANTE!F139&lt;=PERALTE!$U$12,(-6/(PERALTE!$U$12-PERALTE!$S$12)*(RASANTE!F139-PERALTE!$S$12)-2),IF(RASANTE!F139&lt;=PERALTE!$X$12,-8,IF(RASANTE!F139&lt;=PERALTE!$Z$12,(-6/(PERALTE!$X$12-PERALTE!$Z$12)*(RASANTE!F139-PERALTE!$Z$12)-2),IF(RASANTE!F139&lt;=PERALTE!$AB$12,-2))))),IF(AND(AH!$H$14="Izquierda",RASANTE!F139&lt;=PERALTE!$AB$12),IF(RASANTE!F139&lt;=PERALTE!$Q$12,-2,IF(RASANTE!F139&lt;=PERALTE!$U$12,(10/(PERALTE!$U$12-PERALTE!$Q$12)*(RASANTE!F139-PERALTE!$Q$12)-2),IF(RASANTE!F139&lt;=PERALTE!$X$12,8,IF(RASANTE!F139&lt;=PERALTE!$AB$12,(10/(PERALTE!$X$12-PERALTE!$AB$12)*(RASANTE!F139-PERALTE!$AB$12)-2))))),IF(AND(AH!$H$16="Derecha",RASANTE!F139&lt;=PERALTE!$AB$14),IF(RASANTE!F139&lt;=PERALTE!$S$14,-2,IF(RASANTE!F139&lt;=PERALTE!$U$14,(-6/(PERALTE!$U$14-PERALTE!$S$14)*(RASANTE!F139-PERALTE!$S$14)-2),IF(RASANTE!F139&lt;=PERALTE!$X$14,-8,IF(RASANTE!F139&lt;=PERALTE!$Z$14,(-6/(PERALTE!$X$14-PERALTE!$Z$14)*(RASANTE!F139-PERALTE!$Z$14)-2),IF(RASANTE!F139&lt;=PERALTE!$AB$14,-2))))),IF(AND(AH!$H$16="Izquierda",RASANTE!F139&lt;=PERALTE!$AB$14),IF(RASANTE!F139&lt;=PERALTE!$Q$14,-2,IF(RASANTE!F139&lt;=PERALTE!$U$14,(10/(PERALTE!$U$14-PERALTE!$Q$14)*(RASANTE!F139-PERALTE!$Q$14)-2),IF(RASANTE!F139&lt;=PERALTE!$X$14,8,IF(RASANTE!F139&lt;=PERALTE!$AB$14,(10/(PERALTE!$X$14-PERALTE!$AB$14)*(RASANTE!F139-PERALTE!$AB$14)-2))))),IF(AND(AH!$H$18="Derecha",RASANTE!F139&lt;=PERALTE!$AB$16),IF(RASANTE!F139&lt;=PERALTE!$S$16,-2,IF(RASANTE!F139&lt;=PERALTE!$U$16,(-6/(PERALTE!$U$16-PERALTE!$S$16)*(RASANTE!F139-PERALTE!$S$16)-2),IF(RASANTE!F139&lt;=PERALTE!$X$16,-8,IF(RASANTE!F139&lt;=PERALTE!$Z$16,(-6/(PERALTE!$X$16-PERALTE!$Z$16)*(RASANTE!F139-PERALTE!$Z$16)-2),IF(RASANTE!F139&lt;=PERALTE!$AB$16,-2))))),IF(AND(AH!$H$18="Izquierda",RASANTE!F139&lt;=PERALTE!$AB$16),IF(RASANTE!F139&lt;=PERALTE!$Q$16,-2,IF(RASANTE!F139&lt;=PERALTE!$U$16,(10/(PERALTE!$U$16-PERALTE!$Q$16)*(RASANTE!F139-PERALTE!$Q$16)-2),IF(RASANTE!F139&lt;=PERALTE!$X$16,8,IF(RASANTE!F139&lt;=PERALTE!$AB$16,(10/(PERALTE!$X$16-PERALTE!$AB$16)*(RASANTE!F139-PERALTE!$AB$16)-2))))),IF(AND(AH!$H$20="Derecha",RASANTE!F139&lt;=PERALTE!$AB$18),IF(RASANTE!F139&lt;=PERALTE!$S$18,-2,IF(RASANTE!F139&lt;=PERALTE!$U$18,(-6/(PERALTE!$U$18-PERALTE!$S$18)*(RASANTE!F139-PERALTE!$S$18)-2),IF(RASANTE!F139&lt;=PERALTE!$X$18,-8,IF(RASANTE!F139&lt;=PERALTE!$Z$18,(-6/(PERALTE!$X$18-PERALTE!$Z$18)*(RASANTE!F139-PERALTE!$Z$18)-2),IF(RASANTE!F139&lt;=PERALTE!$AB$18,-2))))),IF(AND(AH!$H$20="Izquierda",RASANTE!F139&lt;=PERALTE!$AB$18),IF(RASANTE!F139&lt;=PERALTE!$Q$18,-2,IF(RASANTE!F139&lt;=PERALTE!$U$18,(10/(PERALTE!$U$18-PERALTE!$Q$18)*(RASANTE!F139-PERALTE!$Q$18)-2),IF(RASANTE!F139&lt;=PERALTE!$X$18,8,IF(RASANTE!F139&lt;=PERALTE!$AB$18,(10/(PERALTE!$X$18-PERALTE!$AB$18)*(RASANTE!F139-PERALTE!$AB$18)-2))))),IF(AND(AH!$H$24="Derecha",RASANTE!F139&lt;=PERALTE!$AB$22),IF(RASANTE!F139&lt;=PERALTE!$S$22,-2,IF(RASANTE!F139&lt;=PERALTE!$U$22,(-6/(PERALTE!$U$22-PERALTE!$S$22)*(RASANTE!F139-PERALTE!$S$22)-2),IF(RASANTE!F139&lt;=PERALTE!$X$22,-8,IF(RASANTE!F139&lt;=PERALTE!$Z$22,(-6/(PERALTE!$X$22-PERALTE!$Z$22)*(RASANTE!F139-PERALTE!$Z$22)-2),IF(RASANTE!F139&lt;=PERALTE!$AB$22,-2))))),IF(AND(AH!$H$24="Izquierda",RASANTE!F139&lt;=PERALTE!$AB$22),IF(RASANTE!F139&lt;=PERALTE!$Q$22,-2,IF(RASANTE!F139&lt;=PERALTE!$U$22,(10/(PERALTE!$U$22-PERALTE!$Q$22)*(RASANTE!F139-PERALTE!$Q$22)-2),IF(RASANTE!F139&lt;=PERALTE!$X$22,8,IF(RASANTE!F139&lt;=PERALTE!$AB$22,(10/(PERALTE!$X$22-PERALTE!$AB$22)*(RASANTE!F139-PERALTE!$AB$22)-2))))),IF(AND(AH!#REF!="Derecha",RASANTE!F139&lt;=PERALTE!#REF!),IF(RASANTE!F139&lt;=PERALTE!#REF!,-2,IF(RASANTE!F139&lt;=PERALTE!#REF!,(-6/(PERALTE!#REF!-PERALTE!#REF!)*(RASANTE!F139-PERALTE!#REF!)-2),IF(RASANTE!F139&lt;=PERALTE!#REF!,-8,IF(RASANTE!F139&lt;=PERALTE!#REF!,(-6/(PERALTE!#REF!-PERALTE!#REF!)*(RASANTE!F139-PERALTE!#REF!)-2),IF(RASANTE!F139&lt;=PERALTE!#REF!,-2))))),IF(AND(AH!#REF!="Izquierda",RASANTE!F139&lt;=PERALTE!#REF!),IF(RASANTE!F139&lt;=PERALTE!#REF!,-2,IF(RASANTE!F139&lt;=PERALTE!#REF!,(10/(PERALTE!#REF!-PERALTE!#REF!)*(RASANTE!F139-PERALTE!#REF!)-2),IF(RASANTE!F139&lt;=PERALTE!#REF!,8,IF(RASANTE!F139&lt;=PERALTE!#REF!,(10/(PERALTE!#REF!-PERALTE!#REF!)*(RASANTE!F139-PERALTE!#REF!)-2))))),IF(AND(AH!#REF!="Derecha",RASANTE!F139&lt;=PERALTE!$AB$26),IF(RASANTE!F139&lt;=PERALTE!$S$26,-2,IF(RASANTE!F139&lt;=PERALTE!$U$26,(-6/(PERALTE!$U$26-PERALTE!$S$26)*(RASANTE!F139-PERALTE!$S$26)-2),IF(RASANTE!F139&lt;=PERALTE!$X$26,-8,IF(RASANTE!F139&lt;=PERALTE!$Z$26,(-6/(PERALTE!$X$26-PERALTE!$Z$26)*(RASANTE!F139-PERALTE!$Z$26)-2),IF(RASANTE!F139&lt;=PERALTE!$AB$26,-2))))),IF(AND(AH!#REF!="Izquierda",RASANTE!F139&lt;=PERALTE!$AB$26),IF(RASANTE!F139&lt;=PERALTE!$Q$26,-2,IF(RASANTE!F139&lt;=PERALTE!$U$26,(10/(PERALTE!$U$26-PERALTE!$Q$26)*(RASANTE!F139-PERALTE!$Q$26)-2),IF(RASANTE!F139&lt;=PERALTE!$X$26,8,IF(RASANTE!F139&lt;=PERALTE!$AB$26,(10/(PERALTE!$X$26-PERALTE!$AB$26)*(RASANTE!F139-PERALTE!$AB$26)-2))))),IF(F139&lt;=PERALTE!#REF!,-2,"Abscisa fuera de la vía")))))))))))))))))))))</f>
        <v>8</v>
      </c>
      <c r="J139" s="28">
        <f t="shared" si="6"/>
        <v>1624.327238037592</v>
      </c>
      <c r="K139" s="28">
        <f>+IF(AND(AV!$S$6&lt;F187,F187&lt;=AV!$T$6),AV!$P$6*((AV!$S$6-RASANTE!F187)/(AV!$N$6))^2,IF(AND(AV!$T$6&lt;RASANTE!F187,F187&lt;AV!$U$6),AV!$P$6*((AV!$U$6-RASANTE!F187)/(AV!$O$6))^2,IF(AND(AV!$S$8&lt;F187,F187&lt;=AV!$T$8),AV!$P$8*((AV!$S$8-RASANTE!F187)/(AV!$N$8))^2,IF(AND(AV!$T$8&lt;RASANTE!F187,F187&lt;AV!$U$8),AV!$P$8*((AV!$U$8-RASANTE!F187)/(AV!$O$8))^2,IF(AND(AV!$S$10&lt;F187,F187&lt;=AV!$T$10),AV!$P$10*((AV!$S$10-RASANTE!F187)/(AV!$N$10))^2,IF(AND(AV!$T$10&lt;RASANTE!F187,F187&lt;AV!$U$10),AV!$P$10*((AV!$U$10-RASANTE!F187)/(AV!$O$10))^2,IF(AND(AV!$S$12&lt;F187,F187&lt;=AV!$T$12),AV!$P$12*((AV!$S$12-RASANTE!F187)/(AV!$N$12))^2,IF(AND(AV!$T$12&lt;RASANTE!F187,F187&lt;AV!$U$12),AV!$P$12*((AV!$U$12-RASANTE!F187)/(AV!$O$12))^2,IF(AND(AV!$S$14&lt;F187,F187&lt;=AV!$T$14),AV!$P$14*((AV!$S$14-RASANTE!F187)/(AV!$N$14))^2,IF(AND(AV!$T$14&lt;RASANTE!F187,F187&lt;AV!$U$14),AV!$P$14*((AV!$U$14-RASANTE!F187)/(AV!$O$14))^2,IF(AND(AV!$S$16&lt;F187,F187&lt;=AV!$T$16),AV!$P$16*((AV!$S$16-RASANTE!F187)/(AV!$N$16))^2,IF(AND(AV!$T$16&lt;RASANTE!F187,F187&lt;AV!$U$16),AV!$P$16*((AV!$U$16-RASANTE!F187)/(AV!$O$16))^2,IF(AND(AV!$S$18&lt;F187,F187&lt;=AV!$T$18),AV!$P$18*((AV!$S$18-RASANTE!F187)/(AV!$N$18))^2,IF(AND(AV!$T$18&lt;RASANTE!F187,F187&lt;AV!$U$18),AV!$P$18*((AV!$U$18-RASANTE!F187)/(AV!$O$18))^2,IF(AND(AV!$S$20&lt;F187,F187&lt;=AV!$T$20),AV!$P$20*((AV!$S$20-RASANTE!F187)/(AV!$N$20))^2,IF(AND(AV!$T$20&lt;RASANTE!F187,F187&lt;AV!$U$20),AV!$P$20*((AV!$U$20-RASANTE!F187)/(AV!$O$20))^2,IF(AND(AV!$S$22&lt;F187,F187&lt;=AV!$T$22),AV!$P$22*((AV!$S$22-RASANTE!F187)/(AV!$N$22))^2,IF(AND(AV!$T$22&lt;RASANTE!F187,F187&lt;AV!$U$22),AV!$P$22*((AV!$U$22-RASANTE!F187)/(AV!$O$22))^2,IF(AND(AV!$S$24&lt;F187,F187&lt;=AV!$T$24),AV!$P$24*((AV!$S$24-RASANTE!F187)/(AV!$N$24))^2,IF(AND(AV!$T$24&lt;RASANTE!F187,F187&lt;AV!$U$24),AV!$P$24*((AV!$U$24-RASANTE!F187)/(AV!$O$24))^2,0))))))))))))))))))))</f>
        <v>0</v>
      </c>
      <c r="L139" s="28">
        <f>+M139+H139%*PERALTE!$C$32</f>
        <v>1624.047238037592</v>
      </c>
      <c r="M139" s="28">
        <f t="shared" si="5"/>
        <v>1624.327238037592</v>
      </c>
      <c r="N139" s="28">
        <f>+M139+I139%*PERALTE!$C$32</f>
        <v>1624.607238037592</v>
      </c>
      <c r="O139" s="92"/>
      <c r="P139" s="84"/>
      <c r="Q139" s="84"/>
      <c r="R139" s="84"/>
      <c r="S139" s="84"/>
      <c r="T139" s="84"/>
      <c r="U139" s="84"/>
      <c r="V139" s="84"/>
      <c r="W139" s="84"/>
      <c r="X139" s="84"/>
      <c r="Y139" s="84"/>
    </row>
    <row r="140" spans="1:25" ht="15.75" customHeight="1" x14ac:dyDescent="0.2">
      <c r="A140" s="90"/>
      <c r="B140" s="189">
        <f>AH!U14</f>
        <v>32.902651259983628</v>
      </c>
      <c r="C140" s="190">
        <f>PERALTE!N12</f>
        <v>36.36363636363636</v>
      </c>
      <c r="D140" s="186"/>
      <c r="E140" s="158"/>
      <c r="F140" s="34">
        <v>850</v>
      </c>
      <c r="G140" s="88">
        <f>IF(F140&lt;=AV!$T$6,AV!$C$5,IF(RASANTE!F140&lt;=AV!$T$8,AV!$C$7,IF(RASANTE!F140&lt;=AV!$T$10,AV!$C$9,IF(RASANTE!F140&lt;=AV!$T$12,AV!$C$11,IF(RASANTE!F140&lt;=AV!$T$14,AV!$C$13,IF(RASANTE!F140&lt;=AV!$T$16,AV!$C$15, IF(RASANTE!F140&lt;=AV!$T$18,AV!$C$17,IF(RASANTE!F140&lt;=AV!$T$20,AV!$C$19,IF(RASANTE!F140&lt;=AV!$T$22,AV!$C$21,IF(RASANTE!F140&lt;=AV!$T$24,AV!$C$23,AV!$C$25))))))))))</f>
        <v>-7.2409999999999997</v>
      </c>
      <c r="H140" s="28">
        <f>+IF(AND(AH!$H$8="Izquierda",RASANTE!F140&lt;=PERALTE!$AB$6),IF(RASANTE!F140&lt;=PERALTE!$S$6,-2,IF(RASANTE!F140&lt;=PERALTE!$U$6,(-6/(PERALTE!$U$6-PERALTE!$S$6)*(RASANTE!F140-PERALTE!$S$6)-2),IF(RASANTE!F140&lt;=PERALTE!$X$6,-8,IF(RASANTE!F140&lt;=PERALTE!$Z$6,(-6/(PERALTE!$X$6-PERALTE!$Z$6)*(RASANTE!F140-PERALTE!$Z$6)-2),IF(RASANTE!F140&lt;=PERALTE!$AB$6,-2))))),IF(AND(AH!$H$8="Derecha",RASANTE!F140&lt;=PERALTE!$AB$6),IF(RASANTE!F140&lt;=PERALTE!$Q$6,-2,IF(RASANTE!F140&lt;=PERALTE!$U$6,(10/(PERALTE!$U$6-PERALTE!$Q$6)*(RASANTE!F140-PERALTE!$Q$6)-2),IF(RASANTE!F140&lt;=PERALTE!$X$6,8,IF(RASANTE!F140&lt;=PERALTE!$AB$6,(10/(PERALTE!$X$6-PERALTE!$AB$6)*(RASANTE!F140-PERALTE!$AB$6)-2))))),IF(AND(AH!$H$10="Izquierda",RASANTE!F140&lt;=PERALTE!$AB$8),IF(RASANTE!F140&lt;=PERALTE!$S$8,-2,IF(RASANTE!F140&lt;=PERALTE!$U$8,(-6/(PERALTE!$U$8-PERALTE!$S$8)*(RASANTE!F140-PERALTE!$S$8)-2),IF(RASANTE!F140&lt;=PERALTE!$X$8,-8,IF(RASANTE!F140&lt;=PERALTE!$Z$8,(-6/(PERALTE!$X$8-PERALTE!$Z$8)*(RASANTE!F140-PERALTE!$Z$8)-2),IF(RASANTE!F140&lt;=PERALTE!$AB$8,-2))))),IF(AND(AH!$H$10="Derecha",RASANTE!F140&lt;=PERALTE!$AB$8),IF(RASANTE!F140&lt;=PERALTE!$Q$8,-2,IF(RASANTE!F140&lt;=PERALTE!$U$8,(10/(PERALTE!$U$8-PERALTE!$Q$8)*(RASANTE!F140-PERALTE!$Q$8)-2),IF(RASANTE!F140&lt;=PERALTE!$X$8,8,IF(RASANTE!F140&lt;=PERALTE!$AB$8,(10/(PERALTE!$X$8-PERALTE!$AB$8)*(RASANTE!F140-PERALTE!$AB$8)-2))))),IF(AND(AH!$H$12="Izquierda",RASANTE!F140&lt;=PERALTE!$AB$10),IF(RASANTE!F140&lt;=PERALTE!$S$10,-2,IF(RASANTE!F140&lt;=PERALTE!$U$10,(-6/(PERALTE!$U$10-PERALTE!$S$10)*(RASANTE!F140-PERALTE!$S$10)-2),IF(RASANTE!F140&lt;=PERALTE!$X$10,-8,IF(RASANTE!F140&lt;=PERALTE!$Z$10,(-6/(PERALTE!$X$10-PERALTE!$Z$10)*(RASANTE!F140-PERALTE!$Z$10)-2),IF(RASANTE!F140&lt;=PERALTE!$AB$10,-2))))),IF(AND(AH!$H$12="Derecha",RASANTE!F140&lt;=PERALTE!$AB$10),IF(RASANTE!F140&lt;=PERALTE!$Q$10,-2,IF(RASANTE!F140&lt;=PERALTE!$U$10,(10/(PERALTE!$U$10-PERALTE!$Q$10)*(RASANTE!F140-PERALTE!$Q$10)-2),IF(RASANTE!F140&lt;=PERALTE!$X$10,8,IF(RASANTE!F140&lt;=PERALTE!$AB$10,(10/(PERALTE!$X$10-PERALTE!$AB$10)*(RASANTE!F140-PERALTE!$AB$10)-2))))),IF(AND(AH!$H$14="Izquierda",RASANTE!F140&lt;=PERALTE!$AB$12),IF(RASANTE!F140&lt;=PERALTE!$S$12,-2,IF(RASANTE!F140&lt;=PERALTE!$U$12,(-6/(PERALTE!$U$12-PERALTE!$S$12)*(RASANTE!F140-PERALTE!$S$12)-2),IF(RASANTE!F140&lt;=PERALTE!$X$12,-8,IF(RASANTE!F140&lt;=PERALTE!$Z$12,(-6/(PERALTE!$X$12-PERALTE!$Z$12)*(RASANTE!F140-PERALTE!$Z$12)-2),IF(RASANTE!F140&lt;=PERALTE!$AB$12,-2))))),IF(AND(AH!$H$14="Derecha",RASANTE!F140&lt;=PERALTE!$AB$12),IF(RASANTE!F140&lt;=PERALTE!$Q$12,-2,IF(RASANTE!F140&lt;=PERALTE!$U$12,(10/(PERALTE!$U$12-PERALTE!$Q$12)*(RASANTE!F140-PERALTE!$Q$12)-2),IF(RASANTE!F140&lt;=PERALTE!$X$12,8,IF(RASANTE!F140&lt;=PERALTE!$AB$12,(10/(PERALTE!$X$12-PERALTE!$AB$12)*(RASANTE!F140-PERALTE!$AB$12)-2))))),IF(AND(AH!$H$16="Izquierda",RASANTE!F140&lt;=PERALTE!$AB$14),IF(RASANTE!F140&lt;=PERALTE!$S$14,-2,IF(RASANTE!F140&lt;=PERALTE!$U$14,(-6/(PERALTE!$U$14-PERALTE!$S$14)*(RASANTE!F140-PERALTE!$S$14)-2),IF(RASANTE!F140&lt;=PERALTE!$X$14,-8,IF(RASANTE!F140&lt;=PERALTE!$Z$14,(-6/(PERALTE!$X$14-PERALTE!$Z$14)*(RASANTE!F140-PERALTE!$Z$14)-2),IF(RASANTE!F140&lt;=PERALTE!$AB$14,-2))))),IF(AND(AH!$H$16="Derecha",RASANTE!F140&lt;=PERALTE!$AB$14),IF(RASANTE!F140&lt;=PERALTE!$Q$14,-2,IF(RASANTE!F140&lt;=PERALTE!$U$14,(10/(PERALTE!$U$14-PERALTE!$Q$14)*(RASANTE!F140-PERALTE!$Q$14)-2),IF(RASANTE!F140&lt;=PERALTE!$X$14,8,IF(RASANTE!F140&lt;=PERALTE!$AB$14,(10/(PERALTE!$X$14-PERALTE!$AB$14)*(RASANTE!F140-PERALTE!$AB$14)-2))))),IF(AND(AH!$H$18="Izquierda",RASANTE!F140&lt;=PERALTE!$AB$16),IF(RASANTE!F140&lt;=PERALTE!$S$16,-2,IF(RASANTE!F140&lt;=PERALTE!$U$16,(-6/(PERALTE!$U$16-PERALTE!$S$16)*(RASANTE!F140-PERALTE!$S$16)-2),IF(RASANTE!F140&lt;=PERALTE!$X$16,-8,IF(RASANTE!F140&lt;=PERALTE!$Z$16,(-6/(PERALTE!$X$16-PERALTE!$Z$16)*(RASANTE!F140-PERALTE!$Z$16)-2),IF(RASANTE!F140&lt;=PERALTE!$AB$16,-2))))),IF(AND(AH!$H$18="Derecha",RASANTE!F140&lt;=PERALTE!$AB$16),IF(RASANTE!F140&lt;=PERALTE!$Q$16,-2,IF(RASANTE!F140&lt;=PERALTE!$U$16,(10/(PERALTE!$U$16-PERALTE!$Q$16)*(RASANTE!F140-PERALTE!$Q$16)-2),IF(RASANTE!F140&lt;=PERALTE!$X$16,8,IF(RASANTE!F140&lt;=PERALTE!$AB$16,(10/(PERALTE!$X$16-PERALTE!$AB$16)*(RASANTE!F140-PERALTE!$AB$16)-2))))),IF(AND(AH!$H$20="Izquierda",RASANTE!F140&lt;=PERALTE!$AB$18),IF(RASANTE!F140&lt;=PERALTE!$S$18,-2,IF(RASANTE!F140&lt;=PERALTE!$U$18,(-6/(PERALTE!$U$18-PERALTE!$S$18)*(RASANTE!F140-PERALTE!$S$18)-2),IF(RASANTE!F140&lt;=PERALTE!$X$18,-8,IF(RASANTE!F140&lt;=PERALTE!$Z$18,(-6/(PERALTE!$X$18-PERALTE!$Z$18)*(RASANTE!F140-PERALTE!$Z$18)-2),IF(RASANTE!F140&lt;=PERALTE!$AB$18,-2))))),IF(AND(AH!$H$20="Derecha",RASANTE!F140&lt;=PERALTE!$AB$18),IF(RASANTE!F140&lt;=PERALTE!$Q$18,-2,IF(RASANTE!F140&lt;=PERALTE!$U$18,(10/(PERALTE!$U$18-PERALTE!$Q$18)*(RASANTE!F140-PERALTE!$Q$18)-2),IF(RASANTE!F140&lt;=PERALTE!$X$18,8,IF(RASANTE!F140&lt;=PERALTE!$AB$18,(10/(PERALTE!$X$18-PERALTE!$AB$18)*(RASANTE!F140-PERALTE!$AB$18)-2))))),IF(AND(AH!$H$24="Izquierda",RASANTE!F140&lt;=PERALTE!$AB$22),IF(RASANTE!F140&lt;=PERALTE!$S$22,-2,IF(RASANTE!F140&lt;=PERALTE!$U$22,(-6/(PERALTE!$U$22-PERALTE!$S$22)*(RASANTE!F140-PERALTE!$S$22)-2),IF(RASANTE!F140&lt;=PERALTE!$X$22,-8,IF(RASANTE!F140&lt;=PERALTE!$Z$22,(-6/(PERALTE!$X$22-PERALTE!$Z$22)*(RASANTE!F140-PERALTE!$Z$22)-2),IF(RASANTE!F140&lt;=PERALTE!$AB$22,-2))))),IF(AND(AH!$H$24="Derecha",RASANTE!F140&lt;=PERALTE!$AB$22),IF(RASANTE!F140&lt;=PERALTE!$Q$22,-2,IF(RASANTE!F140&lt;=PERALTE!$U$22,(10/(PERALTE!$U$22-PERALTE!$Q$22)*(RASANTE!F140-PERALTE!$Q$22)-2),IF(RASANTE!F140&lt;=PERALTE!$X$22,8,IF(RASANTE!F140&lt;=PERALTE!$AB$22,(10/(PERALTE!$X$22-PERALTE!$AB$22)*(RASANTE!F140-PERALTE!$AB$22)-2))))),IF(AND(AH!#REF!="Izquierda",RASANTE!F140&lt;=PERALTE!#REF!),IF(RASANTE!F140&lt;=PERALTE!#REF!,-2,IF(RASANTE!F140&lt;=PERALTE!#REF!,(-6/(PERALTE!#REF!-PERALTE!#REF!)*(RASANTE!F140-PERALTE!#REF!)-2),IF(RASANTE!F140&lt;=PERALTE!#REF!,-8,IF(RASANTE!F140&lt;=PERALTE!#REF!,(-6/(PERALTE!#REF!-PERALTE!#REF!)*(RASANTE!F140-PERALTE!#REF!)-2),IF(RASANTE!F140&lt;=PERALTE!#REF!,-2))))),IF(AND(AH!#REF!="Derecha",RASANTE!F140&lt;=PERALTE!#REF!),IF(RASANTE!F140&lt;=PERALTE!#REF!,-2,IF(RASANTE!F140&lt;=PERALTE!#REF!,(10/(PERALTE!#REF!-PERALTE!#REF!)*(RASANTE!F140-PERALTE!#REF!)-2),IF(RASANTE!F140&lt;=PERALTE!#REF!,8,IF(RASANTE!F140&lt;=PERALTE!#REF!,(10/(PERALTE!#REF!-PERALTE!#REF!)*(RASANTE!F140-PERALTE!#REF!)-2))))),IF(AND(AH!#REF!="Izquierda",RASANTE!F140&lt;=PERALTE!$AB$26),IF(RASANTE!F140&lt;=PERALTE!$S$26,-2,IF(RASANTE!F140&lt;=PERALTE!$U$26,(-6/(PERALTE!$U$26-PERALTE!$S$26)*(RASANTE!F140-PERALTE!$S$26)-2),IF(RASANTE!F140&lt;=PERALTE!$X$26,-8,IF(RASANTE!F140&lt;=PERALTE!$Z$26,(-6/(PERALTE!$X$26-PERALTE!$Z$26)*(RASANTE!F140-PERALTE!$Z$26)-2),IF(RASANTE!F140&lt;=PERALTE!$AB$26,-2))))),IF(AND(AH!#REF!="Derecha",RASANTE!F140&lt;=PERALTE!$AB$26),IF(RASANTE!F140&lt;=PERALTE!$Q$26,-2,IF(RASANTE!F140&lt;=PERALTE!$U$26,(10/(PERALTE!$U$26-PERALTE!$Q$26)*(RASANTE!F140-PERALTE!$Q$26)-2),IF(RASANTE!F140&lt;=PERALTE!$X$26,8,IF(RASANTE!F140&lt;=PERALTE!$AB$26,(10/(PERALTE!$X$26-PERALTE!$AB$26)*(RASANTE!F140-PERALTE!$AB$26)-2))))),IF(F140&lt;=PERALTE!#REF!,-2,"Abscisa fuera de la vía")))))))))))))))))))))</f>
        <v>-8</v>
      </c>
      <c r="I140" s="28">
        <f>+IF(AND(AH!$H$8="Derecha",RASANTE!F140&lt;=PERALTE!$AB$6),IF(RASANTE!F140&lt;=PERALTE!$S$6,-2,IF(RASANTE!F140&lt;=PERALTE!$U$6,(-6/(PERALTE!$U$6-PERALTE!$S$6)*(RASANTE!F140-PERALTE!$S$6)-2),IF(RASANTE!F140&lt;=PERALTE!$X$6,-8,IF(RASANTE!F140&lt;=PERALTE!$Z$6,(-6/(PERALTE!$X$6-PERALTE!$Z$6)*(RASANTE!F140-PERALTE!$Z$6)-2),IF(RASANTE!F140&lt;=PERALTE!$AB$6,-2))))),IF(AND(AH!$H$8="Izquierda",RASANTE!F140&lt;=PERALTE!$AB$6),IF(RASANTE!F140&lt;=PERALTE!$Q$6,-2,IF(RASANTE!F140&lt;=PERALTE!$U$6,(10/(PERALTE!$U$6-PERALTE!$Q$6)*(RASANTE!F140-PERALTE!$Q$6)-2),IF(RASANTE!F140&lt;=PERALTE!$X$6,8,IF(RASANTE!F140&lt;=PERALTE!$AB$6,(10/(PERALTE!$X$6-PERALTE!$AB$6)*(RASANTE!F140-PERALTE!$AB$6)-2))))),IF(AND(AH!$H$10="Derecha",RASANTE!F140&lt;=PERALTE!$AB$8),IF(RASANTE!F140&lt;=PERALTE!$S$8,-2,IF(RASANTE!F140&lt;=PERALTE!$U$8,(-6/(PERALTE!$U$8-PERALTE!$S$8)*(RASANTE!F140-PERALTE!$S$8)-2),IF(RASANTE!F140&lt;=PERALTE!$X$8,-8,IF(RASANTE!F140&lt;=PERALTE!$Z$8,(-6/(PERALTE!$X$8-PERALTE!$Z$8)*(RASANTE!F140-PERALTE!$Z$8)-2),IF(RASANTE!F140&lt;=PERALTE!$AB$8,-2))))),IF(AND(AH!$H$10="Izquierda",RASANTE!F140&lt;=PERALTE!$AB$8),IF(RASANTE!F140&lt;=PERALTE!$Q$8,-2,IF(RASANTE!F140&lt;=PERALTE!$U$8,(10/(PERALTE!$U$8-PERALTE!$Q$8)*(RASANTE!F140-PERALTE!$Q$8)-2),IF(RASANTE!F140&lt;=PERALTE!$X$8,8,IF(RASANTE!F140&lt;=PERALTE!$AB$8,(10/(PERALTE!$X$8-PERALTE!$AB$8)*(RASANTE!F140-PERALTE!$AB$8)-2))))),IF(AND(AH!$H$12="Derecha",RASANTE!F140&lt;=PERALTE!$AB$10),IF(RASANTE!F140&lt;=PERALTE!$S$10,-2,IF(RASANTE!F140&lt;=PERALTE!$U$10,(-6/(PERALTE!$U$10-PERALTE!$S$10)*(RASANTE!F140-PERALTE!$S$10)-2),IF(RASANTE!F140&lt;=PERALTE!$X$10,-8,IF(RASANTE!F140&lt;=PERALTE!$Z$10,(-6/(PERALTE!$X$10-PERALTE!$Z$10)*(RASANTE!F140-PERALTE!$Z$10)-2),IF(RASANTE!F140&lt;=PERALTE!$AB$10,-2))))),IF(AND(AH!$H$12="Izquierda",RASANTE!F140&lt;=PERALTE!$AB$10),IF(RASANTE!F140&lt;=PERALTE!$Q$10,-2,IF(RASANTE!F140&lt;=PERALTE!$U$10,(10/(PERALTE!$U$10-PERALTE!$Q$10)*(RASANTE!F140-PERALTE!$Q$10)-2),IF(RASANTE!F140&lt;=PERALTE!$X$10,8,IF(RASANTE!F140&lt;=PERALTE!$AB$10,(10/(PERALTE!$X$10-PERALTE!$AB$10)*(RASANTE!F140-PERALTE!$AB$10)-2))))),IF(AND(AH!$H$14="Derecha",RASANTE!F140&lt;=PERALTE!$AB$12),IF(RASANTE!F140&lt;=PERALTE!$S$12,-2,IF(RASANTE!F140&lt;=PERALTE!$U$12,(-6/(PERALTE!$U$12-PERALTE!$S$12)*(RASANTE!F140-PERALTE!$S$12)-2),IF(RASANTE!F140&lt;=PERALTE!$X$12,-8,IF(RASANTE!F140&lt;=PERALTE!$Z$12,(-6/(PERALTE!$X$12-PERALTE!$Z$12)*(RASANTE!F140-PERALTE!$Z$12)-2),IF(RASANTE!F140&lt;=PERALTE!$AB$12,-2))))),IF(AND(AH!$H$14="Izquierda",RASANTE!F140&lt;=PERALTE!$AB$12),IF(RASANTE!F140&lt;=PERALTE!$Q$12,-2,IF(RASANTE!F140&lt;=PERALTE!$U$12,(10/(PERALTE!$U$12-PERALTE!$Q$12)*(RASANTE!F140-PERALTE!$Q$12)-2),IF(RASANTE!F140&lt;=PERALTE!$X$12,8,IF(RASANTE!F140&lt;=PERALTE!$AB$12,(10/(PERALTE!$X$12-PERALTE!$AB$12)*(RASANTE!F140-PERALTE!$AB$12)-2))))),IF(AND(AH!$H$16="Derecha",RASANTE!F140&lt;=PERALTE!$AB$14),IF(RASANTE!F140&lt;=PERALTE!$S$14,-2,IF(RASANTE!F140&lt;=PERALTE!$U$14,(-6/(PERALTE!$U$14-PERALTE!$S$14)*(RASANTE!F140-PERALTE!$S$14)-2),IF(RASANTE!F140&lt;=PERALTE!$X$14,-8,IF(RASANTE!F140&lt;=PERALTE!$Z$14,(-6/(PERALTE!$X$14-PERALTE!$Z$14)*(RASANTE!F140-PERALTE!$Z$14)-2),IF(RASANTE!F140&lt;=PERALTE!$AB$14,-2))))),IF(AND(AH!$H$16="Izquierda",RASANTE!F140&lt;=PERALTE!$AB$14),IF(RASANTE!F140&lt;=PERALTE!$Q$14,-2,IF(RASANTE!F140&lt;=PERALTE!$U$14,(10/(PERALTE!$U$14-PERALTE!$Q$14)*(RASANTE!F140-PERALTE!$Q$14)-2),IF(RASANTE!F140&lt;=PERALTE!$X$14,8,IF(RASANTE!F140&lt;=PERALTE!$AB$14,(10/(PERALTE!$X$14-PERALTE!$AB$14)*(RASANTE!F140-PERALTE!$AB$14)-2))))),IF(AND(AH!$H$18="Derecha",RASANTE!F140&lt;=PERALTE!$AB$16),IF(RASANTE!F140&lt;=PERALTE!$S$16,-2,IF(RASANTE!F140&lt;=PERALTE!$U$16,(-6/(PERALTE!$U$16-PERALTE!$S$16)*(RASANTE!F140-PERALTE!$S$16)-2),IF(RASANTE!F140&lt;=PERALTE!$X$16,-8,IF(RASANTE!F140&lt;=PERALTE!$Z$16,(-6/(PERALTE!$X$16-PERALTE!$Z$16)*(RASANTE!F140-PERALTE!$Z$16)-2),IF(RASANTE!F140&lt;=PERALTE!$AB$16,-2))))),IF(AND(AH!$H$18="Izquierda",RASANTE!F140&lt;=PERALTE!$AB$16),IF(RASANTE!F140&lt;=PERALTE!$Q$16,-2,IF(RASANTE!F140&lt;=PERALTE!$U$16,(10/(PERALTE!$U$16-PERALTE!$Q$16)*(RASANTE!F140-PERALTE!$Q$16)-2),IF(RASANTE!F140&lt;=PERALTE!$X$16,8,IF(RASANTE!F140&lt;=PERALTE!$AB$16,(10/(PERALTE!$X$16-PERALTE!$AB$16)*(RASANTE!F140-PERALTE!$AB$16)-2))))),IF(AND(AH!$H$20="Derecha",RASANTE!F140&lt;=PERALTE!$AB$18),IF(RASANTE!F140&lt;=PERALTE!$S$18,-2,IF(RASANTE!F140&lt;=PERALTE!$U$18,(-6/(PERALTE!$U$18-PERALTE!$S$18)*(RASANTE!F140-PERALTE!$S$18)-2),IF(RASANTE!F140&lt;=PERALTE!$X$18,-8,IF(RASANTE!F140&lt;=PERALTE!$Z$18,(-6/(PERALTE!$X$18-PERALTE!$Z$18)*(RASANTE!F140-PERALTE!$Z$18)-2),IF(RASANTE!F140&lt;=PERALTE!$AB$18,-2))))),IF(AND(AH!$H$20="Izquierda",RASANTE!F140&lt;=PERALTE!$AB$18),IF(RASANTE!F140&lt;=PERALTE!$Q$18,-2,IF(RASANTE!F140&lt;=PERALTE!$U$18,(10/(PERALTE!$U$18-PERALTE!$Q$18)*(RASANTE!F140-PERALTE!$Q$18)-2),IF(RASANTE!F140&lt;=PERALTE!$X$18,8,IF(RASANTE!F140&lt;=PERALTE!$AB$18,(10/(PERALTE!$X$18-PERALTE!$AB$18)*(RASANTE!F140-PERALTE!$AB$18)-2))))),IF(AND(AH!$H$24="Derecha",RASANTE!F140&lt;=PERALTE!$AB$22),IF(RASANTE!F140&lt;=PERALTE!$S$22,-2,IF(RASANTE!F140&lt;=PERALTE!$U$22,(-6/(PERALTE!$U$22-PERALTE!$S$22)*(RASANTE!F140-PERALTE!$S$22)-2),IF(RASANTE!F140&lt;=PERALTE!$X$22,-8,IF(RASANTE!F140&lt;=PERALTE!$Z$22,(-6/(PERALTE!$X$22-PERALTE!$Z$22)*(RASANTE!F140-PERALTE!$Z$22)-2),IF(RASANTE!F140&lt;=PERALTE!$AB$22,-2))))),IF(AND(AH!$H$24="Izquierda",RASANTE!F140&lt;=PERALTE!$AB$22),IF(RASANTE!F140&lt;=PERALTE!$Q$22,-2,IF(RASANTE!F140&lt;=PERALTE!$U$22,(10/(PERALTE!$U$22-PERALTE!$Q$22)*(RASANTE!F140-PERALTE!$Q$22)-2),IF(RASANTE!F140&lt;=PERALTE!$X$22,8,IF(RASANTE!F140&lt;=PERALTE!$AB$22,(10/(PERALTE!$X$22-PERALTE!$AB$22)*(RASANTE!F140-PERALTE!$AB$22)-2))))),IF(AND(AH!#REF!="Derecha",RASANTE!F140&lt;=PERALTE!#REF!),IF(RASANTE!F140&lt;=PERALTE!#REF!,-2,IF(RASANTE!F140&lt;=PERALTE!#REF!,(-6/(PERALTE!#REF!-PERALTE!#REF!)*(RASANTE!F140-PERALTE!#REF!)-2),IF(RASANTE!F140&lt;=PERALTE!#REF!,-8,IF(RASANTE!F140&lt;=PERALTE!#REF!,(-6/(PERALTE!#REF!-PERALTE!#REF!)*(RASANTE!F140-PERALTE!#REF!)-2),IF(RASANTE!F140&lt;=PERALTE!#REF!,-2))))),IF(AND(AH!#REF!="Izquierda",RASANTE!F140&lt;=PERALTE!#REF!),IF(RASANTE!F140&lt;=PERALTE!#REF!,-2,IF(RASANTE!F140&lt;=PERALTE!#REF!,(10/(PERALTE!#REF!-PERALTE!#REF!)*(RASANTE!F140-PERALTE!#REF!)-2),IF(RASANTE!F140&lt;=PERALTE!#REF!,8,IF(RASANTE!F140&lt;=PERALTE!#REF!,(10/(PERALTE!#REF!-PERALTE!#REF!)*(RASANTE!F140-PERALTE!#REF!)-2))))),IF(AND(AH!#REF!="Derecha",RASANTE!F140&lt;=PERALTE!$AB$26),IF(RASANTE!F140&lt;=PERALTE!$S$26,-2,IF(RASANTE!F140&lt;=PERALTE!$U$26,(-6/(PERALTE!$U$26-PERALTE!$S$26)*(RASANTE!F140-PERALTE!$S$26)-2),IF(RASANTE!F140&lt;=PERALTE!$X$26,-8,IF(RASANTE!F140&lt;=PERALTE!$Z$26,(-6/(PERALTE!$X$26-PERALTE!$Z$26)*(RASANTE!F140-PERALTE!$Z$26)-2),IF(RASANTE!F140&lt;=PERALTE!$AB$26,-2))))),IF(AND(AH!#REF!="Izquierda",RASANTE!F140&lt;=PERALTE!$AB$26),IF(RASANTE!F140&lt;=PERALTE!$Q$26,-2,IF(RASANTE!F140&lt;=PERALTE!$U$26,(10/(PERALTE!$U$26-PERALTE!$Q$26)*(RASANTE!F140-PERALTE!$Q$26)-2),IF(RASANTE!F140&lt;=PERALTE!$X$26,8,IF(RASANTE!F140&lt;=PERALTE!$AB$26,(10/(PERALTE!$X$26-PERALTE!$AB$26)*(RASANTE!F140-PERALTE!$AB$26)-2))))),IF(F140&lt;=PERALTE!#REF!,-2,"Abscisa fuera de la vía")))))))))))))))))))))</f>
        <v>8</v>
      </c>
      <c r="J140" s="28">
        <f t="shared" si="6"/>
        <v>1623.6031380375921</v>
      </c>
      <c r="K140" s="28">
        <f>+IF(AND(AV!$S$6&lt;F188,F188&lt;=AV!$T$6),AV!$P$6*((AV!$S$6-RASANTE!F188)/(AV!$N$6))^2,IF(AND(AV!$T$6&lt;RASANTE!F188,F188&lt;AV!$U$6),AV!$P$6*((AV!$U$6-RASANTE!F188)/(AV!$O$6))^2,IF(AND(AV!$S$8&lt;F188,F188&lt;=AV!$T$8),AV!$P$8*((AV!$S$8-RASANTE!F188)/(AV!$N$8))^2,IF(AND(AV!$T$8&lt;RASANTE!F188,F188&lt;AV!$U$8),AV!$P$8*((AV!$U$8-RASANTE!F188)/(AV!$O$8))^2,IF(AND(AV!$S$10&lt;F188,F188&lt;=AV!$T$10),AV!$P$10*((AV!$S$10-RASANTE!F188)/(AV!$N$10))^2,IF(AND(AV!$T$10&lt;RASANTE!F188,F188&lt;AV!$U$10),AV!$P$10*((AV!$U$10-RASANTE!F188)/(AV!$O$10))^2,IF(AND(AV!$S$12&lt;F188,F188&lt;=AV!$T$12),AV!$P$12*((AV!$S$12-RASANTE!F188)/(AV!$N$12))^2,IF(AND(AV!$T$12&lt;RASANTE!F188,F188&lt;AV!$U$12),AV!$P$12*((AV!$U$12-RASANTE!F188)/(AV!$O$12))^2,IF(AND(AV!$S$14&lt;F188,F188&lt;=AV!$T$14),AV!$P$14*((AV!$S$14-RASANTE!F188)/(AV!$N$14))^2,IF(AND(AV!$T$14&lt;RASANTE!F188,F188&lt;AV!$U$14),AV!$P$14*((AV!$U$14-RASANTE!F188)/(AV!$O$14))^2,IF(AND(AV!$S$16&lt;F188,F188&lt;=AV!$T$16),AV!$P$16*((AV!$S$16-RASANTE!F188)/(AV!$N$16))^2,IF(AND(AV!$T$16&lt;RASANTE!F188,F188&lt;AV!$U$16),AV!$P$16*((AV!$U$16-RASANTE!F188)/(AV!$O$16))^2,IF(AND(AV!$S$18&lt;F188,F188&lt;=AV!$T$18),AV!$P$18*((AV!$S$18-RASANTE!F188)/(AV!$N$18))^2,IF(AND(AV!$T$18&lt;RASANTE!F188,F188&lt;AV!$U$18),AV!$P$18*((AV!$U$18-RASANTE!F188)/(AV!$O$18))^2,IF(AND(AV!$S$20&lt;F188,F188&lt;=AV!$T$20),AV!$P$20*((AV!$S$20-RASANTE!F188)/(AV!$N$20))^2,IF(AND(AV!$T$20&lt;RASANTE!F188,F188&lt;AV!$U$20),AV!$P$20*((AV!$U$20-RASANTE!F188)/(AV!$O$20))^2,IF(AND(AV!$S$22&lt;F188,F188&lt;=AV!$T$22),AV!$P$22*((AV!$S$22-RASANTE!F188)/(AV!$N$22))^2,IF(AND(AV!$T$22&lt;RASANTE!F188,F188&lt;AV!$U$22),AV!$P$22*((AV!$U$22-RASANTE!F188)/(AV!$O$22))^2,IF(AND(AV!$S$24&lt;F188,F188&lt;=AV!$T$24),AV!$P$24*((AV!$S$24-RASANTE!F188)/(AV!$N$24))^2,IF(AND(AV!$T$24&lt;RASANTE!F188,F188&lt;AV!$U$24),AV!$P$24*((AV!$U$24-RASANTE!F188)/(AV!$O$24))^2,0))))))))))))))))))))</f>
        <v>0</v>
      </c>
      <c r="L140" s="28">
        <f>+M140+H140%*PERALTE!$C$32</f>
        <v>1623.3231380375921</v>
      </c>
      <c r="M140" s="28">
        <f t="shared" si="5"/>
        <v>1623.6031380375921</v>
      </c>
      <c r="N140" s="28">
        <f>+M140+I140%*PERALTE!$C$32</f>
        <v>1623.8831380375921</v>
      </c>
      <c r="O140" s="92"/>
      <c r="P140" s="84"/>
      <c r="Q140" s="84"/>
      <c r="R140" s="84"/>
      <c r="S140" s="84"/>
      <c r="T140" s="84"/>
      <c r="U140" s="84"/>
      <c r="V140" s="84"/>
      <c r="W140" s="84"/>
      <c r="X140" s="84"/>
      <c r="Y140" s="84"/>
    </row>
    <row r="141" spans="1:25" ht="15.75" customHeight="1" x14ac:dyDescent="0.2">
      <c r="A141" s="90"/>
      <c r="B141" s="191"/>
      <c r="C141" s="192" t="str">
        <f>AH!H14</f>
        <v>Izquierda</v>
      </c>
      <c r="D141" s="193"/>
      <c r="E141" s="159"/>
      <c r="F141" s="34">
        <v>860</v>
      </c>
      <c r="G141" s="88">
        <f>IF(F141&lt;=AV!$T$6,AV!$C$5,IF(RASANTE!F141&lt;=AV!$T$8,AV!$C$7,IF(RASANTE!F141&lt;=AV!$T$10,AV!$C$9,IF(RASANTE!F141&lt;=AV!$T$12,AV!$C$11,IF(RASANTE!F141&lt;=AV!$T$14,AV!$C$13,IF(RASANTE!F141&lt;=AV!$T$16,AV!$C$15, IF(RASANTE!F141&lt;=AV!$T$18,AV!$C$17,IF(RASANTE!F141&lt;=AV!$T$20,AV!$C$19,IF(RASANTE!F141&lt;=AV!$T$22,AV!$C$21,IF(RASANTE!F141&lt;=AV!$T$24,AV!$C$23,AV!$C$25))))))))))</f>
        <v>-7.2409999999999997</v>
      </c>
      <c r="H141" s="28">
        <f>+IF(AND(AH!$H$8="Izquierda",RASANTE!F141&lt;=PERALTE!$AB$6),IF(RASANTE!F141&lt;=PERALTE!$S$6,-2,IF(RASANTE!F141&lt;=PERALTE!$U$6,(-6/(PERALTE!$U$6-PERALTE!$S$6)*(RASANTE!F141-PERALTE!$S$6)-2),IF(RASANTE!F141&lt;=PERALTE!$X$6,-8,IF(RASANTE!F141&lt;=PERALTE!$Z$6,(-6/(PERALTE!$X$6-PERALTE!$Z$6)*(RASANTE!F141-PERALTE!$Z$6)-2),IF(RASANTE!F141&lt;=PERALTE!$AB$6,-2))))),IF(AND(AH!$H$8="Derecha",RASANTE!F141&lt;=PERALTE!$AB$6),IF(RASANTE!F141&lt;=PERALTE!$Q$6,-2,IF(RASANTE!F141&lt;=PERALTE!$U$6,(10/(PERALTE!$U$6-PERALTE!$Q$6)*(RASANTE!F141-PERALTE!$Q$6)-2),IF(RASANTE!F141&lt;=PERALTE!$X$6,8,IF(RASANTE!F141&lt;=PERALTE!$AB$6,(10/(PERALTE!$X$6-PERALTE!$AB$6)*(RASANTE!F141-PERALTE!$AB$6)-2))))),IF(AND(AH!$H$10="Izquierda",RASANTE!F141&lt;=PERALTE!$AB$8),IF(RASANTE!F141&lt;=PERALTE!$S$8,-2,IF(RASANTE!F141&lt;=PERALTE!$U$8,(-6/(PERALTE!$U$8-PERALTE!$S$8)*(RASANTE!F141-PERALTE!$S$8)-2),IF(RASANTE!F141&lt;=PERALTE!$X$8,-8,IF(RASANTE!F141&lt;=PERALTE!$Z$8,(-6/(PERALTE!$X$8-PERALTE!$Z$8)*(RASANTE!F141-PERALTE!$Z$8)-2),IF(RASANTE!F141&lt;=PERALTE!$AB$8,-2))))),IF(AND(AH!$H$10="Derecha",RASANTE!F141&lt;=PERALTE!$AB$8),IF(RASANTE!F141&lt;=PERALTE!$Q$8,-2,IF(RASANTE!F141&lt;=PERALTE!$U$8,(10/(PERALTE!$U$8-PERALTE!$Q$8)*(RASANTE!F141-PERALTE!$Q$8)-2),IF(RASANTE!F141&lt;=PERALTE!$X$8,8,IF(RASANTE!F141&lt;=PERALTE!$AB$8,(10/(PERALTE!$X$8-PERALTE!$AB$8)*(RASANTE!F141-PERALTE!$AB$8)-2))))),IF(AND(AH!$H$12="Izquierda",RASANTE!F141&lt;=PERALTE!$AB$10),IF(RASANTE!F141&lt;=PERALTE!$S$10,-2,IF(RASANTE!F141&lt;=PERALTE!$U$10,(-6/(PERALTE!$U$10-PERALTE!$S$10)*(RASANTE!F141-PERALTE!$S$10)-2),IF(RASANTE!F141&lt;=PERALTE!$X$10,-8,IF(RASANTE!F141&lt;=PERALTE!$Z$10,(-6/(PERALTE!$X$10-PERALTE!$Z$10)*(RASANTE!F141-PERALTE!$Z$10)-2),IF(RASANTE!F141&lt;=PERALTE!$AB$10,-2))))),IF(AND(AH!$H$12="Derecha",RASANTE!F141&lt;=PERALTE!$AB$10),IF(RASANTE!F141&lt;=PERALTE!$Q$10,-2,IF(RASANTE!F141&lt;=PERALTE!$U$10,(10/(PERALTE!$U$10-PERALTE!$Q$10)*(RASANTE!F141-PERALTE!$Q$10)-2),IF(RASANTE!F141&lt;=PERALTE!$X$10,8,IF(RASANTE!F141&lt;=PERALTE!$AB$10,(10/(PERALTE!$X$10-PERALTE!$AB$10)*(RASANTE!F141-PERALTE!$AB$10)-2))))),IF(AND(AH!$H$14="Izquierda",RASANTE!F141&lt;=PERALTE!$AB$12),IF(RASANTE!F141&lt;=PERALTE!$S$12,-2,IF(RASANTE!F141&lt;=PERALTE!$U$12,(-6/(PERALTE!$U$12-PERALTE!$S$12)*(RASANTE!F141-PERALTE!$S$12)-2),IF(RASANTE!F141&lt;=PERALTE!$X$12,-8,IF(RASANTE!F141&lt;=PERALTE!$Z$12,(-6/(PERALTE!$X$12-PERALTE!$Z$12)*(RASANTE!F141-PERALTE!$Z$12)-2),IF(RASANTE!F141&lt;=PERALTE!$AB$12,-2))))),IF(AND(AH!$H$14="Derecha",RASANTE!F141&lt;=PERALTE!$AB$12),IF(RASANTE!F141&lt;=PERALTE!$Q$12,-2,IF(RASANTE!F141&lt;=PERALTE!$U$12,(10/(PERALTE!$U$12-PERALTE!$Q$12)*(RASANTE!F141-PERALTE!$Q$12)-2),IF(RASANTE!F141&lt;=PERALTE!$X$12,8,IF(RASANTE!F141&lt;=PERALTE!$AB$12,(10/(PERALTE!$X$12-PERALTE!$AB$12)*(RASANTE!F141-PERALTE!$AB$12)-2))))),IF(AND(AH!$H$16="Izquierda",RASANTE!F141&lt;=PERALTE!$AB$14),IF(RASANTE!F141&lt;=PERALTE!$S$14,-2,IF(RASANTE!F141&lt;=PERALTE!$U$14,(-6/(PERALTE!$U$14-PERALTE!$S$14)*(RASANTE!F141-PERALTE!$S$14)-2),IF(RASANTE!F141&lt;=PERALTE!$X$14,-8,IF(RASANTE!F141&lt;=PERALTE!$Z$14,(-6/(PERALTE!$X$14-PERALTE!$Z$14)*(RASANTE!F141-PERALTE!$Z$14)-2),IF(RASANTE!F141&lt;=PERALTE!$AB$14,-2))))),IF(AND(AH!$H$16="Derecha",RASANTE!F141&lt;=PERALTE!$AB$14),IF(RASANTE!F141&lt;=PERALTE!$Q$14,-2,IF(RASANTE!F141&lt;=PERALTE!$U$14,(10/(PERALTE!$U$14-PERALTE!$Q$14)*(RASANTE!F141-PERALTE!$Q$14)-2),IF(RASANTE!F141&lt;=PERALTE!$X$14,8,IF(RASANTE!F141&lt;=PERALTE!$AB$14,(10/(PERALTE!$X$14-PERALTE!$AB$14)*(RASANTE!F141-PERALTE!$AB$14)-2))))),IF(AND(AH!$H$18="Izquierda",RASANTE!F141&lt;=PERALTE!$AB$16),IF(RASANTE!F141&lt;=PERALTE!$S$16,-2,IF(RASANTE!F141&lt;=PERALTE!$U$16,(-6/(PERALTE!$U$16-PERALTE!$S$16)*(RASANTE!F141-PERALTE!$S$16)-2),IF(RASANTE!F141&lt;=PERALTE!$X$16,-8,IF(RASANTE!F141&lt;=PERALTE!$Z$16,(-6/(PERALTE!$X$16-PERALTE!$Z$16)*(RASANTE!F141-PERALTE!$Z$16)-2),IF(RASANTE!F141&lt;=PERALTE!$AB$16,-2))))),IF(AND(AH!$H$18="Derecha",RASANTE!F141&lt;=PERALTE!$AB$16),IF(RASANTE!F141&lt;=PERALTE!$Q$16,-2,IF(RASANTE!F141&lt;=PERALTE!$U$16,(10/(PERALTE!$U$16-PERALTE!$Q$16)*(RASANTE!F141-PERALTE!$Q$16)-2),IF(RASANTE!F141&lt;=PERALTE!$X$16,8,IF(RASANTE!F141&lt;=PERALTE!$AB$16,(10/(PERALTE!$X$16-PERALTE!$AB$16)*(RASANTE!F141-PERALTE!$AB$16)-2))))),IF(AND(AH!$H$20="Izquierda",RASANTE!F141&lt;=PERALTE!$AB$18),IF(RASANTE!F141&lt;=PERALTE!$S$18,-2,IF(RASANTE!F141&lt;=PERALTE!$U$18,(-6/(PERALTE!$U$18-PERALTE!$S$18)*(RASANTE!F141-PERALTE!$S$18)-2),IF(RASANTE!F141&lt;=PERALTE!$X$18,-8,IF(RASANTE!F141&lt;=PERALTE!$Z$18,(-6/(PERALTE!$X$18-PERALTE!$Z$18)*(RASANTE!F141-PERALTE!$Z$18)-2),IF(RASANTE!F141&lt;=PERALTE!$AB$18,-2))))),IF(AND(AH!$H$20="Derecha",RASANTE!F141&lt;=PERALTE!$AB$18),IF(RASANTE!F141&lt;=PERALTE!$Q$18,-2,IF(RASANTE!F141&lt;=PERALTE!$U$18,(10/(PERALTE!$U$18-PERALTE!$Q$18)*(RASANTE!F141-PERALTE!$Q$18)-2),IF(RASANTE!F141&lt;=PERALTE!$X$18,8,IF(RASANTE!F141&lt;=PERALTE!$AB$18,(10/(PERALTE!$X$18-PERALTE!$AB$18)*(RASANTE!F141-PERALTE!$AB$18)-2))))),IF(AND(AH!$H$24="Izquierda",RASANTE!F141&lt;=PERALTE!$AB$22),IF(RASANTE!F141&lt;=PERALTE!$S$22,-2,IF(RASANTE!F141&lt;=PERALTE!$U$22,(-6/(PERALTE!$U$22-PERALTE!$S$22)*(RASANTE!F141-PERALTE!$S$22)-2),IF(RASANTE!F141&lt;=PERALTE!$X$22,-8,IF(RASANTE!F141&lt;=PERALTE!$Z$22,(-6/(PERALTE!$X$22-PERALTE!$Z$22)*(RASANTE!F141-PERALTE!$Z$22)-2),IF(RASANTE!F141&lt;=PERALTE!$AB$22,-2))))),IF(AND(AH!$H$24="Derecha",RASANTE!F141&lt;=PERALTE!$AB$22),IF(RASANTE!F141&lt;=PERALTE!$Q$22,-2,IF(RASANTE!F141&lt;=PERALTE!$U$22,(10/(PERALTE!$U$22-PERALTE!$Q$22)*(RASANTE!F141-PERALTE!$Q$22)-2),IF(RASANTE!F141&lt;=PERALTE!$X$22,8,IF(RASANTE!F141&lt;=PERALTE!$AB$22,(10/(PERALTE!$X$22-PERALTE!$AB$22)*(RASANTE!F141-PERALTE!$AB$22)-2))))),IF(AND(AH!#REF!="Izquierda",RASANTE!F141&lt;=PERALTE!#REF!),IF(RASANTE!F141&lt;=PERALTE!#REF!,-2,IF(RASANTE!F141&lt;=PERALTE!#REF!,(-6/(PERALTE!#REF!-PERALTE!#REF!)*(RASANTE!F141-PERALTE!#REF!)-2),IF(RASANTE!F141&lt;=PERALTE!#REF!,-8,IF(RASANTE!F141&lt;=PERALTE!#REF!,(-6/(PERALTE!#REF!-PERALTE!#REF!)*(RASANTE!F141-PERALTE!#REF!)-2),IF(RASANTE!F141&lt;=PERALTE!#REF!,-2))))),IF(AND(AH!#REF!="Derecha",RASANTE!F141&lt;=PERALTE!#REF!),IF(RASANTE!F141&lt;=PERALTE!#REF!,-2,IF(RASANTE!F141&lt;=PERALTE!#REF!,(10/(PERALTE!#REF!-PERALTE!#REF!)*(RASANTE!F141-PERALTE!#REF!)-2),IF(RASANTE!F141&lt;=PERALTE!#REF!,8,IF(RASANTE!F141&lt;=PERALTE!#REF!,(10/(PERALTE!#REF!-PERALTE!#REF!)*(RASANTE!F141-PERALTE!#REF!)-2))))),IF(AND(AH!#REF!="Izquierda",RASANTE!F141&lt;=PERALTE!$AB$26),IF(RASANTE!F141&lt;=PERALTE!$S$26,-2,IF(RASANTE!F141&lt;=PERALTE!$U$26,(-6/(PERALTE!$U$26-PERALTE!$S$26)*(RASANTE!F141-PERALTE!$S$26)-2),IF(RASANTE!F141&lt;=PERALTE!$X$26,-8,IF(RASANTE!F141&lt;=PERALTE!$Z$26,(-6/(PERALTE!$X$26-PERALTE!$Z$26)*(RASANTE!F141-PERALTE!$Z$26)-2),IF(RASANTE!F141&lt;=PERALTE!$AB$26,-2))))),IF(AND(AH!#REF!="Derecha",RASANTE!F141&lt;=PERALTE!$AB$26),IF(RASANTE!F141&lt;=PERALTE!$Q$26,-2,IF(RASANTE!F141&lt;=PERALTE!$U$26,(10/(PERALTE!$U$26-PERALTE!$Q$26)*(RASANTE!F141-PERALTE!$Q$26)-2),IF(RASANTE!F141&lt;=PERALTE!$X$26,8,IF(RASANTE!F141&lt;=PERALTE!$AB$26,(10/(PERALTE!$X$26-PERALTE!$AB$26)*(RASANTE!F141-PERALTE!$AB$26)-2))))),IF(F141&lt;=PERALTE!#REF!,-2,"Abscisa fuera de la vía")))))))))))))))))))))</f>
        <v>-8</v>
      </c>
      <c r="I141" s="28">
        <f>+IF(AND(AH!$H$8="Derecha",RASANTE!F141&lt;=PERALTE!$AB$6),IF(RASANTE!F141&lt;=PERALTE!$S$6,-2,IF(RASANTE!F141&lt;=PERALTE!$U$6,(-6/(PERALTE!$U$6-PERALTE!$S$6)*(RASANTE!F141-PERALTE!$S$6)-2),IF(RASANTE!F141&lt;=PERALTE!$X$6,-8,IF(RASANTE!F141&lt;=PERALTE!$Z$6,(-6/(PERALTE!$X$6-PERALTE!$Z$6)*(RASANTE!F141-PERALTE!$Z$6)-2),IF(RASANTE!F141&lt;=PERALTE!$AB$6,-2))))),IF(AND(AH!$H$8="Izquierda",RASANTE!F141&lt;=PERALTE!$AB$6),IF(RASANTE!F141&lt;=PERALTE!$Q$6,-2,IF(RASANTE!F141&lt;=PERALTE!$U$6,(10/(PERALTE!$U$6-PERALTE!$Q$6)*(RASANTE!F141-PERALTE!$Q$6)-2),IF(RASANTE!F141&lt;=PERALTE!$X$6,8,IF(RASANTE!F141&lt;=PERALTE!$AB$6,(10/(PERALTE!$X$6-PERALTE!$AB$6)*(RASANTE!F141-PERALTE!$AB$6)-2))))),IF(AND(AH!$H$10="Derecha",RASANTE!F141&lt;=PERALTE!$AB$8),IF(RASANTE!F141&lt;=PERALTE!$S$8,-2,IF(RASANTE!F141&lt;=PERALTE!$U$8,(-6/(PERALTE!$U$8-PERALTE!$S$8)*(RASANTE!F141-PERALTE!$S$8)-2),IF(RASANTE!F141&lt;=PERALTE!$X$8,-8,IF(RASANTE!F141&lt;=PERALTE!$Z$8,(-6/(PERALTE!$X$8-PERALTE!$Z$8)*(RASANTE!F141-PERALTE!$Z$8)-2),IF(RASANTE!F141&lt;=PERALTE!$AB$8,-2))))),IF(AND(AH!$H$10="Izquierda",RASANTE!F141&lt;=PERALTE!$AB$8),IF(RASANTE!F141&lt;=PERALTE!$Q$8,-2,IF(RASANTE!F141&lt;=PERALTE!$U$8,(10/(PERALTE!$U$8-PERALTE!$Q$8)*(RASANTE!F141-PERALTE!$Q$8)-2),IF(RASANTE!F141&lt;=PERALTE!$X$8,8,IF(RASANTE!F141&lt;=PERALTE!$AB$8,(10/(PERALTE!$X$8-PERALTE!$AB$8)*(RASANTE!F141-PERALTE!$AB$8)-2))))),IF(AND(AH!$H$12="Derecha",RASANTE!F141&lt;=PERALTE!$AB$10),IF(RASANTE!F141&lt;=PERALTE!$S$10,-2,IF(RASANTE!F141&lt;=PERALTE!$U$10,(-6/(PERALTE!$U$10-PERALTE!$S$10)*(RASANTE!F141-PERALTE!$S$10)-2),IF(RASANTE!F141&lt;=PERALTE!$X$10,-8,IF(RASANTE!F141&lt;=PERALTE!$Z$10,(-6/(PERALTE!$X$10-PERALTE!$Z$10)*(RASANTE!F141-PERALTE!$Z$10)-2),IF(RASANTE!F141&lt;=PERALTE!$AB$10,-2))))),IF(AND(AH!$H$12="Izquierda",RASANTE!F141&lt;=PERALTE!$AB$10),IF(RASANTE!F141&lt;=PERALTE!$Q$10,-2,IF(RASANTE!F141&lt;=PERALTE!$U$10,(10/(PERALTE!$U$10-PERALTE!$Q$10)*(RASANTE!F141-PERALTE!$Q$10)-2),IF(RASANTE!F141&lt;=PERALTE!$X$10,8,IF(RASANTE!F141&lt;=PERALTE!$AB$10,(10/(PERALTE!$X$10-PERALTE!$AB$10)*(RASANTE!F141-PERALTE!$AB$10)-2))))),IF(AND(AH!$H$14="Derecha",RASANTE!F141&lt;=PERALTE!$AB$12),IF(RASANTE!F141&lt;=PERALTE!$S$12,-2,IF(RASANTE!F141&lt;=PERALTE!$U$12,(-6/(PERALTE!$U$12-PERALTE!$S$12)*(RASANTE!F141-PERALTE!$S$12)-2),IF(RASANTE!F141&lt;=PERALTE!$X$12,-8,IF(RASANTE!F141&lt;=PERALTE!$Z$12,(-6/(PERALTE!$X$12-PERALTE!$Z$12)*(RASANTE!F141-PERALTE!$Z$12)-2),IF(RASANTE!F141&lt;=PERALTE!$AB$12,-2))))),IF(AND(AH!$H$14="Izquierda",RASANTE!F141&lt;=PERALTE!$AB$12),IF(RASANTE!F141&lt;=PERALTE!$Q$12,-2,IF(RASANTE!F141&lt;=PERALTE!$U$12,(10/(PERALTE!$U$12-PERALTE!$Q$12)*(RASANTE!F141-PERALTE!$Q$12)-2),IF(RASANTE!F141&lt;=PERALTE!$X$12,8,IF(RASANTE!F141&lt;=PERALTE!$AB$12,(10/(PERALTE!$X$12-PERALTE!$AB$12)*(RASANTE!F141-PERALTE!$AB$12)-2))))),IF(AND(AH!$H$16="Derecha",RASANTE!F141&lt;=PERALTE!$AB$14),IF(RASANTE!F141&lt;=PERALTE!$S$14,-2,IF(RASANTE!F141&lt;=PERALTE!$U$14,(-6/(PERALTE!$U$14-PERALTE!$S$14)*(RASANTE!F141-PERALTE!$S$14)-2),IF(RASANTE!F141&lt;=PERALTE!$X$14,-8,IF(RASANTE!F141&lt;=PERALTE!$Z$14,(-6/(PERALTE!$X$14-PERALTE!$Z$14)*(RASANTE!F141-PERALTE!$Z$14)-2),IF(RASANTE!F141&lt;=PERALTE!$AB$14,-2))))),IF(AND(AH!$H$16="Izquierda",RASANTE!F141&lt;=PERALTE!$AB$14),IF(RASANTE!F141&lt;=PERALTE!$Q$14,-2,IF(RASANTE!F141&lt;=PERALTE!$U$14,(10/(PERALTE!$U$14-PERALTE!$Q$14)*(RASANTE!F141-PERALTE!$Q$14)-2),IF(RASANTE!F141&lt;=PERALTE!$X$14,8,IF(RASANTE!F141&lt;=PERALTE!$AB$14,(10/(PERALTE!$X$14-PERALTE!$AB$14)*(RASANTE!F141-PERALTE!$AB$14)-2))))),IF(AND(AH!$H$18="Derecha",RASANTE!F141&lt;=PERALTE!$AB$16),IF(RASANTE!F141&lt;=PERALTE!$S$16,-2,IF(RASANTE!F141&lt;=PERALTE!$U$16,(-6/(PERALTE!$U$16-PERALTE!$S$16)*(RASANTE!F141-PERALTE!$S$16)-2),IF(RASANTE!F141&lt;=PERALTE!$X$16,-8,IF(RASANTE!F141&lt;=PERALTE!$Z$16,(-6/(PERALTE!$X$16-PERALTE!$Z$16)*(RASANTE!F141-PERALTE!$Z$16)-2),IF(RASANTE!F141&lt;=PERALTE!$AB$16,-2))))),IF(AND(AH!$H$18="Izquierda",RASANTE!F141&lt;=PERALTE!$AB$16),IF(RASANTE!F141&lt;=PERALTE!$Q$16,-2,IF(RASANTE!F141&lt;=PERALTE!$U$16,(10/(PERALTE!$U$16-PERALTE!$Q$16)*(RASANTE!F141-PERALTE!$Q$16)-2),IF(RASANTE!F141&lt;=PERALTE!$X$16,8,IF(RASANTE!F141&lt;=PERALTE!$AB$16,(10/(PERALTE!$X$16-PERALTE!$AB$16)*(RASANTE!F141-PERALTE!$AB$16)-2))))),IF(AND(AH!$H$20="Derecha",RASANTE!F141&lt;=PERALTE!$AB$18),IF(RASANTE!F141&lt;=PERALTE!$S$18,-2,IF(RASANTE!F141&lt;=PERALTE!$U$18,(-6/(PERALTE!$U$18-PERALTE!$S$18)*(RASANTE!F141-PERALTE!$S$18)-2),IF(RASANTE!F141&lt;=PERALTE!$X$18,-8,IF(RASANTE!F141&lt;=PERALTE!$Z$18,(-6/(PERALTE!$X$18-PERALTE!$Z$18)*(RASANTE!F141-PERALTE!$Z$18)-2),IF(RASANTE!F141&lt;=PERALTE!$AB$18,-2))))),IF(AND(AH!$H$20="Izquierda",RASANTE!F141&lt;=PERALTE!$AB$18),IF(RASANTE!F141&lt;=PERALTE!$Q$18,-2,IF(RASANTE!F141&lt;=PERALTE!$U$18,(10/(PERALTE!$U$18-PERALTE!$Q$18)*(RASANTE!F141-PERALTE!$Q$18)-2),IF(RASANTE!F141&lt;=PERALTE!$X$18,8,IF(RASANTE!F141&lt;=PERALTE!$AB$18,(10/(PERALTE!$X$18-PERALTE!$AB$18)*(RASANTE!F141-PERALTE!$AB$18)-2))))),IF(AND(AH!$H$24="Derecha",RASANTE!F141&lt;=PERALTE!$AB$22),IF(RASANTE!F141&lt;=PERALTE!$S$22,-2,IF(RASANTE!F141&lt;=PERALTE!$U$22,(-6/(PERALTE!$U$22-PERALTE!$S$22)*(RASANTE!F141-PERALTE!$S$22)-2),IF(RASANTE!F141&lt;=PERALTE!$X$22,-8,IF(RASANTE!F141&lt;=PERALTE!$Z$22,(-6/(PERALTE!$X$22-PERALTE!$Z$22)*(RASANTE!F141-PERALTE!$Z$22)-2),IF(RASANTE!F141&lt;=PERALTE!$AB$22,-2))))),IF(AND(AH!$H$24="Izquierda",RASANTE!F141&lt;=PERALTE!$AB$22),IF(RASANTE!F141&lt;=PERALTE!$Q$22,-2,IF(RASANTE!F141&lt;=PERALTE!$U$22,(10/(PERALTE!$U$22-PERALTE!$Q$22)*(RASANTE!F141-PERALTE!$Q$22)-2),IF(RASANTE!F141&lt;=PERALTE!$X$22,8,IF(RASANTE!F141&lt;=PERALTE!$AB$22,(10/(PERALTE!$X$22-PERALTE!$AB$22)*(RASANTE!F141-PERALTE!$AB$22)-2))))),IF(AND(AH!#REF!="Derecha",RASANTE!F141&lt;=PERALTE!#REF!),IF(RASANTE!F141&lt;=PERALTE!#REF!,-2,IF(RASANTE!F141&lt;=PERALTE!#REF!,(-6/(PERALTE!#REF!-PERALTE!#REF!)*(RASANTE!F141-PERALTE!#REF!)-2),IF(RASANTE!F141&lt;=PERALTE!#REF!,-8,IF(RASANTE!F141&lt;=PERALTE!#REF!,(-6/(PERALTE!#REF!-PERALTE!#REF!)*(RASANTE!F141-PERALTE!#REF!)-2),IF(RASANTE!F141&lt;=PERALTE!#REF!,-2))))),IF(AND(AH!#REF!="Izquierda",RASANTE!F141&lt;=PERALTE!#REF!),IF(RASANTE!F141&lt;=PERALTE!#REF!,-2,IF(RASANTE!F141&lt;=PERALTE!#REF!,(10/(PERALTE!#REF!-PERALTE!#REF!)*(RASANTE!F141-PERALTE!#REF!)-2),IF(RASANTE!F141&lt;=PERALTE!#REF!,8,IF(RASANTE!F141&lt;=PERALTE!#REF!,(10/(PERALTE!#REF!-PERALTE!#REF!)*(RASANTE!F141-PERALTE!#REF!)-2))))),IF(AND(AH!#REF!="Derecha",RASANTE!F141&lt;=PERALTE!$AB$26),IF(RASANTE!F141&lt;=PERALTE!$S$26,-2,IF(RASANTE!F141&lt;=PERALTE!$U$26,(-6/(PERALTE!$U$26-PERALTE!$S$26)*(RASANTE!F141-PERALTE!$S$26)-2),IF(RASANTE!F141&lt;=PERALTE!$X$26,-8,IF(RASANTE!F141&lt;=PERALTE!$Z$26,(-6/(PERALTE!$X$26-PERALTE!$Z$26)*(RASANTE!F141-PERALTE!$Z$26)-2),IF(RASANTE!F141&lt;=PERALTE!$AB$26,-2))))),IF(AND(AH!#REF!="Izquierda",RASANTE!F141&lt;=PERALTE!$AB$26),IF(RASANTE!F141&lt;=PERALTE!$Q$26,-2,IF(RASANTE!F141&lt;=PERALTE!$U$26,(10/(PERALTE!$U$26-PERALTE!$Q$26)*(RASANTE!F141-PERALTE!$Q$26)-2),IF(RASANTE!F141&lt;=PERALTE!$X$26,8,IF(RASANTE!F141&lt;=PERALTE!$AB$26,(10/(PERALTE!$X$26-PERALTE!$AB$26)*(RASANTE!F141-PERALTE!$AB$26)-2))))),IF(F141&lt;=PERALTE!#REF!,-2,"Abscisa fuera de la vía")))))))))))))))))))))</f>
        <v>8</v>
      </c>
      <c r="J141" s="28">
        <f t="shared" si="6"/>
        <v>1622.8790380375922</v>
      </c>
      <c r="K141" s="28">
        <f>+IF(AND(AV!$S$6&lt;F189,F189&lt;=AV!$T$6),AV!$P$6*((AV!$S$6-RASANTE!F189)/(AV!$N$6))^2,IF(AND(AV!$T$6&lt;RASANTE!F189,F189&lt;AV!$U$6),AV!$P$6*((AV!$U$6-RASANTE!F189)/(AV!$O$6))^2,IF(AND(AV!$S$8&lt;F189,F189&lt;=AV!$T$8),AV!$P$8*((AV!$S$8-RASANTE!F189)/(AV!$N$8))^2,IF(AND(AV!$T$8&lt;RASANTE!F189,F189&lt;AV!$U$8),AV!$P$8*((AV!$U$8-RASANTE!F189)/(AV!$O$8))^2,IF(AND(AV!$S$10&lt;F189,F189&lt;=AV!$T$10),AV!$P$10*((AV!$S$10-RASANTE!F189)/(AV!$N$10))^2,IF(AND(AV!$T$10&lt;RASANTE!F189,F189&lt;AV!$U$10),AV!$P$10*((AV!$U$10-RASANTE!F189)/(AV!$O$10))^2,IF(AND(AV!$S$12&lt;F189,F189&lt;=AV!$T$12),AV!$P$12*((AV!$S$12-RASANTE!F189)/(AV!$N$12))^2,IF(AND(AV!$T$12&lt;RASANTE!F189,F189&lt;AV!$U$12),AV!$P$12*((AV!$U$12-RASANTE!F189)/(AV!$O$12))^2,IF(AND(AV!$S$14&lt;F189,F189&lt;=AV!$T$14),AV!$P$14*((AV!$S$14-RASANTE!F189)/(AV!$N$14))^2,IF(AND(AV!$T$14&lt;RASANTE!F189,F189&lt;AV!$U$14),AV!$P$14*((AV!$U$14-RASANTE!F189)/(AV!$O$14))^2,IF(AND(AV!$S$16&lt;F189,F189&lt;=AV!$T$16),AV!$P$16*((AV!$S$16-RASANTE!F189)/(AV!$N$16))^2,IF(AND(AV!$T$16&lt;RASANTE!F189,F189&lt;AV!$U$16),AV!$P$16*((AV!$U$16-RASANTE!F189)/(AV!$O$16))^2,IF(AND(AV!$S$18&lt;F189,F189&lt;=AV!$T$18),AV!$P$18*((AV!$S$18-RASANTE!F189)/(AV!$N$18))^2,IF(AND(AV!$T$18&lt;RASANTE!F189,F189&lt;AV!$U$18),AV!$P$18*((AV!$U$18-RASANTE!F189)/(AV!$O$18))^2,IF(AND(AV!$S$20&lt;F189,F189&lt;=AV!$T$20),AV!$P$20*((AV!$S$20-RASANTE!F189)/(AV!$N$20))^2,IF(AND(AV!$T$20&lt;RASANTE!F189,F189&lt;AV!$U$20),AV!$P$20*((AV!$U$20-RASANTE!F189)/(AV!$O$20))^2,IF(AND(AV!$S$22&lt;F189,F189&lt;=AV!$T$22),AV!$P$22*((AV!$S$22-RASANTE!F189)/(AV!$N$22))^2,IF(AND(AV!$T$22&lt;RASANTE!F189,F189&lt;AV!$U$22),AV!$P$22*((AV!$U$22-RASANTE!F189)/(AV!$O$22))^2,IF(AND(AV!$S$24&lt;F189,F189&lt;=AV!$T$24),AV!$P$24*((AV!$S$24-RASANTE!F189)/(AV!$N$24))^2,IF(AND(AV!$T$24&lt;RASANTE!F189,F189&lt;AV!$U$24),AV!$P$24*((AV!$U$24-RASANTE!F189)/(AV!$O$24))^2,0))))))))))))))))))))</f>
        <v>0</v>
      </c>
      <c r="L141" s="28">
        <f>+M141+H141%*PERALTE!$C$32</f>
        <v>1622.5990380375922</v>
      </c>
      <c r="M141" s="28">
        <f t="shared" si="5"/>
        <v>1622.8790380375922</v>
      </c>
      <c r="N141" s="28">
        <f>+M141+I141%*PERALTE!$C$32</f>
        <v>1623.1590380375922</v>
      </c>
      <c r="O141" s="92"/>
      <c r="P141" s="84"/>
      <c r="Q141" s="84"/>
      <c r="R141" s="84"/>
      <c r="S141" s="84"/>
      <c r="T141" s="84"/>
      <c r="U141" s="84"/>
      <c r="V141" s="84"/>
      <c r="W141" s="84"/>
      <c r="X141" s="84"/>
      <c r="Y141" s="84"/>
    </row>
    <row r="142" spans="1:25" ht="15.75" customHeight="1" x14ac:dyDescent="0.2">
      <c r="A142" s="320"/>
      <c r="B142" s="86"/>
      <c r="C142" s="86"/>
      <c r="D142" s="86"/>
      <c r="E142" s="160"/>
      <c r="F142" s="34">
        <v>870</v>
      </c>
      <c r="G142" s="88">
        <f>IF(F142&lt;=AV!$T$6,AV!$C$5,IF(RASANTE!F142&lt;=AV!$T$8,AV!$C$7,IF(RASANTE!F142&lt;=AV!$T$10,AV!$C$9,IF(RASANTE!F142&lt;=AV!$T$12,AV!$C$11,IF(RASANTE!F142&lt;=AV!$T$14,AV!$C$13,IF(RASANTE!F142&lt;=AV!$T$16,AV!$C$15, IF(RASANTE!F142&lt;=AV!$T$18,AV!$C$17,IF(RASANTE!F142&lt;=AV!$T$20,AV!$C$19,IF(RASANTE!F142&lt;=AV!$T$22,AV!$C$21,IF(RASANTE!F142&lt;=AV!$T$24,AV!$C$23,AV!$C$25))))))))))</f>
        <v>-7.2409999999999997</v>
      </c>
      <c r="H142" s="28">
        <f>+IF(AND(AH!$H$8="Izquierda",RASANTE!F142&lt;=PERALTE!$AB$6),IF(RASANTE!F142&lt;=PERALTE!$S$6,-2,IF(RASANTE!F142&lt;=PERALTE!$U$6,(-6/(PERALTE!$U$6-PERALTE!$S$6)*(RASANTE!F142-PERALTE!$S$6)-2),IF(RASANTE!F142&lt;=PERALTE!$X$6,-8,IF(RASANTE!F142&lt;=PERALTE!$Z$6,(-6/(PERALTE!$X$6-PERALTE!$Z$6)*(RASANTE!F142-PERALTE!$Z$6)-2),IF(RASANTE!F142&lt;=PERALTE!$AB$6,-2))))),IF(AND(AH!$H$8="Derecha",RASANTE!F142&lt;=PERALTE!$AB$6),IF(RASANTE!F142&lt;=PERALTE!$Q$6,-2,IF(RASANTE!F142&lt;=PERALTE!$U$6,(10/(PERALTE!$U$6-PERALTE!$Q$6)*(RASANTE!F142-PERALTE!$Q$6)-2),IF(RASANTE!F142&lt;=PERALTE!$X$6,8,IF(RASANTE!F142&lt;=PERALTE!$AB$6,(10/(PERALTE!$X$6-PERALTE!$AB$6)*(RASANTE!F142-PERALTE!$AB$6)-2))))),IF(AND(AH!$H$10="Izquierda",RASANTE!F142&lt;=PERALTE!$AB$8),IF(RASANTE!F142&lt;=PERALTE!$S$8,-2,IF(RASANTE!F142&lt;=PERALTE!$U$8,(-6/(PERALTE!$U$8-PERALTE!$S$8)*(RASANTE!F142-PERALTE!$S$8)-2),IF(RASANTE!F142&lt;=PERALTE!$X$8,-8,IF(RASANTE!F142&lt;=PERALTE!$Z$8,(-6/(PERALTE!$X$8-PERALTE!$Z$8)*(RASANTE!F142-PERALTE!$Z$8)-2),IF(RASANTE!F142&lt;=PERALTE!$AB$8,-2))))),IF(AND(AH!$H$10="Derecha",RASANTE!F142&lt;=PERALTE!$AB$8),IF(RASANTE!F142&lt;=PERALTE!$Q$8,-2,IF(RASANTE!F142&lt;=PERALTE!$U$8,(10/(PERALTE!$U$8-PERALTE!$Q$8)*(RASANTE!F142-PERALTE!$Q$8)-2),IF(RASANTE!F142&lt;=PERALTE!$X$8,8,IF(RASANTE!F142&lt;=PERALTE!$AB$8,(10/(PERALTE!$X$8-PERALTE!$AB$8)*(RASANTE!F142-PERALTE!$AB$8)-2))))),IF(AND(AH!$H$12="Izquierda",RASANTE!F142&lt;=PERALTE!$AB$10),IF(RASANTE!F142&lt;=PERALTE!$S$10,-2,IF(RASANTE!F142&lt;=PERALTE!$U$10,(-6/(PERALTE!$U$10-PERALTE!$S$10)*(RASANTE!F142-PERALTE!$S$10)-2),IF(RASANTE!F142&lt;=PERALTE!$X$10,-8,IF(RASANTE!F142&lt;=PERALTE!$Z$10,(-6/(PERALTE!$X$10-PERALTE!$Z$10)*(RASANTE!F142-PERALTE!$Z$10)-2),IF(RASANTE!F142&lt;=PERALTE!$AB$10,-2))))),IF(AND(AH!$H$12="Derecha",RASANTE!F142&lt;=PERALTE!$AB$10),IF(RASANTE!F142&lt;=PERALTE!$Q$10,-2,IF(RASANTE!F142&lt;=PERALTE!$U$10,(10/(PERALTE!$U$10-PERALTE!$Q$10)*(RASANTE!F142-PERALTE!$Q$10)-2),IF(RASANTE!F142&lt;=PERALTE!$X$10,8,IF(RASANTE!F142&lt;=PERALTE!$AB$10,(10/(PERALTE!$X$10-PERALTE!$AB$10)*(RASANTE!F142-PERALTE!$AB$10)-2))))),IF(AND(AH!$H$14="Izquierda",RASANTE!F142&lt;=PERALTE!$AB$12),IF(RASANTE!F142&lt;=PERALTE!$S$12,-2,IF(RASANTE!F142&lt;=PERALTE!$U$12,(-6/(PERALTE!$U$12-PERALTE!$S$12)*(RASANTE!F142-PERALTE!$S$12)-2),IF(RASANTE!F142&lt;=PERALTE!$X$12,-8,IF(RASANTE!F142&lt;=PERALTE!$Z$12,(-6/(PERALTE!$X$12-PERALTE!$Z$12)*(RASANTE!F142-PERALTE!$Z$12)-2),IF(RASANTE!F142&lt;=PERALTE!$AB$12,-2))))),IF(AND(AH!$H$14="Derecha",RASANTE!F142&lt;=PERALTE!$AB$12),IF(RASANTE!F142&lt;=PERALTE!$Q$12,-2,IF(RASANTE!F142&lt;=PERALTE!$U$12,(10/(PERALTE!$U$12-PERALTE!$Q$12)*(RASANTE!F142-PERALTE!$Q$12)-2),IF(RASANTE!F142&lt;=PERALTE!$X$12,8,IF(RASANTE!F142&lt;=PERALTE!$AB$12,(10/(PERALTE!$X$12-PERALTE!$AB$12)*(RASANTE!F142-PERALTE!$AB$12)-2))))),IF(AND(AH!$H$16="Izquierda",RASANTE!F142&lt;=PERALTE!$AB$14),IF(RASANTE!F142&lt;=PERALTE!$S$14,-2,IF(RASANTE!F142&lt;=PERALTE!$U$14,(-6/(PERALTE!$U$14-PERALTE!$S$14)*(RASANTE!F142-PERALTE!$S$14)-2),IF(RASANTE!F142&lt;=PERALTE!$X$14,-8,IF(RASANTE!F142&lt;=PERALTE!$Z$14,(-6/(PERALTE!$X$14-PERALTE!$Z$14)*(RASANTE!F142-PERALTE!$Z$14)-2),IF(RASANTE!F142&lt;=PERALTE!$AB$14,-2))))),IF(AND(AH!$H$16="Derecha",RASANTE!F142&lt;=PERALTE!$AB$14),IF(RASANTE!F142&lt;=PERALTE!$Q$14,-2,IF(RASANTE!F142&lt;=PERALTE!$U$14,(10/(PERALTE!$U$14-PERALTE!$Q$14)*(RASANTE!F142-PERALTE!$Q$14)-2),IF(RASANTE!F142&lt;=PERALTE!$X$14,8,IF(RASANTE!F142&lt;=PERALTE!$AB$14,(10/(PERALTE!$X$14-PERALTE!$AB$14)*(RASANTE!F142-PERALTE!$AB$14)-2))))),IF(AND(AH!$H$18="Izquierda",RASANTE!F142&lt;=PERALTE!$AB$16),IF(RASANTE!F142&lt;=PERALTE!$S$16,-2,IF(RASANTE!F142&lt;=PERALTE!$U$16,(-6/(PERALTE!$U$16-PERALTE!$S$16)*(RASANTE!F142-PERALTE!$S$16)-2),IF(RASANTE!F142&lt;=PERALTE!$X$16,-8,IF(RASANTE!F142&lt;=PERALTE!$Z$16,(-6/(PERALTE!$X$16-PERALTE!$Z$16)*(RASANTE!F142-PERALTE!$Z$16)-2),IF(RASANTE!F142&lt;=PERALTE!$AB$16,-2))))),IF(AND(AH!$H$18="Derecha",RASANTE!F142&lt;=PERALTE!$AB$16),IF(RASANTE!F142&lt;=PERALTE!$Q$16,-2,IF(RASANTE!F142&lt;=PERALTE!$U$16,(10/(PERALTE!$U$16-PERALTE!$Q$16)*(RASANTE!F142-PERALTE!$Q$16)-2),IF(RASANTE!F142&lt;=PERALTE!$X$16,8,IF(RASANTE!F142&lt;=PERALTE!$AB$16,(10/(PERALTE!$X$16-PERALTE!$AB$16)*(RASANTE!F142-PERALTE!$AB$16)-2))))),IF(AND(AH!$H$20="Izquierda",RASANTE!F142&lt;=PERALTE!$AB$18),IF(RASANTE!F142&lt;=PERALTE!$S$18,-2,IF(RASANTE!F142&lt;=PERALTE!$U$18,(-6/(PERALTE!$U$18-PERALTE!$S$18)*(RASANTE!F142-PERALTE!$S$18)-2),IF(RASANTE!F142&lt;=PERALTE!$X$18,-8,IF(RASANTE!F142&lt;=PERALTE!$Z$18,(-6/(PERALTE!$X$18-PERALTE!$Z$18)*(RASANTE!F142-PERALTE!$Z$18)-2),IF(RASANTE!F142&lt;=PERALTE!$AB$18,-2))))),IF(AND(AH!$H$20="Derecha",RASANTE!F142&lt;=PERALTE!$AB$18),IF(RASANTE!F142&lt;=PERALTE!$Q$18,-2,IF(RASANTE!F142&lt;=PERALTE!$U$18,(10/(PERALTE!$U$18-PERALTE!$Q$18)*(RASANTE!F142-PERALTE!$Q$18)-2),IF(RASANTE!F142&lt;=PERALTE!$X$18,8,IF(RASANTE!F142&lt;=PERALTE!$AB$18,(10/(PERALTE!$X$18-PERALTE!$AB$18)*(RASANTE!F142-PERALTE!$AB$18)-2))))),IF(AND(AH!$H$24="Izquierda",RASANTE!F142&lt;=PERALTE!$AB$22),IF(RASANTE!F142&lt;=PERALTE!$S$22,-2,IF(RASANTE!F142&lt;=PERALTE!$U$22,(-6/(PERALTE!$U$22-PERALTE!$S$22)*(RASANTE!F142-PERALTE!$S$22)-2),IF(RASANTE!F142&lt;=PERALTE!$X$22,-8,IF(RASANTE!F142&lt;=PERALTE!$Z$22,(-6/(PERALTE!$X$22-PERALTE!$Z$22)*(RASANTE!F142-PERALTE!$Z$22)-2),IF(RASANTE!F142&lt;=PERALTE!$AB$22,-2))))),IF(AND(AH!$H$24="Derecha",RASANTE!F142&lt;=PERALTE!$AB$22),IF(RASANTE!F142&lt;=PERALTE!$Q$22,-2,IF(RASANTE!F142&lt;=PERALTE!$U$22,(10/(PERALTE!$U$22-PERALTE!$Q$22)*(RASANTE!F142-PERALTE!$Q$22)-2),IF(RASANTE!F142&lt;=PERALTE!$X$22,8,IF(RASANTE!F142&lt;=PERALTE!$AB$22,(10/(PERALTE!$X$22-PERALTE!$AB$22)*(RASANTE!F142-PERALTE!$AB$22)-2))))),IF(AND(AH!#REF!="Izquierda",RASANTE!F142&lt;=PERALTE!#REF!),IF(RASANTE!F142&lt;=PERALTE!#REF!,-2,IF(RASANTE!F142&lt;=PERALTE!#REF!,(-6/(PERALTE!#REF!-PERALTE!#REF!)*(RASANTE!F142-PERALTE!#REF!)-2),IF(RASANTE!F142&lt;=PERALTE!#REF!,-8,IF(RASANTE!F142&lt;=PERALTE!#REF!,(-6/(PERALTE!#REF!-PERALTE!#REF!)*(RASANTE!F142-PERALTE!#REF!)-2),IF(RASANTE!F142&lt;=PERALTE!#REF!,-2))))),IF(AND(AH!#REF!="Derecha",RASANTE!F142&lt;=PERALTE!#REF!),IF(RASANTE!F142&lt;=PERALTE!#REF!,-2,IF(RASANTE!F142&lt;=PERALTE!#REF!,(10/(PERALTE!#REF!-PERALTE!#REF!)*(RASANTE!F142-PERALTE!#REF!)-2),IF(RASANTE!F142&lt;=PERALTE!#REF!,8,IF(RASANTE!F142&lt;=PERALTE!#REF!,(10/(PERALTE!#REF!-PERALTE!#REF!)*(RASANTE!F142-PERALTE!#REF!)-2))))),IF(AND(AH!#REF!="Izquierda",RASANTE!F142&lt;=PERALTE!$AB$26),IF(RASANTE!F142&lt;=PERALTE!$S$26,-2,IF(RASANTE!F142&lt;=PERALTE!$U$26,(-6/(PERALTE!$U$26-PERALTE!$S$26)*(RASANTE!F142-PERALTE!$S$26)-2),IF(RASANTE!F142&lt;=PERALTE!$X$26,-8,IF(RASANTE!F142&lt;=PERALTE!$Z$26,(-6/(PERALTE!$X$26-PERALTE!$Z$26)*(RASANTE!F142-PERALTE!$Z$26)-2),IF(RASANTE!F142&lt;=PERALTE!$AB$26,-2))))),IF(AND(AH!#REF!="Derecha",RASANTE!F142&lt;=PERALTE!$AB$26),IF(RASANTE!F142&lt;=PERALTE!$Q$26,-2,IF(RASANTE!F142&lt;=PERALTE!$U$26,(10/(PERALTE!$U$26-PERALTE!$Q$26)*(RASANTE!F142-PERALTE!$Q$26)-2),IF(RASANTE!F142&lt;=PERALTE!$X$26,8,IF(RASANTE!F142&lt;=PERALTE!$AB$26,(10/(PERALTE!$X$26-PERALTE!$AB$26)*(RASANTE!F142-PERALTE!$AB$26)-2))))),IF(F142&lt;=PERALTE!#REF!,-2,"Abscisa fuera de la vía")))))))))))))))))))))</f>
        <v>-8</v>
      </c>
      <c r="I142" s="28">
        <f>+IF(AND(AH!$H$8="Derecha",RASANTE!F142&lt;=PERALTE!$AB$6),IF(RASANTE!F142&lt;=PERALTE!$S$6,-2,IF(RASANTE!F142&lt;=PERALTE!$U$6,(-6/(PERALTE!$U$6-PERALTE!$S$6)*(RASANTE!F142-PERALTE!$S$6)-2),IF(RASANTE!F142&lt;=PERALTE!$X$6,-8,IF(RASANTE!F142&lt;=PERALTE!$Z$6,(-6/(PERALTE!$X$6-PERALTE!$Z$6)*(RASANTE!F142-PERALTE!$Z$6)-2),IF(RASANTE!F142&lt;=PERALTE!$AB$6,-2))))),IF(AND(AH!$H$8="Izquierda",RASANTE!F142&lt;=PERALTE!$AB$6),IF(RASANTE!F142&lt;=PERALTE!$Q$6,-2,IF(RASANTE!F142&lt;=PERALTE!$U$6,(10/(PERALTE!$U$6-PERALTE!$Q$6)*(RASANTE!F142-PERALTE!$Q$6)-2),IF(RASANTE!F142&lt;=PERALTE!$X$6,8,IF(RASANTE!F142&lt;=PERALTE!$AB$6,(10/(PERALTE!$X$6-PERALTE!$AB$6)*(RASANTE!F142-PERALTE!$AB$6)-2))))),IF(AND(AH!$H$10="Derecha",RASANTE!F142&lt;=PERALTE!$AB$8),IF(RASANTE!F142&lt;=PERALTE!$S$8,-2,IF(RASANTE!F142&lt;=PERALTE!$U$8,(-6/(PERALTE!$U$8-PERALTE!$S$8)*(RASANTE!F142-PERALTE!$S$8)-2),IF(RASANTE!F142&lt;=PERALTE!$X$8,-8,IF(RASANTE!F142&lt;=PERALTE!$Z$8,(-6/(PERALTE!$X$8-PERALTE!$Z$8)*(RASANTE!F142-PERALTE!$Z$8)-2),IF(RASANTE!F142&lt;=PERALTE!$AB$8,-2))))),IF(AND(AH!$H$10="Izquierda",RASANTE!F142&lt;=PERALTE!$AB$8),IF(RASANTE!F142&lt;=PERALTE!$Q$8,-2,IF(RASANTE!F142&lt;=PERALTE!$U$8,(10/(PERALTE!$U$8-PERALTE!$Q$8)*(RASANTE!F142-PERALTE!$Q$8)-2),IF(RASANTE!F142&lt;=PERALTE!$X$8,8,IF(RASANTE!F142&lt;=PERALTE!$AB$8,(10/(PERALTE!$X$8-PERALTE!$AB$8)*(RASANTE!F142-PERALTE!$AB$8)-2))))),IF(AND(AH!$H$12="Derecha",RASANTE!F142&lt;=PERALTE!$AB$10),IF(RASANTE!F142&lt;=PERALTE!$S$10,-2,IF(RASANTE!F142&lt;=PERALTE!$U$10,(-6/(PERALTE!$U$10-PERALTE!$S$10)*(RASANTE!F142-PERALTE!$S$10)-2),IF(RASANTE!F142&lt;=PERALTE!$X$10,-8,IF(RASANTE!F142&lt;=PERALTE!$Z$10,(-6/(PERALTE!$X$10-PERALTE!$Z$10)*(RASANTE!F142-PERALTE!$Z$10)-2),IF(RASANTE!F142&lt;=PERALTE!$AB$10,-2))))),IF(AND(AH!$H$12="Izquierda",RASANTE!F142&lt;=PERALTE!$AB$10),IF(RASANTE!F142&lt;=PERALTE!$Q$10,-2,IF(RASANTE!F142&lt;=PERALTE!$U$10,(10/(PERALTE!$U$10-PERALTE!$Q$10)*(RASANTE!F142-PERALTE!$Q$10)-2),IF(RASANTE!F142&lt;=PERALTE!$X$10,8,IF(RASANTE!F142&lt;=PERALTE!$AB$10,(10/(PERALTE!$X$10-PERALTE!$AB$10)*(RASANTE!F142-PERALTE!$AB$10)-2))))),IF(AND(AH!$H$14="Derecha",RASANTE!F142&lt;=PERALTE!$AB$12),IF(RASANTE!F142&lt;=PERALTE!$S$12,-2,IF(RASANTE!F142&lt;=PERALTE!$U$12,(-6/(PERALTE!$U$12-PERALTE!$S$12)*(RASANTE!F142-PERALTE!$S$12)-2),IF(RASANTE!F142&lt;=PERALTE!$X$12,-8,IF(RASANTE!F142&lt;=PERALTE!$Z$12,(-6/(PERALTE!$X$12-PERALTE!$Z$12)*(RASANTE!F142-PERALTE!$Z$12)-2),IF(RASANTE!F142&lt;=PERALTE!$AB$12,-2))))),IF(AND(AH!$H$14="Izquierda",RASANTE!F142&lt;=PERALTE!$AB$12),IF(RASANTE!F142&lt;=PERALTE!$Q$12,-2,IF(RASANTE!F142&lt;=PERALTE!$U$12,(10/(PERALTE!$U$12-PERALTE!$Q$12)*(RASANTE!F142-PERALTE!$Q$12)-2),IF(RASANTE!F142&lt;=PERALTE!$X$12,8,IF(RASANTE!F142&lt;=PERALTE!$AB$12,(10/(PERALTE!$X$12-PERALTE!$AB$12)*(RASANTE!F142-PERALTE!$AB$12)-2))))),IF(AND(AH!$H$16="Derecha",RASANTE!F142&lt;=PERALTE!$AB$14),IF(RASANTE!F142&lt;=PERALTE!$S$14,-2,IF(RASANTE!F142&lt;=PERALTE!$U$14,(-6/(PERALTE!$U$14-PERALTE!$S$14)*(RASANTE!F142-PERALTE!$S$14)-2),IF(RASANTE!F142&lt;=PERALTE!$X$14,-8,IF(RASANTE!F142&lt;=PERALTE!$Z$14,(-6/(PERALTE!$X$14-PERALTE!$Z$14)*(RASANTE!F142-PERALTE!$Z$14)-2),IF(RASANTE!F142&lt;=PERALTE!$AB$14,-2))))),IF(AND(AH!$H$16="Izquierda",RASANTE!F142&lt;=PERALTE!$AB$14),IF(RASANTE!F142&lt;=PERALTE!$Q$14,-2,IF(RASANTE!F142&lt;=PERALTE!$U$14,(10/(PERALTE!$U$14-PERALTE!$Q$14)*(RASANTE!F142-PERALTE!$Q$14)-2),IF(RASANTE!F142&lt;=PERALTE!$X$14,8,IF(RASANTE!F142&lt;=PERALTE!$AB$14,(10/(PERALTE!$X$14-PERALTE!$AB$14)*(RASANTE!F142-PERALTE!$AB$14)-2))))),IF(AND(AH!$H$18="Derecha",RASANTE!F142&lt;=PERALTE!$AB$16),IF(RASANTE!F142&lt;=PERALTE!$S$16,-2,IF(RASANTE!F142&lt;=PERALTE!$U$16,(-6/(PERALTE!$U$16-PERALTE!$S$16)*(RASANTE!F142-PERALTE!$S$16)-2),IF(RASANTE!F142&lt;=PERALTE!$X$16,-8,IF(RASANTE!F142&lt;=PERALTE!$Z$16,(-6/(PERALTE!$X$16-PERALTE!$Z$16)*(RASANTE!F142-PERALTE!$Z$16)-2),IF(RASANTE!F142&lt;=PERALTE!$AB$16,-2))))),IF(AND(AH!$H$18="Izquierda",RASANTE!F142&lt;=PERALTE!$AB$16),IF(RASANTE!F142&lt;=PERALTE!$Q$16,-2,IF(RASANTE!F142&lt;=PERALTE!$U$16,(10/(PERALTE!$U$16-PERALTE!$Q$16)*(RASANTE!F142-PERALTE!$Q$16)-2),IF(RASANTE!F142&lt;=PERALTE!$X$16,8,IF(RASANTE!F142&lt;=PERALTE!$AB$16,(10/(PERALTE!$X$16-PERALTE!$AB$16)*(RASANTE!F142-PERALTE!$AB$16)-2))))),IF(AND(AH!$H$20="Derecha",RASANTE!F142&lt;=PERALTE!$AB$18),IF(RASANTE!F142&lt;=PERALTE!$S$18,-2,IF(RASANTE!F142&lt;=PERALTE!$U$18,(-6/(PERALTE!$U$18-PERALTE!$S$18)*(RASANTE!F142-PERALTE!$S$18)-2),IF(RASANTE!F142&lt;=PERALTE!$X$18,-8,IF(RASANTE!F142&lt;=PERALTE!$Z$18,(-6/(PERALTE!$X$18-PERALTE!$Z$18)*(RASANTE!F142-PERALTE!$Z$18)-2),IF(RASANTE!F142&lt;=PERALTE!$AB$18,-2))))),IF(AND(AH!$H$20="Izquierda",RASANTE!F142&lt;=PERALTE!$AB$18),IF(RASANTE!F142&lt;=PERALTE!$Q$18,-2,IF(RASANTE!F142&lt;=PERALTE!$U$18,(10/(PERALTE!$U$18-PERALTE!$Q$18)*(RASANTE!F142-PERALTE!$Q$18)-2),IF(RASANTE!F142&lt;=PERALTE!$X$18,8,IF(RASANTE!F142&lt;=PERALTE!$AB$18,(10/(PERALTE!$X$18-PERALTE!$AB$18)*(RASANTE!F142-PERALTE!$AB$18)-2))))),IF(AND(AH!$H$24="Derecha",RASANTE!F142&lt;=PERALTE!$AB$22),IF(RASANTE!F142&lt;=PERALTE!$S$22,-2,IF(RASANTE!F142&lt;=PERALTE!$U$22,(-6/(PERALTE!$U$22-PERALTE!$S$22)*(RASANTE!F142-PERALTE!$S$22)-2),IF(RASANTE!F142&lt;=PERALTE!$X$22,-8,IF(RASANTE!F142&lt;=PERALTE!$Z$22,(-6/(PERALTE!$X$22-PERALTE!$Z$22)*(RASANTE!F142-PERALTE!$Z$22)-2),IF(RASANTE!F142&lt;=PERALTE!$AB$22,-2))))),IF(AND(AH!$H$24="Izquierda",RASANTE!F142&lt;=PERALTE!$AB$22),IF(RASANTE!F142&lt;=PERALTE!$Q$22,-2,IF(RASANTE!F142&lt;=PERALTE!$U$22,(10/(PERALTE!$U$22-PERALTE!$Q$22)*(RASANTE!F142-PERALTE!$Q$22)-2),IF(RASANTE!F142&lt;=PERALTE!$X$22,8,IF(RASANTE!F142&lt;=PERALTE!$AB$22,(10/(PERALTE!$X$22-PERALTE!$AB$22)*(RASANTE!F142-PERALTE!$AB$22)-2))))),IF(AND(AH!#REF!="Derecha",RASANTE!F142&lt;=PERALTE!#REF!),IF(RASANTE!F142&lt;=PERALTE!#REF!,-2,IF(RASANTE!F142&lt;=PERALTE!#REF!,(-6/(PERALTE!#REF!-PERALTE!#REF!)*(RASANTE!F142-PERALTE!#REF!)-2),IF(RASANTE!F142&lt;=PERALTE!#REF!,-8,IF(RASANTE!F142&lt;=PERALTE!#REF!,(-6/(PERALTE!#REF!-PERALTE!#REF!)*(RASANTE!F142-PERALTE!#REF!)-2),IF(RASANTE!F142&lt;=PERALTE!#REF!,-2))))),IF(AND(AH!#REF!="Izquierda",RASANTE!F142&lt;=PERALTE!#REF!),IF(RASANTE!F142&lt;=PERALTE!#REF!,-2,IF(RASANTE!F142&lt;=PERALTE!#REF!,(10/(PERALTE!#REF!-PERALTE!#REF!)*(RASANTE!F142-PERALTE!#REF!)-2),IF(RASANTE!F142&lt;=PERALTE!#REF!,8,IF(RASANTE!F142&lt;=PERALTE!#REF!,(10/(PERALTE!#REF!-PERALTE!#REF!)*(RASANTE!F142-PERALTE!#REF!)-2))))),IF(AND(AH!#REF!="Derecha",RASANTE!F142&lt;=PERALTE!$AB$26),IF(RASANTE!F142&lt;=PERALTE!$S$26,-2,IF(RASANTE!F142&lt;=PERALTE!$U$26,(-6/(PERALTE!$U$26-PERALTE!$S$26)*(RASANTE!F142-PERALTE!$S$26)-2),IF(RASANTE!F142&lt;=PERALTE!$X$26,-8,IF(RASANTE!F142&lt;=PERALTE!$Z$26,(-6/(PERALTE!$X$26-PERALTE!$Z$26)*(RASANTE!F142-PERALTE!$Z$26)-2),IF(RASANTE!F142&lt;=PERALTE!$AB$26,-2))))),IF(AND(AH!#REF!="Izquierda",RASANTE!F142&lt;=PERALTE!$AB$26),IF(RASANTE!F142&lt;=PERALTE!$Q$26,-2,IF(RASANTE!F142&lt;=PERALTE!$U$26,(10/(PERALTE!$U$26-PERALTE!$Q$26)*(RASANTE!F142-PERALTE!$Q$26)-2),IF(RASANTE!F142&lt;=PERALTE!$X$26,8,IF(RASANTE!F142&lt;=PERALTE!$AB$26,(10/(PERALTE!$X$26-PERALTE!$AB$26)*(RASANTE!F142-PERALTE!$AB$26)-2))))),IF(F142&lt;=PERALTE!#REF!,-2,"Abscisa fuera de la vía")))))))))))))))))))))</f>
        <v>8</v>
      </c>
      <c r="J142" s="28">
        <f t="shared" si="6"/>
        <v>1622.1549380375923</v>
      </c>
      <c r="K142" s="28">
        <f>+IF(AND(AV!$S$6&lt;F190,F190&lt;=AV!$T$6),AV!$P$6*((AV!$S$6-RASANTE!F190)/(AV!$N$6))^2,IF(AND(AV!$T$6&lt;RASANTE!F190,F190&lt;AV!$U$6),AV!$P$6*((AV!$U$6-RASANTE!F190)/(AV!$O$6))^2,IF(AND(AV!$S$8&lt;F190,F190&lt;=AV!$T$8),AV!$P$8*((AV!$S$8-RASANTE!F190)/(AV!$N$8))^2,IF(AND(AV!$T$8&lt;RASANTE!F190,F190&lt;AV!$U$8),AV!$P$8*((AV!$U$8-RASANTE!F190)/(AV!$O$8))^2,IF(AND(AV!$S$10&lt;F190,F190&lt;=AV!$T$10),AV!$P$10*((AV!$S$10-RASANTE!F190)/(AV!$N$10))^2,IF(AND(AV!$T$10&lt;RASANTE!F190,F190&lt;AV!$U$10),AV!$P$10*((AV!$U$10-RASANTE!F190)/(AV!$O$10))^2,IF(AND(AV!$S$12&lt;F190,F190&lt;=AV!$T$12),AV!$P$12*((AV!$S$12-RASANTE!F190)/(AV!$N$12))^2,IF(AND(AV!$T$12&lt;RASANTE!F190,F190&lt;AV!$U$12),AV!$P$12*((AV!$U$12-RASANTE!F190)/(AV!$O$12))^2,IF(AND(AV!$S$14&lt;F190,F190&lt;=AV!$T$14),AV!$P$14*((AV!$S$14-RASANTE!F190)/(AV!$N$14))^2,IF(AND(AV!$T$14&lt;RASANTE!F190,F190&lt;AV!$U$14),AV!$P$14*((AV!$U$14-RASANTE!F190)/(AV!$O$14))^2,IF(AND(AV!$S$16&lt;F190,F190&lt;=AV!$T$16),AV!$P$16*((AV!$S$16-RASANTE!F190)/(AV!$N$16))^2,IF(AND(AV!$T$16&lt;RASANTE!F190,F190&lt;AV!$U$16),AV!$P$16*((AV!$U$16-RASANTE!F190)/(AV!$O$16))^2,IF(AND(AV!$S$18&lt;F190,F190&lt;=AV!$T$18),AV!$P$18*((AV!$S$18-RASANTE!F190)/(AV!$N$18))^2,IF(AND(AV!$T$18&lt;RASANTE!F190,F190&lt;AV!$U$18),AV!$P$18*((AV!$U$18-RASANTE!F190)/(AV!$O$18))^2,IF(AND(AV!$S$20&lt;F190,F190&lt;=AV!$T$20),AV!$P$20*((AV!$S$20-RASANTE!F190)/(AV!$N$20))^2,IF(AND(AV!$T$20&lt;RASANTE!F190,F190&lt;AV!$U$20),AV!$P$20*((AV!$U$20-RASANTE!F190)/(AV!$O$20))^2,IF(AND(AV!$S$22&lt;F190,F190&lt;=AV!$T$22),AV!$P$22*((AV!$S$22-RASANTE!F190)/(AV!$N$22))^2,IF(AND(AV!$T$22&lt;RASANTE!F190,F190&lt;AV!$U$22),AV!$P$22*((AV!$U$22-RASANTE!F190)/(AV!$O$22))^2,IF(AND(AV!$S$24&lt;F190,F190&lt;=AV!$T$24),AV!$P$24*((AV!$S$24-RASANTE!F190)/(AV!$N$24))^2,IF(AND(AV!$T$24&lt;RASANTE!F190,F190&lt;AV!$U$24),AV!$P$24*((AV!$U$24-RASANTE!F190)/(AV!$O$24))^2,0))))))))))))))))))))</f>
        <v>0</v>
      </c>
      <c r="L142" s="28">
        <f>+M142+H142%*PERALTE!$C$32</f>
        <v>1621.8749380375923</v>
      </c>
      <c r="M142" s="28">
        <f t="shared" si="5"/>
        <v>1622.1549380375923</v>
      </c>
      <c r="N142" s="28">
        <f>+M142+I142%*PERALTE!$C$32</f>
        <v>1622.4349380375922</v>
      </c>
      <c r="O142" s="92"/>
      <c r="P142" s="84"/>
      <c r="Q142" s="84"/>
      <c r="R142" s="84"/>
      <c r="S142" s="84"/>
      <c r="T142" s="84"/>
      <c r="U142" s="84"/>
      <c r="V142" s="84"/>
      <c r="W142" s="84"/>
      <c r="X142" s="84"/>
      <c r="Y142" s="84"/>
    </row>
    <row r="143" spans="1:25" ht="15.75" customHeight="1" x14ac:dyDescent="0.2">
      <c r="A143" s="322" t="s">
        <v>344</v>
      </c>
      <c r="F143" s="34">
        <f>PERALTE!X12</f>
        <v>876.56357645170078</v>
      </c>
      <c r="G143" s="88">
        <f>IF(F143&lt;=AV!$T$6,AV!$C$5,IF(RASANTE!F143&lt;=AV!$T$8,AV!$C$7,IF(RASANTE!F143&lt;=AV!$T$10,AV!$C$9,IF(RASANTE!F143&lt;=AV!$T$12,AV!$C$11,IF(RASANTE!F143&lt;=AV!$T$14,AV!$C$13,IF(RASANTE!F143&lt;=AV!$T$16,AV!$C$15, IF(RASANTE!F143&lt;=AV!$T$18,AV!$C$17,IF(RASANTE!F143&lt;=AV!$T$20,AV!$C$19,IF(RASANTE!F143&lt;=AV!$T$22,AV!$C$21,IF(RASANTE!F143&lt;=AV!$T$24,AV!$C$23,AV!$C$25))))))))))</f>
        <v>-7.2409999999999997</v>
      </c>
      <c r="H143" s="28">
        <f>+IF(AND(AH!$H$8="Izquierda",RASANTE!F143&lt;=PERALTE!$AB$6),IF(RASANTE!F143&lt;=PERALTE!$S$6,-2,IF(RASANTE!F143&lt;=PERALTE!$U$6,(-6/(PERALTE!$U$6-PERALTE!$S$6)*(RASANTE!F143-PERALTE!$S$6)-2),IF(RASANTE!F143&lt;=PERALTE!$X$6,-8,IF(RASANTE!F143&lt;=PERALTE!$Z$6,(-6/(PERALTE!$X$6-PERALTE!$Z$6)*(RASANTE!F143-PERALTE!$Z$6)-2),IF(RASANTE!F143&lt;=PERALTE!$AB$6,-2))))),IF(AND(AH!$H$8="Derecha",RASANTE!F143&lt;=PERALTE!$AB$6),IF(RASANTE!F143&lt;=PERALTE!$Q$6,-2,IF(RASANTE!F143&lt;=PERALTE!$U$6,(10/(PERALTE!$U$6-PERALTE!$Q$6)*(RASANTE!F143-PERALTE!$Q$6)-2),IF(RASANTE!F143&lt;=PERALTE!$X$6,8,IF(RASANTE!F143&lt;=PERALTE!$AB$6,(10/(PERALTE!$X$6-PERALTE!$AB$6)*(RASANTE!F143-PERALTE!$AB$6)-2))))),IF(AND(AH!$H$10="Izquierda",RASANTE!F143&lt;=PERALTE!$AB$8),IF(RASANTE!F143&lt;=PERALTE!$S$8,-2,IF(RASANTE!F143&lt;=PERALTE!$U$8,(-6/(PERALTE!$U$8-PERALTE!$S$8)*(RASANTE!F143-PERALTE!$S$8)-2),IF(RASANTE!F143&lt;=PERALTE!$X$8,-8,IF(RASANTE!F143&lt;=PERALTE!$Z$8,(-6/(PERALTE!$X$8-PERALTE!$Z$8)*(RASANTE!F143-PERALTE!$Z$8)-2),IF(RASANTE!F143&lt;=PERALTE!$AB$8,-2))))),IF(AND(AH!$H$10="Derecha",RASANTE!F143&lt;=PERALTE!$AB$8),IF(RASANTE!F143&lt;=PERALTE!$Q$8,-2,IF(RASANTE!F143&lt;=PERALTE!$U$8,(10/(PERALTE!$U$8-PERALTE!$Q$8)*(RASANTE!F143-PERALTE!$Q$8)-2),IF(RASANTE!F143&lt;=PERALTE!$X$8,8,IF(RASANTE!F143&lt;=PERALTE!$AB$8,(10/(PERALTE!$X$8-PERALTE!$AB$8)*(RASANTE!F143-PERALTE!$AB$8)-2))))),IF(AND(AH!$H$12="Izquierda",RASANTE!F143&lt;=PERALTE!$AB$10),IF(RASANTE!F143&lt;=PERALTE!$S$10,-2,IF(RASANTE!F143&lt;=PERALTE!$U$10,(-6/(PERALTE!$U$10-PERALTE!$S$10)*(RASANTE!F143-PERALTE!$S$10)-2),IF(RASANTE!F143&lt;=PERALTE!$X$10,-8,IF(RASANTE!F143&lt;=PERALTE!$Z$10,(-6/(PERALTE!$X$10-PERALTE!$Z$10)*(RASANTE!F143-PERALTE!$Z$10)-2),IF(RASANTE!F143&lt;=PERALTE!$AB$10,-2))))),IF(AND(AH!$H$12="Derecha",RASANTE!F143&lt;=PERALTE!$AB$10),IF(RASANTE!F143&lt;=PERALTE!$Q$10,-2,IF(RASANTE!F143&lt;=PERALTE!$U$10,(10/(PERALTE!$U$10-PERALTE!$Q$10)*(RASANTE!F143-PERALTE!$Q$10)-2),IF(RASANTE!F143&lt;=PERALTE!$X$10,8,IF(RASANTE!F143&lt;=PERALTE!$AB$10,(10/(PERALTE!$X$10-PERALTE!$AB$10)*(RASANTE!F143-PERALTE!$AB$10)-2))))),IF(AND(AH!$H$14="Izquierda",RASANTE!F143&lt;=PERALTE!$AB$12),IF(RASANTE!F143&lt;=PERALTE!$S$12,-2,IF(RASANTE!F143&lt;=PERALTE!$U$12,(-6/(PERALTE!$U$12-PERALTE!$S$12)*(RASANTE!F143-PERALTE!$S$12)-2),IF(RASANTE!F143&lt;=PERALTE!$X$12,-8,IF(RASANTE!F143&lt;=PERALTE!$Z$12,(-6/(PERALTE!$X$12-PERALTE!$Z$12)*(RASANTE!F143-PERALTE!$Z$12)-2),IF(RASANTE!F143&lt;=PERALTE!$AB$12,-2))))),IF(AND(AH!$H$14="Derecha",RASANTE!F143&lt;=PERALTE!$AB$12),IF(RASANTE!F143&lt;=PERALTE!$Q$12,-2,IF(RASANTE!F143&lt;=PERALTE!$U$12,(10/(PERALTE!$U$12-PERALTE!$Q$12)*(RASANTE!F143-PERALTE!$Q$12)-2),IF(RASANTE!F143&lt;=PERALTE!$X$12,8,IF(RASANTE!F143&lt;=PERALTE!$AB$12,(10/(PERALTE!$X$12-PERALTE!$AB$12)*(RASANTE!F143-PERALTE!$AB$12)-2))))),IF(AND(AH!$H$16="Izquierda",RASANTE!F143&lt;=PERALTE!$AB$14),IF(RASANTE!F143&lt;=PERALTE!$S$14,-2,IF(RASANTE!F143&lt;=PERALTE!$U$14,(-6/(PERALTE!$U$14-PERALTE!$S$14)*(RASANTE!F143-PERALTE!$S$14)-2),IF(RASANTE!F143&lt;=PERALTE!$X$14,-8,IF(RASANTE!F143&lt;=PERALTE!$Z$14,(-6/(PERALTE!$X$14-PERALTE!$Z$14)*(RASANTE!F143-PERALTE!$Z$14)-2),IF(RASANTE!F143&lt;=PERALTE!$AB$14,-2))))),IF(AND(AH!$H$16="Derecha",RASANTE!F143&lt;=PERALTE!$AB$14),IF(RASANTE!F143&lt;=PERALTE!$Q$14,-2,IF(RASANTE!F143&lt;=PERALTE!$U$14,(10/(PERALTE!$U$14-PERALTE!$Q$14)*(RASANTE!F143-PERALTE!$Q$14)-2),IF(RASANTE!F143&lt;=PERALTE!$X$14,8,IF(RASANTE!F143&lt;=PERALTE!$AB$14,(10/(PERALTE!$X$14-PERALTE!$AB$14)*(RASANTE!F143-PERALTE!$AB$14)-2))))),IF(AND(AH!$H$18="Izquierda",RASANTE!F143&lt;=PERALTE!$AB$16),IF(RASANTE!F143&lt;=PERALTE!$S$16,-2,IF(RASANTE!F143&lt;=PERALTE!$U$16,(-6/(PERALTE!$U$16-PERALTE!$S$16)*(RASANTE!F143-PERALTE!$S$16)-2),IF(RASANTE!F143&lt;=PERALTE!$X$16,-8,IF(RASANTE!F143&lt;=PERALTE!$Z$16,(-6/(PERALTE!$X$16-PERALTE!$Z$16)*(RASANTE!F143-PERALTE!$Z$16)-2),IF(RASANTE!F143&lt;=PERALTE!$AB$16,-2))))),IF(AND(AH!$H$18="Derecha",RASANTE!F143&lt;=PERALTE!$AB$16),IF(RASANTE!F143&lt;=PERALTE!$Q$16,-2,IF(RASANTE!F143&lt;=PERALTE!$U$16,(10/(PERALTE!$U$16-PERALTE!$Q$16)*(RASANTE!F143-PERALTE!$Q$16)-2),IF(RASANTE!F143&lt;=PERALTE!$X$16,8,IF(RASANTE!F143&lt;=PERALTE!$AB$16,(10/(PERALTE!$X$16-PERALTE!$AB$16)*(RASANTE!F143-PERALTE!$AB$16)-2))))),IF(AND(AH!$H$20="Izquierda",RASANTE!F143&lt;=PERALTE!$AB$18),IF(RASANTE!F143&lt;=PERALTE!$S$18,-2,IF(RASANTE!F143&lt;=PERALTE!$U$18,(-6/(PERALTE!$U$18-PERALTE!$S$18)*(RASANTE!F143-PERALTE!$S$18)-2),IF(RASANTE!F143&lt;=PERALTE!$X$18,-8,IF(RASANTE!F143&lt;=PERALTE!$Z$18,(-6/(PERALTE!$X$18-PERALTE!$Z$18)*(RASANTE!F143-PERALTE!$Z$18)-2),IF(RASANTE!F143&lt;=PERALTE!$AB$18,-2))))),IF(AND(AH!$H$20="Derecha",RASANTE!F143&lt;=PERALTE!$AB$18),IF(RASANTE!F143&lt;=PERALTE!$Q$18,-2,IF(RASANTE!F143&lt;=PERALTE!$U$18,(10/(PERALTE!$U$18-PERALTE!$Q$18)*(RASANTE!F143-PERALTE!$Q$18)-2),IF(RASANTE!F143&lt;=PERALTE!$X$18,8,IF(RASANTE!F143&lt;=PERALTE!$AB$18,(10/(PERALTE!$X$18-PERALTE!$AB$18)*(RASANTE!F143-PERALTE!$AB$18)-2))))),IF(AND(AH!$H$24="Izquierda",RASANTE!F143&lt;=PERALTE!$AB$22),IF(RASANTE!F143&lt;=PERALTE!$S$22,-2,IF(RASANTE!F143&lt;=PERALTE!$U$22,(-6/(PERALTE!$U$22-PERALTE!$S$22)*(RASANTE!F143-PERALTE!$S$22)-2),IF(RASANTE!F143&lt;=PERALTE!$X$22,-8,IF(RASANTE!F143&lt;=PERALTE!$Z$22,(-6/(PERALTE!$X$22-PERALTE!$Z$22)*(RASANTE!F143-PERALTE!$Z$22)-2),IF(RASANTE!F143&lt;=PERALTE!$AB$22,-2))))),IF(AND(AH!$H$24="Derecha",RASANTE!F143&lt;=PERALTE!$AB$22),IF(RASANTE!F143&lt;=PERALTE!$Q$22,-2,IF(RASANTE!F143&lt;=PERALTE!$U$22,(10/(PERALTE!$U$22-PERALTE!$Q$22)*(RASANTE!F143-PERALTE!$Q$22)-2),IF(RASANTE!F143&lt;=PERALTE!$X$22,8,IF(RASANTE!F143&lt;=PERALTE!$AB$22,(10/(PERALTE!$X$22-PERALTE!$AB$22)*(RASANTE!F143-PERALTE!$AB$22)-2))))),IF(AND(AH!#REF!="Izquierda",RASANTE!F143&lt;=PERALTE!#REF!),IF(RASANTE!F143&lt;=PERALTE!#REF!,-2,IF(RASANTE!F143&lt;=PERALTE!#REF!,(-6/(PERALTE!#REF!-PERALTE!#REF!)*(RASANTE!F143-PERALTE!#REF!)-2),IF(RASANTE!F143&lt;=PERALTE!#REF!,-8,IF(RASANTE!F143&lt;=PERALTE!#REF!,(-6/(PERALTE!#REF!-PERALTE!#REF!)*(RASANTE!F143-PERALTE!#REF!)-2),IF(RASANTE!F143&lt;=PERALTE!#REF!,-2))))),IF(AND(AH!#REF!="Derecha",RASANTE!F143&lt;=PERALTE!#REF!),IF(RASANTE!F143&lt;=PERALTE!#REF!,-2,IF(RASANTE!F143&lt;=PERALTE!#REF!,(10/(PERALTE!#REF!-PERALTE!#REF!)*(RASANTE!F143-PERALTE!#REF!)-2),IF(RASANTE!F143&lt;=PERALTE!#REF!,8,IF(RASANTE!F143&lt;=PERALTE!#REF!,(10/(PERALTE!#REF!-PERALTE!#REF!)*(RASANTE!F143-PERALTE!#REF!)-2))))),IF(AND(AH!#REF!="Izquierda",RASANTE!F143&lt;=PERALTE!$AB$26),IF(RASANTE!F143&lt;=PERALTE!$S$26,-2,IF(RASANTE!F143&lt;=PERALTE!$U$26,(-6/(PERALTE!$U$26-PERALTE!$S$26)*(RASANTE!F143-PERALTE!$S$26)-2),IF(RASANTE!F143&lt;=PERALTE!$X$26,-8,IF(RASANTE!F143&lt;=PERALTE!$Z$26,(-6/(PERALTE!$X$26-PERALTE!$Z$26)*(RASANTE!F143-PERALTE!$Z$26)-2),IF(RASANTE!F143&lt;=PERALTE!$AB$26,-2))))),IF(AND(AH!#REF!="Derecha",RASANTE!F143&lt;=PERALTE!$AB$26),IF(RASANTE!F143&lt;=PERALTE!$Q$26,-2,IF(RASANTE!F143&lt;=PERALTE!$U$26,(10/(PERALTE!$U$26-PERALTE!$Q$26)*(RASANTE!F143-PERALTE!$Q$26)-2),IF(RASANTE!F143&lt;=PERALTE!$X$26,8,IF(RASANTE!F143&lt;=PERALTE!$AB$26,(10/(PERALTE!$X$26-PERALTE!$AB$26)*(RASANTE!F143-PERALTE!$AB$26)-2))))),IF(F143&lt;=PERALTE!#REF!,-2,"Abscisa fuera de la vía")))))))))))))))))))))</f>
        <v>-8</v>
      </c>
      <c r="I143" s="28">
        <f>+IF(AND(AH!$H$8="Derecha",RASANTE!F143&lt;=PERALTE!$AB$6),IF(RASANTE!F143&lt;=PERALTE!$S$6,-2,IF(RASANTE!F143&lt;=PERALTE!$U$6,(-6/(PERALTE!$U$6-PERALTE!$S$6)*(RASANTE!F143-PERALTE!$S$6)-2),IF(RASANTE!F143&lt;=PERALTE!$X$6,-8,IF(RASANTE!F143&lt;=PERALTE!$Z$6,(-6/(PERALTE!$X$6-PERALTE!$Z$6)*(RASANTE!F143-PERALTE!$Z$6)-2),IF(RASANTE!F143&lt;=PERALTE!$AB$6,-2))))),IF(AND(AH!$H$8="Izquierda",RASANTE!F143&lt;=PERALTE!$AB$6),IF(RASANTE!F143&lt;=PERALTE!$Q$6,-2,IF(RASANTE!F143&lt;=PERALTE!$U$6,(10/(PERALTE!$U$6-PERALTE!$Q$6)*(RASANTE!F143-PERALTE!$Q$6)-2),IF(RASANTE!F143&lt;=PERALTE!$X$6,8,IF(RASANTE!F143&lt;=PERALTE!$AB$6,(10/(PERALTE!$X$6-PERALTE!$AB$6)*(RASANTE!F143-PERALTE!$AB$6)-2))))),IF(AND(AH!$H$10="Derecha",RASANTE!F143&lt;=PERALTE!$AB$8),IF(RASANTE!F143&lt;=PERALTE!$S$8,-2,IF(RASANTE!F143&lt;=PERALTE!$U$8,(-6/(PERALTE!$U$8-PERALTE!$S$8)*(RASANTE!F143-PERALTE!$S$8)-2),IF(RASANTE!F143&lt;=PERALTE!$X$8,-8,IF(RASANTE!F143&lt;=PERALTE!$Z$8,(-6/(PERALTE!$X$8-PERALTE!$Z$8)*(RASANTE!F143-PERALTE!$Z$8)-2),IF(RASANTE!F143&lt;=PERALTE!$AB$8,-2))))),IF(AND(AH!$H$10="Izquierda",RASANTE!F143&lt;=PERALTE!$AB$8),IF(RASANTE!F143&lt;=PERALTE!$Q$8,-2,IF(RASANTE!F143&lt;=PERALTE!$U$8,(10/(PERALTE!$U$8-PERALTE!$Q$8)*(RASANTE!F143-PERALTE!$Q$8)-2),IF(RASANTE!F143&lt;=PERALTE!$X$8,8,IF(RASANTE!F143&lt;=PERALTE!$AB$8,(10/(PERALTE!$X$8-PERALTE!$AB$8)*(RASANTE!F143-PERALTE!$AB$8)-2))))),IF(AND(AH!$H$12="Derecha",RASANTE!F143&lt;=PERALTE!$AB$10),IF(RASANTE!F143&lt;=PERALTE!$S$10,-2,IF(RASANTE!F143&lt;=PERALTE!$U$10,(-6/(PERALTE!$U$10-PERALTE!$S$10)*(RASANTE!F143-PERALTE!$S$10)-2),IF(RASANTE!F143&lt;=PERALTE!$X$10,-8,IF(RASANTE!F143&lt;=PERALTE!$Z$10,(-6/(PERALTE!$X$10-PERALTE!$Z$10)*(RASANTE!F143-PERALTE!$Z$10)-2),IF(RASANTE!F143&lt;=PERALTE!$AB$10,-2))))),IF(AND(AH!$H$12="Izquierda",RASANTE!F143&lt;=PERALTE!$AB$10),IF(RASANTE!F143&lt;=PERALTE!$Q$10,-2,IF(RASANTE!F143&lt;=PERALTE!$U$10,(10/(PERALTE!$U$10-PERALTE!$Q$10)*(RASANTE!F143-PERALTE!$Q$10)-2),IF(RASANTE!F143&lt;=PERALTE!$X$10,8,IF(RASANTE!F143&lt;=PERALTE!$AB$10,(10/(PERALTE!$X$10-PERALTE!$AB$10)*(RASANTE!F143-PERALTE!$AB$10)-2))))),IF(AND(AH!$H$14="Derecha",RASANTE!F143&lt;=PERALTE!$AB$12),IF(RASANTE!F143&lt;=PERALTE!$S$12,-2,IF(RASANTE!F143&lt;=PERALTE!$U$12,(-6/(PERALTE!$U$12-PERALTE!$S$12)*(RASANTE!F143-PERALTE!$S$12)-2),IF(RASANTE!F143&lt;=PERALTE!$X$12,-8,IF(RASANTE!F143&lt;=PERALTE!$Z$12,(-6/(PERALTE!$X$12-PERALTE!$Z$12)*(RASANTE!F143-PERALTE!$Z$12)-2),IF(RASANTE!F143&lt;=PERALTE!$AB$12,-2))))),IF(AND(AH!$H$14="Izquierda",RASANTE!F143&lt;=PERALTE!$AB$12),IF(RASANTE!F143&lt;=PERALTE!$Q$12,-2,IF(RASANTE!F143&lt;=PERALTE!$U$12,(10/(PERALTE!$U$12-PERALTE!$Q$12)*(RASANTE!F143-PERALTE!$Q$12)-2),IF(RASANTE!F143&lt;=PERALTE!$X$12,8,IF(RASANTE!F143&lt;=PERALTE!$AB$12,(10/(PERALTE!$X$12-PERALTE!$AB$12)*(RASANTE!F143-PERALTE!$AB$12)-2))))),IF(AND(AH!$H$16="Derecha",RASANTE!F143&lt;=PERALTE!$AB$14),IF(RASANTE!F143&lt;=PERALTE!$S$14,-2,IF(RASANTE!F143&lt;=PERALTE!$U$14,(-6/(PERALTE!$U$14-PERALTE!$S$14)*(RASANTE!F143-PERALTE!$S$14)-2),IF(RASANTE!F143&lt;=PERALTE!$X$14,-8,IF(RASANTE!F143&lt;=PERALTE!$Z$14,(-6/(PERALTE!$X$14-PERALTE!$Z$14)*(RASANTE!F143-PERALTE!$Z$14)-2),IF(RASANTE!F143&lt;=PERALTE!$AB$14,-2))))),IF(AND(AH!$H$16="Izquierda",RASANTE!F143&lt;=PERALTE!$AB$14),IF(RASANTE!F143&lt;=PERALTE!$Q$14,-2,IF(RASANTE!F143&lt;=PERALTE!$U$14,(10/(PERALTE!$U$14-PERALTE!$Q$14)*(RASANTE!F143-PERALTE!$Q$14)-2),IF(RASANTE!F143&lt;=PERALTE!$X$14,8,IF(RASANTE!F143&lt;=PERALTE!$AB$14,(10/(PERALTE!$X$14-PERALTE!$AB$14)*(RASANTE!F143-PERALTE!$AB$14)-2))))),IF(AND(AH!$H$18="Derecha",RASANTE!F143&lt;=PERALTE!$AB$16),IF(RASANTE!F143&lt;=PERALTE!$S$16,-2,IF(RASANTE!F143&lt;=PERALTE!$U$16,(-6/(PERALTE!$U$16-PERALTE!$S$16)*(RASANTE!F143-PERALTE!$S$16)-2),IF(RASANTE!F143&lt;=PERALTE!$X$16,-8,IF(RASANTE!F143&lt;=PERALTE!$Z$16,(-6/(PERALTE!$X$16-PERALTE!$Z$16)*(RASANTE!F143-PERALTE!$Z$16)-2),IF(RASANTE!F143&lt;=PERALTE!$AB$16,-2))))),IF(AND(AH!$H$18="Izquierda",RASANTE!F143&lt;=PERALTE!$AB$16),IF(RASANTE!F143&lt;=PERALTE!$Q$16,-2,IF(RASANTE!F143&lt;=PERALTE!$U$16,(10/(PERALTE!$U$16-PERALTE!$Q$16)*(RASANTE!F143-PERALTE!$Q$16)-2),IF(RASANTE!F143&lt;=PERALTE!$X$16,8,IF(RASANTE!F143&lt;=PERALTE!$AB$16,(10/(PERALTE!$X$16-PERALTE!$AB$16)*(RASANTE!F143-PERALTE!$AB$16)-2))))),IF(AND(AH!$H$20="Derecha",RASANTE!F143&lt;=PERALTE!$AB$18),IF(RASANTE!F143&lt;=PERALTE!$S$18,-2,IF(RASANTE!F143&lt;=PERALTE!$U$18,(-6/(PERALTE!$U$18-PERALTE!$S$18)*(RASANTE!F143-PERALTE!$S$18)-2),IF(RASANTE!F143&lt;=PERALTE!$X$18,-8,IF(RASANTE!F143&lt;=PERALTE!$Z$18,(-6/(PERALTE!$X$18-PERALTE!$Z$18)*(RASANTE!F143-PERALTE!$Z$18)-2),IF(RASANTE!F143&lt;=PERALTE!$AB$18,-2))))),IF(AND(AH!$H$20="Izquierda",RASANTE!F143&lt;=PERALTE!$AB$18),IF(RASANTE!F143&lt;=PERALTE!$Q$18,-2,IF(RASANTE!F143&lt;=PERALTE!$U$18,(10/(PERALTE!$U$18-PERALTE!$Q$18)*(RASANTE!F143-PERALTE!$Q$18)-2),IF(RASANTE!F143&lt;=PERALTE!$X$18,8,IF(RASANTE!F143&lt;=PERALTE!$AB$18,(10/(PERALTE!$X$18-PERALTE!$AB$18)*(RASANTE!F143-PERALTE!$AB$18)-2))))),IF(AND(AH!$H$24="Derecha",RASANTE!F143&lt;=PERALTE!$AB$22),IF(RASANTE!F143&lt;=PERALTE!$S$22,-2,IF(RASANTE!F143&lt;=PERALTE!$U$22,(-6/(PERALTE!$U$22-PERALTE!$S$22)*(RASANTE!F143-PERALTE!$S$22)-2),IF(RASANTE!F143&lt;=PERALTE!$X$22,-8,IF(RASANTE!F143&lt;=PERALTE!$Z$22,(-6/(PERALTE!$X$22-PERALTE!$Z$22)*(RASANTE!F143-PERALTE!$Z$22)-2),IF(RASANTE!F143&lt;=PERALTE!$AB$22,-2))))),IF(AND(AH!$H$24="Izquierda",RASANTE!F143&lt;=PERALTE!$AB$22),IF(RASANTE!F143&lt;=PERALTE!$Q$22,-2,IF(RASANTE!F143&lt;=PERALTE!$U$22,(10/(PERALTE!$U$22-PERALTE!$Q$22)*(RASANTE!F143-PERALTE!$Q$22)-2),IF(RASANTE!F143&lt;=PERALTE!$X$22,8,IF(RASANTE!F143&lt;=PERALTE!$AB$22,(10/(PERALTE!$X$22-PERALTE!$AB$22)*(RASANTE!F143-PERALTE!$AB$22)-2))))),IF(AND(AH!#REF!="Derecha",RASANTE!F143&lt;=PERALTE!#REF!),IF(RASANTE!F143&lt;=PERALTE!#REF!,-2,IF(RASANTE!F143&lt;=PERALTE!#REF!,(-6/(PERALTE!#REF!-PERALTE!#REF!)*(RASANTE!F143-PERALTE!#REF!)-2),IF(RASANTE!F143&lt;=PERALTE!#REF!,-8,IF(RASANTE!F143&lt;=PERALTE!#REF!,(-6/(PERALTE!#REF!-PERALTE!#REF!)*(RASANTE!F143-PERALTE!#REF!)-2),IF(RASANTE!F143&lt;=PERALTE!#REF!,-2))))),IF(AND(AH!#REF!="Izquierda",RASANTE!F143&lt;=PERALTE!#REF!),IF(RASANTE!F143&lt;=PERALTE!#REF!,-2,IF(RASANTE!F143&lt;=PERALTE!#REF!,(10/(PERALTE!#REF!-PERALTE!#REF!)*(RASANTE!F143-PERALTE!#REF!)-2),IF(RASANTE!F143&lt;=PERALTE!#REF!,8,IF(RASANTE!F143&lt;=PERALTE!#REF!,(10/(PERALTE!#REF!-PERALTE!#REF!)*(RASANTE!F143-PERALTE!#REF!)-2))))),IF(AND(AH!#REF!="Derecha",RASANTE!F143&lt;=PERALTE!$AB$26),IF(RASANTE!F143&lt;=PERALTE!$S$26,-2,IF(RASANTE!F143&lt;=PERALTE!$U$26,(-6/(PERALTE!$U$26-PERALTE!$S$26)*(RASANTE!F143-PERALTE!$S$26)-2),IF(RASANTE!F143&lt;=PERALTE!$X$26,-8,IF(RASANTE!F143&lt;=PERALTE!$Z$26,(-6/(PERALTE!$X$26-PERALTE!$Z$26)*(RASANTE!F143-PERALTE!$Z$26)-2),IF(RASANTE!F143&lt;=PERALTE!$AB$26,-2))))),IF(AND(AH!#REF!="Izquierda",RASANTE!F143&lt;=PERALTE!$AB$26),IF(RASANTE!F143&lt;=PERALTE!$Q$26,-2,IF(RASANTE!F143&lt;=PERALTE!$U$26,(10/(PERALTE!$U$26-PERALTE!$Q$26)*(RASANTE!F143-PERALTE!$Q$26)-2),IF(RASANTE!F143&lt;=PERALTE!$X$26,8,IF(RASANTE!F143&lt;=PERALTE!$AB$26,(10/(PERALTE!$X$26-PERALTE!$AB$26)*(RASANTE!F143-PERALTE!$AB$26)-2))))),IF(F143&lt;=PERALTE!#REF!,-2,"Abscisa fuera de la vía")))))))))))))))))))))</f>
        <v>8</v>
      </c>
      <c r="J143" s="28">
        <f t="shared" si="6"/>
        <v>1621.6796694667246</v>
      </c>
      <c r="K143" s="28">
        <f>+IF(AND(AV!$S$6&lt;F191,F191&lt;=AV!$T$6),AV!$P$6*((AV!$S$6-RASANTE!F191)/(AV!$N$6))^2,IF(AND(AV!$T$6&lt;RASANTE!F191,F191&lt;AV!$U$6),AV!$P$6*((AV!$U$6-RASANTE!F191)/(AV!$O$6))^2,IF(AND(AV!$S$8&lt;F191,F191&lt;=AV!$T$8),AV!$P$8*((AV!$S$8-RASANTE!F191)/(AV!$N$8))^2,IF(AND(AV!$T$8&lt;RASANTE!F191,F191&lt;AV!$U$8),AV!$P$8*((AV!$U$8-RASANTE!F191)/(AV!$O$8))^2,IF(AND(AV!$S$10&lt;F191,F191&lt;=AV!$T$10),AV!$P$10*((AV!$S$10-RASANTE!F191)/(AV!$N$10))^2,IF(AND(AV!$T$10&lt;RASANTE!F191,F191&lt;AV!$U$10),AV!$P$10*((AV!$U$10-RASANTE!F191)/(AV!$O$10))^2,IF(AND(AV!$S$12&lt;F191,F191&lt;=AV!$T$12),AV!$P$12*((AV!$S$12-RASANTE!F191)/(AV!$N$12))^2,IF(AND(AV!$T$12&lt;RASANTE!F191,F191&lt;AV!$U$12),AV!$P$12*((AV!$U$12-RASANTE!F191)/(AV!$O$12))^2,IF(AND(AV!$S$14&lt;F191,F191&lt;=AV!$T$14),AV!$P$14*((AV!$S$14-RASANTE!F191)/(AV!$N$14))^2,IF(AND(AV!$T$14&lt;RASANTE!F191,F191&lt;AV!$U$14),AV!$P$14*((AV!$U$14-RASANTE!F191)/(AV!$O$14))^2,IF(AND(AV!$S$16&lt;F191,F191&lt;=AV!$T$16),AV!$P$16*((AV!$S$16-RASANTE!F191)/(AV!$N$16))^2,IF(AND(AV!$T$16&lt;RASANTE!F191,F191&lt;AV!$U$16),AV!$P$16*((AV!$U$16-RASANTE!F191)/(AV!$O$16))^2,IF(AND(AV!$S$18&lt;F191,F191&lt;=AV!$T$18),AV!$P$18*((AV!$S$18-RASANTE!F191)/(AV!$N$18))^2,IF(AND(AV!$T$18&lt;RASANTE!F191,F191&lt;AV!$U$18),AV!$P$18*((AV!$U$18-RASANTE!F191)/(AV!$O$18))^2,IF(AND(AV!$S$20&lt;F191,F191&lt;=AV!$T$20),AV!$P$20*((AV!$S$20-RASANTE!F191)/(AV!$N$20))^2,IF(AND(AV!$T$20&lt;RASANTE!F191,F191&lt;AV!$U$20),AV!$P$20*((AV!$U$20-RASANTE!F191)/(AV!$O$20))^2,IF(AND(AV!$S$22&lt;F191,F191&lt;=AV!$T$22),AV!$P$22*((AV!$S$22-RASANTE!F191)/(AV!$N$22))^2,IF(AND(AV!$T$22&lt;RASANTE!F191,F191&lt;AV!$U$22),AV!$P$22*((AV!$U$22-RASANTE!F191)/(AV!$O$22))^2,IF(AND(AV!$S$24&lt;F191,F191&lt;=AV!$T$24),AV!$P$24*((AV!$S$24-RASANTE!F191)/(AV!$N$24))^2,IF(AND(AV!$T$24&lt;RASANTE!F191,F191&lt;AV!$U$24),AV!$P$24*((AV!$U$24-RASANTE!F191)/(AV!$O$24))^2,0))))))))))))))))))))</f>
        <v>0</v>
      </c>
      <c r="L143" s="28">
        <f>+M143+H143%*PERALTE!$C$32</f>
        <v>1621.3996694667246</v>
      </c>
      <c r="M143" s="28">
        <f t="shared" si="5"/>
        <v>1621.6796694667246</v>
      </c>
      <c r="N143" s="28">
        <f>+M143+I143%*PERALTE!$C$32</f>
        <v>1621.9596694667246</v>
      </c>
      <c r="O143" s="92"/>
      <c r="P143" s="84"/>
      <c r="Q143" s="84"/>
      <c r="R143" s="84"/>
      <c r="S143" s="84"/>
      <c r="T143" s="84"/>
      <c r="U143" s="84"/>
      <c r="V143" s="84"/>
      <c r="W143" s="84"/>
      <c r="X143" s="84"/>
      <c r="Y143" s="84"/>
    </row>
    <row r="144" spans="1:25" ht="15.75" customHeight="1" x14ac:dyDescent="0.2">
      <c r="A144" s="349" t="s">
        <v>211</v>
      </c>
      <c r="F144" s="34">
        <f>PERALTE!W12</f>
        <v>876.56357645170078</v>
      </c>
      <c r="G144" s="88">
        <f>IF(F144&lt;=AV!$T$6,AV!$C$5,IF(RASANTE!F144&lt;=AV!$T$8,AV!$C$7,IF(RASANTE!F144&lt;=AV!$T$10,AV!$C$9,IF(RASANTE!F144&lt;=AV!$T$12,AV!$C$11,IF(RASANTE!F144&lt;=AV!$T$14,AV!$C$13,IF(RASANTE!F144&lt;=AV!$T$16,AV!$C$15, IF(RASANTE!F144&lt;=AV!$T$18,AV!$C$17,IF(RASANTE!F144&lt;=AV!$T$20,AV!$C$19,IF(RASANTE!F144&lt;=AV!$T$22,AV!$C$21,IF(RASANTE!F144&lt;=AV!$T$24,AV!$C$23,AV!$C$25))))))))))</f>
        <v>-7.2409999999999997</v>
      </c>
      <c r="H144" s="28">
        <f>+IF(AND(AH!$H$8="Izquierda",RASANTE!F144&lt;=PERALTE!$AB$6),IF(RASANTE!F144&lt;=PERALTE!$S$6,-2,IF(RASANTE!F144&lt;=PERALTE!$U$6,(-6/(PERALTE!$U$6-PERALTE!$S$6)*(RASANTE!F144-PERALTE!$S$6)-2),IF(RASANTE!F144&lt;=PERALTE!$X$6,-8,IF(RASANTE!F144&lt;=PERALTE!$Z$6,(-6/(PERALTE!$X$6-PERALTE!$Z$6)*(RASANTE!F144-PERALTE!$Z$6)-2),IF(RASANTE!F144&lt;=PERALTE!$AB$6,-2))))),IF(AND(AH!$H$8="Derecha",RASANTE!F144&lt;=PERALTE!$AB$6),IF(RASANTE!F144&lt;=PERALTE!$Q$6,-2,IF(RASANTE!F144&lt;=PERALTE!$U$6,(10/(PERALTE!$U$6-PERALTE!$Q$6)*(RASANTE!F144-PERALTE!$Q$6)-2),IF(RASANTE!F144&lt;=PERALTE!$X$6,8,IF(RASANTE!F144&lt;=PERALTE!$AB$6,(10/(PERALTE!$X$6-PERALTE!$AB$6)*(RASANTE!F144-PERALTE!$AB$6)-2))))),IF(AND(AH!$H$10="Izquierda",RASANTE!F144&lt;=PERALTE!$AB$8),IF(RASANTE!F144&lt;=PERALTE!$S$8,-2,IF(RASANTE!F144&lt;=PERALTE!$U$8,(-6/(PERALTE!$U$8-PERALTE!$S$8)*(RASANTE!F144-PERALTE!$S$8)-2),IF(RASANTE!F144&lt;=PERALTE!$X$8,-8,IF(RASANTE!F144&lt;=PERALTE!$Z$8,(-6/(PERALTE!$X$8-PERALTE!$Z$8)*(RASANTE!F144-PERALTE!$Z$8)-2),IF(RASANTE!F144&lt;=PERALTE!$AB$8,-2))))),IF(AND(AH!$H$10="Derecha",RASANTE!F144&lt;=PERALTE!$AB$8),IF(RASANTE!F144&lt;=PERALTE!$Q$8,-2,IF(RASANTE!F144&lt;=PERALTE!$U$8,(10/(PERALTE!$U$8-PERALTE!$Q$8)*(RASANTE!F144-PERALTE!$Q$8)-2),IF(RASANTE!F144&lt;=PERALTE!$X$8,8,IF(RASANTE!F144&lt;=PERALTE!$AB$8,(10/(PERALTE!$X$8-PERALTE!$AB$8)*(RASANTE!F144-PERALTE!$AB$8)-2))))),IF(AND(AH!$H$12="Izquierda",RASANTE!F144&lt;=PERALTE!$AB$10),IF(RASANTE!F144&lt;=PERALTE!$S$10,-2,IF(RASANTE!F144&lt;=PERALTE!$U$10,(-6/(PERALTE!$U$10-PERALTE!$S$10)*(RASANTE!F144-PERALTE!$S$10)-2),IF(RASANTE!F144&lt;=PERALTE!$X$10,-8,IF(RASANTE!F144&lt;=PERALTE!$Z$10,(-6/(PERALTE!$X$10-PERALTE!$Z$10)*(RASANTE!F144-PERALTE!$Z$10)-2),IF(RASANTE!F144&lt;=PERALTE!$AB$10,-2))))),IF(AND(AH!$H$12="Derecha",RASANTE!F144&lt;=PERALTE!$AB$10),IF(RASANTE!F144&lt;=PERALTE!$Q$10,-2,IF(RASANTE!F144&lt;=PERALTE!$U$10,(10/(PERALTE!$U$10-PERALTE!$Q$10)*(RASANTE!F144-PERALTE!$Q$10)-2),IF(RASANTE!F144&lt;=PERALTE!$X$10,8,IF(RASANTE!F144&lt;=PERALTE!$AB$10,(10/(PERALTE!$X$10-PERALTE!$AB$10)*(RASANTE!F144-PERALTE!$AB$10)-2))))),IF(AND(AH!$H$14="Izquierda",RASANTE!F144&lt;=PERALTE!$AB$12),IF(RASANTE!F144&lt;=PERALTE!$S$12,-2,IF(RASANTE!F144&lt;=PERALTE!$U$12,(-6/(PERALTE!$U$12-PERALTE!$S$12)*(RASANTE!F144-PERALTE!$S$12)-2),IF(RASANTE!F144&lt;=PERALTE!$X$12,-8,IF(RASANTE!F144&lt;=PERALTE!$Z$12,(-6/(PERALTE!$X$12-PERALTE!$Z$12)*(RASANTE!F144-PERALTE!$Z$12)-2),IF(RASANTE!F144&lt;=PERALTE!$AB$12,-2))))),IF(AND(AH!$H$14="Derecha",RASANTE!F144&lt;=PERALTE!$AB$12),IF(RASANTE!F144&lt;=PERALTE!$Q$12,-2,IF(RASANTE!F144&lt;=PERALTE!$U$12,(10/(PERALTE!$U$12-PERALTE!$Q$12)*(RASANTE!F144-PERALTE!$Q$12)-2),IF(RASANTE!F144&lt;=PERALTE!$X$12,8,IF(RASANTE!F144&lt;=PERALTE!$AB$12,(10/(PERALTE!$X$12-PERALTE!$AB$12)*(RASANTE!F144-PERALTE!$AB$12)-2))))),IF(AND(AH!$H$16="Izquierda",RASANTE!F144&lt;=PERALTE!$AB$14),IF(RASANTE!F144&lt;=PERALTE!$S$14,-2,IF(RASANTE!F144&lt;=PERALTE!$U$14,(-6/(PERALTE!$U$14-PERALTE!$S$14)*(RASANTE!F144-PERALTE!$S$14)-2),IF(RASANTE!F144&lt;=PERALTE!$X$14,-8,IF(RASANTE!F144&lt;=PERALTE!$Z$14,(-6/(PERALTE!$X$14-PERALTE!$Z$14)*(RASANTE!F144-PERALTE!$Z$14)-2),IF(RASANTE!F144&lt;=PERALTE!$AB$14,-2))))),IF(AND(AH!$H$16="Derecha",RASANTE!F144&lt;=PERALTE!$AB$14),IF(RASANTE!F144&lt;=PERALTE!$Q$14,-2,IF(RASANTE!F144&lt;=PERALTE!$U$14,(10/(PERALTE!$U$14-PERALTE!$Q$14)*(RASANTE!F144-PERALTE!$Q$14)-2),IF(RASANTE!F144&lt;=PERALTE!$X$14,8,IF(RASANTE!F144&lt;=PERALTE!$AB$14,(10/(PERALTE!$X$14-PERALTE!$AB$14)*(RASANTE!F144-PERALTE!$AB$14)-2))))),IF(AND(AH!$H$18="Izquierda",RASANTE!F144&lt;=PERALTE!$AB$16),IF(RASANTE!F144&lt;=PERALTE!$S$16,-2,IF(RASANTE!F144&lt;=PERALTE!$U$16,(-6/(PERALTE!$U$16-PERALTE!$S$16)*(RASANTE!F144-PERALTE!$S$16)-2),IF(RASANTE!F144&lt;=PERALTE!$X$16,-8,IF(RASANTE!F144&lt;=PERALTE!$Z$16,(-6/(PERALTE!$X$16-PERALTE!$Z$16)*(RASANTE!F144-PERALTE!$Z$16)-2),IF(RASANTE!F144&lt;=PERALTE!$AB$16,-2))))),IF(AND(AH!$H$18="Derecha",RASANTE!F144&lt;=PERALTE!$AB$16),IF(RASANTE!F144&lt;=PERALTE!$Q$16,-2,IF(RASANTE!F144&lt;=PERALTE!$U$16,(10/(PERALTE!$U$16-PERALTE!$Q$16)*(RASANTE!F144-PERALTE!$Q$16)-2),IF(RASANTE!F144&lt;=PERALTE!$X$16,8,IF(RASANTE!F144&lt;=PERALTE!$AB$16,(10/(PERALTE!$X$16-PERALTE!$AB$16)*(RASANTE!F144-PERALTE!$AB$16)-2))))),IF(AND(AH!$H$20="Izquierda",RASANTE!F144&lt;=PERALTE!$AB$18),IF(RASANTE!F144&lt;=PERALTE!$S$18,-2,IF(RASANTE!F144&lt;=PERALTE!$U$18,(-6/(PERALTE!$U$18-PERALTE!$S$18)*(RASANTE!F144-PERALTE!$S$18)-2),IF(RASANTE!F144&lt;=PERALTE!$X$18,-8,IF(RASANTE!F144&lt;=PERALTE!$Z$18,(-6/(PERALTE!$X$18-PERALTE!$Z$18)*(RASANTE!F144-PERALTE!$Z$18)-2),IF(RASANTE!F144&lt;=PERALTE!$AB$18,-2))))),IF(AND(AH!$H$20="Derecha",RASANTE!F144&lt;=PERALTE!$AB$18),IF(RASANTE!F144&lt;=PERALTE!$Q$18,-2,IF(RASANTE!F144&lt;=PERALTE!$U$18,(10/(PERALTE!$U$18-PERALTE!$Q$18)*(RASANTE!F144-PERALTE!$Q$18)-2),IF(RASANTE!F144&lt;=PERALTE!$X$18,8,IF(RASANTE!F144&lt;=PERALTE!$AB$18,(10/(PERALTE!$X$18-PERALTE!$AB$18)*(RASANTE!F144-PERALTE!$AB$18)-2))))),IF(AND(AH!$H$24="Izquierda",RASANTE!F144&lt;=PERALTE!$AB$22),IF(RASANTE!F144&lt;=PERALTE!$S$22,-2,IF(RASANTE!F144&lt;=PERALTE!$U$22,(-6/(PERALTE!$U$22-PERALTE!$S$22)*(RASANTE!F144-PERALTE!$S$22)-2),IF(RASANTE!F144&lt;=PERALTE!$X$22,-8,IF(RASANTE!F144&lt;=PERALTE!$Z$22,(-6/(PERALTE!$X$22-PERALTE!$Z$22)*(RASANTE!F144-PERALTE!$Z$22)-2),IF(RASANTE!F144&lt;=PERALTE!$AB$22,-2))))),IF(AND(AH!$H$24="Derecha",RASANTE!F144&lt;=PERALTE!$AB$22),IF(RASANTE!F144&lt;=PERALTE!$Q$22,-2,IF(RASANTE!F144&lt;=PERALTE!$U$22,(10/(PERALTE!$U$22-PERALTE!$Q$22)*(RASANTE!F144-PERALTE!$Q$22)-2),IF(RASANTE!F144&lt;=PERALTE!$X$22,8,IF(RASANTE!F144&lt;=PERALTE!$AB$22,(10/(PERALTE!$X$22-PERALTE!$AB$22)*(RASANTE!F144-PERALTE!$AB$22)-2))))),IF(AND(AH!#REF!="Izquierda",RASANTE!F144&lt;=PERALTE!#REF!),IF(RASANTE!F144&lt;=PERALTE!#REF!,-2,IF(RASANTE!F144&lt;=PERALTE!#REF!,(-6/(PERALTE!#REF!-PERALTE!#REF!)*(RASANTE!F144-PERALTE!#REF!)-2),IF(RASANTE!F144&lt;=PERALTE!#REF!,-8,IF(RASANTE!F144&lt;=PERALTE!#REF!,(-6/(PERALTE!#REF!-PERALTE!#REF!)*(RASANTE!F144-PERALTE!#REF!)-2),IF(RASANTE!F144&lt;=PERALTE!#REF!,-2))))),IF(AND(AH!#REF!="Derecha",RASANTE!F144&lt;=PERALTE!#REF!),IF(RASANTE!F144&lt;=PERALTE!#REF!,-2,IF(RASANTE!F144&lt;=PERALTE!#REF!,(10/(PERALTE!#REF!-PERALTE!#REF!)*(RASANTE!F144-PERALTE!#REF!)-2),IF(RASANTE!F144&lt;=PERALTE!#REF!,8,IF(RASANTE!F144&lt;=PERALTE!#REF!,(10/(PERALTE!#REF!-PERALTE!#REF!)*(RASANTE!F144-PERALTE!#REF!)-2))))),IF(AND(AH!#REF!="Izquierda",RASANTE!F144&lt;=PERALTE!$AB$26),IF(RASANTE!F144&lt;=PERALTE!$S$26,-2,IF(RASANTE!F144&lt;=PERALTE!$U$26,(-6/(PERALTE!$U$26-PERALTE!$S$26)*(RASANTE!F144-PERALTE!$S$26)-2),IF(RASANTE!F144&lt;=PERALTE!$X$26,-8,IF(RASANTE!F144&lt;=PERALTE!$Z$26,(-6/(PERALTE!$X$26-PERALTE!$Z$26)*(RASANTE!F144-PERALTE!$Z$26)-2),IF(RASANTE!F144&lt;=PERALTE!$AB$26,-2))))),IF(AND(AH!#REF!="Derecha",RASANTE!F144&lt;=PERALTE!$AB$26),IF(RASANTE!F144&lt;=PERALTE!$Q$26,-2,IF(RASANTE!F144&lt;=PERALTE!$U$26,(10/(PERALTE!$U$26-PERALTE!$Q$26)*(RASANTE!F144-PERALTE!$Q$26)-2),IF(RASANTE!F144&lt;=PERALTE!$X$26,8,IF(RASANTE!F144&lt;=PERALTE!$AB$26,(10/(PERALTE!$X$26-PERALTE!$AB$26)*(RASANTE!F144-PERALTE!$AB$26)-2))))),IF(F144&lt;=PERALTE!#REF!,-2,"Abscisa fuera de la vía")))))))))))))))))))))</f>
        <v>-8</v>
      </c>
      <c r="I144" s="28">
        <f>+IF(AND(AH!$H$8="Derecha",RASANTE!F144&lt;=PERALTE!$AB$6),IF(RASANTE!F144&lt;=PERALTE!$S$6,-2,IF(RASANTE!F144&lt;=PERALTE!$U$6,(-6/(PERALTE!$U$6-PERALTE!$S$6)*(RASANTE!F144-PERALTE!$S$6)-2),IF(RASANTE!F144&lt;=PERALTE!$X$6,-8,IF(RASANTE!F144&lt;=PERALTE!$Z$6,(-6/(PERALTE!$X$6-PERALTE!$Z$6)*(RASANTE!F144-PERALTE!$Z$6)-2),IF(RASANTE!F144&lt;=PERALTE!$AB$6,-2))))),IF(AND(AH!$H$8="Izquierda",RASANTE!F144&lt;=PERALTE!$AB$6),IF(RASANTE!F144&lt;=PERALTE!$Q$6,-2,IF(RASANTE!F144&lt;=PERALTE!$U$6,(10/(PERALTE!$U$6-PERALTE!$Q$6)*(RASANTE!F144-PERALTE!$Q$6)-2),IF(RASANTE!F144&lt;=PERALTE!$X$6,8,IF(RASANTE!F144&lt;=PERALTE!$AB$6,(10/(PERALTE!$X$6-PERALTE!$AB$6)*(RASANTE!F144-PERALTE!$AB$6)-2))))),IF(AND(AH!$H$10="Derecha",RASANTE!F144&lt;=PERALTE!$AB$8),IF(RASANTE!F144&lt;=PERALTE!$S$8,-2,IF(RASANTE!F144&lt;=PERALTE!$U$8,(-6/(PERALTE!$U$8-PERALTE!$S$8)*(RASANTE!F144-PERALTE!$S$8)-2),IF(RASANTE!F144&lt;=PERALTE!$X$8,-8,IF(RASANTE!F144&lt;=PERALTE!$Z$8,(-6/(PERALTE!$X$8-PERALTE!$Z$8)*(RASANTE!F144-PERALTE!$Z$8)-2),IF(RASANTE!F144&lt;=PERALTE!$AB$8,-2))))),IF(AND(AH!$H$10="Izquierda",RASANTE!F144&lt;=PERALTE!$AB$8),IF(RASANTE!F144&lt;=PERALTE!$Q$8,-2,IF(RASANTE!F144&lt;=PERALTE!$U$8,(10/(PERALTE!$U$8-PERALTE!$Q$8)*(RASANTE!F144-PERALTE!$Q$8)-2),IF(RASANTE!F144&lt;=PERALTE!$X$8,8,IF(RASANTE!F144&lt;=PERALTE!$AB$8,(10/(PERALTE!$X$8-PERALTE!$AB$8)*(RASANTE!F144-PERALTE!$AB$8)-2))))),IF(AND(AH!$H$12="Derecha",RASANTE!F144&lt;=PERALTE!$AB$10),IF(RASANTE!F144&lt;=PERALTE!$S$10,-2,IF(RASANTE!F144&lt;=PERALTE!$U$10,(-6/(PERALTE!$U$10-PERALTE!$S$10)*(RASANTE!F144-PERALTE!$S$10)-2),IF(RASANTE!F144&lt;=PERALTE!$X$10,-8,IF(RASANTE!F144&lt;=PERALTE!$Z$10,(-6/(PERALTE!$X$10-PERALTE!$Z$10)*(RASANTE!F144-PERALTE!$Z$10)-2),IF(RASANTE!F144&lt;=PERALTE!$AB$10,-2))))),IF(AND(AH!$H$12="Izquierda",RASANTE!F144&lt;=PERALTE!$AB$10),IF(RASANTE!F144&lt;=PERALTE!$Q$10,-2,IF(RASANTE!F144&lt;=PERALTE!$U$10,(10/(PERALTE!$U$10-PERALTE!$Q$10)*(RASANTE!F144-PERALTE!$Q$10)-2),IF(RASANTE!F144&lt;=PERALTE!$X$10,8,IF(RASANTE!F144&lt;=PERALTE!$AB$10,(10/(PERALTE!$X$10-PERALTE!$AB$10)*(RASANTE!F144-PERALTE!$AB$10)-2))))),IF(AND(AH!$H$14="Derecha",RASANTE!F144&lt;=PERALTE!$AB$12),IF(RASANTE!F144&lt;=PERALTE!$S$12,-2,IF(RASANTE!F144&lt;=PERALTE!$U$12,(-6/(PERALTE!$U$12-PERALTE!$S$12)*(RASANTE!F144-PERALTE!$S$12)-2),IF(RASANTE!F144&lt;=PERALTE!$X$12,-8,IF(RASANTE!F144&lt;=PERALTE!$Z$12,(-6/(PERALTE!$X$12-PERALTE!$Z$12)*(RASANTE!F144-PERALTE!$Z$12)-2),IF(RASANTE!F144&lt;=PERALTE!$AB$12,-2))))),IF(AND(AH!$H$14="Izquierda",RASANTE!F144&lt;=PERALTE!$AB$12),IF(RASANTE!F144&lt;=PERALTE!$Q$12,-2,IF(RASANTE!F144&lt;=PERALTE!$U$12,(10/(PERALTE!$U$12-PERALTE!$Q$12)*(RASANTE!F144-PERALTE!$Q$12)-2),IF(RASANTE!F144&lt;=PERALTE!$X$12,8,IF(RASANTE!F144&lt;=PERALTE!$AB$12,(10/(PERALTE!$X$12-PERALTE!$AB$12)*(RASANTE!F144-PERALTE!$AB$12)-2))))),IF(AND(AH!$H$16="Derecha",RASANTE!F144&lt;=PERALTE!$AB$14),IF(RASANTE!F144&lt;=PERALTE!$S$14,-2,IF(RASANTE!F144&lt;=PERALTE!$U$14,(-6/(PERALTE!$U$14-PERALTE!$S$14)*(RASANTE!F144-PERALTE!$S$14)-2),IF(RASANTE!F144&lt;=PERALTE!$X$14,-8,IF(RASANTE!F144&lt;=PERALTE!$Z$14,(-6/(PERALTE!$X$14-PERALTE!$Z$14)*(RASANTE!F144-PERALTE!$Z$14)-2),IF(RASANTE!F144&lt;=PERALTE!$AB$14,-2))))),IF(AND(AH!$H$16="Izquierda",RASANTE!F144&lt;=PERALTE!$AB$14),IF(RASANTE!F144&lt;=PERALTE!$Q$14,-2,IF(RASANTE!F144&lt;=PERALTE!$U$14,(10/(PERALTE!$U$14-PERALTE!$Q$14)*(RASANTE!F144-PERALTE!$Q$14)-2),IF(RASANTE!F144&lt;=PERALTE!$X$14,8,IF(RASANTE!F144&lt;=PERALTE!$AB$14,(10/(PERALTE!$X$14-PERALTE!$AB$14)*(RASANTE!F144-PERALTE!$AB$14)-2))))),IF(AND(AH!$H$18="Derecha",RASANTE!F144&lt;=PERALTE!$AB$16),IF(RASANTE!F144&lt;=PERALTE!$S$16,-2,IF(RASANTE!F144&lt;=PERALTE!$U$16,(-6/(PERALTE!$U$16-PERALTE!$S$16)*(RASANTE!F144-PERALTE!$S$16)-2),IF(RASANTE!F144&lt;=PERALTE!$X$16,-8,IF(RASANTE!F144&lt;=PERALTE!$Z$16,(-6/(PERALTE!$X$16-PERALTE!$Z$16)*(RASANTE!F144-PERALTE!$Z$16)-2),IF(RASANTE!F144&lt;=PERALTE!$AB$16,-2))))),IF(AND(AH!$H$18="Izquierda",RASANTE!F144&lt;=PERALTE!$AB$16),IF(RASANTE!F144&lt;=PERALTE!$Q$16,-2,IF(RASANTE!F144&lt;=PERALTE!$U$16,(10/(PERALTE!$U$16-PERALTE!$Q$16)*(RASANTE!F144-PERALTE!$Q$16)-2),IF(RASANTE!F144&lt;=PERALTE!$X$16,8,IF(RASANTE!F144&lt;=PERALTE!$AB$16,(10/(PERALTE!$X$16-PERALTE!$AB$16)*(RASANTE!F144-PERALTE!$AB$16)-2))))),IF(AND(AH!$H$20="Derecha",RASANTE!F144&lt;=PERALTE!$AB$18),IF(RASANTE!F144&lt;=PERALTE!$S$18,-2,IF(RASANTE!F144&lt;=PERALTE!$U$18,(-6/(PERALTE!$U$18-PERALTE!$S$18)*(RASANTE!F144-PERALTE!$S$18)-2),IF(RASANTE!F144&lt;=PERALTE!$X$18,-8,IF(RASANTE!F144&lt;=PERALTE!$Z$18,(-6/(PERALTE!$X$18-PERALTE!$Z$18)*(RASANTE!F144-PERALTE!$Z$18)-2),IF(RASANTE!F144&lt;=PERALTE!$AB$18,-2))))),IF(AND(AH!$H$20="Izquierda",RASANTE!F144&lt;=PERALTE!$AB$18),IF(RASANTE!F144&lt;=PERALTE!$Q$18,-2,IF(RASANTE!F144&lt;=PERALTE!$U$18,(10/(PERALTE!$U$18-PERALTE!$Q$18)*(RASANTE!F144-PERALTE!$Q$18)-2),IF(RASANTE!F144&lt;=PERALTE!$X$18,8,IF(RASANTE!F144&lt;=PERALTE!$AB$18,(10/(PERALTE!$X$18-PERALTE!$AB$18)*(RASANTE!F144-PERALTE!$AB$18)-2))))),IF(AND(AH!$H$24="Derecha",RASANTE!F144&lt;=PERALTE!$AB$22),IF(RASANTE!F144&lt;=PERALTE!$S$22,-2,IF(RASANTE!F144&lt;=PERALTE!$U$22,(-6/(PERALTE!$U$22-PERALTE!$S$22)*(RASANTE!F144-PERALTE!$S$22)-2),IF(RASANTE!F144&lt;=PERALTE!$X$22,-8,IF(RASANTE!F144&lt;=PERALTE!$Z$22,(-6/(PERALTE!$X$22-PERALTE!$Z$22)*(RASANTE!F144-PERALTE!$Z$22)-2),IF(RASANTE!F144&lt;=PERALTE!$AB$22,-2))))),IF(AND(AH!$H$24="Izquierda",RASANTE!F144&lt;=PERALTE!$AB$22),IF(RASANTE!F144&lt;=PERALTE!$Q$22,-2,IF(RASANTE!F144&lt;=PERALTE!$U$22,(10/(PERALTE!$U$22-PERALTE!$Q$22)*(RASANTE!F144-PERALTE!$Q$22)-2),IF(RASANTE!F144&lt;=PERALTE!$X$22,8,IF(RASANTE!F144&lt;=PERALTE!$AB$22,(10/(PERALTE!$X$22-PERALTE!$AB$22)*(RASANTE!F144-PERALTE!$AB$22)-2))))),IF(AND(AH!#REF!="Derecha",RASANTE!F144&lt;=PERALTE!#REF!),IF(RASANTE!F144&lt;=PERALTE!#REF!,-2,IF(RASANTE!F144&lt;=PERALTE!#REF!,(-6/(PERALTE!#REF!-PERALTE!#REF!)*(RASANTE!F144-PERALTE!#REF!)-2),IF(RASANTE!F144&lt;=PERALTE!#REF!,-8,IF(RASANTE!F144&lt;=PERALTE!#REF!,(-6/(PERALTE!#REF!-PERALTE!#REF!)*(RASANTE!F144-PERALTE!#REF!)-2),IF(RASANTE!F144&lt;=PERALTE!#REF!,-2))))),IF(AND(AH!#REF!="Izquierda",RASANTE!F144&lt;=PERALTE!#REF!),IF(RASANTE!F144&lt;=PERALTE!#REF!,-2,IF(RASANTE!F144&lt;=PERALTE!#REF!,(10/(PERALTE!#REF!-PERALTE!#REF!)*(RASANTE!F144-PERALTE!#REF!)-2),IF(RASANTE!F144&lt;=PERALTE!#REF!,8,IF(RASANTE!F144&lt;=PERALTE!#REF!,(10/(PERALTE!#REF!-PERALTE!#REF!)*(RASANTE!F144-PERALTE!#REF!)-2))))),IF(AND(AH!#REF!="Derecha",RASANTE!F144&lt;=PERALTE!$AB$26),IF(RASANTE!F144&lt;=PERALTE!$S$26,-2,IF(RASANTE!F144&lt;=PERALTE!$U$26,(-6/(PERALTE!$U$26-PERALTE!$S$26)*(RASANTE!F144-PERALTE!$S$26)-2),IF(RASANTE!F144&lt;=PERALTE!$X$26,-8,IF(RASANTE!F144&lt;=PERALTE!$Z$26,(-6/(PERALTE!$X$26-PERALTE!$Z$26)*(RASANTE!F144-PERALTE!$Z$26)-2),IF(RASANTE!F144&lt;=PERALTE!$AB$26,-2))))),IF(AND(AH!#REF!="Izquierda",RASANTE!F144&lt;=PERALTE!$AB$26),IF(RASANTE!F144&lt;=PERALTE!$Q$26,-2,IF(RASANTE!F144&lt;=PERALTE!$U$26,(10/(PERALTE!$U$26-PERALTE!$Q$26)*(RASANTE!F144-PERALTE!$Q$26)-2),IF(RASANTE!F144&lt;=PERALTE!$X$26,8,IF(RASANTE!F144&lt;=PERALTE!$AB$26,(10/(PERALTE!$X$26-PERALTE!$AB$26)*(RASANTE!F144-PERALTE!$AB$26)-2))))),IF(F144&lt;=PERALTE!#REF!,-2,"Abscisa fuera de la vía")))))))))))))))))))))</f>
        <v>8</v>
      </c>
      <c r="J144" s="28">
        <f t="shared" si="6"/>
        <v>1621.6796694667246</v>
      </c>
      <c r="K144" s="28">
        <f>+IF(AND(AV!$S$6&lt;F192,F192&lt;=AV!$T$6),AV!$P$6*((AV!$S$6-RASANTE!F192)/(AV!$N$6))^2,IF(AND(AV!$T$6&lt;RASANTE!F192,F192&lt;AV!$U$6),AV!$P$6*((AV!$U$6-RASANTE!F192)/(AV!$O$6))^2,IF(AND(AV!$S$8&lt;F192,F192&lt;=AV!$T$8),AV!$P$8*((AV!$S$8-RASANTE!F192)/(AV!$N$8))^2,IF(AND(AV!$T$8&lt;RASANTE!F192,F192&lt;AV!$U$8),AV!$P$8*((AV!$U$8-RASANTE!F192)/(AV!$O$8))^2,IF(AND(AV!$S$10&lt;F192,F192&lt;=AV!$T$10),AV!$P$10*((AV!$S$10-RASANTE!F192)/(AV!$N$10))^2,IF(AND(AV!$T$10&lt;RASANTE!F192,F192&lt;AV!$U$10),AV!$P$10*((AV!$U$10-RASANTE!F192)/(AV!$O$10))^2,IF(AND(AV!$S$12&lt;F192,F192&lt;=AV!$T$12),AV!$P$12*((AV!$S$12-RASANTE!F192)/(AV!$N$12))^2,IF(AND(AV!$T$12&lt;RASANTE!F192,F192&lt;AV!$U$12),AV!$P$12*((AV!$U$12-RASANTE!F192)/(AV!$O$12))^2,IF(AND(AV!$S$14&lt;F192,F192&lt;=AV!$T$14),AV!$P$14*((AV!$S$14-RASANTE!F192)/(AV!$N$14))^2,IF(AND(AV!$T$14&lt;RASANTE!F192,F192&lt;AV!$U$14),AV!$P$14*((AV!$U$14-RASANTE!F192)/(AV!$O$14))^2,IF(AND(AV!$S$16&lt;F192,F192&lt;=AV!$T$16),AV!$P$16*((AV!$S$16-RASANTE!F192)/(AV!$N$16))^2,IF(AND(AV!$T$16&lt;RASANTE!F192,F192&lt;AV!$U$16),AV!$P$16*((AV!$U$16-RASANTE!F192)/(AV!$O$16))^2,IF(AND(AV!$S$18&lt;F192,F192&lt;=AV!$T$18),AV!$P$18*((AV!$S$18-RASANTE!F192)/(AV!$N$18))^2,IF(AND(AV!$T$18&lt;RASANTE!F192,F192&lt;AV!$U$18),AV!$P$18*((AV!$U$18-RASANTE!F192)/(AV!$O$18))^2,IF(AND(AV!$S$20&lt;F192,F192&lt;=AV!$T$20),AV!$P$20*((AV!$S$20-RASANTE!F192)/(AV!$N$20))^2,IF(AND(AV!$T$20&lt;RASANTE!F192,F192&lt;AV!$U$20),AV!$P$20*((AV!$U$20-RASANTE!F192)/(AV!$O$20))^2,IF(AND(AV!$S$22&lt;F192,F192&lt;=AV!$T$22),AV!$P$22*((AV!$S$22-RASANTE!F192)/(AV!$N$22))^2,IF(AND(AV!$T$22&lt;RASANTE!F192,F192&lt;AV!$U$22),AV!$P$22*((AV!$U$22-RASANTE!F192)/(AV!$O$22))^2,IF(AND(AV!$S$24&lt;F192,F192&lt;=AV!$T$24),AV!$P$24*((AV!$S$24-RASANTE!F192)/(AV!$N$24))^2,IF(AND(AV!$T$24&lt;RASANTE!F192,F192&lt;AV!$U$24),AV!$P$24*((AV!$U$24-RASANTE!F192)/(AV!$O$24))^2,0))))))))))))))))))))</f>
        <v>0</v>
      </c>
      <c r="L144" s="28">
        <f>+M144+H144%*PERALTE!$C$32</f>
        <v>1621.3996694667246</v>
      </c>
      <c r="M144" s="28">
        <f t="shared" si="5"/>
        <v>1621.6796694667246</v>
      </c>
      <c r="N144" s="28">
        <f>+M144+I144%*PERALTE!$C$32</f>
        <v>1621.9596694667246</v>
      </c>
      <c r="O144" s="92"/>
      <c r="P144" s="84"/>
      <c r="Q144" s="84"/>
      <c r="R144" s="84"/>
      <c r="S144" s="84"/>
      <c r="T144" s="84"/>
      <c r="U144" s="84"/>
      <c r="V144" s="84"/>
      <c r="W144" s="84"/>
      <c r="X144" s="84"/>
      <c r="Y144" s="84"/>
    </row>
    <row r="145" spans="1:25" ht="15.75" customHeight="1" x14ac:dyDescent="0.2">
      <c r="A145" s="90"/>
      <c r="B145" s="86"/>
      <c r="C145" s="86"/>
      <c r="D145" s="86"/>
      <c r="E145" s="91"/>
      <c r="F145" s="34">
        <v>880</v>
      </c>
      <c r="G145" s="88">
        <f>IF(F145&lt;=AV!$T$6,AV!$C$5,IF(RASANTE!F145&lt;=AV!$T$8,AV!$C$7,IF(RASANTE!F145&lt;=AV!$T$10,AV!$C$9,IF(RASANTE!F145&lt;=AV!$T$12,AV!$C$11,IF(RASANTE!F145&lt;=AV!$T$14,AV!$C$13,IF(RASANTE!F145&lt;=AV!$T$16,AV!$C$15, IF(RASANTE!F145&lt;=AV!$T$18,AV!$C$17,IF(RASANTE!F145&lt;=AV!$T$20,AV!$C$19,IF(RASANTE!F145&lt;=AV!$T$22,AV!$C$21,IF(RASANTE!F145&lt;=AV!$T$24,AV!$C$23,AV!$C$25))))))))))</f>
        <v>-7.2409999999999997</v>
      </c>
      <c r="H145" s="28">
        <f>+IF(AND(AH!$H$8="Izquierda",RASANTE!F145&lt;=PERALTE!$AB$6),IF(RASANTE!F145&lt;=PERALTE!$S$6,-2,IF(RASANTE!F145&lt;=PERALTE!$U$6,(-6/(PERALTE!$U$6-PERALTE!$S$6)*(RASANTE!F145-PERALTE!$S$6)-2),IF(RASANTE!F145&lt;=PERALTE!$X$6,-8,IF(RASANTE!F145&lt;=PERALTE!$Z$6,(-6/(PERALTE!$X$6-PERALTE!$Z$6)*(RASANTE!F145-PERALTE!$Z$6)-2),IF(RASANTE!F145&lt;=PERALTE!$AB$6,-2))))),IF(AND(AH!$H$8="Derecha",RASANTE!F145&lt;=PERALTE!$AB$6),IF(RASANTE!F145&lt;=PERALTE!$Q$6,-2,IF(RASANTE!F145&lt;=PERALTE!$U$6,(10/(PERALTE!$U$6-PERALTE!$Q$6)*(RASANTE!F145-PERALTE!$Q$6)-2),IF(RASANTE!F145&lt;=PERALTE!$X$6,8,IF(RASANTE!F145&lt;=PERALTE!$AB$6,(10/(PERALTE!$X$6-PERALTE!$AB$6)*(RASANTE!F145-PERALTE!$AB$6)-2))))),IF(AND(AH!$H$10="Izquierda",RASANTE!F145&lt;=PERALTE!$AB$8),IF(RASANTE!F145&lt;=PERALTE!$S$8,-2,IF(RASANTE!F145&lt;=PERALTE!$U$8,(-6/(PERALTE!$U$8-PERALTE!$S$8)*(RASANTE!F145-PERALTE!$S$8)-2),IF(RASANTE!F145&lt;=PERALTE!$X$8,-8,IF(RASANTE!F145&lt;=PERALTE!$Z$8,(-6/(PERALTE!$X$8-PERALTE!$Z$8)*(RASANTE!F145-PERALTE!$Z$8)-2),IF(RASANTE!F145&lt;=PERALTE!$AB$8,-2))))),IF(AND(AH!$H$10="Derecha",RASANTE!F145&lt;=PERALTE!$AB$8),IF(RASANTE!F145&lt;=PERALTE!$Q$8,-2,IF(RASANTE!F145&lt;=PERALTE!$U$8,(10/(PERALTE!$U$8-PERALTE!$Q$8)*(RASANTE!F145-PERALTE!$Q$8)-2),IF(RASANTE!F145&lt;=PERALTE!$X$8,8,IF(RASANTE!F145&lt;=PERALTE!$AB$8,(10/(PERALTE!$X$8-PERALTE!$AB$8)*(RASANTE!F145-PERALTE!$AB$8)-2))))),IF(AND(AH!$H$12="Izquierda",RASANTE!F145&lt;=PERALTE!$AB$10),IF(RASANTE!F145&lt;=PERALTE!$S$10,-2,IF(RASANTE!F145&lt;=PERALTE!$U$10,(-6/(PERALTE!$U$10-PERALTE!$S$10)*(RASANTE!F145-PERALTE!$S$10)-2),IF(RASANTE!F145&lt;=PERALTE!$X$10,-8,IF(RASANTE!F145&lt;=PERALTE!$Z$10,(-6/(PERALTE!$X$10-PERALTE!$Z$10)*(RASANTE!F145-PERALTE!$Z$10)-2),IF(RASANTE!F145&lt;=PERALTE!$AB$10,-2))))),IF(AND(AH!$H$12="Derecha",RASANTE!F145&lt;=PERALTE!$AB$10),IF(RASANTE!F145&lt;=PERALTE!$Q$10,-2,IF(RASANTE!F145&lt;=PERALTE!$U$10,(10/(PERALTE!$U$10-PERALTE!$Q$10)*(RASANTE!F145-PERALTE!$Q$10)-2),IF(RASANTE!F145&lt;=PERALTE!$X$10,8,IF(RASANTE!F145&lt;=PERALTE!$AB$10,(10/(PERALTE!$X$10-PERALTE!$AB$10)*(RASANTE!F145-PERALTE!$AB$10)-2))))),IF(AND(AH!$H$14="Izquierda",RASANTE!F145&lt;=PERALTE!$AB$12),IF(RASANTE!F145&lt;=PERALTE!$S$12,-2,IF(RASANTE!F145&lt;=PERALTE!$U$12,(-6/(PERALTE!$U$12-PERALTE!$S$12)*(RASANTE!F145-PERALTE!$S$12)-2),IF(RASANTE!F145&lt;=PERALTE!$X$12,-8,IF(RASANTE!F145&lt;=PERALTE!$Z$12,(-6/(PERALTE!$X$12-PERALTE!$Z$12)*(RASANTE!F145-PERALTE!$Z$12)-2),IF(RASANTE!F145&lt;=PERALTE!$AB$12,-2))))),IF(AND(AH!$H$14="Derecha",RASANTE!F145&lt;=PERALTE!$AB$12),IF(RASANTE!F145&lt;=PERALTE!$Q$12,-2,IF(RASANTE!F145&lt;=PERALTE!$U$12,(10/(PERALTE!$U$12-PERALTE!$Q$12)*(RASANTE!F145-PERALTE!$Q$12)-2),IF(RASANTE!F145&lt;=PERALTE!$X$12,8,IF(RASANTE!F145&lt;=PERALTE!$AB$12,(10/(PERALTE!$X$12-PERALTE!$AB$12)*(RASANTE!F145-PERALTE!$AB$12)-2))))),IF(AND(AH!$H$16="Izquierda",RASANTE!F145&lt;=PERALTE!$AB$14),IF(RASANTE!F145&lt;=PERALTE!$S$14,-2,IF(RASANTE!F145&lt;=PERALTE!$U$14,(-6/(PERALTE!$U$14-PERALTE!$S$14)*(RASANTE!F145-PERALTE!$S$14)-2),IF(RASANTE!F145&lt;=PERALTE!$X$14,-8,IF(RASANTE!F145&lt;=PERALTE!$Z$14,(-6/(PERALTE!$X$14-PERALTE!$Z$14)*(RASANTE!F145-PERALTE!$Z$14)-2),IF(RASANTE!F145&lt;=PERALTE!$AB$14,-2))))),IF(AND(AH!$H$16="Derecha",RASANTE!F145&lt;=PERALTE!$AB$14),IF(RASANTE!F145&lt;=PERALTE!$Q$14,-2,IF(RASANTE!F145&lt;=PERALTE!$U$14,(10/(PERALTE!$U$14-PERALTE!$Q$14)*(RASANTE!F145-PERALTE!$Q$14)-2),IF(RASANTE!F145&lt;=PERALTE!$X$14,8,IF(RASANTE!F145&lt;=PERALTE!$AB$14,(10/(PERALTE!$X$14-PERALTE!$AB$14)*(RASANTE!F145-PERALTE!$AB$14)-2))))),IF(AND(AH!$H$18="Izquierda",RASANTE!F145&lt;=PERALTE!$AB$16),IF(RASANTE!F145&lt;=PERALTE!$S$16,-2,IF(RASANTE!F145&lt;=PERALTE!$U$16,(-6/(PERALTE!$U$16-PERALTE!$S$16)*(RASANTE!F145-PERALTE!$S$16)-2),IF(RASANTE!F145&lt;=PERALTE!$X$16,-8,IF(RASANTE!F145&lt;=PERALTE!$Z$16,(-6/(PERALTE!$X$16-PERALTE!$Z$16)*(RASANTE!F145-PERALTE!$Z$16)-2),IF(RASANTE!F145&lt;=PERALTE!$AB$16,-2))))),IF(AND(AH!$H$18="Derecha",RASANTE!F145&lt;=PERALTE!$AB$16),IF(RASANTE!F145&lt;=PERALTE!$Q$16,-2,IF(RASANTE!F145&lt;=PERALTE!$U$16,(10/(PERALTE!$U$16-PERALTE!$Q$16)*(RASANTE!F145-PERALTE!$Q$16)-2),IF(RASANTE!F145&lt;=PERALTE!$X$16,8,IF(RASANTE!F145&lt;=PERALTE!$AB$16,(10/(PERALTE!$X$16-PERALTE!$AB$16)*(RASANTE!F145-PERALTE!$AB$16)-2))))),IF(AND(AH!$H$20="Izquierda",RASANTE!F145&lt;=PERALTE!$AB$18),IF(RASANTE!F145&lt;=PERALTE!$S$18,-2,IF(RASANTE!F145&lt;=PERALTE!$U$18,(-6/(PERALTE!$U$18-PERALTE!$S$18)*(RASANTE!F145-PERALTE!$S$18)-2),IF(RASANTE!F145&lt;=PERALTE!$X$18,-8,IF(RASANTE!F145&lt;=PERALTE!$Z$18,(-6/(PERALTE!$X$18-PERALTE!$Z$18)*(RASANTE!F145-PERALTE!$Z$18)-2),IF(RASANTE!F145&lt;=PERALTE!$AB$18,-2))))),IF(AND(AH!$H$20="Derecha",RASANTE!F145&lt;=PERALTE!$AB$18),IF(RASANTE!F145&lt;=PERALTE!$Q$18,-2,IF(RASANTE!F145&lt;=PERALTE!$U$18,(10/(PERALTE!$U$18-PERALTE!$Q$18)*(RASANTE!F145-PERALTE!$Q$18)-2),IF(RASANTE!F145&lt;=PERALTE!$X$18,8,IF(RASANTE!F145&lt;=PERALTE!$AB$18,(10/(PERALTE!$X$18-PERALTE!$AB$18)*(RASANTE!F145-PERALTE!$AB$18)-2))))),IF(AND(AH!$H$24="Izquierda",RASANTE!F145&lt;=PERALTE!$AB$22),IF(RASANTE!F145&lt;=PERALTE!$S$22,-2,IF(RASANTE!F145&lt;=PERALTE!$U$22,(-6/(PERALTE!$U$22-PERALTE!$S$22)*(RASANTE!F145-PERALTE!$S$22)-2),IF(RASANTE!F145&lt;=PERALTE!$X$22,-8,IF(RASANTE!F145&lt;=PERALTE!$Z$22,(-6/(PERALTE!$X$22-PERALTE!$Z$22)*(RASANTE!F145-PERALTE!$Z$22)-2),IF(RASANTE!F145&lt;=PERALTE!$AB$22,-2))))),IF(AND(AH!$H$24="Derecha",RASANTE!F145&lt;=PERALTE!$AB$22),IF(RASANTE!F145&lt;=PERALTE!$Q$22,-2,IF(RASANTE!F145&lt;=PERALTE!$U$22,(10/(PERALTE!$U$22-PERALTE!$Q$22)*(RASANTE!F145-PERALTE!$Q$22)-2),IF(RASANTE!F145&lt;=PERALTE!$X$22,8,IF(RASANTE!F145&lt;=PERALTE!$AB$22,(10/(PERALTE!$X$22-PERALTE!$AB$22)*(RASANTE!F145-PERALTE!$AB$22)-2))))),IF(AND(AH!#REF!="Izquierda",RASANTE!F145&lt;=PERALTE!#REF!),IF(RASANTE!F145&lt;=PERALTE!#REF!,-2,IF(RASANTE!F145&lt;=PERALTE!#REF!,(-6/(PERALTE!#REF!-PERALTE!#REF!)*(RASANTE!F145-PERALTE!#REF!)-2),IF(RASANTE!F145&lt;=PERALTE!#REF!,-8,IF(RASANTE!F145&lt;=PERALTE!#REF!,(-6/(PERALTE!#REF!-PERALTE!#REF!)*(RASANTE!F145-PERALTE!#REF!)-2),IF(RASANTE!F145&lt;=PERALTE!#REF!,-2))))),IF(AND(AH!#REF!="Derecha",RASANTE!F145&lt;=PERALTE!#REF!),IF(RASANTE!F145&lt;=PERALTE!#REF!,-2,IF(RASANTE!F145&lt;=PERALTE!#REF!,(10/(PERALTE!#REF!-PERALTE!#REF!)*(RASANTE!F145-PERALTE!#REF!)-2),IF(RASANTE!F145&lt;=PERALTE!#REF!,8,IF(RASANTE!F145&lt;=PERALTE!#REF!,(10/(PERALTE!#REF!-PERALTE!#REF!)*(RASANTE!F145-PERALTE!#REF!)-2))))),IF(AND(AH!#REF!="Izquierda",RASANTE!F145&lt;=PERALTE!$AB$26),IF(RASANTE!F145&lt;=PERALTE!$S$26,-2,IF(RASANTE!F145&lt;=PERALTE!$U$26,(-6/(PERALTE!$U$26-PERALTE!$S$26)*(RASANTE!F145-PERALTE!$S$26)-2),IF(RASANTE!F145&lt;=PERALTE!$X$26,-8,IF(RASANTE!F145&lt;=PERALTE!$Z$26,(-6/(PERALTE!$X$26-PERALTE!$Z$26)*(RASANTE!F145-PERALTE!$Z$26)-2),IF(RASANTE!F145&lt;=PERALTE!$AB$26,-2))))),IF(AND(AH!#REF!="Derecha",RASANTE!F145&lt;=PERALTE!$AB$26),IF(RASANTE!F145&lt;=PERALTE!$Q$26,-2,IF(RASANTE!F145&lt;=PERALTE!$U$26,(10/(PERALTE!$U$26-PERALTE!$Q$26)*(RASANTE!F145-PERALTE!$Q$26)-2),IF(RASANTE!F145&lt;=PERALTE!$X$26,8,IF(RASANTE!F145&lt;=PERALTE!$AB$26,(10/(PERALTE!$X$26-PERALTE!$AB$26)*(RASANTE!F145-PERALTE!$AB$26)-2))))),IF(F145&lt;=PERALTE!#REF!,-2,"Abscisa fuera de la vía")))))))))))))))))))))</f>
        <v>-7.2439868193741717</v>
      </c>
      <c r="I145" s="28">
        <f>+IF(AND(AH!$H$8="Derecha",RASANTE!F145&lt;=PERALTE!$AB$6),IF(RASANTE!F145&lt;=PERALTE!$S$6,-2,IF(RASANTE!F145&lt;=PERALTE!$U$6,(-6/(PERALTE!$U$6-PERALTE!$S$6)*(RASANTE!F145-PERALTE!$S$6)-2),IF(RASANTE!F145&lt;=PERALTE!$X$6,-8,IF(RASANTE!F145&lt;=PERALTE!$Z$6,(-6/(PERALTE!$X$6-PERALTE!$Z$6)*(RASANTE!F145-PERALTE!$Z$6)-2),IF(RASANTE!F145&lt;=PERALTE!$AB$6,-2))))),IF(AND(AH!$H$8="Izquierda",RASANTE!F145&lt;=PERALTE!$AB$6),IF(RASANTE!F145&lt;=PERALTE!$Q$6,-2,IF(RASANTE!F145&lt;=PERALTE!$U$6,(10/(PERALTE!$U$6-PERALTE!$Q$6)*(RASANTE!F145-PERALTE!$Q$6)-2),IF(RASANTE!F145&lt;=PERALTE!$X$6,8,IF(RASANTE!F145&lt;=PERALTE!$AB$6,(10/(PERALTE!$X$6-PERALTE!$AB$6)*(RASANTE!F145-PERALTE!$AB$6)-2))))),IF(AND(AH!$H$10="Derecha",RASANTE!F145&lt;=PERALTE!$AB$8),IF(RASANTE!F145&lt;=PERALTE!$S$8,-2,IF(RASANTE!F145&lt;=PERALTE!$U$8,(-6/(PERALTE!$U$8-PERALTE!$S$8)*(RASANTE!F145-PERALTE!$S$8)-2),IF(RASANTE!F145&lt;=PERALTE!$X$8,-8,IF(RASANTE!F145&lt;=PERALTE!$Z$8,(-6/(PERALTE!$X$8-PERALTE!$Z$8)*(RASANTE!F145-PERALTE!$Z$8)-2),IF(RASANTE!F145&lt;=PERALTE!$AB$8,-2))))),IF(AND(AH!$H$10="Izquierda",RASANTE!F145&lt;=PERALTE!$AB$8),IF(RASANTE!F145&lt;=PERALTE!$Q$8,-2,IF(RASANTE!F145&lt;=PERALTE!$U$8,(10/(PERALTE!$U$8-PERALTE!$Q$8)*(RASANTE!F145-PERALTE!$Q$8)-2),IF(RASANTE!F145&lt;=PERALTE!$X$8,8,IF(RASANTE!F145&lt;=PERALTE!$AB$8,(10/(PERALTE!$X$8-PERALTE!$AB$8)*(RASANTE!F145-PERALTE!$AB$8)-2))))),IF(AND(AH!$H$12="Derecha",RASANTE!F145&lt;=PERALTE!$AB$10),IF(RASANTE!F145&lt;=PERALTE!$S$10,-2,IF(RASANTE!F145&lt;=PERALTE!$U$10,(-6/(PERALTE!$U$10-PERALTE!$S$10)*(RASANTE!F145-PERALTE!$S$10)-2),IF(RASANTE!F145&lt;=PERALTE!$X$10,-8,IF(RASANTE!F145&lt;=PERALTE!$Z$10,(-6/(PERALTE!$X$10-PERALTE!$Z$10)*(RASANTE!F145-PERALTE!$Z$10)-2),IF(RASANTE!F145&lt;=PERALTE!$AB$10,-2))))),IF(AND(AH!$H$12="Izquierda",RASANTE!F145&lt;=PERALTE!$AB$10),IF(RASANTE!F145&lt;=PERALTE!$Q$10,-2,IF(RASANTE!F145&lt;=PERALTE!$U$10,(10/(PERALTE!$U$10-PERALTE!$Q$10)*(RASANTE!F145-PERALTE!$Q$10)-2),IF(RASANTE!F145&lt;=PERALTE!$X$10,8,IF(RASANTE!F145&lt;=PERALTE!$AB$10,(10/(PERALTE!$X$10-PERALTE!$AB$10)*(RASANTE!F145-PERALTE!$AB$10)-2))))),IF(AND(AH!$H$14="Derecha",RASANTE!F145&lt;=PERALTE!$AB$12),IF(RASANTE!F145&lt;=PERALTE!$S$12,-2,IF(RASANTE!F145&lt;=PERALTE!$U$12,(-6/(PERALTE!$U$12-PERALTE!$S$12)*(RASANTE!F145-PERALTE!$S$12)-2),IF(RASANTE!F145&lt;=PERALTE!$X$12,-8,IF(RASANTE!F145&lt;=PERALTE!$Z$12,(-6/(PERALTE!$X$12-PERALTE!$Z$12)*(RASANTE!F145-PERALTE!$Z$12)-2),IF(RASANTE!F145&lt;=PERALTE!$AB$12,-2))))),IF(AND(AH!$H$14="Izquierda",RASANTE!F145&lt;=PERALTE!$AB$12),IF(RASANTE!F145&lt;=PERALTE!$Q$12,-2,IF(RASANTE!F145&lt;=PERALTE!$U$12,(10/(PERALTE!$U$12-PERALTE!$Q$12)*(RASANTE!F145-PERALTE!$Q$12)-2),IF(RASANTE!F145&lt;=PERALTE!$X$12,8,IF(RASANTE!F145&lt;=PERALTE!$AB$12,(10/(PERALTE!$X$12-PERALTE!$AB$12)*(RASANTE!F145-PERALTE!$AB$12)-2))))),IF(AND(AH!$H$16="Derecha",RASANTE!F145&lt;=PERALTE!$AB$14),IF(RASANTE!F145&lt;=PERALTE!$S$14,-2,IF(RASANTE!F145&lt;=PERALTE!$U$14,(-6/(PERALTE!$U$14-PERALTE!$S$14)*(RASANTE!F145-PERALTE!$S$14)-2),IF(RASANTE!F145&lt;=PERALTE!$X$14,-8,IF(RASANTE!F145&lt;=PERALTE!$Z$14,(-6/(PERALTE!$X$14-PERALTE!$Z$14)*(RASANTE!F145-PERALTE!$Z$14)-2),IF(RASANTE!F145&lt;=PERALTE!$AB$14,-2))))),IF(AND(AH!$H$16="Izquierda",RASANTE!F145&lt;=PERALTE!$AB$14),IF(RASANTE!F145&lt;=PERALTE!$Q$14,-2,IF(RASANTE!F145&lt;=PERALTE!$U$14,(10/(PERALTE!$U$14-PERALTE!$Q$14)*(RASANTE!F145-PERALTE!$Q$14)-2),IF(RASANTE!F145&lt;=PERALTE!$X$14,8,IF(RASANTE!F145&lt;=PERALTE!$AB$14,(10/(PERALTE!$X$14-PERALTE!$AB$14)*(RASANTE!F145-PERALTE!$AB$14)-2))))),IF(AND(AH!$H$18="Derecha",RASANTE!F145&lt;=PERALTE!$AB$16),IF(RASANTE!F145&lt;=PERALTE!$S$16,-2,IF(RASANTE!F145&lt;=PERALTE!$U$16,(-6/(PERALTE!$U$16-PERALTE!$S$16)*(RASANTE!F145-PERALTE!$S$16)-2),IF(RASANTE!F145&lt;=PERALTE!$X$16,-8,IF(RASANTE!F145&lt;=PERALTE!$Z$16,(-6/(PERALTE!$X$16-PERALTE!$Z$16)*(RASANTE!F145-PERALTE!$Z$16)-2),IF(RASANTE!F145&lt;=PERALTE!$AB$16,-2))))),IF(AND(AH!$H$18="Izquierda",RASANTE!F145&lt;=PERALTE!$AB$16),IF(RASANTE!F145&lt;=PERALTE!$Q$16,-2,IF(RASANTE!F145&lt;=PERALTE!$U$16,(10/(PERALTE!$U$16-PERALTE!$Q$16)*(RASANTE!F145-PERALTE!$Q$16)-2),IF(RASANTE!F145&lt;=PERALTE!$X$16,8,IF(RASANTE!F145&lt;=PERALTE!$AB$16,(10/(PERALTE!$X$16-PERALTE!$AB$16)*(RASANTE!F145-PERALTE!$AB$16)-2))))),IF(AND(AH!$H$20="Derecha",RASANTE!F145&lt;=PERALTE!$AB$18),IF(RASANTE!F145&lt;=PERALTE!$S$18,-2,IF(RASANTE!F145&lt;=PERALTE!$U$18,(-6/(PERALTE!$U$18-PERALTE!$S$18)*(RASANTE!F145-PERALTE!$S$18)-2),IF(RASANTE!F145&lt;=PERALTE!$X$18,-8,IF(RASANTE!F145&lt;=PERALTE!$Z$18,(-6/(PERALTE!$X$18-PERALTE!$Z$18)*(RASANTE!F145-PERALTE!$Z$18)-2),IF(RASANTE!F145&lt;=PERALTE!$AB$18,-2))))),IF(AND(AH!$H$20="Izquierda",RASANTE!F145&lt;=PERALTE!$AB$18),IF(RASANTE!F145&lt;=PERALTE!$Q$18,-2,IF(RASANTE!F145&lt;=PERALTE!$U$18,(10/(PERALTE!$U$18-PERALTE!$Q$18)*(RASANTE!F145-PERALTE!$Q$18)-2),IF(RASANTE!F145&lt;=PERALTE!$X$18,8,IF(RASANTE!F145&lt;=PERALTE!$AB$18,(10/(PERALTE!$X$18-PERALTE!$AB$18)*(RASANTE!F145-PERALTE!$AB$18)-2))))),IF(AND(AH!$H$24="Derecha",RASANTE!F145&lt;=PERALTE!$AB$22),IF(RASANTE!F145&lt;=PERALTE!$S$22,-2,IF(RASANTE!F145&lt;=PERALTE!$U$22,(-6/(PERALTE!$U$22-PERALTE!$S$22)*(RASANTE!F145-PERALTE!$S$22)-2),IF(RASANTE!F145&lt;=PERALTE!$X$22,-8,IF(RASANTE!F145&lt;=PERALTE!$Z$22,(-6/(PERALTE!$X$22-PERALTE!$Z$22)*(RASANTE!F145-PERALTE!$Z$22)-2),IF(RASANTE!F145&lt;=PERALTE!$AB$22,-2))))),IF(AND(AH!$H$24="Izquierda",RASANTE!F145&lt;=PERALTE!$AB$22),IF(RASANTE!F145&lt;=PERALTE!$Q$22,-2,IF(RASANTE!F145&lt;=PERALTE!$U$22,(10/(PERALTE!$U$22-PERALTE!$Q$22)*(RASANTE!F145-PERALTE!$Q$22)-2),IF(RASANTE!F145&lt;=PERALTE!$X$22,8,IF(RASANTE!F145&lt;=PERALTE!$AB$22,(10/(PERALTE!$X$22-PERALTE!$AB$22)*(RASANTE!F145-PERALTE!$AB$22)-2))))),IF(AND(AH!#REF!="Derecha",RASANTE!F145&lt;=PERALTE!#REF!),IF(RASANTE!F145&lt;=PERALTE!#REF!,-2,IF(RASANTE!F145&lt;=PERALTE!#REF!,(-6/(PERALTE!#REF!-PERALTE!#REF!)*(RASANTE!F145-PERALTE!#REF!)-2),IF(RASANTE!F145&lt;=PERALTE!#REF!,-8,IF(RASANTE!F145&lt;=PERALTE!#REF!,(-6/(PERALTE!#REF!-PERALTE!#REF!)*(RASANTE!F145-PERALTE!#REF!)-2),IF(RASANTE!F145&lt;=PERALTE!#REF!,-2))))),IF(AND(AH!#REF!="Izquierda",RASANTE!F145&lt;=PERALTE!#REF!),IF(RASANTE!F145&lt;=PERALTE!#REF!,-2,IF(RASANTE!F145&lt;=PERALTE!#REF!,(10/(PERALTE!#REF!-PERALTE!#REF!)*(RASANTE!F145-PERALTE!#REF!)-2),IF(RASANTE!F145&lt;=PERALTE!#REF!,8,IF(RASANTE!F145&lt;=PERALTE!#REF!,(10/(PERALTE!#REF!-PERALTE!#REF!)*(RASANTE!F145-PERALTE!#REF!)-2))))),IF(AND(AH!#REF!="Derecha",RASANTE!F145&lt;=PERALTE!$AB$26),IF(RASANTE!F145&lt;=PERALTE!$S$26,-2,IF(RASANTE!F145&lt;=PERALTE!$U$26,(-6/(PERALTE!$U$26-PERALTE!$S$26)*(RASANTE!F145-PERALTE!$S$26)-2),IF(RASANTE!F145&lt;=PERALTE!$X$26,-8,IF(RASANTE!F145&lt;=PERALTE!$Z$26,(-6/(PERALTE!$X$26-PERALTE!$Z$26)*(RASANTE!F145-PERALTE!$Z$26)-2),IF(RASANTE!F145&lt;=PERALTE!$AB$26,-2))))),IF(AND(AH!#REF!="Izquierda",RASANTE!F145&lt;=PERALTE!$AB$26),IF(RASANTE!F145&lt;=PERALTE!$Q$26,-2,IF(RASANTE!F145&lt;=PERALTE!$U$26,(10/(PERALTE!$U$26-PERALTE!$Q$26)*(RASANTE!F145-PERALTE!$Q$26)-2),IF(RASANTE!F145&lt;=PERALTE!$X$26,8,IF(RASANTE!F145&lt;=PERALTE!$AB$26,(10/(PERALTE!$X$26-PERALTE!$AB$26)*(RASANTE!F145-PERALTE!$AB$26)-2))))),IF(F145&lt;=PERALTE!#REF!,-2,"Abscisa fuera de la vía")))))))))))))))))))))</f>
        <v>7.2439868193741734</v>
      </c>
      <c r="J145" s="28">
        <f t="shared" si="6"/>
        <v>1621.4308380375921</v>
      </c>
      <c r="K145" s="28">
        <f>+IF(AND(AV!$S$6&lt;F193,F193&lt;=AV!$T$6),AV!$P$6*((AV!$S$6-RASANTE!F193)/(AV!$N$6))^2,IF(AND(AV!$T$6&lt;RASANTE!F193,F193&lt;AV!$U$6),AV!$P$6*((AV!$U$6-RASANTE!F193)/(AV!$O$6))^2,IF(AND(AV!$S$8&lt;F193,F193&lt;=AV!$T$8),AV!$P$8*((AV!$S$8-RASANTE!F193)/(AV!$N$8))^2,IF(AND(AV!$T$8&lt;RASANTE!F193,F193&lt;AV!$U$8),AV!$P$8*((AV!$U$8-RASANTE!F193)/(AV!$O$8))^2,IF(AND(AV!$S$10&lt;F193,F193&lt;=AV!$T$10),AV!$P$10*((AV!$S$10-RASANTE!F193)/(AV!$N$10))^2,IF(AND(AV!$T$10&lt;RASANTE!F193,F193&lt;AV!$U$10),AV!$P$10*((AV!$U$10-RASANTE!F193)/(AV!$O$10))^2,IF(AND(AV!$S$12&lt;F193,F193&lt;=AV!$T$12),AV!$P$12*((AV!$S$12-RASANTE!F193)/(AV!$N$12))^2,IF(AND(AV!$T$12&lt;RASANTE!F193,F193&lt;AV!$U$12),AV!$P$12*((AV!$U$12-RASANTE!F193)/(AV!$O$12))^2,IF(AND(AV!$S$14&lt;F193,F193&lt;=AV!$T$14),AV!$P$14*((AV!$S$14-RASANTE!F193)/(AV!$N$14))^2,IF(AND(AV!$T$14&lt;RASANTE!F193,F193&lt;AV!$U$14),AV!$P$14*((AV!$U$14-RASANTE!F193)/(AV!$O$14))^2,IF(AND(AV!$S$16&lt;F193,F193&lt;=AV!$T$16),AV!$P$16*((AV!$S$16-RASANTE!F193)/(AV!$N$16))^2,IF(AND(AV!$T$16&lt;RASANTE!F193,F193&lt;AV!$U$16),AV!$P$16*((AV!$U$16-RASANTE!F193)/(AV!$O$16))^2,IF(AND(AV!$S$18&lt;F193,F193&lt;=AV!$T$18),AV!$P$18*((AV!$S$18-RASANTE!F193)/(AV!$N$18))^2,IF(AND(AV!$T$18&lt;RASANTE!F193,F193&lt;AV!$U$18),AV!$P$18*((AV!$U$18-RASANTE!F193)/(AV!$O$18))^2,IF(AND(AV!$S$20&lt;F193,F193&lt;=AV!$T$20),AV!$P$20*((AV!$S$20-RASANTE!F193)/(AV!$N$20))^2,IF(AND(AV!$T$20&lt;RASANTE!F193,F193&lt;AV!$U$20),AV!$P$20*((AV!$U$20-RASANTE!F193)/(AV!$O$20))^2,IF(AND(AV!$S$22&lt;F193,F193&lt;=AV!$T$22),AV!$P$22*((AV!$S$22-RASANTE!F193)/(AV!$N$22))^2,IF(AND(AV!$T$22&lt;RASANTE!F193,F193&lt;AV!$U$22),AV!$P$22*((AV!$U$22-RASANTE!F193)/(AV!$O$22))^2,IF(AND(AV!$S$24&lt;F193,F193&lt;=AV!$T$24),AV!$P$24*((AV!$S$24-RASANTE!F193)/(AV!$N$24))^2,IF(AND(AV!$T$24&lt;RASANTE!F193,F193&lt;AV!$U$24),AV!$P$24*((AV!$U$24-RASANTE!F193)/(AV!$O$24))^2,0))))))))))))))))))))</f>
        <v>0</v>
      </c>
      <c r="L145" s="28">
        <f>+M145+H145%*PERALTE!$C$32</f>
        <v>1621.1772984989141</v>
      </c>
      <c r="M145" s="28">
        <f t="shared" si="5"/>
        <v>1621.4308380375921</v>
      </c>
      <c r="N145" s="28">
        <f>+M145+I145%*PERALTE!$C$32</f>
        <v>1621.6843775762702</v>
      </c>
      <c r="O145" s="92"/>
      <c r="P145" s="84"/>
      <c r="Q145" s="84"/>
      <c r="R145" s="84"/>
      <c r="S145" s="84"/>
      <c r="T145" s="84"/>
      <c r="U145" s="84"/>
      <c r="V145" s="84"/>
      <c r="W145" s="84"/>
      <c r="X145" s="84"/>
      <c r="Y145" s="84"/>
    </row>
    <row r="146" spans="1:25" ht="15.75" customHeight="1" x14ac:dyDescent="0.2">
      <c r="A146" s="90"/>
      <c r="B146" s="86"/>
      <c r="C146" s="86"/>
      <c r="D146" s="86"/>
      <c r="E146" s="91"/>
      <c r="F146" s="34">
        <v>890</v>
      </c>
      <c r="G146" s="88">
        <f>IF(F146&lt;=AV!$T$6,AV!$C$5,IF(RASANTE!F146&lt;=AV!$T$8,AV!$C$7,IF(RASANTE!F146&lt;=AV!$T$10,AV!$C$9,IF(RASANTE!F146&lt;=AV!$T$12,AV!$C$11,IF(RASANTE!F146&lt;=AV!$T$14,AV!$C$13,IF(RASANTE!F146&lt;=AV!$T$16,AV!$C$15, IF(RASANTE!F146&lt;=AV!$T$18,AV!$C$17,IF(RASANTE!F146&lt;=AV!$T$20,AV!$C$19,IF(RASANTE!F146&lt;=AV!$T$22,AV!$C$21,IF(RASANTE!F146&lt;=AV!$T$24,AV!$C$23,AV!$C$25))))))))))</f>
        <v>-7.2409999999999997</v>
      </c>
      <c r="H146" s="28">
        <f>+IF(AND(AH!$H$8="Izquierda",RASANTE!F146&lt;=PERALTE!$AB$6),IF(RASANTE!F146&lt;=PERALTE!$S$6,-2,IF(RASANTE!F146&lt;=PERALTE!$U$6,(-6/(PERALTE!$U$6-PERALTE!$S$6)*(RASANTE!F146-PERALTE!$S$6)-2),IF(RASANTE!F146&lt;=PERALTE!$X$6,-8,IF(RASANTE!F146&lt;=PERALTE!$Z$6,(-6/(PERALTE!$X$6-PERALTE!$Z$6)*(RASANTE!F146-PERALTE!$Z$6)-2),IF(RASANTE!F146&lt;=PERALTE!$AB$6,-2))))),IF(AND(AH!$H$8="Derecha",RASANTE!F146&lt;=PERALTE!$AB$6),IF(RASANTE!F146&lt;=PERALTE!$Q$6,-2,IF(RASANTE!F146&lt;=PERALTE!$U$6,(10/(PERALTE!$U$6-PERALTE!$Q$6)*(RASANTE!F146-PERALTE!$Q$6)-2),IF(RASANTE!F146&lt;=PERALTE!$X$6,8,IF(RASANTE!F146&lt;=PERALTE!$AB$6,(10/(PERALTE!$X$6-PERALTE!$AB$6)*(RASANTE!F146-PERALTE!$AB$6)-2))))),IF(AND(AH!$H$10="Izquierda",RASANTE!F146&lt;=PERALTE!$AB$8),IF(RASANTE!F146&lt;=PERALTE!$S$8,-2,IF(RASANTE!F146&lt;=PERALTE!$U$8,(-6/(PERALTE!$U$8-PERALTE!$S$8)*(RASANTE!F146-PERALTE!$S$8)-2),IF(RASANTE!F146&lt;=PERALTE!$X$8,-8,IF(RASANTE!F146&lt;=PERALTE!$Z$8,(-6/(PERALTE!$X$8-PERALTE!$Z$8)*(RASANTE!F146-PERALTE!$Z$8)-2),IF(RASANTE!F146&lt;=PERALTE!$AB$8,-2))))),IF(AND(AH!$H$10="Derecha",RASANTE!F146&lt;=PERALTE!$AB$8),IF(RASANTE!F146&lt;=PERALTE!$Q$8,-2,IF(RASANTE!F146&lt;=PERALTE!$U$8,(10/(PERALTE!$U$8-PERALTE!$Q$8)*(RASANTE!F146-PERALTE!$Q$8)-2),IF(RASANTE!F146&lt;=PERALTE!$X$8,8,IF(RASANTE!F146&lt;=PERALTE!$AB$8,(10/(PERALTE!$X$8-PERALTE!$AB$8)*(RASANTE!F146-PERALTE!$AB$8)-2))))),IF(AND(AH!$H$12="Izquierda",RASANTE!F146&lt;=PERALTE!$AB$10),IF(RASANTE!F146&lt;=PERALTE!$S$10,-2,IF(RASANTE!F146&lt;=PERALTE!$U$10,(-6/(PERALTE!$U$10-PERALTE!$S$10)*(RASANTE!F146-PERALTE!$S$10)-2),IF(RASANTE!F146&lt;=PERALTE!$X$10,-8,IF(RASANTE!F146&lt;=PERALTE!$Z$10,(-6/(PERALTE!$X$10-PERALTE!$Z$10)*(RASANTE!F146-PERALTE!$Z$10)-2),IF(RASANTE!F146&lt;=PERALTE!$AB$10,-2))))),IF(AND(AH!$H$12="Derecha",RASANTE!F146&lt;=PERALTE!$AB$10),IF(RASANTE!F146&lt;=PERALTE!$Q$10,-2,IF(RASANTE!F146&lt;=PERALTE!$U$10,(10/(PERALTE!$U$10-PERALTE!$Q$10)*(RASANTE!F146-PERALTE!$Q$10)-2),IF(RASANTE!F146&lt;=PERALTE!$X$10,8,IF(RASANTE!F146&lt;=PERALTE!$AB$10,(10/(PERALTE!$X$10-PERALTE!$AB$10)*(RASANTE!F146-PERALTE!$AB$10)-2))))),IF(AND(AH!$H$14="Izquierda",RASANTE!F146&lt;=PERALTE!$AB$12),IF(RASANTE!F146&lt;=PERALTE!$S$12,-2,IF(RASANTE!F146&lt;=PERALTE!$U$12,(-6/(PERALTE!$U$12-PERALTE!$S$12)*(RASANTE!F146-PERALTE!$S$12)-2),IF(RASANTE!F146&lt;=PERALTE!$X$12,-8,IF(RASANTE!F146&lt;=PERALTE!$Z$12,(-6/(PERALTE!$X$12-PERALTE!$Z$12)*(RASANTE!F146-PERALTE!$Z$12)-2),IF(RASANTE!F146&lt;=PERALTE!$AB$12,-2))))),IF(AND(AH!$H$14="Derecha",RASANTE!F146&lt;=PERALTE!$AB$12),IF(RASANTE!F146&lt;=PERALTE!$Q$12,-2,IF(RASANTE!F146&lt;=PERALTE!$U$12,(10/(PERALTE!$U$12-PERALTE!$Q$12)*(RASANTE!F146-PERALTE!$Q$12)-2),IF(RASANTE!F146&lt;=PERALTE!$X$12,8,IF(RASANTE!F146&lt;=PERALTE!$AB$12,(10/(PERALTE!$X$12-PERALTE!$AB$12)*(RASANTE!F146-PERALTE!$AB$12)-2))))),IF(AND(AH!$H$16="Izquierda",RASANTE!F146&lt;=PERALTE!$AB$14),IF(RASANTE!F146&lt;=PERALTE!$S$14,-2,IF(RASANTE!F146&lt;=PERALTE!$U$14,(-6/(PERALTE!$U$14-PERALTE!$S$14)*(RASANTE!F146-PERALTE!$S$14)-2),IF(RASANTE!F146&lt;=PERALTE!$X$14,-8,IF(RASANTE!F146&lt;=PERALTE!$Z$14,(-6/(PERALTE!$X$14-PERALTE!$Z$14)*(RASANTE!F146-PERALTE!$Z$14)-2),IF(RASANTE!F146&lt;=PERALTE!$AB$14,-2))))),IF(AND(AH!$H$16="Derecha",RASANTE!F146&lt;=PERALTE!$AB$14),IF(RASANTE!F146&lt;=PERALTE!$Q$14,-2,IF(RASANTE!F146&lt;=PERALTE!$U$14,(10/(PERALTE!$U$14-PERALTE!$Q$14)*(RASANTE!F146-PERALTE!$Q$14)-2),IF(RASANTE!F146&lt;=PERALTE!$X$14,8,IF(RASANTE!F146&lt;=PERALTE!$AB$14,(10/(PERALTE!$X$14-PERALTE!$AB$14)*(RASANTE!F146-PERALTE!$AB$14)-2))))),IF(AND(AH!$H$18="Izquierda",RASANTE!F146&lt;=PERALTE!$AB$16),IF(RASANTE!F146&lt;=PERALTE!$S$16,-2,IF(RASANTE!F146&lt;=PERALTE!$U$16,(-6/(PERALTE!$U$16-PERALTE!$S$16)*(RASANTE!F146-PERALTE!$S$16)-2),IF(RASANTE!F146&lt;=PERALTE!$X$16,-8,IF(RASANTE!F146&lt;=PERALTE!$Z$16,(-6/(PERALTE!$X$16-PERALTE!$Z$16)*(RASANTE!F146-PERALTE!$Z$16)-2),IF(RASANTE!F146&lt;=PERALTE!$AB$16,-2))))),IF(AND(AH!$H$18="Derecha",RASANTE!F146&lt;=PERALTE!$AB$16),IF(RASANTE!F146&lt;=PERALTE!$Q$16,-2,IF(RASANTE!F146&lt;=PERALTE!$U$16,(10/(PERALTE!$U$16-PERALTE!$Q$16)*(RASANTE!F146-PERALTE!$Q$16)-2),IF(RASANTE!F146&lt;=PERALTE!$X$16,8,IF(RASANTE!F146&lt;=PERALTE!$AB$16,(10/(PERALTE!$X$16-PERALTE!$AB$16)*(RASANTE!F146-PERALTE!$AB$16)-2))))),IF(AND(AH!$H$20="Izquierda",RASANTE!F146&lt;=PERALTE!$AB$18),IF(RASANTE!F146&lt;=PERALTE!$S$18,-2,IF(RASANTE!F146&lt;=PERALTE!$U$18,(-6/(PERALTE!$U$18-PERALTE!$S$18)*(RASANTE!F146-PERALTE!$S$18)-2),IF(RASANTE!F146&lt;=PERALTE!$X$18,-8,IF(RASANTE!F146&lt;=PERALTE!$Z$18,(-6/(PERALTE!$X$18-PERALTE!$Z$18)*(RASANTE!F146-PERALTE!$Z$18)-2),IF(RASANTE!F146&lt;=PERALTE!$AB$18,-2))))),IF(AND(AH!$H$20="Derecha",RASANTE!F146&lt;=PERALTE!$AB$18),IF(RASANTE!F146&lt;=PERALTE!$Q$18,-2,IF(RASANTE!F146&lt;=PERALTE!$U$18,(10/(PERALTE!$U$18-PERALTE!$Q$18)*(RASANTE!F146-PERALTE!$Q$18)-2),IF(RASANTE!F146&lt;=PERALTE!$X$18,8,IF(RASANTE!F146&lt;=PERALTE!$AB$18,(10/(PERALTE!$X$18-PERALTE!$AB$18)*(RASANTE!F146-PERALTE!$AB$18)-2))))),IF(AND(AH!$H$24="Izquierda",RASANTE!F146&lt;=PERALTE!$AB$22),IF(RASANTE!F146&lt;=PERALTE!$S$22,-2,IF(RASANTE!F146&lt;=PERALTE!$U$22,(-6/(PERALTE!$U$22-PERALTE!$S$22)*(RASANTE!F146-PERALTE!$S$22)-2),IF(RASANTE!F146&lt;=PERALTE!$X$22,-8,IF(RASANTE!F146&lt;=PERALTE!$Z$22,(-6/(PERALTE!$X$22-PERALTE!$Z$22)*(RASANTE!F146-PERALTE!$Z$22)-2),IF(RASANTE!F146&lt;=PERALTE!$AB$22,-2))))),IF(AND(AH!$H$24="Derecha",RASANTE!F146&lt;=PERALTE!$AB$22),IF(RASANTE!F146&lt;=PERALTE!$Q$22,-2,IF(RASANTE!F146&lt;=PERALTE!$U$22,(10/(PERALTE!$U$22-PERALTE!$Q$22)*(RASANTE!F146-PERALTE!$Q$22)-2),IF(RASANTE!F146&lt;=PERALTE!$X$22,8,IF(RASANTE!F146&lt;=PERALTE!$AB$22,(10/(PERALTE!$X$22-PERALTE!$AB$22)*(RASANTE!F146-PERALTE!$AB$22)-2))))),IF(AND(AH!#REF!="Izquierda",RASANTE!F146&lt;=PERALTE!#REF!),IF(RASANTE!F146&lt;=PERALTE!#REF!,-2,IF(RASANTE!F146&lt;=PERALTE!#REF!,(-6/(PERALTE!#REF!-PERALTE!#REF!)*(RASANTE!F146-PERALTE!#REF!)-2),IF(RASANTE!F146&lt;=PERALTE!#REF!,-8,IF(RASANTE!F146&lt;=PERALTE!#REF!,(-6/(PERALTE!#REF!-PERALTE!#REF!)*(RASANTE!F146-PERALTE!#REF!)-2),IF(RASANTE!F146&lt;=PERALTE!#REF!,-2))))),IF(AND(AH!#REF!="Derecha",RASANTE!F146&lt;=PERALTE!#REF!),IF(RASANTE!F146&lt;=PERALTE!#REF!,-2,IF(RASANTE!F146&lt;=PERALTE!#REF!,(10/(PERALTE!#REF!-PERALTE!#REF!)*(RASANTE!F146-PERALTE!#REF!)-2),IF(RASANTE!F146&lt;=PERALTE!#REF!,8,IF(RASANTE!F146&lt;=PERALTE!#REF!,(10/(PERALTE!#REF!-PERALTE!#REF!)*(RASANTE!F146-PERALTE!#REF!)-2))))),IF(AND(AH!#REF!="Izquierda",RASANTE!F146&lt;=PERALTE!$AB$26),IF(RASANTE!F146&lt;=PERALTE!$S$26,-2,IF(RASANTE!F146&lt;=PERALTE!$U$26,(-6/(PERALTE!$U$26-PERALTE!$S$26)*(RASANTE!F146-PERALTE!$S$26)-2),IF(RASANTE!F146&lt;=PERALTE!$X$26,-8,IF(RASANTE!F146&lt;=PERALTE!$Z$26,(-6/(PERALTE!$X$26-PERALTE!$Z$26)*(RASANTE!F146-PERALTE!$Z$26)-2),IF(RASANTE!F146&lt;=PERALTE!$AB$26,-2))))),IF(AND(AH!#REF!="Derecha",RASANTE!F146&lt;=PERALTE!$AB$26),IF(RASANTE!F146&lt;=PERALTE!$Q$26,-2,IF(RASANTE!F146&lt;=PERALTE!$U$26,(10/(PERALTE!$U$26-PERALTE!$Q$26)*(RASANTE!F146-PERALTE!$Q$26)-2),IF(RASANTE!F146&lt;=PERALTE!$X$26,8,IF(RASANTE!F146&lt;=PERALTE!$AB$26,(10/(PERALTE!$X$26-PERALTE!$AB$26)*(RASANTE!F146-PERALTE!$AB$26)-2))))),IF(F146&lt;=PERALTE!#REF!,-2,"Abscisa fuera de la vía")))))))))))))))))))))</f>
        <v>-5.0439868193741706</v>
      </c>
      <c r="I146" s="28">
        <f>+IF(AND(AH!$H$8="Derecha",RASANTE!F146&lt;=PERALTE!$AB$6),IF(RASANTE!F146&lt;=PERALTE!$S$6,-2,IF(RASANTE!F146&lt;=PERALTE!$U$6,(-6/(PERALTE!$U$6-PERALTE!$S$6)*(RASANTE!F146-PERALTE!$S$6)-2),IF(RASANTE!F146&lt;=PERALTE!$X$6,-8,IF(RASANTE!F146&lt;=PERALTE!$Z$6,(-6/(PERALTE!$X$6-PERALTE!$Z$6)*(RASANTE!F146-PERALTE!$Z$6)-2),IF(RASANTE!F146&lt;=PERALTE!$AB$6,-2))))),IF(AND(AH!$H$8="Izquierda",RASANTE!F146&lt;=PERALTE!$AB$6),IF(RASANTE!F146&lt;=PERALTE!$Q$6,-2,IF(RASANTE!F146&lt;=PERALTE!$U$6,(10/(PERALTE!$U$6-PERALTE!$Q$6)*(RASANTE!F146-PERALTE!$Q$6)-2),IF(RASANTE!F146&lt;=PERALTE!$X$6,8,IF(RASANTE!F146&lt;=PERALTE!$AB$6,(10/(PERALTE!$X$6-PERALTE!$AB$6)*(RASANTE!F146-PERALTE!$AB$6)-2))))),IF(AND(AH!$H$10="Derecha",RASANTE!F146&lt;=PERALTE!$AB$8),IF(RASANTE!F146&lt;=PERALTE!$S$8,-2,IF(RASANTE!F146&lt;=PERALTE!$U$8,(-6/(PERALTE!$U$8-PERALTE!$S$8)*(RASANTE!F146-PERALTE!$S$8)-2),IF(RASANTE!F146&lt;=PERALTE!$X$8,-8,IF(RASANTE!F146&lt;=PERALTE!$Z$8,(-6/(PERALTE!$X$8-PERALTE!$Z$8)*(RASANTE!F146-PERALTE!$Z$8)-2),IF(RASANTE!F146&lt;=PERALTE!$AB$8,-2))))),IF(AND(AH!$H$10="Izquierda",RASANTE!F146&lt;=PERALTE!$AB$8),IF(RASANTE!F146&lt;=PERALTE!$Q$8,-2,IF(RASANTE!F146&lt;=PERALTE!$U$8,(10/(PERALTE!$U$8-PERALTE!$Q$8)*(RASANTE!F146-PERALTE!$Q$8)-2),IF(RASANTE!F146&lt;=PERALTE!$X$8,8,IF(RASANTE!F146&lt;=PERALTE!$AB$8,(10/(PERALTE!$X$8-PERALTE!$AB$8)*(RASANTE!F146-PERALTE!$AB$8)-2))))),IF(AND(AH!$H$12="Derecha",RASANTE!F146&lt;=PERALTE!$AB$10),IF(RASANTE!F146&lt;=PERALTE!$S$10,-2,IF(RASANTE!F146&lt;=PERALTE!$U$10,(-6/(PERALTE!$U$10-PERALTE!$S$10)*(RASANTE!F146-PERALTE!$S$10)-2),IF(RASANTE!F146&lt;=PERALTE!$X$10,-8,IF(RASANTE!F146&lt;=PERALTE!$Z$10,(-6/(PERALTE!$X$10-PERALTE!$Z$10)*(RASANTE!F146-PERALTE!$Z$10)-2),IF(RASANTE!F146&lt;=PERALTE!$AB$10,-2))))),IF(AND(AH!$H$12="Izquierda",RASANTE!F146&lt;=PERALTE!$AB$10),IF(RASANTE!F146&lt;=PERALTE!$Q$10,-2,IF(RASANTE!F146&lt;=PERALTE!$U$10,(10/(PERALTE!$U$10-PERALTE!$Q$10)*(RASANTE!F146-PERALTE!$Q$10)-2),IF(RASANTE!F146&lt;=PERALTE!$X$10,8,IF(RASANTE!F146&lt;=PERALTE!$AB$10,(10/(PERALTE!$X$10-PERALTE!$AB$10)*(RASANTE!F146-PERALTE!$AB$10)-2))))),IF(AND(AH!$H$14="Derecha",RASANTE!F146&lt;=PERALTE!$AB$12),IF(RASANTE!F146&lt;=PERALTE!$S$12,-2,IF(RASANTE!F146&lt;=PERALTE!$U$12,(-6/(PERALTE!$U$12-PERALTE!$S$12)*(RASANTE!F146-PERALTE!$S$12)-2),IF(RASANTE!F146&lt;=PERALTE!$X$12,-8,IF(RASANTE!F146&lt;=PERALTE!$Z$12,(-6/(PERALTE!$X$12-PERALTE!$Z$12)*(RASANTE!F146-PERALTE!$Z$12)-2),IF(RASANTE!F146&lt;=PERALTE!$AB$12,-2))))),IF(AND(AH!$H$14="Izquierda",RASANTE!F146&lt;=PERALTE!$AB$12),IF(RASANTE!F146&lt;=PERALTE!$Q$12,-2,IF(RASANTE!F146&lt;=PERALTE!$U$12,(10/(PERALTE!$U$12-PERALTE!$Q$12)*(RASANTE!F146-PERALTE!$Q$12)-2),IF(RASANTE!F146&lt;=PERALTE!$X$12,8,IF(RASANTE!F146&lt;=PERALTE!$AB$12,(10/(PERALTE!$X$12-PERALTE!$AB$12)*(RASANTE!F146-PERALTE!$AB$12)-2))))),IF(AND(AH!$H$16="Derecha",RASANTE!F146&lt;=PERALTE!$AB$14),IF(RASANTE!F146&lt;=PERALTE!$S$14,-2,IF(RASANTE!F146&lt;=PERALTE!$U$14,(-6/(PERALTE!$U$14-PERALTE!$S$14)*(RASANTE!F146-PERALTE!$S$14)-2),IF(RASANTE!F146&lt;=PERALTE!$X$14,-8,IF(RASANTE!F146&lt;=PERALTE!$Z$14,(-6/(PERALTE!$X$14-PERALTE!$Z$14)*(RASANTE!F146-PERALTE!$Z$14)-2),IF(RASANTE!F146&lt;=PERALTE!$AB$14,-2))))),IF(AND(AH!$H$16="Izquierda",RASANTE!F146&lt;=PERALTE!$AB$14),IF(RASANTE!F146&lt;=PERALTE!$Q$14,-2,IF(RASANTE!F146&lt;=PERALTE!$U$14,(10/(PERALTE!$U$14-PERALTE!$Q$14)*(RASANTE!F146-PERALTE!$Q$14)-2),IF(RASANTE!F146&lt;=PERALTE!$X$14,8,IF(RASANTE!F146&lt;=PERALTE!$AB$14,(10/(PERALTE!$X$14-PERALTE!$AB$14)*(RASANTE!F146-PERALTE!$AB$14)-2))))),IF(AND(AH!$H$18="Derecha",RASANTE!F146&lt;=PERALTE!$AB$16),IF(RASANTE!F146&lt;=PERALTE!$S$16,-2,IF(RASANTE!F146&lt;=PERALTE!$U$16,(-6/(PERALTE!$U$16-PERALTE!$S$16)*(RASANTE!F146-PERALTE!$S$16)-2),IF(RASANTE!F146&lt;=PERALTE!$X$16,-8,IF(RASANTE!F146&lt;=PERALTE!$Z$16,(-6/(PERALTE!$X$16-PERALTE!$Z$16)*(RASANTE!F146-PERALTE!$Z$16)-2),IF(RASANTE!F146&lt;=PERALTE!$AB$16,-2))))),IF(AND(AH!$H$18="Izquierda",RASANTE!F146&lt;=PERALTE!$AB$16),IF(RASANTE!F146&lt;=PERALTE!$Q$16,-2,IF(RASANTE!F146&lt;=PERALTE!$U$16,(10/(PERALTE!$U$16-PERALTE!$Q$16)*(RASANTE!F146-PERALTE!$Q$16)-2),IF(RASANTE!F146&lt;=PERALTE!$X$16,8,IF(RASANTE!F146&lt;=PERALTE!$AB$16,(10/(PERALTE!$X$16-PERALTE!$AB$16)*(RASANTE!F146-PERALTE!$AB$16)-2))))),IF(AND(AH!$H$20="Derecha",RASANTE!F146&lt;=PERALTE!$AB$18),IF(RASANTE!F146&lt;=PERALTE!$S$18,-2,IF(RASANTE!F146&lt;=PERALTE!$U$18,(-6/(PERALTE!$U$18-PERALTE!$S$18)*(RASANTE!F146-PERALTE!$S$18)-2),IF(RASANTE!F146&lt;=PERALTE!$X$18,-8,IF(RASANTE!F146&lt;=PERALTE!$Z$18,(-6/(PERALTE!$X$18-PERALTE!$Z$18)*(RASANTE!F146-PERALTE!$Z$18)-2),IF(RASANTE!F146&lt;=PERALTE!$AB$18,-2))))),IF(AND(AH!$H$20="Izquierda",RASANTE!F146&lt;=PERALTE!$AB$18),IF(RASANTE!F146&lt;=PERALTE!$Q$18,-2,IF(RASANTE!F146&lt;=PERALTE!$U$18,(10/(PERALTE!$U$18-PERALTE!$Q$18)*(RASANTE!F146-PERALTE!$Q$18)-2),IF(RASANTE!F146&lt;=PERALTE!$X$18,8,IF(RASANTE!F146&lt;=PERALTE!$AB$18,(10/(PERALTE!$X$18-PERALTE!$AB$18)*(RASANTE!F146-PERALTE!$AB$18)-2))))),IF(AND(AH!$H$24="Derecha",RASANTE!F146&lt;=PERALTE!$AB$22),IF(RASANTE!F146&lt;=PERALTE!$S$22,-2,IF(RASANTE!F146&lt;=PERALTE!$U$22,(-6/(PERALTE!$U$22-PERALTE!$S$22)*(RASANTE!F146-PERALTE!$S$22)-2),IF(RASANTE!F146&lt;=PERALTE!$X$22,-8,IF(RASANTE!F146&lt;=PERALTE!$Z$22,(-6/(PERALTE!$X$22-PERALTE!$Z$22)*(RASANTE!F146-PERALTE!$Z$22)-2),IF(RASANTE!F146&lt;=PERALTE!$AB$22,-2))))),IF(AND(AH!$H$24="Izquierda",RASANTE!F146&lt;=PERALTE!$AB$22),IF(RASANTE!F146&lt;=PERALTE!$Q$22,-2,IF(RASANTE!F146&lt;=PERALTE!$U$22,(10/(PERALTE!$U$22-PERALTE!$Q$22)*(RASANTE!F146-PERALTE!$Q$22)-2),IF(RASANTE!F146&lt;=PERALTE!$X$22,8,IF(RASANTE!F146&lt;=PERALTE!$AB$22,(10/(PERALTE!$X$22-PERALTE!$AB$22)*(RASANTE!F146-PERALTE!$AB$22)-2))))),IF(AND(AH!#REF!="Derecha",RASANTE!F146&lt;=PERALTE!#REF!),IF(RASANTE!F146&lt;=PERALTE!#REF!,-2,IF(RASANTE!F146&lt;=PERALTE!#REF!,(-6/(PERALTE!#REF!-PERALTE!#REF!)*(RASANTE!F146-PERALTE!#REF!)-2),IF(RASANTE!F146&lt;=PERALTE!#REF!,-8,IF(RASANTE!F146&lt;=PERALTE!#REF!,(-6/(PERALTE!#REF!-PERALTE!#REF!)*(RASANTE!F146-PERALTE!#REF!)-2),IF(RASANTE!F146&lt;=PERALTE!#REF!,-2))))),IF(AND(AH!#REF!="Izquierda",RASANTE!F146&lt;=PERALTE!#REF!),IF(RASANTE!F146&lt;=PERALTE!#REF!,-2,IF(RASANTE!F146&lt;=PERALTE!#REF!,(10/(PERALTE!#REF!-PERALTE!#REF!)*(RASANTE!F146-PERALTE!#REF!)-2),IF(RASANTE!F146&lt;=PERALTE!#REF!,8,IF(RASANTE!F146&lt;=PERALTE!#REF!,(10/(PERALTE!#REF!-PERALTE!#REF!)*(RASANTE!F146-PERALTE!#REF!)-2))))),IF(AND(AH!#REF!="Derecha",RASANTE!F146&lt;=PERALTE!$AB$26),IF(RASANTE!F146&lt;=PERALTE!$S$26,-2,IF(RASANTE!F146&lt;=PERALTE!$U$26,(-6/(PERALTE!$U$26-PERALTE!$S$26)*(RASANTE!F146-PERALTE!$S$26)-2),IF(RASANTE!F146&lt;=PERALTE!$X$26,-8,IF(RASANTE!F146&lt;=PERALTE!$Z$26,(-6/(PERALTE!$X$26-PERALTE!$Z$26)*(RASANTE!F146-PERALTE!$Z$26)-2),IF(RASANTE!F146&lt;=PERALTE!$AB$26,-2))))),IF(AND(AH!#REF!="Izquierda",RASANTE!F146&lt;=PERALTE!$AB$26),IF(RASANTE!F146&lt;=PERALTE!$Q$26,-2,IF(RASANTE!F146&lt;=PERALTE!$U$26,(10/(PERALTE!$U$26-PERALTE!$Q$26)*(RASANTE!F146-PERALTE!$Q$26)-2),IF(RASANTE!F146&lt;=PERALTE!$X$26,8,IF(RASANTE!F146&lt;=PERALTE!$AB$26,(10/(PERALTE!$X$26-PERALTE!$AB$26)*(RASANTE!F146-PERALTE!$AB$26)-2))))),IF(F146&lt;=PERALTE!#REF!,-2,"Abscisa fuera de la vía")))))))))))))))))))))</f>
        <v>5.043986819374175</v>
      </c>
      <c r="J146" s="28">
        <f t="shared" si="6"/>
        <v>1620.7067380375922</v>
      </c>
      <c r="K146" s="28">
        <f>+IF(AND(AV!$S$6&lt;F194,F194&lt;=AV!$T$6),AV!$P$6*((AV!$S$6-RASANTE!F194)/(AV!$N$6))^2,IF(AND(AV!$T$6&lt;RASANTE!F194,F194&lt;AV!$U$6),AV!$P$6*((AV!$U$6-RASANTE!F194)/(AV!$O$6))^2,IF(AND(AV!$S$8&lt;F194,F194&lt;=AV!$T$8),AV!$P$8*((AV!$S$8-RASANTE!F194)/(AV!$N$8))^2,IF(AND(AV!$T$8&lt;RASANTE!F194,F194&lt;AV!$U$8),AV!$P$8*((AV!$U$8-RASANTE!F194)/(AV!$O$8))^2,IF(AND(AV!$S$10&lt;F194,F194&lt;=AV!$T$10),AV!$P$10*((AV!$S$10-RASANTE!F194)/(AV!$N$10))^2,IF(AND(AV!$T$10&lt;RASANTE!F194,F194&lt;AV!$U$10),AV!$P$10*((AV!$U$10-RASANTE!F194)/(AV!$O$10))^2,IF(AND(AV!$S$12&lt;F194,F194&lt;=AV!$T$12),AV!$P$12*((AV!$S$12-RASANTE!F194)/(AV!$N$12))^2,IF(AND(AV!$T$12&lt;RASANTE!F194,F194&lt;AV!$U$12),AV!$P$12*((AV!$U$12-RASANTE!F194)/(AV!$O$12))^2,IF(AND(AV!$S$14&lt;F194,F194&lt;=AV!$T$14),AV!$P$14*((AV!$S$14-RASANTE!F194)/(AV!$N$14))^2,IF(AND(AV!$T$14&lt;RASANTE!F194,F194&lt;AV!$U$14),AV!$P$14*((AV!$U$14-RASANTE!F194)/(AV!$O$14))^2,IF(AND(AV!$S$16&lt;F194,F194&lt;=AV!$T$16),AV!$P$16*((AV!$S$16-RASANTE!F194)/(AV!$N$16))^2,IF(AND(AV!$T$16&lt;RASANTE!F194,F194&lt;AV!$U$16),AV!$P$16*((AV!$U$16-RASANTE!F194)/(AV!$O$16))^2,IF(AND(AV!$S$18&lt;F194,F194&lt;=AV!$T$18),AV!$P$18*((AV!$S$18-RASANTE!F194)/(AV!$N$18))^2,IF(AND(AV!$T$18&lt;RASANTE!F194,F194&lt;AV!$U$18),AV!$P$18*((AV!$U$18-RASANTE!F194)/(AV!$O$18))^2,IF(AND(AV!$S$20&lt;F194,F194&lt;=AV!$T$20),AV!$P$20*((AV!$S$20-RASANTE!F194)/(AV!$N$20))^2,IF(AND(AV!$T$20&lt;RASANTE!F194,F194&lt;AV!$U$20),AV!$P$20*((AV!$U$20-RASANTE!F194)/(AV!$O$20))^2,IF(AND(AV!$S$22&lt;F194,F194&lt;=AV!$T$22),AV!$P$22*((AV!$S$22-RASANTE!F194)/(AV!$N$22))^2,IF(AND(AV!$T$22&lt;RASANTE!F194,F194&lt;AV!$U$22),AV!$P$22*((AV!$U$22-RASANTE!F194)/(AV!$O$22))^2,IF(AND(AV!$S$24&lt;F194,F194&lt;=AV!$T$24),AV!$P$24*((AV!$S$24-RASANTE!F194)/(AV!$N$24))^2,IF(AND(AV!$T$24&lt;RASANTE!F194,F194&lt;AV!$U$24),AV!$P$24*((AV!$U$24-RASANTE!F194)/(AV!$O$24))^2,0))))))))))))))))))))</f>
        <v>0</v>
      </c>
      <c r="L146" s="28">
        <f>+M146+H146%*PERALTE!$C$32</f>
        <v>1620.5301984989142</v>
      </c>
      <c r="M146" s="28">
        <f t="shared" si="5"/>
        <v>1620.7067380375922</v>
      </c>
      <c r="N146" s="28">
        <f>+M146+I146%*PERALTE!$C$32</f>
        <v>1620.8832775762703</v>
      </c>
      <c r="O146" s="92"/>
      <c r="P146" s="84"/>
      <c r="Q146" s="84"/>
      <c r="R146" s="84"/>
      <c r="S146" s="84"/>
      <c r="T146" s="84"/>
      <c r="U146" s="84"/>
      <c r="V146" s="84"/>
      <c r="W146" s="84"/>
      <c r="X146" s="84"/>
      <c r="Y146" s="84"/>
    </row>
    <row r="147" spans="1:25" ht="15.75" customHeight="1" x14ac:dyDescent="0.2">
      <c r="A147" s="90" t="s">
        <v>345</v>
      </c>
      <c r="B147" s="86"/>
      <c r="C147" s="86"/>
      <c r="D147" s="86"/>
      <c r="E147" s="91"/>
      <c r="F147" s="34">
        <f>PERALTE!Y12</f>
        <v>894.74539463351891</v>
      </c>
      <c r="G147" s="88">
        <f>IF(F147&lt;=AV!$T$6,AV!$C$5,IF(RASANTE!F147&lt;=AV!$T$8,AV!$C$7,IF(RASANTE!F147&lt;=AV!$T$10,AV!$C$9,IF(RASANTE!F147&lt;=AV!$T$12,AV!$C$11,IF(RASANTE!F147&lt;=AV!$T$14,AV!$C$13,IF(RASANTE!F147&lt;=AV!$T$16,AV!$C$15, IF(RASANTE!F147&lt;=AV!$T$18,AV!$C$17,IF(RASANTE!F147&lt;=AV!$T$20,AV!$C$19,IF(RASANTE!F147&lt;=AV!$T$22,AV!$C$21,IF(RASANTE!F147&lt;=AV!$T$24,AV!$C$23,AV!$C$25))))))))))</f>
        <v>-7.2409999999999997</v>
      </c>
      <c r="H147" s="28">
        <f>+IF(AND(AH!$H$8="Izquierda",RASANTE!F147&lt;=PERALTE!$AB$6),IF(RASANTE!F147&lt;=PERALTE!$S$6,-2,IF(RASANTE!F147&lt;=PERALTE!$U$6,(-6/(PERALTE!$U$6-PERALTE!$S$6)*(RASANTE!F147-PERALTE!$S$6)-2),IF(RASANTE!F147&lt;=PERALTE!$X$6,-8,IF(RASANTE!F147&lt;=PERALTE!$Z$6,(-6/(PERALTE!$X$6-PERALTE!$Z$6)*(RASANTE!F147-PERALTE!$Z$6)-2),IF(RASANTE!F147&lt;=PERALTE!$AB$6,-2))))),IF(AND(AH!$H$8="Derecha",RASANTE!F147&lt;=PERALTE!$AB$6),IF(RASANTE!F147&lt;=PERALTE!$Q$6,-2,IF(RASANTE!F147&lt;=PERALTE!$U$6,(10/(PERALTE!$U$6-PERALTE!$Q$6)*(RASANTE!F147-PERALTE!$Q$6)-2),IF(RASANTE!F147&lt;=PERALTE!$X$6,8,IF(RASANTE!F147&lt;=PERALTE!$AB$6,(10/(PERALTE!$X$6-PERALTE!$AB$6)*(RASANTE!F147-PERALTE!$AB$6)-2))))),IF(AND(AH!$H$10="Izquierda",RASANTE!F147&lt;=PERALTE!$AB$8),IF(RASANTE!F147&lt;=PERALTE!$S$8,-2,IF(RASANTE!F147&lt;=PERALTE!$U$8,(-6/(PERALTE!$U$8-PERALTE!$S$8)*(RASANTE!F147-PERALTE!$S$8)-2),IF(RASANTE!F147&lt;=PERALTE!$X$8,-8,IF(RASANTE!F147&lt;=PERALTE!$Z$8,(-6/(PERALTE!$X$8-PERALTE!$Z$8)*(RASANTE!F147-PERALTE!$Z$8)-2),IF(RASANTE!F147&lt;=PERALTE!$AB$8,-2))))),IF(AND(AH!$H$10="Derecha",RASANTE!F147&lt;=PERALTE!$AB$8),IF(RASANTE!F147&lt;=PERALTE!$Q$8,-2,IF(RASANTE!F147&lt;=PERALTE!$U$8,(10/(PERALTE!$U$8-PERALTE!$Q$8)*(RASANTE!F147-PERALTE!$Q$8)-2),IF(RASANTE!F147&lt;=PERALTE!$X$8,8,IF(RASANTE!F147&lt;=PERALTE!$AB$8,(10/(PERALTE!$X$8-PERALTE!$AB$8)*(RASANTE!F147-PERALTE!$AB$8)-2))))),IF(AND(AH!$H$12="Izquierda",RASANTE!F147&lt;=PERALTE!$AB$10),IF(RASANTE!F147&lt;=PERALTE!$S$10,-2,IF(RASANTE!F147&lt;=PERALTE!$U$10,(-6/(PERALTE!$U$10-PERALTE!$S$10)*(RASANTE!F147-PERALTE!$S$10)-2),IF(RASANTE!F147&lt;=PERALTE!$X$10,-8,IF(RASANTE!F147&lt;=PERALTE!$Z$10,(-6/(PERALTE!$X$10-PERALTE!$Z$10)*(RASANTE!F147-PERALTE!$Z$10)-2),IF(RASANTE!F147&lt;=PERALTE!$AB$10,-2))))),IF(AND(AH!$H$12="Derecha",RASANTE!F147&lt;=PERALTE!$AB$10),IF(RASANTE!F147&lt;=PERALTE!$Q$10,-2,IF(RASANTE!F147&lt;=PERALTE!$U$10,(10/(PERALTE!$U$10-PERALTE!$Q$10)*(RASANTE!F147-PERALTE!$Q$10)-2),IF(RASANTE!F147&lt;=PERALTE!$X$10,8,IF(RASANTE!F147&lt;=PERALTE!$AB$10,(10/(PERALTE!$X$10-PERALTE!$AB$10)*(RASANTE!F147-PERALTE!$AB$10)-2))))),IF(AND(AH!$H$14="Izquierda",RASANTE!F147&lt;=PERALTE!$AB$12),IF(RASANTE!F147&lt;=PERALTE!$S$12,-2,IF(RASANTE!F147&lt;=PERALTE!$U$12,(-6/(PERALTE!$U$12-PERALTE!$S$12)*(RASANTE!F147-PERALTE!$S$12)-2),IF(RASANTE!F147&lt;=PERALTE!$X$12,-8,IF(RASANTE!F147&lt;=PERALTE!$Z$12,(-6/(PERALTE!$X$12-PERALTE!$Z$12)*(RASANTE!F147-PERALTE!$Z$12)-2),IF(RASANTE!F147&lt;=PERALTE!$AB$12,-2))))),IF(AND(AH!$H$14="Derecha",RASANTE!F147&lt;=PERALTE!$AB$12),IF(RASANTE!F147&lt;=PERALTE!$Q$12,-2,IF(RASANTE!F147&lt;=PERALTE!$U$12,(10/(PERALTE!$U$12-PERALTE!$Q$12)*(RASANTE!F147-PERALTE!$Q$12)-2),IF(RASANTE!F147&lt;=PERALTE!$X$12,8,IF(RASANTE!F147&lt;=PERALTE!$AB$12,(10/(PERALTE!$X$12-PERALTE!$AB$12)*(RASANTE!F147-PERALTE!$AB$12)-2))))),IF(AND(AH!$H$16="Izquierda",RASANTE!F147&lt;=PERALTE!$AB$14),IF(RASANTE!F147&lt;=PERALTE!$S$14,-2,IF(RASANTE!F147&lt;=PERALTE!$U$14,(-6/(PERALTE!$U$14-PERALTE!$S$14)*(RASANTE!F147-PERALTE!$S$14)-2),IF(RASANTE!F147&lt;=PERALTE!$X$14,-8,IF(RASANTE!F147&lt;=PERALTE!$Z$14,(-6/(PERALTE!$X$14-PERALTE!$Z$14)*(RASANTE!F147-PERALTE!$Z$14)-2),IF(RASANTE!F147&lt;=PERALTE!$AB$14,-2))))),IF(AND(AH!$H$16="Derecha",RASANTE!F147&lt;=PERALTE!$AB$14),IF(RASANTE!F147&lt;=PERALTE!$Q$14,-2,IF(RASANTE!F147&lt;=PERALTE!$U$14,(10/(PERALTE!$U$14-PERALTE!$Q$14)*(RASANTE!F147-PERALTE!$Q$14)-2),IF(RASANTE!F147&lt;=PERALTE!$X$14,8,IF(RASANTE!F147&lt;=PERALTE!$AB$14,(10/(PERALTE!$X$14-PERALTE!$AB$14)*(RASANTE!F147-PERALTE!$AB$14)-2))))),IF(AND(AH!$H$18="Izquierda",RASANTE!F147&lt;=PERALTE!$AB$16),IF(RASANTE!F147&lt;=PERALTE!$S$16,-2,IF(RASANTE!F147&lt;=PERALTE!$U$16,(-6/(PERALTE!$U$16-PERALTE!$S$16)*(RASANTE!F147-PERALTE!$S$16)-2),IF(RASANTE!F147&lt;=PERALTE!$X$16,-8,IF(RASANTE!F147&lt;=PERALTE!$Z$16,(-6/(PERALTE!$X$16-PERALTE!$Z$16)*(RASANTE!F147-PERALTE!$Z$16)-2),IF(RASANTE!F147&lt;=PERALTE!$AB$16,-2))))),IF(AND(AH!$H$18="Derecha",RASANTE!F147&lt;=PERALTE!$AB$16),IF(RASANTE!F147&lt;=PERALTE!$Q$16,-2,IF(RASANTE!F147&lt;=PERALTE!$U$16,(10/(PERALTE!$U$16-PERALTE!$Q$16)*(RASANTE!F147-PERALTE!$Q$16)-2),IF(RASANTE!F147&lt;=PERALTE!$X$16,8,IF(RASANTE!F147&lt;=PERALTE!$AB$16,(10/(PERALTE!$X$16-PERALTE!$AB$16)*(RASANTE!F147-PERALTE!$AB$16)-2))))),IF(AND(AH!$H$20="Izquierda",RASANTE!F147&lt;=PERALTE!$AB$18),IF(RASANTE!F147&lt;=PERALTE!$S$18,-2,IF(RASANTE!F147&lt;=PERALTE!$U$18,(-6/(PERALTE!$U$18-PERALTE!$S$18)*(RASANTE!F147-PERALTE!$S$18)-2),IF(RASANTE!F147&lt;=PERALTE!$X$18,-8,IF(RASANTE!F147&lt;=PERALTE!$Z$18,(-6/(PERALTE!$X$18-PERALTE!$Z$18)*(RASANTE!F147-PERALTE!$Z$18)-2),IF(RASANTE!F147&lt;=PERALTE!$AB$18,-2))))),IF(AND(AH!$H$20="Derecha",RASANTE!F147&lt;=PERALTE!$AB$18),IF(RASANTE!F147&lt;=PERALTE!$Q$18,-2,IF(RASANTE!F147&lt;=PERALTE!$U$18,(10/(PERALTE!$U$18-PERALTE!$Q$18)*(RASANTE!F147-PERALTE!$Q$18)-2),IF(RASANTE!F147&lt;=PERALTE!$X$18,8,IF(RASANTE!F147&lt;=PERALTE!$AB$18,(10/(PERALTE!$X$18-PERALTE!$AB$18)*(RASANTE!F147-PERALTE!$AB$18)-2))))),IF(AND(AH!$H$24="Izquierda",RASANTE!F147&lt;=PERALTE!$AB$22),IF(RASANTE!F147&lt;=PERALTE!$S$22,-2,IF(RASANTE!F147&lt;=PERALTE!$U$22,(-6/(PERALTE!$U$22-PERALTE!$S$22)*(RASANTE!F147-PERALTE!$S$22)-2),IF(RASANTE!F147&lt;=PERALTE!$X$22,-8,IF(RASANTE!F147&lt;=PERALTE!$Z$22,(-6/(PERALTE!$X$22-PERALTE!$Z$22)*(RASANTE!F147-PERALTE!$Z$22)-2),IF(RASANTE!F147&lt;=PERALTE!$AB$22,-2))))),IF(AND(AH!$H$24="Derecha",RASANTE!F147&lt;=PERALTE!$AB$22),IF(RASANTE!F147&lt;=PERALTE!$Q$22,-2,IF(RASANTE!F147&lt;=PERALTE!$U$22,(10/(PERALTE!$U$22-PERALTE!$Q$22)*(RASANTE!F147-PERALTE!$Q$22)-2),IF(RASANTE!F147&lt;=PERALTE!$X$22,8,IF(RASANTE!F147&lt;=PERALTE!$AB$22,(10/(PERALTE!$X$22-PERALTE!$AB$22)*(RASANTE!F147-PERALTE!$AB$22)-2))))),IF(AND(AH!#REF!="Izquierda",RASANTE!F147&lt;=PERALTE!#REF!),IF(RASANTE!F147&lt;=PERALTE!#REF!,-2,IF(RASANTE!F147&lt;=PERALTE!#REF!,(-6/(PERALTE!#REF!-PERALTE!#REF!)*(RASANTE!F147-PERALTE!#REF!)-2),IF(RASANTE!F147&lt;=PERALTE!#REF!,-8,IF(RASANTE!F147&lt;=PERALTE!#REF!,(-6/(PERALTE!#REF!-PERALTE!#REF!)*(RASANTE!F147-PERALTE!#REF!)-2),IF(RASANTE!F147&lt;=PERALTE!#REF!,-2))))),IF(AND(AH!#REF!="Derecha",RASANTE!F147&lt;=PERALTE!#REF!),IF(RASANTE!F147&lt;=PERALTE!#REF!,-2,IF(RASANTE!F147&lt;=PERALTE!#REF!,(10/(PERALTE!#REF!-PERALTE!#REF!)*(RASANTE!F147-PERALTE!#REF!)-2),IF(RASANTE!F147&lt;=PERALTE!#REF!,8,IF(RASANTE!F147&lt;=PERALTE!#REF!,(10/(PERALTE!#REF!-PERALTE!#REF!)*(RASANTE!F147-PERALTE!#REF!)-2))))),IF(AND(AH!#REF!="Izquierda",RASANTE!F147&lt;=PERALTE!$AB$26),IF(RASANTE!F147&lt;=PERALTE!$S$26,-2,IF(RASANTE!F147&lt;=PERALTE!$U$26,(-6/(PERALTE!$U$26-PERALTE!$S$26)*(RASANTE!F147-PERALTE!$S$26)-2),IF(RASANTE!F147&lt;=PERALTE!$X$26,-8,IF(RASANTE!F147&lt;=PERALTE!$Z$26,(-6/(PERALTE!$X$26-PERALTE!$Z$26)*(RASANTE!F147-PERALTE!$Z$26)-2),IF(RASANTE!F147&lt;=PERALTE!$AB$26,-2))))),IF(AND(AH!#REF!="Derecha",RASANTE!F147&lt;=PERALTE!$AB$26),IF(RASANTE!F147&lt;=PERALTE!$Q$26,-2,IF(RASANTE!F147&lt;=PERALTE!$U$26,(10/(PERALTE!$U$26-PERALTE!$Q$26)*(RASANTE!F147-PERALTE!$Q$26)-2),IF(RASANTE!F147&lt;=PERALTE!$X$26,8,IF(RASANTE!F147&lt;=PERALTE!$AB$26,(10/(PERALTE!$X$26-PERALTE!$AB$26)*(RASANTE!F147-PERALTE!$AB$26)-2))))),IF(F147&lt;=PERALTE!#REF!,-2,"Abscisa fuera de la vía")))))))))))))))))))))</f>
        <v>-4.0000000000000089</v>
      </c>
      <c r="I147" s="28">
        <f>+IF(AND(AH!$H$8="Derecha",RASANTE!F147&lt;=PERALTE!$AB$6),IF(RASANTE!F147&lt;=PERALTE!$S$6,-2,IF(RASANTE!F147&lt;=PERALTE!$U$6,(-6/(PERALTE!$U$6-PERALTE!$S$6)*(RASANTE!F147-PERALTE!$S$6)-2),IF(RASANTE!F147&lt;=PERALTE!$X$6,-8,IF(RASANTE!F147&lt;=PERALTE!$Z$6,(-6/(PERALTE!$X$6-PERALTE!$Z$6)*(RASANTE!F147-PERALTE!$Z$6)-2),IF(RASANTE!F147&lt;=PERALTE!$AB$6,-2))))),IF(AND(AH!$H$8="Izquierda",RASANTE!F147&lt;=PERALTE!$AB$6),IF(RASANTE!F147&lt;=PERALTE!$Q$6,-2,IF(RASANTE!F147&lt;=PERALTE!$U$6,(10/(PERALTE!$U$6-PERALTE!$Q$6)*(RASANTE!F147-PERALTE!$Q$6)-2),IF(RASANTE!F147&lt;=PERALTE!$X$6,8,IF(RASANTE!F147&lt;=PERALTE!$AB$6,(10/(PERALTE!$X$6-PERALTE!$AB$6)*(RASANTE!F147-PERALTE!$AB$6)-2))))),IF(AND(AH!$H$10="Derecha",RASANTE!F147&lt;=PERALTE!$AB$8),IF(RASANTE!F147&lt;=PERALTE!$S$8,-2,IF(RASANTE!F147&lt;=PERALTE!$U$8,(-6/(PERALTE!$U$8-PERALTE!$S$8)*(RASANTE!F147-PERALTE!$S$8)-2),IF(RASANTE!F147&lt;=PERALTE!$X$8,-8,IF(RASANTE!F147&lt;=PERALTE!$Z$8,(-6/(PERALTE!$X$8-PERALTE!$Z$8)*(RASANTE!F147-PERALTE!$Z$8)-2),IF(RASANTE!F147&lt;=PERALTE!$AB$8,-2))))),IF(AND(AH!$H$10="Izquierda",RASANTE!F147&lt;=PERALTE!$AB$8),IF(RASANTE!F147&lt;=PERALTE!$Q$8,-2,IF(RASANTE!F147&lt;=PERALTE!$U$8,(10/(PERALTE!$U$8-PERALTE!$Q$8)*(RASANTE!F147-PERALTE!$Q$8)-2),IF(RASANTE!F147&lt;=PERALTE!$X$8,8,IF(RASANTE!F147&lt;=PERALTE!$AB$8,(10/(PERALTE!$X$8-PERALTE!$AB$8)*(RASANTE!F147-PERALTE!$AB$8)-2))))),IF(AND(AH!$H$12="Derecha",RASANTE!F147&lt;=PERALTE!$AB$10),IF(RASANTE!F147&lt;=PERALTE!$S$10,-2,IF(RASANTE!F147&lt;=PERALTE!$U$10,(-6/(PERALTE!$U$10-PERALTE!$S$10)*(RASANTE!F147-PERALTE!$S$10)-2),IF(RASANTE!F147&lt;=PERALTE!$X$10,-8,IF(RASANTE!F147&lt;=PERALTE!$Z$10,(-6/(PERALTE!$X$10-PERALTE!$Z$10)*(RASANTE!F147-PERALTE!$Z$10)-2),IF(RASANTE!F147&lt;=PERALTE!$AB$10,-2))))),IF(AND(AH!$H$12="Izquierda",RASANTE!F147&lt;=PERALTE!$AB$10),IF(RASANTE!F147&lt;=PERALTE!$Q$10,-2,IF(RASANTE!F147&lt;=PERALTE!$U$10,(10/(PERALTE!$U$10-PERALTE!$Q$10)*(RASANTE!F147-PERALTE!$Q$10)-2),IF(RASANTE!F147&lt;=PERALTE!$X$10,8,IF(RASANTE!F147&lt;=PERALTE!$AB$10,(10/(PERALTE!$X$10-PERALTE!$AB$10)*(RASANTE!F147-PERALTE!$AB$10)-2))))),IF(AND(AH!$H$14="Derecha",RASANTE!F147&lt;=PERALTE!$AB$12),IF(RASANTE!F147&lt;=PERALTE!$S$12,-2,IF(RASANTE!F147&lt;=PERALTE!$U$12,(-6/(PERALTE!$U$12-PERALTE!$S$12)*(RASANTE!F147-PERALTE!$S$12)-2),IF(RASANTE!F147&lt;=PERALTE!$X$12,-8,IF(RASANTE!F147&lt;=PERALTE!$Z$12,(-6/(PERALTE!$X$12-PERALTE!$Z$12)*(RASANTE!F147-PERALTE!$Z$12)-2),IF(RASANTE!F147&lt;=PERALTE!$AB$12,-2))))),IF(AND(AH!$H$14="Izquierda",RASANTE!F147&lt;=PERALTE!$AB$12),IF(RASANTE!F147&lt;=PERALTE!$Q$12,-2,IF(RASANTE!F147&lt;=PERALTE!$U$12,(10/(PERALTE!$U$12-PERALTE!$Q$12)*(RASANTE!F147-PERALTE!$Q$12)-2),IF(RASANTE!F147&lt;=PERALTE!$X$12,8,IF(RASANTE!F147&lt;=PERALTE!$AB$12,(10/(PERALTE!$X$12-PERALTE!$AB$12)*(RASANTE!F147-PERALTE!$AB$12)-2))))),IF(AND(AH!$H$16="Derecha",RASANTE!F147&lt;=PERALTE!$AB$14),IF(RASANTE!F147&lt;=PERALTE!$S$14,-2,IF(RASANTE!F147&lt;=PERALTE!$U$14,(-6/(PERALTE!$U$14-PERALTE!$S$14)*(RASANTE!F147-PERALTE!$S$14)-2),IF(RASANTE!F147&lt;=PERALTE!$X$14,-8,IF(RASANTE!F147&lt;=PERALTE!$Z$14,(-6/(PERALTE!$X$14-PERALTE!$Z$14)*(RASANTE!F147-PERALTE!$Z$14)-2),IF(RASANTE!F147&lt;=PERALTE!$AB$14,-2))))),IF(AND(AH!$H$16="Izquierda",RASANTE!F147&lt;=PERALTE!$AB$14),IF(RASANTE!F147&lt;=PERALTE!$Q$14,-2,IF(RASANTE!F147&lt;=PERALTE!$U$14,(10/(PERALTE!$U$14-PERALTE!$Q$14)*(RASANTE!F147-PERALTE!$Q$14)-2),IF(RASANTE!F147&lt;=PERALTE!$X$14,8,IF(RASANTE!F147&lt;=PERALTE!$AB$14,(10/(PERALTE!$X$14-PERALTE!$AB$14)*(RASANTE!F147-PERALTE!$AB$14)-2))))),IF(AND(AH!$H$18="Derecha",RASANTE!F147&lt;=PERALTE!$AB$16),IF(RASANTE!F147&lt;=PERALTE!$S$16,-2,IF(RASANTE!F147&lt;=PERALTE!$U$16,(-6/(PERALTE!$U$16-PERALTE!$S$16)*(RASANTE!F147-PERALTE!$S$16)-2),IF(RASANTE!F147&lt;=PERALTE!$X$16,-8,IF(RASANTE!F147&lt;=PERALTE!$Z$16,(-6/(PERALTE!$X$16-PERALTE!$Z$16)*(RASANTE!F147-PERALTE!$Z$16)-2),IF(RASANTE!F147&lt;=PERALTE!$AB$16,-2))))),IF(AND(AH!$H$18="Izquierda",RASANTE!F147&lt;=PERALTE!$AB$16),IF(RASANTE!F147&lt;=PERALTE!$Q$16,-2,IF(RASANTE!F147&lt;=PERALTE!$U$16,(10/(PERALTE!$U$16-PERALTE!$Q$16)*(RASANTE!F147-PERALTE!$Q$16)-2),IF(RASANTE!F147&lt;=PERALTE!$X$16,8,IF(RASANTE!F147&lt;=PERALTE!$AB$16,(10/(PERALTE!$X$16-PERALTE!$AB$16)*(RASANTE!F147-PERALTE!$AB$16)-2))))),IF(AND(AH!$H$20="Derecha",RASANTE!F147&lt;=PERALTE!$AB$18),IF(RASANTE!F147&lt;=PERALTE!$S$18,-2,IF(RASANTE!F147&lt;=PERALTE!$U$18,(-6/(PERALTE!$U$18-PERALTE!$S$18)*(RASANTE!F147-PERALTE!$S$18)-2),IF(RASANTE!F147&lt;=PERALTE!$X$18,-8,IF(RASANTE!F147&lt;=PERALTE!$Z$18,(-6/(PERALTE!$X$18-PERALTE!$Z$18)*(RASANTE!F147-PERALTE!$Z$18)-2),IF(RASANTE!F147&lt;=PERALTE!$AB$18,-2))))),IF(AND(AH!$H$20="Izquierda",RASANTE!F147&lt;=PERALTE!$AB$18),IF(RASANTE!F147&lt;=PERALTE!$Q$18,-2,IF(RASANTE!F147&lt;=PERALTE!$U$18,(10/(PERALTE!$U$18-PERALTE!$Q$18)*(RASANTE!F147-PERALTE!$Q$18)-2),IF(RASANTE!F147&lt;=PERALTE!$X$18,8,IF(RASANTE!F147&lt;=PERALTE!$AB$18,(10/(PERALTE!$X$18-PERALTE!$AB$18)*(RASANTE!F147-PERALTE!$AB$18)-2))))),IF(AND(AH!$H$24="Derecha",RASANTE!F147&lt;=PERALTE!$AB$22),IF(RASANTE!F147&lt;=PERALTE!$S$22,-2,IF(RASANTE!F147&lt;=PERALTE!$U$22,(-6/(PERALTE!$U$22-PERALTE!$S$22)*(RASANTE!F147-PERALTE!$S$22)-2),IF(RASANTE!F147&lt;=PERALTE!$X$22,-8,IF(RASANTE!F147&lt;=PERALTE!$Z$22,(-6/(PERALTE!$X$22-PERALTE!$Z$22)*(RASANTE!F147-PERALTE!$Z$22)-2),IF(RASANTE!F147&lt;=PERALTE!$AB$22,-2))))),IF(AND(AH!$H$24="Izquierda",RASANTE!F147&lt;=PERALTE!$AB$22),IF(RASANTE!F147&lt;=PERALTE!$Q$22,-2,IF(RASANTE!F147&lt;=PERALTE!$U$22,(10/(PERALTE!$U$22-PERALTE!$Q$22)*(RASANTE!F147-PERALTE!$Q$22)-2),IF(RASANTE!F147&lt;=PERALTE!$X$22,8,IF(RASANTE!F147&lt;=PERALTE!$AB$22,(10/(PERALTE!$X$22-PERALTE!$AB$22)*(RASANTE!F147-PERALTE!$AB$22)-2))))),IF(AND(AH!#REF!="Derecha",RASANTE!F147&lt;=PERALTE!#REF!),IF(RASANTE!F147&lt;=PERALTE!#REF!,-2,IF(RASANTE!F147&lt;=PERALTE!#REF!,(-6/(PERALTE!#REF!-PERALTE!#REF!)*(RASANTE!F147-PERALTE!#REF!)-2),IF(RASANTE!F147&lt;=PERALTE!#REF!,-8,IF(RASANTE!F147&lt;=PERALTE!#REF!,(-6/(PERALTE!#REF!-PERALTE!#REF!)*(RASANTE!F147-PERALTE!#REF!)-2),IF(RASANTE!F147&lt;=PERALTE!#REF!,-2))))),IF(AND(AH!#REF!="Izquierda",RASANTE!F147&lt;=PERALTE!#REF!),IF(RASANTE!F147&lt;=PERALTE!#REF!,-2,IF(RASANTE!F147&lt;=PERALTE!#REF!,(10/(PERALTE!#REF!-PERALTE!#REF!)*(RASANTE!F147-PERALTE!#REF!)-2),IF(RASANTE!F147&lt;=PERALTE!#REF!,8,IF(RASANTE!F147&lt;=PERALTE!#REF!,(10/(PERALTE!#REF!-PERALTE!#REF!)*(RASANTE!F147-PERALTE!#REF!)-2))))),IF(AND(AH!#REF!="Derecha",RASANTE!F147&lt;=PERALTE!$AB$26),IF(RASANTE!F147&lt;=PERALTE!$S$26,-2,IF(RASANTE!F147&lt;=PERALTE!$U$26,(-6/(PERALTE!$U$26-PERALTE!$S$26)*(RASANTE!F147-PERALTE!$S$26)-2),IF(RASANTE!F147&lt;=PERALTE!$X$26,-8,IF(RASANTE!F147&lt;=PERALTE!$Z$26,(-6/(PERALTE!$X$26-PERALTE!$Z$26)*(RASANTE!F147-PERALTE!$Z$26)-2),IF(RASANTE!F147&lt;=PERALTE!$AB$26,-2))))),IF(AND(AH!#REF!="Izquierda",RASANTE!F147&lt;=PERALTE!$AB$26),IF(RASANTE!F147&lt;=PERALTE!$Q$26,-2,IF(RASANTE!F147&lt;=PERALTE!$U$26,(10/(PERALTE!$U$26-PERALTE!$Q$26)*(RASANTE!F147-PERALTE!$Q$26)-2),IF(RASANTE!F147&lt;=PERALTE!$X$26,8,IF(RASANTE!F147&lt;=PERALTE!$AB$26,(10/(PERALTE!$X$26-PERALTE!$AB$26)*(RASANTE!F147-PERALTE!$AB$26)-2))))),IF(F147&lt;=PERALTE!#REF!,-2,"Abscisa fuera de la vía")))))))))))))))))))))</f>
        <v>4.0000000000000151</v>
      </c>
      <c r="J147" s="28">
        <f t="shared" si="6"/>
        <v>1620.363124012179</v>
      </c>
      <c r="K147" s="28">
        <f>+IF(AND(AV!$S$6&lt;F195,F195&lt;=AV!$T$6),AV!$P$6*((AV!$S$6-RASANTE!F195)/(AV!$N$6))^2,IF(AND(AV!$T$6&lt;RASANTE!F195,F195&lt;AV!$U$6),AV!$P$6*((AV!$U$6-RASANTE!F195)/(AV!$O$6))^2,IF(AND(AV!$S$8&lt;F195,F195&lt;=AV!$T$8),AV!$P$8*((AV!$S$8-RASANTE!F195)/(AV!$N$8))^2,IF(AND(AV!$T$8&lt;RASANTE!F195,F195&lt;AV!$U$8),AV!$P$8*((AV!$U$8-RASANTE!F195)/(AV!$O$8))^2,IF(AND(AV!$S$10&lt;F195,F195&lt;=AV!$T$10),AV!$P$10*((AV!$S$10-RASANTE!F195)/(AV!$N$10))^2,IF(AND(AV!$T$10&lt;RASANTE!F195,F195&lt;AV!$U$10),AV!$P$10*((AV!$U$10-RASANTE!F195)/(AV!$O$10))^2,IF(AND(AV!$S$12&lt;F195,F195&lt;=AV!$T$12),AV!$P$12*((AV!$S$12-RASANTE!F195)/(AV!$N$12))^2,IF(AND(AV!$T$12&lt;RASANTE!F195,F195&lt;AV!$U$12),AV!$P$12*((AV!$U$12-RASANTE!F195)/(AV!$O$12))^2,IF(AND(AV!$S$14&lt;F195,F195&lt;=AV!$T$14),AV!$P$14*((AV!$S$14-RASANTE!F195)/(AV!$N$14))^2,IF(AND(AV!$T$14&lt;RASANTE!F195,F195&lt;AV!$U$14),AV!$P$14*((AV!$U$14-RASANTE!F195)/(AV!$O$14))^2,IF(AND(AV!$S$16&lt;F195,F195&lt;=AV!$T$16),AV!$P$16*((AV!$S$16-RASANTE!F195)/(AV!$N$16))^2,IF(AND(AV!$T$16&lt;RASANTE!F195,F195&lt;AV!$U$16),AV!$P$16*((AV!$U$16-RASANTE!F195)/(AV!$O$16))^2,IF(AND(AV!$S$18&lt;F195,F195&lt;=AV!$T$18),AV!$P$18*((AV!$S$18-RASANTE!F195)/(AV!$N$18))^2,IF(AND(AV!$T$18&lt;RASANTE!F195,F195&lt;AV!$U$18),AV!$P$18*((AV!$U$18-RASANTE!F195)/(AV!$O$18))^2,IF(AND(AV!$S$20&lt;F195,F195&lt;=AV!$T$20),AV!$P$20*((AV!$S$20-RASANTE!F195)/(AV!$N$20))^2,IF(AND(AV!$T$20&lt;RASANTE!F195,F195&lt;AV!$U$20),AV!$P$20*((AV!$U$20-RASANTE!F195)/(AV!$O$20))^2,IF(AND(AV!$S$22&lt;F195,F195&lt;=AV!$T$22),AV!$P$22*((AV!$S$22-RASANTE!F195)/(AV!$N$22))^2,IF(AND(AV!$T$22&lt;RASANTE!F195,F195&lt;AV!$U$22),AV!$P$22*((AV!$U$22-RASANTE!F195)/(AV!$O$22))^2,IF(AND(AV!$S$24&lt;F195,F195&lt;=AV!$T$24),AV!$P$24*((AV!$S$24-RASANTE!F195)/(AV!$N$24))^2,IF(AND(AV!$T$24&lt;RASANTE!F195,F195&lt;AV!$U$24),AV!$P$24*((AV!$U$24-RASANTE!F195)/(AV!$O$24))^2,0))))))))))))))))))))</f>
        <v>0</v>
      </c>
      <c r="L147" s="28">
        <f>+M147+H147%*PERALTE!$C$32</f>
        <v>1620.2231240121789</v>
      </c>
      <c r="M147" s="28">
        <f t="shared" si="5"/>
        <v>1620.363124012179</v>
      </c>
      <c r="N147" s="28">
        <f>+M147+I147%*PERALTE!$C$32</f>
        <v>1620.5031240121791</v>
      </c>
      <c r="O147" s="92"/>
      <c r="P147" s="84"/>
      <c r="Q147" s="84"/>
      <c r="R147" s="84"/>
      <c r="S147" s="84"/>
      <c r="T147" s="84"/>
      <c r="U147" s="84"/>
      <c r="V147" s="84"/>
      <c r="W147" s="84"/>
      <c r="X147" s="84"/>
      <c r="Y147" s="84"/>
    </row>
    <row r="148" spans="1:25" ht="15.75" customHeight="1" x14ac:dyDescent="0.2">
      <c r="A148" s="85" t="s">
        <v>223</v>
      </c>
      <c r="B148" s="86"/>
      <c r="C148" s="86"/>
      <c r="D148" s="86"/>
      <c r="F148" s="34">
        <f>AH!W25</f>
        <v>908.69557645170073</v>
      </c>
      <c r="G148" s="88">
        <f>IF(F148&lt;=AV!$T$6,AV!$C$5,IF(RASANTE!F148&lt;=AV!$T$8,AV!$C$7,IF(RASANTE!F148&lt;=AV!$T$10,AV!$C$9,IF(RASANTE!F148&lt;=AV!$T$12,AV!$C$11,IF(RASANTE!F148&lt;=AV!$T$14,AV!$C$13,IF(RASANTE!F148&lt;=AV!$T$16,AV!$C$15, IF(RASANTE!F148&lt;=AV!$T$18,AV!$C$17,IF(RASANTE!F148&lt;=AV!$T$20,AV!$C$19,IF(RASANTE!F148&lt;=AV!$T$22,AV!$C$21,IF(RASANTE!F148&lt;=AV!$T$24,AV!$C$23,AV!$C$25))))))))))</f>
        <v>-7.2409999999999997</v>
      </c>
      <c r="H148" s="28">
        <f>+IF(AND(AH!$H$8="Izquierda",RASANTE!F148&lt;=PERALTE!$AB$6),IF(RASANTE!F148&lt;=PERALTE!$S$6,-2,IF(RASANTE!F148&lt;=PERALTE!$U$6,(-6/(PERALTE!$U$6-PERALTE!$S$6)*(RASANTE!F148-PERALTE!$S$6)-2),IF(RASANTE!F148&lt;=PERALTE!$X$6,-8,IF(RASANTE!F148&lt;=PERALTE!$Z$6,(-6/(PERALTE!$X$6-PERALTE!$Z$6)*(RASANTE!F148-PERALTE!$Z$6)-2),IF(RASANTE!F148&lt;=PERALTE!$AB$6,-2))))),IF(AND(AH!$H$8="Derecha",RASANTE!F148&lt;=PERALTE!$AB$6),IF(RASANTE!F148&lt;=PERALTE!$Q$6,-2,IF(RASANTE!F148&lt;=PERALTE!$U$6,(10/(PERALTE!$U$6-PERALTE!$Q$6)*(RASANTE!F148-PERALTE!$Q$6)-2),IF(RASANTE!F148&lt;=PERALTE!$X$6,8,IF(RASANTE!F148&lt;=PERALTE!$AB$6,(10/(PERALTE!$X$6-PERALTE!$AB$6)*(RASANTE!F148-PERALTE!$AB$6)-2))))),IF(AND(AH!$H$10="Izquierda",RASANTE!F148&lt;=PERALTE!$AB$8),IF(RASANTE!F148&lt;=PERALTE!$S$8,-2,IF(RASANTE!F148&lt;=PERALTE!$U$8,(-6/(PERALTE!$U$8-PERALTE!$S$8)*(RASANTE!F148-PERALTE!$S$8)-2),IF(RASANTE!F148&lt;=PERALTE!$X$8,-8,IF(RASANTE!F148&lt;=PERALTE!$Z$8,(-6/(PERALTE!$X$8-PERALTE!$Z$8)*(RASANTE!F148-PERALTE!$Z$8)-2),IF(RASANTE!F148&lt;=PERALTE!$AB$8,-2))))),IF(AND(AH!$H$10="Derecha",RASANTE!F148&lt;=PERALTE!$AB$8),IF(RASANTE!F148&lt;=PERALTE!$Q$8,-2,IF(RASANTE!F148&lt;=PERALTE!$U$8,(10/(PERALTE!$U$8-PERALTE!$Q$8)*(RASANTE!F148-PERALTE!$Q$8)-2),IF(RASANTE!F148&lt;=PERALTE!$X$8,8,IF(RASANTE!F148&lt;=PERALTE!$AB$8,(10/(PERALTE!$X$8-PERALTE!$AB$8)*(RASANTE!F148-PERALTE!$AB$8)-2))))),IF(AND(AH!$H$12="Izquierda",RASANTE!F148&lt;=PERALTE!$AB$10),IF(RASANTE!F148&lt;=PERALTE!$S$10,-2,IF(RASANTE!F148&lt;=PERALTE!$U$10,(-6/(PERALTE!$U$10-PERALTE!$S$10)*(RASANTE!F148-PERALTE!$S$10)-2),IF(RASANTE!F148&lt;=PERALTE!$X$10,-8,IF(RASANTE!F148&lt;=PERALTE!$Z$10,(-6/(PERALTE!$X$10-PERALTE!$Z$10)*(RASANTE!F148-PERALTE!$Z$10)-2),IF(RASANTE!F148&lt;=PERALTE!$AB$10,-2))))),IF(AND(AH!$H$12="Derecha",RASANTE!F148&lt;=PERALTE!$AB$10),IF(RASANTE!F148&lt;=PERALTE!$Q$10,-2,IF(RASANTE!F148&lt;=PERALTE!$U$10,(10/(PERALTE!$U$10-PERALTE!$Q$10)*(RASANTE!F148-PERALTE!$Q$10)-2),IF(RASANTE!F148&lt;=PERALTE!$X$10,8,IF(RASANTE!F148&lt;=PERALTE!$AB$10,(10/(PERALTE!$X$10-PERALTE!$AB$10)*(RASANTE!F148-PERALTE!$AB$10)-2))))),IF(AND(AH!$H$14="Izquierda",RASANTE!F148&lt;=PERALTE!$AB$12),IF(RASANTE!F148&lt;=PERALTE!$S$12,-2,IF(RASANTE!F148&lt;=PERALTE!$U$12,(-6/(PERALTE!$U$12-PERALTE!$S$12)*(RASANTE!F148-PERALTE!$S$12)-2),IF(RASANTE!F148&lt;=PERALTE!$X$12,-8,IF(RASANTE!F148&lt;=PERALTE!$Z$12,(-6/(PERALTE!$X$12-PERALTE!$Z$12)*(RASANTE!F148-PERALTE!$Z$12)-2),IF(RASANTE!F148&lt;=PERALTE!$AB$12,-2))))),IF(AND(AH!$H$14="Derecha",RASANTE!F148&lt;=PERALTE!$AB$12),IF(RASANTE!F148&lt;=PERALTE!$Q$12,-2,IF(RASANTE!F148&lt;=PERALTE!$U$12,(10/(PERALTE!$U$12-PERALTE!$Q$12)*(RASANTE!F148-PERALTE!$Q$12)-2),IF(RASANTE!F148&lt;=PERALTE!$X$12,8,IF(RASANTE!F148&lt;=PERALTE!$AB$12,(10/(PERALTE!$X$12-PERALTE!$AB$12)*(RASANTE!F148-PERALTE!$AB$12)-2))))),IF(AND(AH!$H$16="Izquierda",RASANTE!F148&lt;=PERALTE!$AB$14),IF(RASANTE!F148&lt;=PERALTE!$S$14,-2,IF(RASANTE!F148&lt;=PERALTE!$U$14,(-6/(PERALTE!$U$14-PERALTE!$S$14)*(RASANTE!F148-PERALTE!$S$14)-2),IF(RASANTE!F148&lt;=PERALTE!$X$14,-8,IF(RASANTE!F148&lt;=PERALTE!$Z$14,(-6/(PERALTE!$X$14-PERALTE!$Z$14)*(RASANTE!F148-PERALTE!$Z$14)-2),IF(RASANTE!F148&lt;=PERALTE!$AB$14,-2))))),IF(AND(AH!$H$16="Derecha",RASANTE!F148&lt;=PERALTE!$AB$14),IF(RASANTE!F148&lt;=PERALTE!$Q$14,-2,IF(RASANTE!F148&lt;=PERALTE!$U$14,(10/(PERALTE!$U$14-PERALTE!$Q$14)*(RASANTE!F148-PERALTE!$Q$14)-2),IF(RASANTE!F148&lt;=PERALTE!$X$14,8,IF(RASANTE!F148&lt;=PERALTE!$AB$14,(10/(PERALTE!$X$14-PERALTE!$AB$14)*(RASANTE!F148-PERALTE!$AB$14)-2))))),IF(AND(AH!$H$18="Izquierda",RASANTE!F148&lt;=PERALTE!$AB$16),IF(RASANTE!F148&lt;=PERALTE!$S$16,-2,IF(RASANTE!F148&lt;=PERALTE!$U$16,(-6/(PERALTE!$U$16-PERALTE!$S$16)*(RASANTE!F148-PERALTE!$S$16)-2),IF(RASANTE!F148&lt;=PERALTE!$X$16,-8,IF(RASANTE!F148&lt;=PERALTE!$Z$16,(-6/(PERALTE!$X$16-PERALTE!$Z$16)*(RASANTE!F148-PERALTE!$Z$16)-2),IF(RASANTE!F148&lt;=PERALTE!$AB$16,-2))))),IF(AND(AH!$H$18="Derecha",RASANTE!F148&lt;=PERALTE!$AB$16),IF(RASANTE!F148&lt;=PERALTE!$Q$16,-2,IF(RASANTE!F148&lt;=PERALTE!$U$16,(10/(PERALTE!$U$16-PERALTE!$Q$16)*(RASANTE!F148-PERALTE!$Q$16)-2),IF(RASANTE!F148&lt;=PERALTE!$X$16,8,IF(RASANTE!F148&lt;=PERALTE!$AB$16,(10/(PERALTE!$X$16-PERALTE!$AB$16)*(RASANTE!F148-PERALTE!$AB$16)-2))))),IF(AND(AH!$H$20="Izquierda",RASANTE!F148&lt;=PERALTE!$AB$18),IF(RASANTE!F148&lt;=PERALTE!$S$18,-2,IF(RASANTE!F148&lt;=PERALTE!$U$18,(-6/(PERALTE!$U$18-PERALTE!$S$18)*(RASANTE!F148-PERALTE!$S$18)-2),IF(RASANTE!F148&lt;=PERALTE!$X$18,-8,IF(RASANTE!F148&lt;=PERALTE!$Z$18,(-6/(PERALTE!$X$18-PERALTE!$Z$18)*(RASANTE!F148-PERALTE!$Z$18)-2),IF(RASANTE!F148&lt;=PERALTE!$AB$18,-2))))),IF(AND(AH!$H$20="Derecha",RASANTE!F148&lt;=PERALTE!$AB$18),IF(RASANTE!F148&lt;=PERALTE!$Q$18,-2,IF(RASANTE!F148&lt;=PERALTE!$U$18,(10/(PERALTE!$U$18-PERALTE!$Q$18)*(RASANTE!F148-PERALTE!$Q$18)-2),IF(RASANTE!F148&lt;=PERALTE!$X$18,8,IF(RASANTE!F148&lt;=PERALTE!$AB$18,(10/(PERALTE!$X$18-PERALTE!$AB$18)*(RASANTE!F148-PERALTE!$AB$18)-2))))),IF(AND(AH!$H$24="Izquierda",RASANTE!F148&lt;=PERALTE!$AB$22),IF(RASANTE!F148&lt;=PERALTE!$S$22,-2,IF(RASANTE!F148&lt;=PERALTE!$U$22,(-6/(PERALTE!$U$22-PERALTE!$S$22)*(RASANTE!F148-PERALTE!$S$22)-2),IF(RASANTE!F148&lt;=PERALTE!$X$22,-8,IF(RASANTE!F148&lt;=PERALTE!$Z$22,(-6/(PERALTE!$X$22-PERALTE!$Z$22)*(RASANTE!F148-PERALTE!$Z$22)-2),IF(RASANTE!F148&lt;=PERALTE!$AB$22,-2))))),IF(AND(AH!$H$24="Derecha",RASANTE!F148&lt;=PERALTE!$AB$22),IF(RASANTE!F148&lt;=PERALTE!$Q$22,-2,IF(RASANTE!F148&lt;=PERALTE!$U$22,(10/(PERALTE!$U$22-PERALTE!$Q$22)*(RASANTE!F148-PERALTE!$Q$22)-2),IF(RASANTE!F148&lt;=PERALTE!$X$22,8,IF(RASANTE!F148&lt;=PERALTE!$AB$22,(10/(PERALTE!$X$22-PERALTE!$AB$22)*(RASANTE!F148-PERALTE!$AB$22)-2))))),IF(AND(AH!#REF!="Izquierda",RASANTE!F148&lt;=PERALTE!#REF!),IF(RASANTE!F148&lt;=PERALTE!#REF!,-2,IF(RASANTE!F148&lt;=PERALTE!#REF!,(-6/(PERALTE!#REF!-PERALTE!#REF!)*(RASANTE!F148-PERALTE!#REF!)-2),IF(RASANTE!F148&lt;=PERALTE!#REF!,-8,IF(RASANTE!F148&lt;=PERALTE!#REF!,(-6/(PERALTE!#REF!-PERALTE!#REF!)*(RASANTE!F148-PERALTE!#REF!)-2),IF(RASANTE!F148&lt;=PERALTE!#REF!,-2))))),IF(AND(AH!#REF!="Derecha",RASANTE!F148&lt;=PERALTE!#REF!),IF(RASANTE!F148&lt;=PERALTE!#REF!,-2,IF(RASANTE!F148&lt;=PERALTE!#REF!,(10/(PERALTE!#REF!-PERALTE!#REF!)*(RASANTE!F148-PERALTE!#REF!)-2),IF(RASANTE!F148&lt;=PERALTE!#REF!,8,IF(RASANTE!F148&lt;=PERALTE!#REF!,(10/(PERALTE!#REF!-PERALTE!#REF!)*(RASANTE!F148-PERALTE!#REF!)-2))))),IF(AND(AH!#REF!="Izquierda",RASANTE!F148&lt;=PERALTE!$AB$26),IF(RASANTE!F148&lt;=PERALTE!$S$26,-2,IF(RASANTE!F148&lt;=PERALTE!$U$26,(-6/(PERALTE!$U$26-PERALTE!$S$26)*(RASANTE!F148-PERALTE!$S$26)-2),IF(RASANTE!F148&lt;=PERALTE!$X$26,-8,IF(RASANTE!F148&lt;=PERALTE!$Z$26,(-6/(PERALTE!$X$26-PERALTE!$Z$26)*(RASANTE!F148-PERALTE!$Z$26)-2),IF(RASANTE!F148&lt;=PERALTE!$AB$26,-2))))),IF(AND(AH!#REF!="Derecha",RASANTE!F148&lt;=PERALTE!$AB$26),IF(RASANTE!F148&lt;=PERALTE!$Q$26,-2,IF(RASANTE!F148&lt;=PERALTE!$U$26,(10/(PERALTE!$U$26-PERALTE!$Q$26)*(RASANTE!F148-PERALTE!$Q$26)-2),IF(RASANTE!F148&lt;=PERALTE!$X$26,8,IF(RASANTE!F148&lt;=PERALTE!$AB$26,(10/(PERALTE!$X$26-PERALTE!$AB$26)*(RASANTE!F148-PERALTE!$AB$26)-2))))),IF(F148&lt;=PERALTE!#REF!,-2,"Abscisa fuera de la vía")))))))))))))))))))))</f>
        <v>-2</v>
      </c>
      <c r="I148" s="28">
        <f>+IF(AND(AH!$H$8="Derecha",RASANTE!F148&lt;=PERALTE!$AB$6),IF(RASANTE!F148&lt;=PERALTE!$S$6,-2,IF(RASANTE!F148&lt;=PERALTE!$U$6,(-6/(PERALTE!$U$6-PERALTE!$S$6)*(RASANTE!F148-PERALTE!$S$6)-2),IF(RASANTE!F148&lt;=PERALTE!$X$6,-8,IF(RASANTE!F148&lt;=PERALTE!$Z$6,(-6/(PERALTE!$X$6-PERALTE!$Z$6)*(RASANTE!F148-PERALTE!$Z$6)-2),IF(RASANTE!F148&lt;=PERALTE!$AB$6,-2))))),IF(AND(AH!$H$8="Izquierda",RASANTE!F148&lt;=PERALTE!$AB$6),IF(RASANTE!F148&lt;=PERALTE!$Q$6,-2,IF(RASANTE!F148&lt;=PERALTE!$U$6,(10/(PERALTE!$U$6-PERALTE!$Q$6)*(RASANTE!F148-PERALTE!$Q$6)-2),IF(RASANTE!F148&lt;=PERALTE!$X$6,8,IF(RASANTE!F148&lt;=PERALTE!$AB$6,(10/(PERALTE!$X$6-PERALTE!$AB$6)*(RASANTE!F148-PERALTE!$AB$6)-2))))),IF(AND(AH!$H$10="Derecha",RASANTE!F148&lt;=PERALTE!$AB$8),IF(RASANTE!F148&lt;=PERALTE!$S$8,-2,IF(RASANTE!F148&lt;=PERALTE!$U$8,(-6/(PERALTE!$U$8-PERALTE!$S$8)*(RASANTE!F148-PERALTE!$S$8)-2),IF(RASANTE!F148&lt;=PERALTE!$X$8,-8,IF(RASANTE!F148&lt;=PERALTE!$Z$8,(-6/(PERALTE!$X$8-PERALTE!$Z$8)*(RASANTE!F148-PERALTE!$Z$8)-2),IF(RASANTE!F148&lt;=PERALTE!$AB$8,-2))))),IF(AND(AH!$H$10="Izquierda",RASANTE!F148&lt;=PERALTE!$AB$8),IF(RASANTE!F148&lt;=PERALTE!$Q$8,-2,IF(RASANTE!F148&lt;=PERALTE!$U$8,(10/(PERALTE!$U$8-PERALTE!$Q$8)*(RASANTE!F148-PERALTE!$Q$8)-2),IF(RASANTE!F148&lt;=PERALTE!$X$8,8,IF(RASANTE!F148&lt;=PERALTE!$AB$8,(10/(PERALTE!$X$8-PERALTE!$AB$8)*(RASANTE!F148-PERALTE!$AB$8)-2))))),IF(AND(AH!$H$12="Derecha",RASANTE!F148&lt;=PERALTE!$AB$10),IF(RASANTE!F148&lt;=PERALTE!$S$10,-2,IF(RASANTE!F148&lt;=PERALTE!$U$10,(-6/(PERALTE!$U$10-PERALTE!$S$10)*(RASANTE!F148-PERALTE!$S$10)-2),IF(RASANTE!F148&lt;=PERALTE!$X$10,-8,IF(RASANTE!F148&lt;=PERALTE!$Z$10,(-6/(PERALTE!$X$10-PERALTE!$Z$10)*(RASANTE!F148-PERALTE!$Z$10)-2),IF(RASANTE!F148&lt;=PERALTE!$AB$10,-2))))),IF(AND(AH!$H$12="Izquierda",RASANTE!F148&lt;=PERALTE!$AB$10),IF(RASANTE!F148&lt;=PERALTE!$Q$10,-2,IF(RASANTE!F148&lt;=PERALTE!$U$10,(10/(PERALTE!$U$10-PERALTE!$Q$10)*(RASANTE!F148-PERALTE!$Q$10)-2),IF(RASANTE!F148&lt;=PERALTE!$X$10,8,IF(RASANTE!F148&lt;=PERALTE!$AB$10,(10/(PERALTE!$X$10-PERALTE!$AB$10)*(RASANTE!F148-PERALTE!$AB$10)-2))))),IF(AND(AH!$H$14="Derecha",RASANTE!F148&lt;=PERALTE!$AB$12),IF(RASANTE!F148&lt;=PERALTE!$S$12,-2,IF(RASANTE!F148&lt;=PERALTE!$U$12,(-6/(PERALTE!$U$12-PERALTE!$S$12)*(RASANTE!F148-PERALTE!$S$12)-2),IF(RASANTE!F148&lt;=PERALTE!$X$12,-8,IF(RASANTE!F148&lt;=PERALTE!$Z$12,(-6/(PERALTE!$X$12-PERALTE!$Z$12)*(RASANTE!F148-PERALTE!$Z$12)-2),IF(RASANTE!F148&lt;=PERALTE!$AB$12,-2))))),IF(AND(AH!$H$14="Izquierda",RASANTE!F148&lt;=PERALTE!$AB$12),IF(RASANTE!F148&lt;=PERALTE!$Q$12,-2,IF(RASANTE!F148&lt;=PERALTE!$U$12,(10/(PERALTE!$U$12-PERALTE!$Q$12)*(RASANTE!F148-PERALTE!$Q$12)-2),IF(RASANTE!F148&lt;=PERALTE!$X$12,8,IF(RASANTE!F148&lt;=PERALTE!$AB$12,(10/(PERALTE!$X$12-PERALTE!$AB$12)*(RASANTE!F148-PERALTE!$AB$12)-2))))),IF(AND(AH!$H$16="Derecha",RASANTE!F148&lt;=PERALTE!$AB$14),IF(RASANTE!F148&lt;=PERALTE!$S$14,-2,IF(RASANTE!F148&lt;=PERALTE!$U$14,(-6/(PERALTE!$U$14-PERALTE!$S$14)*(RASANTE!F148-PERALTE!$S$14)-2),IF(RASANTE!F148&lt;=PERALTE!$X$14,-8,IF(RASANTE!F148&lt;=PERALTE!$Z$14,(-6/(PERALTE!$X$14-PERALTE!$Z$14)*(RASANTE!F148-PERALTE!$Z$14)-2),IF(RASANTE!F148&lt;=PERALTE!$AB$14,-2))))),IF(AND(AH!$H$16="Izquierda",RASANTE!F148&lt;=PERALTE!$AB$14),IF(RASANTE!F148&lt;=PERALTE!$Q$14,-2,IF(RASANTE!F148&lt;=PERALTE!$U$14,(10/(PERALTE!$U$14-PERALTE!$Q$14)*(RASANTE!F148-PERALTE!$Q$14)-2),IF(RASANTE!F148&lt;=PERALTE!$X$14,8,IF(RASANTE!F148&lt;=PERALTE!$AB$14,(10/(PERALTE!$X$14-PERALTE!$AB$14)*(RASANTE!F148-PERALTE!$AB$14)-2))))),IF(AND(AH!$H$18="Derecha",RASANTE!F148&lt;=PERALTE!$AB$16),IF(RASANTE!F148&lt;=PERALTE!$S$16,-2,IF(RASANTE!F148&lt;=PERALTE!$U$16,(-6/(PERALTE!$U$16-PERALTE!$S$16)*(RASANTE!F148-PERALTE!$S$16)-2),IF(RASANTE!F148&lt;=PERALTE!$X$16,-8,IF(RASANTE!F148&lt;=PERALTE!$Z$16,(-6/(PERALTE!$X$16-PERALTE!$Z$16)*(RASANTE!F148-PERALTE!$Z$16)-2),IF(RASANTE!F148&lt;=PERALTE!$AB$16,-2))))),IF(AND(AH!$H$18="Izquierda",RASANTE!F148&lt;=PERALTE!$AB$16),IF(RASANTE!F148&lt;=PERALTE!$Q$16,-2,IF(RASANTE!F148&lt;=PERALTE!$U$16,(10/(PERALTE!$U$16-PERALTE!$Q$16)*(RASANTE!F148-PERALTE!$Q$16)-2),IF(RASANTE!F148&lt;=PERALTE!$X$16,8,IF(RASANTE!F148&lt;=PERALTE!$AB$16,(10/(PERALTE!$X$16-PERALTE!$AB$16)*(RASANTE!F148-PERALTE!$AB$16)-2))))),IF(AND(AH!$H$20="Derecha",RASANTE!F148&lt;=PERALTE!$AB$18),IF(RASANTE!F148&lt;=PERALTE!$S$18,-2,IF(RASANTE!F148&lt;=PERALTE!$U$18,(-6/(PERALTE!$U$18-PERALTE!$S$18)*(RASANTE!F148-PERALTE!$S$18)-2),IF(RASANTE!F148&lt;=PERALTE!$X$18,-8,IF(RASANTE!F148&lt;=PERALTE!$Z$18,(-6/(PERALTE!$X$18-PERALTE!$Z$18)*(RASANTE!F148-PERALTE!$Z$18)-2),IF(RASANTE!F148&lt;=PERALTE!$AB$18,-2))))),IF(AND(AH!$H$20="Izquierda",RASANTE!F148&lt;=PERALTE!$AB$18),IF(RASANTE!F148&lt;=PERALTE!$Q$18,-2,IF(RASANTE!F148&lt;=PERALTE!$U$18,(10/(PERALTE!$U$18-PERALTE!$Q$18)*(RASANTE!F148-PERALTE!$Q$18)-2),IF(RASANTE!F148&lt;=PERALTE!$X$18,8,IF(RASANTE!F148&lt;=PERALTE!$AB$18,(10/(PERALTE!$X$18-PERALTE!$AB$18)*(RASANTE!F148-PERALTE!$AB$18)-2))))),IF(AND(AH!$H$24="Derecha",RASANTE!F148&lt;=PERALTE!$AB$22),IF(RASANTE!F148&lt;=PERALTE!$S$22,-2,IF(RASANTE!F148&lt;=PERALTE!$U$22,(-6/(PERALTE!$U$22-PERALTE!$S$22)*(RASANTE!F148-PERALTE!$S$22)-2),IF(RASANTE!F148&lt;=PERALTE!$X$22,-8,IF(RASANTE!F148&lt;=PERALTE!$Z$22,(-6/(PERALTE!$X$22-PERALTE!$Z$22)*(RASANTE!F148-PERALTE!$Z$22)-2),IF(RASANTE!F148&lt;=PERALTE!$AB$22,-2))))),IF(AND(AH!$H$24="Izquierda",RASANTE!F148&lt;=PERALTE!$AB$22),IF(RASANTE!F148&lt;=PERALTE!$Q$22,-2,IF(RASANTE!F148&lt;=PERALTE!$U$22,(10/(PERALTE!$U$22-PERALTE!$Q$22)*(RASANTE!F148-PERALTE!$Q$22)-2),IF(RASANTE!F148&lt;=PERALTE!$X$22,8,IF(RASANTE!F148&lt;=PERALTE!$AB$22,(10/(PERALTE!$X$22-PERALTE!$AB$22)*(RASANTE!F148-PERALTE!$AB$22)-2))))),IF(AND(AH!#REF!="Derecha",RASANTE!F148&lt;=PERALTE!#REF!),IF(RASANTE!F148&lt;=PERALTE!#REF!,-2,IF(RASANTE!F148&lt;=PERALTE!#REF!,(-6/(PERALTE!#REF!-PERALTE!#REF!)*(RASANTE!F148-PERALTE!#REF!)-2),IF(RASANTE!F148&lt;=PERALTE!#REF!,-8,IF(RASANTE!F148&lt;=PERALTE!#REF!,(-6/(PERALTE!#REF!-PERALTE!#REF!)*(RASANTE!F148-PERALTE!#REF!)-2),IF(RASANTE!F148&lt;=PERALTE!#REF!,-2))))),IF(AND(AH!#REF!="Izquierda",RASANTE!F148&lt;=PERALTE!#REF!),IF(RASANTE!F148&lt;=PERALTE!#REF!,-2,IF(RASANTE!F148&lt;=PERALTE!#REF!,(10/(PERALTE!#REF!-PERALTE!#REF!)*(RASANTE!F148-PERALTE!#REF!)-2),IF(RASANTE!F148&lt;=PERALTE!#REF!,8,IF(RASANTE!F148&lt;=PERALTE!#REF!,(10/(PERALTE!#REF!-PERALTE!#REF!)*(RASANTE!F148-PERALTE!#REF!)-2))))),IF(AND(AH!#REF!="Derecha",RASANTE!F148&lt;=PERALTE!$AB$26),IF(RASANTE!F148&lt;=PERALTE!$S$26,-2,IF(RASANTE!F148&lt;=PERALTE!$U$26,(-6/(PERALTE!$U$26-PERALTE!$S$26)*(RASANTE!F148-PERALTE!$S$26)-2),IF(RASANTE!F148&lt;=PERALTE!$X$26,-8,IF(RASANTE!F148&lt;=PERALTE!$Z$26,(-6/(PERALTE!$X$26-PERALTE!$Z$26)*(RASANTE!F148-PERALTE!$Z$26)-2),IF(RASANTE!F148&lt;=PERALTE!$AB$26,-2))))),IF(AND(AH!#REF!="Izquierda",RASANTE!F148&lt;=PERALTE!$AB$26),IF(RASANTE!F148&lt;=PERALTE!$Q$26,-2,IF(RASANTE!F148&lt;=PERALTE!$U$26,(10/(PERALTE!$U$26-PERALTE!$Q$26)*(RASANTE!F148-PERALTE!$Q$26)-2),IF(RASANTE!F148&lt;=PERALTE!$X$26,8,IF(RASANTE!F148&lt;=PERALTE!$AB$26,(10/(PERALTE!$X$26-PERALTE!$AB$26)*(RASANTE!F148-PERALTE!$AB$26)-2))))),IF(F148&lt;=PERALTE!#REF!,-2,"Abscisa fuera de la vía")))))))))))))))))))))</f>
        <v>0.930960000000018</v>
      </c>
      <c r="J148" s="28">
        <f t="shared" si="6"/>
        <v>1619.3529913467244</v>
      </c>
      <c r="K148" s="28">
        <f>+IF(AND(AV!$S$6&lt;F180,F180&lt;=AV!$T$6),AV!$P$6*((AV!$S$6-RASANTE!F180)/(AV!$N$6))^2,IF(AND(AV!$T$6&lt;RASANTE!F180,F180&lt;AV!$U$6),AV!$P$6*((AV!$U$6-RASANTE!F180)/(AV!$O$6))^2,IF(AND(AV!$S$8&lt;F180,F180&lt;=AV!$T$8),AV!$P$8*((AV!$S$8-RASANTE!F180)/(AV!$N$8))^2,IF(AND(AV!$T$8&lt;RASANTE!F180,F180&lt;AV!$U$8),AV!$P$8*((AV!$U$8-RASANTE!F180)/(AV!$O$8))^2,IF(AND(AV!$S$10&lt;F180,F180&lt;=AV!$T$10),AV!$P$10*((AV!$S$10-RASANTE!F180)/(AV!$N$10))^2,IF(AND(AV!$T$10&lt;RASANTE!F180,F180&lt;AV!$U$10),AV!$P$10*((AV!$U$10-RASANTE!F180)/(AV!$O$10))^2,IF(AND(AV!$S$12&lt;F180,F180&lt;=AV!$T$12),AV!$P$12*((AV!$S$12-RASANTE!F180)/(AV!$N$12))^2,IF(AND(AV!$T$12&lt;RASANTE!F180,F180&lt;AV!$U$12),AV!$P$12*((AV!$U$12-RASANTE!F180)/(AV!$O$12))^2,IF(AND(AV!$S$14&lt;F180,F180&lt;=AV!$T$14),AV!$P$14*((AV!$S$14-RASANTE!F180)/(AV!$N$14))^2,IF(AND(AV!$T$14&lt;RASANTE!F180,F180&lt;AV!$U$14),AV!$P$14*((AV!$U$14-RASANTE!F180)/(AV!$O$14))^2,IF(AND(AV!$S$16&lt;F180,F180&lt;=AV!$T$16),AV!$P$16*((AV!$S$16-RASANTE!F180)/(AV!$N$16))^2,IF(AND(AV!$T$16&lt;RASANTE!F180,F180&lt;AV!$U$16),AV!$P$16*((AV!$U$16-RASANTE!F180)/(AV!$O$16))^2,IF(AND(AV!$S$18&lt;F180,F180&lt;=AV!$T$18),AV!$P$18*((AV!$S$18-RASANTE!F180)/(AV!$N$18))^2,IF(AND(AV!$T$18&lt;RASANTE!F180,F180&lt;AV!$U$18),AV!$P$18*((AV!$U$18-RASANTE!F180)/(AV!$O$18))^2,IF(AND(AV!$S$20&lt;F180,F180&lt;=AV!$T$20),AV!$P$20*((AV!$S$20-RASANTE!F180)/(AV!$N$20))^2,IF(AND(AV!$T$20&lt;RASANTE!F180,F180&lt;AV!$U$20),AV!$P$20*((AV!$U$20-RASANTE!F180)/(AV!$O$20))^2,IF(AND(AV!$S$22&lt;F180,F180&lt;=AV!$T$22),AV!$P$22*((AV!$S$22-RASANTE!F180)/(AV!$N$22))^2,IF(AND(AV!$T$22&lt;RASANTE!F180,F180&lt;AV!$U$22),AV!$P$22*((AV!$U$22-RASANTE!F180)/(AV!$O$22))^2,IF(AND(AV!$S$24&lt;F180,F180&lt;=AV!$T$24),AV!$P$24*((AV!$S$24-RASANTE!F180)/(AV!$N$24))^2,IF(AND(AV!$T$24&lt;RASANTE!F180,F180&lt;AV!$U$24),AV!$P$24*((AV!$U$24-RASANTE!F180)/(AV!$O$24))^2,0))))))))))))))))))))</f>
        <v>0</v>
      </c>
      <c r="L148" s="28">
        <f>+M148+H148%*PERALTE!$C$32</f>
        <v>1619.2829913467244</v>
      </c>
      <c r="M148" s="28">
        <f t="shared" si="5"/>
        <v>1619.3529913467244</v>
      </c>
      <c r="N148" s="28">
        <f>+M148+I148%*PERALTE!$C$32</f>
        <v>1619.3855749467243</v>
      </c>
      <c r="O148" s="92"/>
      <c r="P148" s="84"/>
      <c r="Q148" s="84"/>
      <c r="R148" s="84"/>
      <c r="S148" s="84"/>
      <c r="T148" s="84"/>
      <c r="U148" s="84"/>
      <c r="V148" s="84"/>
      <c r="W148" s="84"/>
      <c r="X148" s="84"/>
      <c r="Y148" s="84"/>
    </row>
    <row r="149" spans="1:25" ht="15.75" customHeight="1" x14ac:dyDescent="0.2">
      <c r="A149" s="90"/>
      <c r="B149" s="86"/>
      <c r="C149" s="86"/>
      <c r="D149" s="86"/>
      <c r="E149" s="91"/>
      <c r="F149" s="34">
        <v>900</v>
      </c>
      <c r="G149" s="88">
        <f>IF(F149&lt;=AV!$T$6,AV!$C$5,IF(RASANTE!F149&lt;=AV!$T$8,AV!$C$7,IF(RASANTE!F149&lt;=AV!$T$10,AV!$C$9,IF(RASANTE!F149&lt;=AV!$T$12,AV!$C$11,IF(RASANTE!F149&lt;=AV!$T$14,AV!$C$13,IF(RASANTE!F149&lt;=AV!$T$16,AV!$C$15, IF(RASANTE!F149&lt;=AV!$T$18,AV!$C$17,IF(RASANTE!F149&lt;=AV!$T$20,AV!$C$19,IF(RASANTE!F149&lt;=AV!$T$22,AV!$C$21,IF(RASANTE!F149&lt;=AV!$T$24,AV!$C$23,AV!$C$25))))))))))</f>
        <v>-7.2409999999999997</v>
      </c>
      <c r="H149" s="28">
        <f>+IF(AND(AH!$H$8="Izquierda",RASANTE!F149&lt;=PERALTE!$AB$6),IF(RASANTE!F149&lt;=PERALTE!$S$6,-2,IF(RASANTE!F149&lt;=PERALTE!$U$6,(-6/(PERALTE!$U$6-PERALTE!$S$6)*(RASANTE!F149-PERALTE!$S$6)-2),IF(RASANTE!F149&lt;=PERALTE!$X$6,-8,IF(RASANTE!F149&lt;=PERALTE!$Z$6,(-6/(PERALTE!$X$6-PERALTE!$Z$6)*(RASANTE!F149-PERALTE!$Z$6)-2),IF(RASANTE!F149&lt;=PERALTE!$AB$6,-2))))),IF(AND(AH!$H$8="Derecha",RASANTE!F149&lt;=PERALTE!$AB$6),IF(RASANTE!F149&lt;=PERALTE!$Q$6,-2,IF(RASANTE!F149&lt;=PERALTE!$U$6,(10/(PERALTE!$U$6-PERALTE!$Q$6)*(RASANTE!F149-PERALTE!$Q$6)-2),IF(RASANTE!F149&lt;=PERALTE!$X$6,8,IF(RASANTE!F149&lt;=PERALTE!$AB$6,(10/(PERALTE!$X$6-PERALTE!$AB$6)*(RASANTE!F149-PERALTE!$AB$6)-2))))),IF(AND(AH!$H$10="Izquierda",RASANTE!F149&lt;=PERALTE!$AB$8),IF(RASANTE!F149&lt;=PERALTE!$S$8,-2,IF(RASANTE!F149&lt;=PERALTE!$U$8,(-6/(PERALTE!$U$8-PERALTE!$S$8)*(RASANTE!F149-PERALTE!$S$8)-2),IF(RASANTE!F149&lt;=PERALTE!$X$8,-8,IF(RASANTE!F149&lt;=PERALTE!$Z$8,(-6/(PERALTE!$X$8-PERALTE!$Z$8)*(RASANTE!F149-PERALTE!$Z$8)-2),IF(RASANTE!F149&lt;=PERALTE!$AB$8,-2))))),IF(AND(AH!$H$10="Derecha",RASANTE!F149&lt;=PERALTE!$AB$8),IF(RASANTE!F149&lt;=PERALTE!$Q$8,-2,IF(RASANTE!F149&lt;=PERALTE!$U$8,(10/(PERALTE!$U$8-PERALTE!$Q$8)*(RASANTE!F149-PERALTE!$Q$8)-2),IF(RASANTE!F149&lt;=PERALTE!$X$8,8,IF(RASANTE!F149&lt;=PERALTE!$AB$8,(10/(PERALTE!$X$8-PERALTE!$AB$8)*(RASANTE!F149-PERALTE!$AB$8)-2))))),IF(AND(AH!$H$12="Izquierda",RASANTE!F149&lt;=PERALTE!$AB$10),IF(RASANTE!F149&lt;=PERALTE!$S$10,-2,IF(RASANTE!F149&lt;=PERALTE!$U$10,(-6/(PERALTE!$U$10-PERALTE!$S$10)*(RASANTE!F149-PERALTE!$S$10)-2),IF(RASANTE!F149&lt;=PERALTE!$X$10,-8,IF(RASANTE!F149&lt;=PERALTE!$Z$10,(-6/(PERALTE!$X$10-PERALTE!$Z$10)*(RASANTE!F149-PERALTE!$Z$10)-2),IF(RASANTE!F149&lt;=PERALTE!$AB$10,-2))))),IF(AND(AH!$H$12="Derecha",RASANTE!F149&lt;=PERALTE!$AB$10),IF(RASANTE!F149&lt;=PERALTE!$Q$10,-2,IF(RASANTE!F149&lt;=PERALTE!$U$10,(10/(PERALTE!$U$10-PERALTE!$Q$10)*(RASANTE!F149-PERALTE!$Q$10)-2),IF(RASANTE!F149&lt;=PERALTE!$X$10,8,IF(RASANTE!F149&lt;=PERALTE!$AB$10,(10/(PERALTE!$X$10-PERALTE!$AB$10)*(RASANTE!F149-PERALTE!$AB$10)-2))))),IF(AND(AH!$H$14="Izquierda",RASANTE!F149&lt;=PERALTE!$AB$12),IF(RASANTE!F149&lt;=PERALTE!$S$12,-2,IF(RASANTE!F149&lt;=PERALTE!$U$12,(-6/(PERALTE!$U$12-PERALTE!$S$12)*(RASANTE!F149-PERALTE!$S$12)-2),IF(RASANTE!F149&lt;=PERALTE!$X$12,-8,IF(RASANTE!F149&lt;=PERALTE!$Z$12,(-6/(PERALTE!$X$12-PERALTE!$Z$12)*(RASANTE!F149-PERALTE!$Z$12)-2),IF(RASANTE!F149&lt;=PERALTE!$AB$12,-2))))),IF(AND(AH!$H$14="Derecha",RASANTE!F149&lt;=PERALTE!$AB$12),IF(RASANTE!F149&lt;=PERALTE!$Q$12,-2,IF(RASANTE!F149&lt;=PERALTE!$U$12,(10/(PERALTE!$U$12-PERALTE!$Q$12)*(RASANTE!F149-PERALTE!$Q$12)-2),IF(RASANTE!F149&lt;=PERALTE!$X$12,8,IF(RASANTE!F149&lt;=PERALTE!$AB$12,(10/(PERALTE!$X$12-PERALTE!$AB$12)*(RASANTE!F149-PERALTE!$AB$12)-2))))),IF(AND(AH!$H$16="Izquierda",RASANTE!F149&lt;=PERALTE!$AB$14),IF(RASANTE!F149&lt;=PERALTE!$S$14,-2,IF(RASANTE!F149&lt;=PERALTE!$U$14,(-6/(PERALTE!$U$14-PERALTE!$S$14)*(RASANTE!F149-PERALTE!$S$14)-2),IF(RASANTE!F149&lt;=PERALTE!$X$14,-8,IF(RASANTE!F149&lt;=PERALTE!$Z$14,(-6/(PERALTE!$X$14-PERALTE!$Z$14)*(RASANTE!F149-PERALTE!$Z$14)-2),IF(RASANTE!F149&lt;=PERALTE!$AB$14,-2))))),IF(AND(AH!$H$16="Derecha",RASANTE!F149&lt;=PERALTE!$AB$14),IF(RASANTE!F149&lt;=PERALTE!$Q$14,-2,IF(RASANTE!F149&lt;=PERALTE!$U$14,(10/(PERALTE!$U$14-PERALTE!$Q$14)*(RASANTE!F149-PERALTE!$Q$14)-2),IF(RASANTE!F149&lt;=PERALTE!$X$14,8,IF(RASANTE!F149&lt;=PERALTE!$AB$14,(10/(PERALTE!$X$14-PERALTE!$AB$14)*(RASANTE!F149-PERALTE!$AB$14)-2))))),IF(AND(AH!$H$18="Izquierda",RASANTE!F149&lt;=PERALTE!$AB$16),IF(RASANTE!F149&lt;=PERALTE!$S$16,-2,IF(RASANTE!F149&lt;=PERALTE!$U$16,(-6/(PERALTE!$U$16-PERALTE!$S$16)*(RASANTE!F149-PERALTE!$S$16)-2),IF(RASANTE!F149&lt;=PERALTE!$X$16,-8,IF(RASANTE!F149&lt;=PERALTE!$Z$16,(-6/(PERALTE!$X$16-PERALTE!$Z$16)*(RASANTE!F149-PERALTE!$Z$16)-2),IF(RASANTE!F149&lt;=PERALTE!$AB$16,-2))))),IF(AND(AH!$H$18="Derecha",RASANTE!F149&lt;=PERALTE!$AB$16),IF(RASANTE!F149&lt;=PERALTE!$Q$16,-2,IF(RASANTE!F149&lt;=PERALTE!$U$16,(10/(PERALTE!$U$16-PERALTE!$Q$16)*(RASANTE!F149-PERALTE!$Q$16)-2),IF(RASANTE!F149&lt;=PERALTE!$X$16,8,IF(RASANTE!F149&lt;=PERALTE!$AB$16,(10/(PERALTE!$X$16-PERALTE!$AB$16)*(RASANTE!F149-PERALTE!$AB$16)-2))))),IF(AND(AH!$H$20="Izquierda",RASANTE!F149&lt;=PERALTE!$AB$18),IF(RASANTE!F149&lt;=PERALTE!$S$18,-2,IF(RASANTE!F149&lt;=PERALTE!$U$18,(-6/(PERALTE!$U$18-PERALTE!$S$18)*(RASANTE!F149-PERALTE!$S$18)-2),IF(RASANTE!F149&lt;=PERALTE!$X$18,-8,IF(RASANTE!F149&lt;=PERALTE!$Z$18,(-6/(PERALTE!$X$18-PERALTE!$Z$18)*(RASANTE!F149-PERALTE!$Z$18)-2),IF(RASANTE!F149&lt;=PERALTE!$AB$18,-2))))),IF(AND(AH!$H$20="Derecha",RASANTE!F149&lt;=PERALTE!$AB$18),IF(RASANTE!F149&lt;=PERALTE!$Q$18,-2,IF(RASANTE!F149&lt;=PERALTE!$U$18,(10/(PERALTE!$U$18-PERALTE!$Q$18)*(RASANTE!F149-PERALTE!$Q$18)-2),IF(RASANTE!F149&lt;=PERALTE!$X$18,8,IF(RASANTE!F149&lt;=PERALTE!$AB$18,(10/(PERALTE!$X$18-PERALTE!$AB$18)*(RASANTE!F149-PERALTE!$AB$18)-2))))),IF(AND(AH!$H$24="Izquierda",RASANTE!F149&lt;=PERALTE!$AB$22),IF(RASANTE!F149&lt;=PERALTE!$S$22,-2,IF(RASANTE!F149&lt;=PERALTE!$U$22,(-6/(PERALTE!$U$22-PERALTE!$S$22)*(RASANTE!F149-PERALTE!$S$22)-2),IF(RASANTE!F149&lt;=PERALTE!$X$22,-8,IF(RASANTE!F149&lt;=PERALTE!$Z$22,(-6/(PERALTE!$X$22-PERALTE!$Z$22)*(RASANTE!F149-PERALTE!$Z$22)-2),IF(RASANTE!F149&lt;=PERALTE!$AB$22,-2))))),IF(AND(AH!$H$24="Derecha",RASANTE!F149&lt;=PERALTE!$AB$22),IF(RASANTE!F149&lt;=PERALTE!$Q$22,-2,IF(RASANTE!F149&lt;=PERALTE!$U$22,(10/(PERALTE!$U$22-PERALTE!$Q$22)*(RASANTE!F149-PERALTE!$Q$22)-2),IF(RASANTE!F149&lt;=PERALTE!$X$22,8,IF(RASANTE!F149&lt;=PERALTE!$AB$22,(10/(PERALTE!$X$22-PERALTE!$AB$22)*(RASANTE!F149-PERALTE!$AB$22)-2))))),IF(AND(AH!#REF!="Izquierda",RASANTE!F149&lt;=PERALTE!#REF!),IF(RASANTE!F149&lt;=PERALTE!#REF!,-2,IF(RASANTE!F149&lt;=PERALTE!#REF!,(-6/(PERALTE!#REF!-PERALTE!#REF!)*(RASANTE!F149-PERALTE!#REF!)-2),IF(RASANTE!F149&lt;=PERALTE!#REF!,-8,IF(RASANTE!F149&lt;=PERALTE!#REF!,(-6/(PERALTE!#REF!-PERALTE!#REF!)*(RASANTE!F149-PERALTE!#REF!)-2),IF(RASANTE!F149&lt;=PERALTE!#REF!,-2))))),IF(AND(AH!#REF!="Derecha",RASANTE!F149&lt;=PERALTE!#REF!),IF(RASANTE!F149&lt;=PERALTE!#REF!,-2,IF(RASANTE!F149&lt;=PERALTE!#REF!,(10/(PERALTE!#REF!-PERALTE!#REF!)*(RASANTE!F149-PERALTE!#REF!)-2),IF(RASANTE!F149&lt;=PERALTE!#REF!,8,IF(RASANTE!F149&lt;=PERALTE!#REF!,(10/(PERALTE!#REF!-PERALTE!#REF!)*(RASANTE!F149-PERALTE!#REF!)-2))))),IF(AND(AH!#REF!="Izquierda",RASANTE!F149&lt;=PERALTE!$AB$26),IF(RASANTE!F149&lt;=PERALTE!$S$26,-2,IF(RASANTE!F149&lt;=PERALTE!$U$26,(-6/(PERALTE!$U$26-PERALTE!$S$26)*(RASANTE!F149-PERALTE!$S$26)-2),IF(RASANTE!F149&lt;=PERALTE!$X$26,-8,IF(RASANTE!F149&lt;=PERALTE!$Z$26,(-6/(PERALTE!$X$26-PERALTE!$Z$26)*(RASANTE!F149-PERALTE!$Z$26)-2),IF(RASANTE!F149&lt;=PERALTE!$AB$26,-2))))),IF(AND(AH!#REF!="Derecha",RASANTE!F149&lt;=PERALTE!$AB$26),IF(RASANTE!F149&lt;=PERALTE!$Q$26,-2,IF(RASANTE!F149&lt;=PERALTE!$U$26,(10/(PERALTE!$U$26-PERALTE!$Q$26)*(RASANTE!F149-PERALTE!$Q$26)-2),IF(RASANTE!F149&lt;=PERALTE!$X$26,8,IF(RASANTE!F149&lt;=PERALTE!$AB$26,(10/(PERALTE!$X$26-PERALTE!$AB$26)*(RASANTE!F149-PERALTE!$AB$26)-2))))),IF(F149&lt;=PERALTE!#REF!,-2,"Abscisa fuera de la vía")))))))))))))))))))))</f>
        <v>-2.8439868193741682</v>
      </c>
      <c r="I149" s="28">
        <f>+IF(AND(AH!$H$8="Derecha",RASANTE!F149&lt;=PERALTE!$AB$6),IF(RASANTE!F149&lt;=PERALTE!$S$6,-2,IF(RASANTE!F149&lt;=PERALTE!$U$6,(-6/(PERALTE!$U$6-PERALTE!$S$6)*(RASANTE!F149-PERALTE!$S$6)-2),IF(RASANTE!F149&lt;=PERALTE!$X$6,-8,IF(RASANTE!F149&lt;=PERALTE!$Z$6,(-6/(PERALTE!$X$6-PERALTE!$Z$6)*(RASANTE!F149-PERALTE!$Z$6)-2),IF(RASANTE!F149&lt;=PERALTE!$AB$6,-2))))),IF(AND(AH!$H$8="Izquierda",RASANTE!F149&lt;=PERALTE!$AB$6),IF(RASANTE!F149&lt;=PERALTE!$Q$6,-2,IF(RASANTE!F149&lt;=PERALTE!$U$6,(10/(PERALTE!$U$6-PERALTE!$Q$6)*(RASANTE!F149-PERALTE!$Q$6)-2),IF(RASANTE!F149&lt;=PERALTE!$X$6,8,IF(RASANTE!F149&lt;=PERALTE!$AB$6,(10/(PERALTE!$X$6-PERALTE!$AB$6)*(RASANTE!F149-PERALTE!$AB$6)-2))))),IF(AND(AH!$H$10="Derecha",RASANTE!F149&lt;=PERALTE!$AB$8),IF(RASANTE!F149&lt;=PERALTE!$S$8,-2,IF(RASANTE!F149&lt;=PERALTE!$U$8,(-6/(PERALTE!$U$8-PERALTE!$S$8)*(RASANTE!F149-PERALTE!$S$8)-2),IF(RASANTE!F149&lt;=PERALTE!$X$8,-8,IF(RASANTE!F149&lt;=PERALTE!$Z$8,(-6/(PERALTE!$X$8-PERALTE!$Z$8)*(RASANTE!F149-PERALTE!$Z$8)-2),IF(RASANTE!F149&lt;=PERALTE!$AB$8,-2))))),IF(AND(AH!$H$10="Izquierda",RASANTE!F149&lt;=PERALTE!$AB$8),IF(RASANTE!F149&lt;=PERALTE!$Q$8,-2,IF(RASANTE!F149&lt;=PERALTE!$U$8,(10/(PERALTE!$U$8-PERALTE!$Q$8)*(RASANTE!F149-PERALTE!$Q$8)-2),IF(RASANTE!F149&lt;=PERALTE!$X$8,8,IF(RASANTE!F149&lt;=PERALTE!$AB$8,(10/(PERALTE!$X$8-PERALTE!$AB$8)*(RASANTE!F149-PERALTE!$AB$8)-2))))),IF(AND(AH!$H$12="Derecha",RASANTE!F149&lt;=PERALTE!$AB$10),IF(RASANTE!F149&lt;=PERALTE!$S$10,-2,IF(RASANTE!F149&lt;=PERALTE!$U$10,(-6/(PERALTE!$U$10-PERALTE!$S$10)*(RASANTE!F149-PERALTE!$S$10)-2),IF(RASANTE!F149&lt;=PERALTE!$X$10,-8,IF(RASANTE!F149&lt;=PERALTE!$Z$10,(-6/(PERALTE!$X$10-PERALTE!$Z$10)*(RASANTE!F149-PERALTE!$Z$10)-2),IF(RASANTE!F149&lt;=PERALTE!$AB$10,-2))))),IF(AND(AH!$H$12="Izquierda",RASANTE!F149&lt;=PERALTE!$AB$10),IF(RASANTE!F149&lt;=PERALTE!$Q$10,-2,IF(RASANTE!F149&lt;=PERALTE!$U$10,(10/(PERALTE!$U$10-PERALTE!$Q$10)*(RASANTE!F149-PERALTE!$Q$10)-2),IF(RASANTE!F149&lt;=PERALTE!$X$10,8,IF(RASANTE!F149&lt;=PERALTE!$AB$10,(10/(PERALTE!$X$10-PERALTE!$AB$10)*(RASANTE!F149-PERALTE!$AB$10)-2))))),IF(AND(AH!$H$14="Derecha",RASANTE!F149&lt;=PERALTE!$AB$12),IF(RASANTE!F149&lt;=PERALTE!$S$12,-2,IF(RASANTE!F149&lt;=PERALTE!$U$12,(-6/(PERALTE!$U$12-PERALTE!$S$12)*(RASANTE!F149-PERALTE!$S$12)-2),IF(RASANTE!F149&lt;=PERALTE!$X$12,-8,IF(RASANTE!F149&lt;=PERALTE!$Z$12,(-6/(PERALTE!$X$12-PERALTE!$Z$12)*(RASANTE!F149-PERALTE!$Z$12)-2),IF(RASANTE!F149&lt;=PERALTE!$AB$12,-2))))),IF(AND(AH!$H$14="Izquierda",RASANTE!F149&lt;=PERALTE!$AB$12),IF(RASANTE!F149&lt;=PERALTE!$Q$12,-2,IF(RASANTE!F149&lt;=PERALTE!$U$12,(10/(PERALTE!$U$12-PERALTE!$Q$12)*(RASANTE!F149-PERALTE!$Q$12)-2),IF(RASANTE!F149&lt;=PERALTE!$X$12,8,IF(RASANTE!F149&lt;=PERALTE!$AB$12,(10/(PERALTE!$X$12-PERALTE!$AB$12)*(RASANTE!F149-PERALTE!$AB$12)-2))))),IF(AND(AH!$H$16="Derecha",RASANTE!F149&lt;=PERALTE!$AB$14),IF(RASANTE!F149&lt;=PERALTE!$S$14,-2,IF(RASANTE!F149&lt;=PERALTE!$U$14,(-6/(PERALTE!$U$14-PERALTE!$S$14)*(RASANTE!F149-PERALTE!$S$14)-2),IF(RASANTE!F149&lt;=PERALTE!$X$14,-8,IF(RASANTE!F149&lt;=PERALTE!$Z$14,(-6/(PERALTE!$X$14-PERALTE!$Z$14)*(RASANTE!F149-PERALTE!$Z$14)-2),IF(RASANTE!F149&lt;=PERALTE!$AB$14,-2))))),IF(AND(AH!$H$16="Izquierda",RASANTE!F149&lt;=PERALTE!$AB$14),IF(RASANTE!F149&lt;=PERALTE!$Q$14,-2,IF(RASANTE!F149&lt;=PERALTE!$U$14,(10/(PERALTE!$U$14-PERALTE!$Q$14)*(RASANTE!F149-PERALTE!$Q$14)-2),IF(RASANTE!F149&lt;=PERALTE!$X$14,8,IF(RASANTE!F149&lt;=PERALTE!$AB$14,(10/(PERALTE!$X$14-PERALTE!$AB$14)*(RASANTE!F149-PERALTE!$AB$14)-2))))),IF(AND(AH!$H$18="Derecha",RASANTE!F149&lt;=PERALTE!$AB$16),IF(RASANTE!F149&lt;=PERALTE!$S$16,-2,IF(RASANTE!F149&lt;=PERALTE!$U$16,(-6/(PERALTE!$U$16-PERALTE!$S$16)*(RASANTE!F149-PERALTE!$S$16)-2),IF(RASANTE!F149&lt;=PERALTE!$X$16,-8,IF(RASANTE!F149&lt;=PERALTE!$Z$16,(-6/(PERALTE!$X$16-PERALTE!$Z$16)*(RASANTE!F149-PERALTE!$Z$16)-2),IF(RASANTE!F149&lt;=PERALTE!$AB$16,-2))))),IF(AND(AH!$H$18="Izquierda",RASANTE!F149&lt;=PERALTE!$AB$16),IF(RASANTE!F149&lt;=PERALTE!$Q$16,-2,IF(RASANTE!F149&lt;=PERALTE!$U$16,(10/(PERALTE!$U$16-PERALTE!$Q$16)*(RASANTE!F149-PERALTE!$Q$16)-2),IF(RASANTE!F149&lt;=PERALTE!$X$16,8,IF(RASANTE!F149&lt;=PERALTE!$AB$16,(10/(PERALTE!$X$16-PERALTE!$AB$16)*(RASANTE!F149-PERALTE!$AB$16)-2))))),IF(AND(AH!$H$20="Derecha",RASANTE!F149&lt;=PERALTE!$AB$18),IF(RASANTE!F149&lt;=PERALTE!$S$18,-2,IF(RASANTE!F149&lt;=PERALTE!$U$18,(-6/(PERALTE!$U$18-PERALTE!$S$18)*(RASANTE!F149-PERALTE!$S$18)-2),IF(RASANTE!F149&lt;=PERALTE!$X$18,-8,IF(RASANTE!F149&lt;=PERALTE!$Z$18,(-6/(PERALTE!$X$18-PERALTE!$Z$18)*(RASANTE!F149-PERALTE!$Z$18)-2),IF(RASANTE!F149&lt;=PERALTE!$AB$18,-2))))),IF(AND(AH!$H$20="Izquierda",RASANTE!F149&lt;=PERALTE!$AB$18),IF(RASANTE!F149&lt;=PERALTE!$Q$18,-2,IF(RASANTE!F149&lt;=PERALTE!$U$18,(10/(PERALTE!$U$18-PERALTE!$Q$18)*(RASANTE!F149-PERALTE!$Q$18)-2),IF(RASANTE!F149&lt;=PERALTE!$X$18,8,IF(RASANTE!F149&lt;=PERALTE!$AB$18,(10/(PERALTE!$X$18-PERALTE!$AB$18)*(RASANTE!F149-PERALTE!$AB$18)-2))))),IF(AND(AH!$H$24="Derecha",RASANTE!F149&lt;=PERALTE!$AB$22),IF(RASANTE!F149&lt;=PERALTE!$S$22,-2,IF(RASANTE!F149&lt;=PERALTE!$U$22,(-6/(PERALTE!$U$22-PERALTE!$S$22)*(RASANTE!F149-PERALTE!$S$22)-2),IF(RASANTE!F149&lt;=PERALTE!$X$22,-8,IF(RASANTE!F149&lt;=PERALTE!$Z$22,(-6/(PERALTE!$X$22-PERALTE!$Z$22)*(RASANTE!F149-PERALTE!$Z$22)-2),IF(RASANTE!F149&lt;=PERALTE!$AB$22,-2))))),IF(AND(AH!$H$24="Izquierda",RASANTE!F149&lt;=PERALTE!$AB$22),IF(RASANTE!F149&lt;=PERALTE!$Q$22,-2,IF(RASANTE!F149&lt;=PERALTE!$U$22,(10/(PERALTE!$U$22-PERALTE!$Q$22)*(RASANTE!F149-PERALTE!$Q$22)-2),IF(RASANTE!F149&lt;=PERALTE!$X$22,8,IF(RASANTE!F149&lt;=PERALTE!$AB$22,(10/(PERALTE!$X$22-PERALTE!$AB$22)*(RASANTE!F149-PERALTE!$AB$22)-2))))),IF(AND(AH!#REF!="Derecha",RASANTE!F149&lt;=PERALTE!#REF!),IF(RASANTE!F149&lt;=PERALTE!#REF!,-2,IF(RASANTE!F149&lt;=PERALTE!#REF!,(-6/(PERALTE!#REF!-PERALTE!#REF!)*(RASANTE!F149-PERALTE!#REF!)-2),IF(RASANTE!F149&lt;=PERALTE!#REF!,-8,IF(RASANTE!F149&lt;=PERALTE!#REF!,(-6/(PERALTE!#REF!-PERALTE!#REF!)*(RASANTE!F149-PERALTE!#REF!)-2),IF(RASANTE!F149&lt;=PERALTE!#REF!,-2))))),IF(AND(AH!#REF!="Izquierda",RASANTE!F149&lt;=PERALTE!#REF!),IF(RASANTE!F149&lt;=PERALTE!#REF!,-2,IF(RASANTE!F149&lt;=PERALTE!#REF!,(10/(PERALTE!#REF!-PERALTE!#REF!)*(RASANTE!F149-PERALTE!#REF!)-2),IF(RASANTE!F149&lt;=PERALTE!#REF!,8,IF(RASANTE!F149&lt;=PERALTE!#REF!,(10/(PERALTE!#REF!-PERALTE!#REF!)*(RASANTE!F149-PERALTE!#REF!)-2))))),IF(AND(AH!#REF!="Derecha",RASANTE!F149&lt;=PERALTE!$AB$26),IF(RASANTE!F149&lt;=PERALTE!$S$26,-2,IF(RASANTE!F149&lt;=PERALTE!$U$26,(-6/(PERALTE!$U$26-PERALTE!$S$26)*(RASANTE!F149-PERALTE!$S$26)-2),IF(RASANTE!F149&lt;=PERALTE!$X$26,-8,IF(RASANTE!F149&lt;=PERALTE!$Z$26,(-6/(PERALTE!$X$26-PERALTE!$Z$26)*(RASANTE!F149-PERALTE!$Z$26)-2),IF(RASANTE!F149&lt;=PERALTE!$AB$26,-2))))),IF(AND(AH!#REF!="Izquierda",RASANTE!F149&lt;=PERALTE!$AB$26),IF(RASANTE!F149&lt;=PERALTE!$Q$26,-2,IF(RASANTE!F149&lt;=PERALTE!$U$26,(10/(PERALTE!$U$26-PERALTE!$Q$26)*(RASANTE!F149-PERALTE!$Q$26)-2),IF(RASANTE!F149&lt;=PERALTE!$X$26,8,IF(RASANTE!F149&lt;=PERALTE!$AB$26,(10/(PERALTE!$X$26-PERALTE!$AB$26)*(RASANTE!F149-PERALTE!$AB$26)-2))))),IF(F149&lt;=PERALTE!#REF!,-2,"Abscisa fuera de la vía")))))))))))))))))))))</f>
        <v>2.8439868193741766</v>
      </c>
      <c r="J149" s="28">
        <f t="shared" si="6"/>
        <v>1619.9826380375921</v>
      </c>
      <c r="K149" s="28" t="e">
        <f>+IF(AND(AV!$S$6&lt;F149,F149&lt;=AV!$T$6),AV!$P$6*((AV!$S$6-RASANTE!F149)/(AV!$N$6))^2,IF(AND(AV!$T$6&lt;RASANTE!F149,F149&lt;AV!$U$6),AV!$P$6*((AV!$U$6-RASANTE!F149)/(AV!$O$6))^2,IF(AND(AV!$S$8&lt;F149,F149&lt;=AV!$T$8),AV!$P$8*((AV!$S$8-RASANTE!F149)/(AV!$N$8))^2,IF(AND(AV!$T$8&lt;RASANTE!F149,F149&lt;AV!$U$8),AV!$P$8*((AV!$U$8-RASANTE!F149)/(AV!$O$8))^2,IF(AND(AV!$S$10&lt;F149,F149&lt;=AV!$T$10),AV!$P$10*((AV!$S$10-RASANTE!F149)/(AV!$N$10))^2,IF(AND(AV!$T$10&lt;RASANTE!F149,F149&lt;AV!$U$10),AV!$P$10*((AV!$U$10-RASANTE!F149)/(AV!$O$10))^2,IF(AND(AV!$S$12&lt;F149,F149&lt;=AV!$T$12),AV!$P$12*((AV!$S$12-RASANTE!F149)/(AV!$N$12))^2,IF(AND(AV!$T$12&lt;RASANTE!F149,F149&lt;AV!$U$12),AV!$P$12*((AV!$U$12-RASANTE!F149)/(AV!$O$12))^2,IF(AND(AV!$S$14&lt;F149,F149&lt;=AV!$T$14),AV!$P$14*((AV!$S$14-RASANTE!F149)/(AV!$N$14))^2,IF(AND(AV!$T$14&lt;RASANTE!F149,F149&lt;AV!$U$14),AV!$P$14*((AV!$U$14-RASANTE!F149)/(AV!$O$14))^2,IF(AND(AV!$S$16&lt;F149,F149&lt;=AV!$T$16),AV!$P$16*((AV!$S$16-RASANTE!F149)/(AV!$N$16))^2,IF(AND(AV!$T$16&lt;RASANTE!F149,F149&lt;AV!$U$16),AV!$P$16*((AV!$U$16-RASANTE!F149)/(AV!$O$16))^2,IF(AND(AV!$S$18&lt;F149,F149&lt;=AV!$T$18),AV!$P$18*((AV!$S$18-RASANTE!F149)/(AV!$N$18))^2,IF(AND(AV!$T$18&lt;RASANTE!F149,F149&lt;AV!$U$18),AV!$P$18*((AV!$U$18-RASANTE!F149)/(AV!$O$18))^2,IF(AND(AV!$S$20&lt;F149,F149&lt;=AV!$T$20),AV!$P$20*((AV!$S$20-RASANTE!F149)/(AV!$N$20))^2,IF(AND(AV!$T$20&lt;RASANTE!F149,F149&lt;AV!$U$20),AV!$P$20*((AV!$U$20-RASANTE!F149)/(AV!$O$20))^2,IF(AND(AV!$S$22&lt;F149,F149&lt;=AV!$T$22),AV!$P$22*((AV!$S$22-RASANTE!F149)/(AV!$N$22))^2,IF(AND(AV!$T$22&lt;RASANTE!F149,F149&lt;AV!$U$22),AV!$P$22*((AV!$U$22-RASANTE!F149)/(AV!$O$22))^2,IF(AND(AV!$S$24&lt;F149,F149&lt;=AV!$T$24),AV!$P$24*((AV!$S$24-RASANTE!F149)/(AV!$N$24))^2,IF(AND(AV!$T$24&lt;RASANTE!F149,F149&lt;AV!$U$24),AV!$P$24*((AV!$U$24-RASANTE!F149)/(AV!$O$24))^2,0))))))))))))))))))))</f>
        <v>#DIV/0!</v>
      </c>
      <c r="L149" s="28" t="e">
        <f>+M149+H149%*PERALTE!$C$32</f>
        <v>#DIV/0!</v>
      </c>
      <c r="M149" s="28" t="e">
        <f t="shared" si="5"/>
        <v>#DIV/0!</v>
      </c>
      <c r="N149" s="28" t="e">
        <f>+M149+I149%*PERALTE!$C$32</f>
        <v>#DIV/0!</v>
      </c>
      <c r="O149" s="92"/>
      <c r="P149" s="84"/>
      <c r="Q149" s="84"/>
      <c r="R149" s="84"/>
      <c r="S149" s="84"/>
      <c r="T149" s="84"/>
      <c r="U149" s="84"/>
      <c r="V149" s="84"/>
      <c r="W149" s="84"/>
      <c r="X149" s="84"/>
      <c r="Y149" s="84"/>
    </row>
    <row r="150" spans="1:25" ht="15.75" customHeight="1" x14ac:dyDescent="0.2">
      <c r="A150" s="320"/>
      <c r="B150" s="86"/>
      <c r="C150" s="86"/>
      <c r="D150" s="86"/>
      <c r="F150" s="34">
        <f>PERALTE!Z12</f>
        <v>903.83630372442803</v>
      </c>
      <c r="G150" s="88">
        <f>IF(F150&lt;=AV!$T$6,AV!$C$5,IF(RASANTE!F150&lt;=AV!$T$8,AV!$C$7,IF(RASANTE!F150&lt;=AV!$T$10,AV!$C$9,IF(RASANTE!F150&lt;=AV!$T$12,AV!$C$11,IF(RASANTE!F150&lt;=AV!$T$14,AV!$C$13,IF(RASANTE!F150&lt;=AV!$T$16,AV!$C$15, IF(RASANTE!F150&lt;=AV!$T$18,AV!$C$17,IF(RASANTE!F150&lt;=AV!$T$20,AV!$C$19,IF(RASANTE!F150&lt;=AV!$T$22,AV!$C$21,IF(RASANTE!F150&lt;=AV!$T$24,AV!$C$23,AV!$C$25))))))))))</f>
        <v>-7.2409999999999997</v>
      </c>
      <c r="H150" s="28">
        <f>+IF(AND(AH!$H$8="Izquierda",RASANTE!F150&lt;=PERALTE!$AB$6),IF(RASANTE!F150&lt;=PERALTE!$S$6,-2,IF(RASANTE!F150&lt;=PERALTE!$U$6,(-6/(PERALTE!$U$6-PERALTE!$S$6)*(RASANTE!F150-PERALTE!$S$6)-2),IF(RASANTE!F150&lt;=PERALTE!$X$6,-8,IF(RASANTE!F150&lt;=PERALTE!$Z$6,(-6/(PERALTE!$X$6-PERALTE!$Z$6)*(RASANTE!F150-PERALTE!$Z$6)-2),IF(RASANTE!F150&lt;=PERALTE!$AB$6,-2))))),IF(AND(AH!$H$8="Derecha",RASANTE!F150&lt;=PERALTE!$AB$6),IF(RASANTE!F150&lt;=PERALTE!$Q$6,-2,IF(RASANTE!F150&lt;=PERALTE!$U$6,(10/(PERALTE!$U$6-PERALTE!$Q$6)*(RASANTE!F150-PERALTE!$Q$6)-2),IF(RASANTE!F150&lt;=PERALTE!$X$6,8,IF(RASANTE!F150&lt;=PERALTE!$AB$6,(10/(PERALTE!$X$6-PERALTE!$AB$6)*(RASANTE!F150-PERALTE!$AB$6)-2))))),IF(AND(AH!$H$10="Izquierda",RASANTE!F150&lt;=PERALTE!$AB$8),IF(RASANTE!F150&lt;=PERALTE!$S$8,-2,IF(RASANTE!F150&lt;=PERALTE!$U$8,(-6/(PERALTE!$U$8-PERALTE!$S$8)*(RASANTE!F150-PERALTE!$S$8)-2),IF(RASANTE!F150&lt;=PERALTE!$X$8,-8,IF(RASANTE!F150&lt;=PERALTE!$Z$8,(-6/(PERALTE!$X$8-PERALTE!$Z$8)*(RASANTE!F150-PERALTE!$Z$8)-2),IF(RASANTE!F150&lt;=PERALTE!$AB$8,-2))))),IF(AND(AH!$H$10="Derecha",RASANTE!F150&lt;=PERALTE!$AB$8),IF(RASANTE!F150&lt;=PERALTE!$Q$8,-2,IF(RASANTE!F150&lt;=PERALTE!$U$8,(10/(PERALTE!$U$8-PERALTE!$Q$8)*(RASANTE!F150-PERALTE!$Q$8)-2),IF(RASANTE!F150&lt;=PERALTE!$X$8,8,IF(RASANTE!F150&lt;=PERALTE!$AB$8,(10/(PERALTE!$X$8-PERALTE!$AB$8)*(RASANTE!F150-PERALTE!$AB$8)-2))))),IF(AND(AH!$H$12="Izquierda",RASANTE!F150&lt;=PERALTE!$AB$10),IF(RASANTE!F150&lt;=PERALTE!$S$10,-2,IF(RASANTE!F150&lt;=PERALTE!$U$10,(-6/(PERALTE!$U$10-PERALTE!$S$10)*(RASANTE!F150-PERALTE!$S$10)-2),IF(RASANTE!F150&lt;=PERALTE!$X$10,-8,IF(RASANTE!F150&lt;=PERALTE!$Z$10,(-6/(PERALTE!$X$10-PERALTE!$Z$10)*(RASANTE!F150-PERALTE!$Z$10)-2),IF(RASANTE!F150&lt;=PERALTE!$AB$10,-2))))),IF(AND(AH!$H$12="Derecha",RASANTE!F150&lt;=PERALTE!$AB$10),IF(RASANTE!F150&lt;=PERALTE!$Q$10,-2,IF(RASANTE!F150&lt;=PERALTE!$U$10,(10/(PERALTE!$U$10-PERALTE!$Q$10)*(RASANTE!F150-PERALTE!$Q$10)-2),IF(RASANTE!F150&lt;=PERALTE!$X$10,8,IF(RASANTE!F150&lt;=PERALTE!$AB$10,(10/(PERALTE!$X$10-PERALTE!$AB$10)*(RASANTE!F150-PERALTE!$AB$10)-2))))),IF(AND(AH!$H$14="Izquierda",RASANTE!F150&lt;=PERALTE!$AB$12),IF(RASANTE!F150&lt;=PERALTE!$S$12,-2,IF(RASANTE!F150&lt;=PERALTE!$U$12,(-6/(PERALTE!$U$12-PERALTE!$S$12)*(RASANTE!F150-PERALTE!$S$12)-2),IF(RASANTE!F150&lt;=PERALTE!$X$12,-8,IF(RASANTE!F150&lt;=PERALTE!$Z$12,(-6/(PERALTE!$X$12-PERALTE!$Z$12)*(RASANTE!F150-PERALTE!$Z$12)-2),IF(RASANTE!F150&lt;=PERALTE!$AB$12,-2))))),IF(AND(AH!$H$14="Derecha",RASANTE!F150&lt;=PERALTE!$AB$12),IF(RASANTE!F150&lt;=PERALTE!$Q$12,-2,IF(RASANTE!F150&lt;=PERALTE!$U$12,(10/(PERALTE!$U$12-PERALTE!$Q$12)*(RASANTE!F150-PERALTE!$Q$12)-2),IF(RASANTE!F150&lt;=PERALTE!$X$12,8,IF(RASANTE!F150&lt;=PERALTE!$AB$12,(10/(PERALTE!$X$12-PERALTE!$AB$12)*(RASANTE!F150-PERALTE!$AB$12)-2))))),IF(AND(AH!$H$16="Izquierda",RASANTE!F150&lt;=PERALTE!$AB$14),IF(RASANTE!F150&lt;=PERALTE!$S$14,-2,IF(RASANTE!F150&lt;=PERALTE!$U$14,(-6/(PERALTE!$U$14-PERALTE!$S$14)*(RASANTE!F150-PERALTE!$S$14)-2),IF(RASANTE!F150&lt;=PERALTE!$X$14,-8,IF(RASANTE!F150&lt;=PERALTE!$Z$14,(-6/(PERALTE!$X$14-PERALTE!$Z$14)*(RASANTE!F150-PERALTE!$Z$14)-2),IF(RASANTE!F150&lt;=PERALTE!$AB$14,-2))))),IF(AND(AH!$H$16="Derecha",RASANTE!F150&lt;=PERALTE!$AB$14),IF(RASANTE!F150&lt;=PERALTE!$Q$14,-2,IF(RASANTE!F150&lt;=PERALTE!$U$14,(10/(PERALTE!$U$14-PERALTE!$Q$14)*(RASANTE!F150-PERALTE!$Q$14)-2),IF(RASANTE!F150&lt;=PERALTE!$X$14,8,IF(RASANTE!F150&lt;=PERALTE!$AB$14,(10/(PERALTE!$X$14-PERALTE!$AB$14)*(RASANTE!F150-PERALTE!$AB$14)-2))))),IF(AND(AH!$H$18="Izquierda",RASANTE!F150&lt;=PERALTE!$AB$16),IF(RASANTE!F150&lt;=PERALTE!$S$16,-2,IF(RASANTE!F150&lt;=PERALTE!$U$16,(-6/(PERALTE!$U$16-PERALTE!$S$16)*(RASANTE!F150-PERALTE!$S$16)-2),IF(RASANTE!F150&lt;=PERALTE!$X$16,-8,IF(RASANTE!F150&lt;=PERALTE!$Z$16,(-6/(PERALTE!$X$16-PERALTE!$Z$16)*(RASANTE!F150-PERALTE!$Z$16)-2),IF(RASANTE!F150&lt;=PERALTE!$AB$16,-2))))),IF(AND(AH!$H$18="Derecha",RASANTE!F150&lt;=PERALTE!$AB$16),IF(RASANTE!F150&lt;=PERALTE!$Q$16,-2,IF(RASANTE!F150&lt;=PERALTE!$U$16,(10/(PERALTE!$U$16-PERALTE!$Q$16)*(RASANTE!F150-PERALTE!$Q$16)-2),IF(RASANTE!F150&lt;=PERALTE!$X$16,8,IF(RASANTE!F150&lt;=PERALTE!$AB$16,(10/(PERALTE!$X$16-PERALTE!$AB$16)*(RASANTE!F150-PERALTE!$AB$16)-2))))),IF(AND(AH!$H$20="Izquierda",RASANTE!F150&lt;=PERALTE!$AB$18),IF(RASANTE!F150&lt;=PERALTE!$S$18,-2,IF(RASANTE!F150&lt;=PERALTE!$U$18,(-6/(PERALTE!$U$18-PERALTE!$S$18)*(RASANTE!F150-PERALTE!$S$18)-2),IF(RASANTE!F150&lt;=PERALTE!$X$18,-8,IF(RASANTE!F150&lt;=PERALTE!$Z$18,(-6/(PERALTE!$X$18-PERALTE!$Z$18)*(RASANTE!F150-PERALTE!$Z$18)-2),IF(RASANTE!F150&lt;=PERALTE!$AB$18,-2))))),IF(AND(AH!$H$20="Derecha",RASANTE!F150&lt;=PERALTE!$AB$18),IF(RASANTE!F150&lt;=PERALTE!$Q$18,-2,IF(RASANTE!F150&lt;=PERALTE!$U$18,(10/(PERALTE!$U$18-PERALTE!$Q$18)*(RASANTE!F150-PERALTE!$Q$18)-2),IF(RASANTE!F150&lt;=PERALTE!$X$18,8,IF(RASANTE!F150&lt;=PERALTE!$AB$18,(10/(PERALTE!$X$18-PERALTE!$AB$18)*(RASANTE!F150-PERALTE!$AB$18)-2))))),IF(AND(AH!$H$24="Izquierda",RASANTE!F150&lt;=PERALTE!$AB$22),IF(RASANTE!F150&lt;=PERALTE!$S$22,-2,IF(RASANTE!F150&lt;=PERALTE!$U$22,(-6/(PERALTE!$U$22-PERALTE!$S$22)*(RASANTE!F150-PERALTE!$S$22)-2),IF(RASANTE!F150&lt;=PERALTE!$X$22,-8,IF(RASANTE!F150&lt;=PERALTE!$Z$22,(-6/(PERALTE!$X$22-PERALTE!$Z$22)*(RASANTE!F150-PERALTE!$Z$22)-2),IF(RASANTE!F150&lt;=PERALTE!$AB$22,-2))))),IF(AND(AH!$H$24="Derecha",RASANTE!F150&lt;=PERALTE!$AB$22),IF(RASANTE!F150&lt;=PERALTE!$Q$22,-2,IF(RASANTE!F150&lt;=PERALTE!$U$22,(10/(PERALTE!$U$22-PERALTE!$Q$22)*(RASANTE!F150-PERALTE!$Q$22)-2),IF(RASANTE!F150&lt;=PERALTE!$X$22,8,IF(RASANTE!F150&lt;=PERALTE!$AB$22,(10/(PERALTE!$X$22-PERALTE!$AB$22)*(RASANTE!F150-PERALTE!$AB$22)-2))))),IF(AND(AH!#REF!="Izquierda",RASANTE!F150&lt;=PERALTE!#REF!),IF(RASANTE!F150&lt;=PERALTE!#REF!,-2,IF(RASANTE!F150&lt;=PERALTE!#REF!,(-6/(PERALTE!#REF!-PERALTE!#REF!)*(RASANTE!F150-PERALTE!#REF!)-2),IF(RASANTE!F150&lt;=PERALTE!#REF!,-8,IF(RASANTE!F150&lt;=PERALTE!#REF!,(-6/(PERALTE!#REF!-PERALTE!#REF!)*(RASANTE!F150-PERALTE!#REF!)-2),IF(RASANTE!F150&lt;=PERALTE!#REF!,-2))))),IF(AND(AH!#REF!="Derecha",RASANTE!F150&lt;=PERALTE!#REF!),IF(RASANTE!F150&lt;=PERALTE!#REF!,-2,IF(RASANTE!F150&lt;=PERALTE!#REF!,(10/(PERALTE!#REF!-PERALTE!#REF!)*(RASANTE!F150-PERALTE!#REF!)-2),IF(RASANTE!F150&lt;=PERALTE!#REF!,8,IF(RASANTE!F150&lt;=PERALTE!#REF!,(10/(PERALTE!#REF!-PERALTE!#REF!)*(RASANTE!F150-PERALTE!#REF!)-2))))),IF(AND(AH!#REF!="Izquierda",RASANTE!F150&lt;=PERALTE!$AB$26),IF(RASANTE!F150&lt;=PERALTE!$S$26,-2,IF(RASANTE!F150&lt;=PERALTE!$U$26,(-6/(PERALTE!$U$26-PERALTE!$S$26)*(RASANTE!F150-PERALTE!$S$26)-2),IF(RASANTE!F150&lt;=PERALTE!$X$26,-8,IF(RASANTE!F150&lt;=PERALTE!$Z$26,(-6/(PERALTE!$X$26-PERALTE!$Z$26)*(RASANTE!F150-PERALTE!$Z$26)-2),IF(RASANTE!F150&lt;=PERALTE!$AB$26,-2))))),IF(AND(AH!#REF!="Derecha",RASANTE!F150&lt;=PERALTE!$AB$26),IF(RASANTE!F150&lt;=PERALTE!$Q$26,-2,IF(RASANTE!F150&lt;=PERALTE!$U$26,(10/(PERALTE!$U$26-PERALTE!$Q$26)*(RASANTE!F150-PERALTE!$Q$26)-2),IF(RASANTE!F150&lt;=PERALTE!$X$26,8,IF(RASANTE!F150&lt;=PERALTE!$AB$26,(10/(PERALTE!$X$26-PERALTE!$AB$26)*(RASANTE!F150-PERALTE!$AB$26)-2))))),IF(F150&lt;=PERALTE!#REF!,-2,"Abscisa fuera de la vía")))))))))))))))))))))</f>
        <v>-2</v>
      </c>
      <c r="I150" s="28">
        <f>+IF(AND(AH!$H$8="Derecha",RASANTE!F150&lt;=PERALTE!$AB$6),IF(RASANTE!F150&lt;=PERALTE!$S$6,-2,IF(RASANTE!F150&lt;=PERALTE!$U$6,(-6/(PERALTE!$U$6-PERALTE!$S$6)*(RASANTE!F150-PERALTE!$S$6)-2),IF(RASANTE!F150&lt;=PERALTE!$X$6,-8,IF(RASANTE!F150&lt;=PERALTE!$Z$6,(-6/(PERALTE!$X$6-PERALTE!$Z$6)*(RASANTE!F150-PERALTE!$Z$6)-2),IF(RASANTE!F150&lt;=PERALTE!$AB$6,-2))))),IF(AND(AH!$H$8="Izquierda",RASANTE!F150&lt;=PERALTE!$AB$6),IF(RASANTE!F150&lt;=PERALTE!$Q$6,-2,IF(RASANTE!F150&lt;=PERALTE!$U$6,(10/(PERALTE!$U$6-PERALTE!$Q$6)*(RASANTE!F150-PERALTE!$Q$6)-2),IF(RASANTE!F150&lt;=PERALTE!$X$6,8,IF(RASANTE!F150&lt;=PERALTE!$AB$6,(10/(PERALTE!$X$6-PERALTE!$AB$6)*(RASANTE!F150-PERALTE!$AB$6)-2))))),IF(AND(AH!$H$10="Derecha",RASANTE!F150&lt;=PERALTE!$AB$8),IF(RASANTE!F150&lt;=PERALTE!$S$8,-2,IF(RASANTE!F150&lt;=PERALTE!$U$8,(-6/(PERALTE!$U$8-PERALTE!$S$8)*(RASANTE!F150-PERALTE!$S$8)-2),IF(RASANTE!F150&lt;=PERALTE!$X$8,-8,IF(RASANTE!F150&lt;=PERALTE!$Z$8,(-6/(PERALTE!$X$8-PERALTE!$Z$8)*(RASANTE!F150-PERALTE!$Z$8)-2),IF(RASANTE!F150&lt;=PERALTE!$AB$8,-2))))),IF(AND(AH!$H$10="Izquierda",RASANTE!F150&lt;=PERALTE!$AB$8),IF(RASANTE!F150&lt;=PERALTE!$Q$8,-2,IF(RASANTE!F150&lt;=PERALTE!$U$8,(10/(PERALTE!$U$8-PERALTE!$Q$8)*(RASANTE!F150-PERALTE!$Q$8)-2),IF(RASANTE!F150&lt;=PERALTE!$X$8,8,IF(RASANTE!F150&lt;=PERALTE!$AB$8,(10/(PERALTE!$X$8-PERALTE!$AB$8)*(RASANTE!F150-PERALTE!$AB$8)-2))))),IF(AND(AH!$H$12="Derecha",RASANTE!F150&lt;=PERALTE!$AB$10),IF(RASANTE!F150&lt;=PERALTE!$S$10,-2,IF(RASANTE!F150&lt;=PERALTE!$U$10,(-6/(PERALTE!$U$10-PERALTE!$S$10)*(RASANTE!F150-PERALTE!$S$10)-2),IF(RASANTE!F150&lt;=PERALTE!$X$10,-8,IF(RASANTE!F150&lt;=PERALTE!$Z$10,(-6/(PERALTE!$X$10-PERALTE!$Z$10)*(RASANTE!F150-PERALTE!$Z$10)-2),IF(RASANTE!F150&lt;=PERALTE!$AB$10,-2))))),IF(AND(AH!$H$12="Izquierda",RASANTE!F150&lt;=PERALTE!$AB$10),IF(RASANTE!F150&lt;=PERALTE!$Q$10,-2,IF(RASANTE!F150&lt;=PERALTE!$U$10,(10/(PERALTE!$U$10-PERALTE!$Q$10)*(RASANTE!F150-PERALTE!$Q$10)-2),IF(RASANTE!F150&lt;=PERALTE!$X$10,8,IF(RASANTE!F150&lt;=PERALTE!$AB$10,(10/(PERALTE!$X$10-PERALTE!$AB$10)*(RASANTE!F150-PERALTE!$AB$10)-2))))),IF(AND(AH!$H$14="Derecha",RASANTE!F150&lt;=PERALTE!$AB$12),IF(RASANTE!F150&lt;=PERALTE!$S$12,-2,IF(RASANTE!F150&lt;=PERALTE!$U$12,(-6/(PERALTE!$U$12-PERALTE!$S$12)*(RASANTE!F150-PERALTE!$S$12)-2),IF(RASANTE!F150&lt;=PERALTE!$X$12,-8,IF(RASANTE!F150&lt;=PERALTE!$Z$12,(-6/(PERALTE!$X$12-PERALTE!$Z$12)*(RASANTE!F150-PERALTE!$Z$12)-2),IF(RASANTE!F150&lt;=PERALTE!$AB$12,-2))))),IF(AND(AH!$H$14="Izquierda",RASANTE!F150&lt;=PERALTE!$AB$12),IF(RASANTE!F150&lt;=PERALTE!$Q$12,-2,IF(RASANTE!F150&lt;=PERALTE!$U$12,(10/(PERALTE!$U$12-PERALTE!$Q$12)*(RASANTE!F150-PERALTE!$Q$12)-2),IF(RASANTE!F150&lt;=PERALTE!$X$12,8,IF(RASANTE!F150&lt;=PERALTE!$AB$12,(10/(PERALTE!$X$12-PERALTE!$AB$12)*(RASANTE!F150-PERALTE!$AB$12)-2))))),IF(AND(AH!$H$16="Derecha",RASANTE!F150&lt;=PERALTE!$AB$14),IF(RASANTE!F150&lt;=PERALTE!$S$14,-2,IF(RASANTE!F150&lt;=PERALTE!$U$14,(-6/(PERALTE!$U$14-PERALTE!$S$14)*(RASANTE!F150-PERALTE!$S$14)-2),IF(RASANTE!F150&lt;=PERALTE!$X$14,-8,IF(RASANTE!F150&lt;=PERALTE!$Z$14,(-6/(PERALTE!$X$14-PERALTE!$Z$14)*(RASANTE!F150-PERALTE!$Z$14)-2),IF(RASANTE!F150&lt;=PERALTE!$AB$14,-2))))),IF(AND(AH!$H$16="Izquierda",RASANTE!F150&lt;=PERALTE!$AB$14),IF(RASANTE!F150&lt;=PERALTE!$Q$14,-2,IF(RASANTE!F150&lt;=PERALTE!$U$14,(10/(PERALTE!$U$14-PERALTE!$Q$14)*(RASANTE!F150-PERALTE!$Q$14)-2),IF(RASANTE!F150&lt;=PERALTE!$X$14,8,IF(RASANTE!F150&lt;=PERALTE!$AB$14,(10/(PERALTE!$X$14-PERALTE!$AB$14)*(RASANTE!F150-PERALTE!$AB$14)-2))))),IF(AND(AH!$H$18="Derecha",RASANTE!F150&lt;=PERALTE!$AB$16),IF(RASANTE!F150&lt;=PERALTE!$S$16,-2,IF(RASANTE!F150&lt;=PERALTE!$U$16,(-6/(PERALTE!$U$16-PERALTE!$S$16)*(RASANTE!F150-PERALTE!$S$16)-2),IF(RASANTE!F150&lt;=PERALTE!$X$16,-8,IF(RASANTE!F150&lt;=PERALTE!$Z$16,(-6/(PERALTE!$X$16-PERALTE!$Z$16)*(RASANTE!F150-PERALTE!$Z$16)-2),IF(RASANTE!F150&lt;=PERALTE!$AB$16,-2))))),IF(AND(AH!$H$18="Izquierda",RASANTE!F150&lt;=PERALTE!$AB$16),IF(RASANTE!F150&lt;=PERALTE!$Q$16,-2,IF(RASANTE!F150&lt;=PERALTE!$U$16,(10/(PERALTE!$U$16-PERALTE!$Q$16)*(RASANTE!F150-PERALTE!$Q$16)-2),IF(RASANTE!F150&lt;=PERALTE!$X$16,8,IF(RASANTE!F150&lt;=PERALTE!$AB$16,(10/(PERALTE!$X$16-PERALTE!$AB$16)*(RASANTE!F150-PERALTE!$AB$16)-2))))),IF(AND(AH!$H$20="Derecha",RASANTE!F150&lt;=PERALTE!$AB$18),IF(RASANTE!F150&lt;=PERALTE!$S$18,-2,IF(RASANTE!F150&lt;=PERALTE!$U$18,(-6/(PERALTE!$U$18-PERALTE!$S$18)*(RASANTE!F150-PERALTE!$S$18)-2),IF(RASANTE!F150&lt;=PERALTE!$X$18,-8,IF(RASANTE!F150&lt;=PERALTE!$Z$18,(-6/(PERALTE!$X$18-PERALTE!$Z$18)*(RASANTE!F150-PERALTE!$Z$18)-2),IF(RASANTE!F150&lt;=PERALTE!$AB$18,-2))))),IF(AND(AH!$H$20="Izquierda",RASANTE!F150&lt;=PERALTE!$AB$18),IF(RASANTE!F150&lt;=PERALTE!$Q$18,-2,IF(RASANTE!F150&lt;=PERALTE!$U$18,(10/(PERALTE!$U$18-PERALTE!$Q$18)*(RASANTE!F150-PERALTE!$Q$18)-2),IF(RASANTE!F150&lt;=PERALTE!$X$18,8,IF(RASANTE!F150&lt;=PERALTE!$AB$18,(10/(PERALTE!$X$18-PERALTE!$AB$18)*(RASANTE!F150-PERALTE!$AB$18)-2))))),IF(AND(AH!$H$24="Derecha",RASANTE!F150&lt;=PERALTE!$AB$22),IF(RASANTE!F150&lt;=PERALTE!$S$22,-2,IF(RASANTE!F150&lt;=PERALTE!$U$22,(-6/(PERALTE!$U$22-PERALTE!$S$22)*(RASANTE!F150-PERALTE!$S$22)-2),IF(RASANTE!F150&lt;=PERALTE!$X$22,-8,IF(RASANTE!F150&lt;=PERALTE!$Z$22,(-6/(PERALTE!$X$22-PERALTE!$Z$22)*(RASANTE!F150-PERALTE!$Z$22)-2),IF(RASANTE!F150&lt;=PERALTE!$AB$22,-2))))),IF(AND(AH!$H$24="Izquierda",RASANTE!F150&lt;=PERALTE!$AB$22),IF(RASANTE!F150&lt;=PERALTE!$Q$22,-2,IF(RASANTE!F150&lt;=PERALTE!$U$22,(10/(PERALTE!$U$22-PERALTE!$Q$22)*(RASANTE!F150-PERALTE!$Q$22)-2),IF(RASANTE!F150&lt;=PERALTE!$X$22,8,IF(RASANTE!F150&lt;=PERALTE!$AB$22,(10/(PERALTE!$X$22-PERALTE!$AB$22)*(RASANTE!F150-PERALTE!$AB$22)-2))))),IF(AND(AH!#REF!="Derecha",RASANTE!F150&lt;=PERALTE!#REF!),IF(RASANTE!F150&lt;=PERALTE!#REF!,-2,IF(RASANTE!F150&lt;=PERALTE!#REF!,(-6/(PERALTE!#REF!-PERALTE!#REF!)*(RASANTE!F150-PERALTE!#REF!)-2),IF(RASANTE!F150&lt;=PERALTE!#REF!,-8,IF(RASANTE!F150&lt;=PERALTE!#REF!,(-6/(PERALTE!#REF!-PERALTE!#REF!)*(RASANTE!F150-PERALTE!#REF!)-2),IF(RASANTE!F150&lt;=PERALTE!#REF!,-2))))),IF(AND(AH!#REF!="Izquierda",RASANTE!F150&lt;=PERALTE!#REF!),IF(RASANTE!F150&lt;=PERALTE!#REF!,-2,IF(RASANTE!F150&lt;=PERALTE!#REF!,(10/(PERALTE!#REF!-PERALTE!#REF!)*(RASANTE!F150-PERALTE!#REF!)-2),IF(RASANTE!F150&lt;=PERALTE!#REF!,8,IF(RASANTE!F150&lt;=PERALTE!#REF!,(10/(PERALTE!#REF!-PERALTE!#REF!)*(RASANTE!F150-PERALTE!#REF!)-2))))),IF(AND(AH!#REF!="Derecha",RASANTE!F150&lt;=PERALTE!$AB$26),IF(RASANTE!F150&lt;=PERALTE!$S$26,-2,IF(RASANTE!F150&lt;=PERALTE!$U$26,(-6/(PERALTE!$U$26-PERALTE!$S$26)*(RASANTE!F150-PERALTE!$S$26)-2),IF(RASANTE!F150&lt;=PERALTE!$X$26,-8,IF(RASANTE!F150&lt;=PERALTE!$Z$26,(-6/(PERALTE!$X$26-PERALTE!$Z$26)*(RASANTE!F150-PERALTE!$Z$26)-2),IF(RASANTE!F150&lt;=PERALTE!$AB$26,-2))))),IF(AND(AH!#REF!="Izquierda",RASANTE!F150&lt;=PERALTE!$AB$26),IF(RASANTE!F150&lt;=PERALTE!$Q$26,-2,IF(RASANTE!F150&lt;=PERALTE!$U$26,(10/(PERALTE!$U$26-PERALTE!$Q$26)*(RASANTE!F150-PERALTE!$Q$26)-2),IF(RASANTE!F150&lt;=PERALTE!$X$26,8,IF(RASANTE!F150&lt;=PERALTE!$AB$26,(10/(PERALTE!$X$26-PERALTE!$AB$26)*(RASANTE!F150-PERALTE!$AB$26)-2))))),IF(F150&lt;=PERALTE!#REF!,-2,"Abscisa fuera de la vía")))))))))))))))))))))</f>
        <v>2.0000000000000098</v>
      </c>
      <c r="J150" s="28">
        <f t="shared" si="6"/>
        <v>1619.7048512849062</v>
      </c>
      <c r="K150" s="28" t="e">
        <f>+IF(AND(AV!$S$6&lt;F150,F150&lt;=AV!$T$6),AV!$P$6*((AV!$S$6-RASANTE!F150)/(AV!$N$6))^2,IF(AND(AV!$T$6&lt;RASANTE!F150,F150&lt;AV!$U$6),AV!$P$6*((AV!$U$6-RASANTE!F150)/(AV!$O$6))^2,IF(AND(AV!$S$8&lt;F150,F150&lt;=AV!$T$8),AV!$P$8*((AV!$S$8-RASANTE!F150)/(AV!$N$8))^2,IF(AND(AV!$T$8&lt;RASANTE!F150,F150&lt;AV!$U$8),AV!$P$8*((AV!$U$8-RASANTE!F150)/(AV!$O$8))^2,IF(AND(AV!$S$10&lt;F150,F150&lt;=AV!$T$10),AV!$P$10*((AV!$S$10-RASANTE!F150)/(AV!$N$10))^2,IF(AND(AV!$T$10&lt;RASANTE!F150,F150&lt;AV!$U$10),AV!$P$10*((AV!$U$10-RASANTE!F150)/(AV!$O$10))^2,IF(AND(AV!$S$12&lt;F150,F150&lt;=AV!$T$12),AV!$P$12*((AV!$S$12-RASANTE!F150)/(AV!$N$12))^2,IF(AND(AV!$T$12&lt;RASANTE!F150,F150&lt;AV!$U$12),AV!$P$12*((AV!$U$12-RASANTE!F150)/(AV!$O$12))^2,IF(AND(AV!$S$14&lt;F150,F150&lt;=AV!$T$14),AV!$P$14*((AV!$S$14-RASANTE!F150)/(AV!$N$14))^2,IF(AND(AV!$T$14&lt;RASANTE!F150,F150&lt;AV!$U$14),AV!$P$14*((AV!$U$14-RASANTE!F150)/(AV!$O$14))^2,IF(AND(AV!$S$16&lt;F150,F150&lt;=AV!$T$16),AV!$P$16*((AV!$S$16-RASANTE!F150)/(AV!$N$16))^2,IF(AND(AV!$T$16&lt;RASANTE!F150,F150&lt;AV!$U$16),AV!$P$16*((AV!$U$16-RASANTE!F150)/(AV!$O$16))^2,IF(AND(AV!$S$18&lt;F150,F150&lt;=AV!$T$18),AV!$P$18*((AV!$S$18-RASANTE!F150)/(AV!$N$18))^2,IF(AND(AV!$T$18&lt;RASANTE!F150,F150&lt;AV!$U$18),AV!$P$18*((AV!$U$18-RASANTE!F150)/(AV!$O$18))^2,IF(AND(AV!$S$20&lt;F150,F150&lt;=AV!$T$20),AV!$P$20*((AV!$S$20-RASANTE!F150)/(AV!$N$20))^2,IF(AND(AV!$T$20&lt;RASANTE!F150,F150&lt;AV!$U$20),AV!$P$20*((AV!$U$20-RASANTE!F150)/(AV!$O$20))^2,IF(AND(AV!$S$22&lt;F150,F150&lt;=AV!$T$22),AV!$P$22*((AV!$S$22-RASANTE!F150)/(AV!$N$22))^2,IF(AND(AV!$T$22&lt;RASANTE!F150,F150&lt;AV!$U$22),AV!$P$22*((AV!$U$22-RASANTE!F150)/(AV!$O$22))^2,IF(AND(AV!$S$24&lt;F150,F150&lt;=AV!$T$24),AV!$P$24*((AV!$S$24-RASANTE!F150)/(AV!$N$24))^2,IF(AND(AV!$T$24&lt;RASANTE!F150,F150&lt;AV!$U$24),AV!$P$24*((AV!$U$24-RASANTE!F150)/(AV!$O$24))^2,0))))))))))))))))))))</f>
        <v>#DIV/0!</v>
      </c>
      <c r="L150" s="28" t="e">
        <f>+M150+H150%*PERALTE!$C$32</f>
        <v>#DIV/0!</v>
      </c>
      <c r="M150" s="28" t="e">
        <f t="shared" si="5"/>
        <v>#DIV/0!</v>
      </c>
      <c r="N150" s="28" t="e">
        <f>+M150+I150%*PERALTE!$C$32</f>
        <v>#DIV/0!</v>
      </c>
      <c r="O150" s="92"/>
      <c r="P150" s="84"/>
      <c r="Q150" s="84"/>
      <c r="R150" s="84"/>
      <c r="S150" s="84"/>
      <c r="T150" s="84"/>
      <c r="U150" s="84"/>
      <c r="V150" s="84"/>
      <c r="W150" s="84"/>
      <c r="X150" s="84"/>
      <c r="Y150" s="84"/>
    </row>
    <row r="151" spans="1:25" ht="15.75" customHeight="1" x14ac:dyDescent="0.2">
      <c r="A151" s="322"/>
      <c r="F151" s="34">
        <v>910</v>
      </c>
      <c r="G151" s="88">
        <f>IF(F151&lt;=AV!$T$6,AV!$C$5,IF(RASANTE!F151&lt;=AV!$T$8,AV!$C$7,IF(RASANTE!F151&lt;=AV!$T$10,AV!$C$9,IF(RASANTE!F151&lt;=AV!$T$12,AV!$C$11,IF(RASANTE!F151&lt;=AV!$T$14,AV!$C$13,IF(RASANTE!F151&lt;=AV!$T$16,AV!$C$15, IF(RASANTE!F151&lt;=AV!$T$18,AV!$C$17,IF(RASANTE!F151&lt;=AV!$T$20,AV!$C$19,IF(RASANTE!F151&lt;=AV!$T$22,AV!$C$21,IF(RASANTE!F151&lt;=AV!$T$24,AV!$C$23,AV!$C$25))))))))))</f>
        <v>-7.2409999999999997</v>
      </c>
      <c r="H151" s="28">
        <f>+IF(AND(AH!$H$8="Izquierda",RASANTE!F151&lt;=PERALTE!$AB$6),IF(RASANTE!F151&lt;=PERALTE!$S$6,-2,IF(RASANTE!F151&lt;=PERALTE!$U$6,(-6/(PERALTE!$U$6-PERALTE!$S$6)*(RASANTE!F151-PERALTE!$S$6)-2),IF(RASANTE!F151&lt;=PERALTE!$X$6,-8,IF(RASANTE!F151&lt;=PERALTE!$Z$6,(-6/(PERALTE!$X$6-PERALTE!$Z$6)*(RASANTE!F151-PERALTE!$Z$6)-2),IF(RASANTE!F151&lt;=PERALTE!$AB$6,-2))))),IF(AND(AH!$H$8="Derecha",RASANTE!F151&lt;=PERALTE!$AB$6),IF(RASANTE!F151&lt;=PERALTE!$Q$6,-2,IF(RASANTE!F151&lt;=PERALTE!$U$6,(10/(PERALTE!$U$6-PERALTE!$Q$6)*(RASANTE!F151-PERALTE!$Q$6)-2),IF(RASANTE!F151&lt;=PERALTE!$X$6,8,IF(RASANTE!F151&lt;=PERALTE!$AB$6,(10/(PERALTE!$X$6-PERALTE!$AB$6)*(RASANTE!F151-PERALTE!$AB$6)-2))))),IF(AND(AH!$H$10="Izquierda",RASANTE!F151&lt;=PERALTE!$AB$8),IF(RASANTE!F151&lt;=PERALTE!$S$8,-2,IF(RASANTE!F151&lt;=PERALTE!$U$8,(-6/(PERALTE!$U$8-PERALTE!$S$8)*(RASANTE!F151-PERALTE!$S$8)-2),IF(RASANTE!F151&lt;=PERALTE!$X$8,-8,IF(RASANTE!F151&lt;=PERALTE!$Z$8,(-6/(PERALTE!$X$8-PERALTE!$Z$8)*(RASANTE!F151-PERALTE!$Z$8)-2),IF(RASANTE!F151&lt;=PERALTE!$AB$8,-2))))),IF(AND(AH!$H$10="Derecha",RASANTE!F151&lt;=PERALTE!$AB$8),IF(RASANTE!F151&lt;=PERALTE!$Q$8,-2,IF(RASANTE!F151&lt;=PERALTE!$U$8,(10/(PERALTE!$U$8-PERALTE!$Q$8)*(RASANTE!F151-PERALTE!$Q$8)-2),IF(RASANTE!F151&lt;=PERALTE!$X$8,8,IF(RASANTE!F151&lt;=PERALTE!$AB$8,(10/(PERALTE!$X$8-PERALTE!$AB$8)*(RASANTE!F151-PERALTE!$AB$8)-2))))),IF(AND(AH!$H$12="Izquierda",RASANTE!F151&lt;=PERALTE!$AB$10),IF(RASANTE!F151&lt;=PERALTE!$S$10,-2,IF(RASANTE!F151&lt;=PERALTE!$U$10,(-6/(PERALTE!$U$10-PERALTE!$S$10)*(RASANTE!F151-PERALTE!$S$10)-2),IF(RASANTE!F151&lt;=PERALTE!$X$10,-8,IF(RASANTE!F151&lt;=PERALTE!$Z$10,(-6/(PERALTE!$X$10-PERALTE!$Z$10)*(RASANTE!F151-PERALTE!$Z$10)-2),IF(RASANTE!F151&lt;=PERALTE!$AB$10,-2))))),IF(AND(AH!$H$12="Derecha",RASANTE!F151&lt;=PERALTE!$AB$10),IF(RASANTE!F151&lt;=PERALTE!$Q$10,-2,IF(RASANTE!F151&lt;=PERALTE!$U$10,(10/(PERALTE!$U$10-PERALTE!$Q$10)*(RASANTE!F151-PERALTE!$Q$10)-2),IF(RASANTE!F151&lt;=PERALTE!$X$10,8,IF(RASANTE!F151&lt;=PERALTE!$AB$10,(10/(PERALTE!$X$10-PERALTE!$AB$10)*(RASANTE!F151-PERALTE!$AB$10)-2))))),IF(AND(AH!$H$14="Izquierda",RASANTE!F151&lt;=PERALTE!$AB$12),IF(RASANTE!F151&lt;=PERALTE!$S$12,-2,IF(RASANTE!F151&lt;=PERALTE!$U$12,(-6/(PERALTE!$U$12-PERALTE!$S$12)*(RASANTE!F151-PERALTE!$S$12)-2),IF(RASANTE!F151&lt;=PERALTE!$X$12,-8,IF(RASANTE!F151&lt;=PERALTE!$Z$12,(-6/(PERALTE!$X$12-PERALTE!$Z$12)*(RASANTE!F151-PERALTE!$Z$12)-2),IF(RASANTE!F151&lt;=PERALTE!$AB$12,-2))))),IF(AND(AH!$H$14="Derecha",RASANTE!F151&lt;=PERALTE!$AB$12),IF(RASANTE!F151&lt;=PERALTE!$Q$12,-2,IF(RASANTE!F151&lt;=PERALTE!$U$12,(10/(PERALTE!$U$12-PERALTE!$Q$12)*(RASANTE!F151-PERALTE!$Q$12)-2),IF(RASANTE!F151&lt;=PERALTE!$X$12,8,IF(RASANTE!F151&lt;=PERALTE!$AB$12,(10/(PERALTE!$X$12-PERALTE!$AB$12)*(RASANTE!F151-PERALTE!$AB$12)-2))))),IF(AND(AH!$H$16="Izquierda",RASANTE!F151&lt;=PERALTE!$AB$14),IF(RASANTE!F151&lt;=PERALTE!$S$14,-2,IF(RASANTE!F151&lt;=PERALTE!$U$14,(-6/(PERALTE!$U$14-PERALTE!$S$14)*(RASANTE!F151-PERALTE!$S$14)-2),IF(RASANTE!F151&lt;=PERALTE!$X$14,-8,IF(RASANTE!F151&lt;=PERALTE!$Z$14,(-6/(PERALTE!$X$14-PERALTE!$Z$14)*(RASANTE!F151-PERALTE!$Z$14)-2),IF(RASANTE!F151&lt;=PERALTE!$AB$14,-2))))),IF(AND(AH!$H$16="Derecha",RASANTE!F151&lt;=PERALTE!$AB$14),IF(RASANTE!F151&lt;=PERALTE!$Q$14,-2,IF(RASANTE!F151&lt;=PERALTE!$U$14,(10/(PERALTE!$U$14-PERALTE!$Q$14)*(RASANTE!F151-PERALTE!$Q$14)-2),IF(RASANTE!F151&lt;=PERALTE!$X$14,8,IF(RASANTE!F151&lt;=PERALTE!$AB$14,(10/(PERALTE!$X$14-PERALTE!$AB$14)*(RASANTE!F151-PERALTE!$AB$14)-2))))),IF(AND(AH!$H$18="Izquierda",RASANTE!F151&lt;=PERALTE!$AB$16),IF(RASANTE!F151&lt;=PERALTE!$S$16,-2,IF(RASANTE!F151&lt;=PERALTE!$U$16,(-6/(PERALTE!$U$16-PERALTE!$S$16)*(RASANTE!F151-PERALTE!$S$16)-2),IF(RASANTE!F151&lt;=PERALTE!$X$16,-8,IF(RASANTE!F151&lt;=PERALTE!$Z$16,(-6/(PERALTE!$X$16-PERALTE!$Z$16)*(RASANTE!F151-PERALTE!$Z$16)-2),IF(RASANTE!F151&lt;=PERALTE!$AB$16,-2))))),IF(AND(AH!$H$18="Derecha",RASANTE!F151&lt;=PERALTE!$AB$16),IF(RASANTE!F151&lt;=PERALTE!$Q$16,-2,IF(RASANTE!F151&lt;=PERALTE!$U$16,(10/(PERALTE!$U$16-PERALTE!$Q$16)*(RASANTE!F151-PERALTE!$Q$16)-2),IF(RASANTE!F151&lt;=PERALTE!$X$16,8,IF(RASANTE!F151&lt;=PERALTE!$AB$16,(10/(PERALTE!$X$16-PERALTE!$AB$16)*(RASANTE!F151-PERALTE!$AB$16)-2))))),IF(AND(AH!$H$20="Izquierda",RASANTE!F151&lt;=PERALTE!$AB$18),IF(RASANTE!F151&lt;=PERALTE!$S$18,-2,IF(RASANTE!F151&lt;=PERALTE!$U$18,(-6/(PERALTE!$U$18-PERALTE!$S$18)*(RASANTE!F151-PERALTE!$S$18)-2),IF(RASANTE!F151&lt;=PERALTE!$X$18,-8,IF(RASANTE!F151&lt;=PERALTE!$Z$18,(-6/(PERALTE!$X$18-PERALTE!$Z$18)*(RASANTE!F151-PERALTE!$Z$18)-2),IF(RASANTE!F151&lt;=PERALTE!$AB$18,-2))))),IF(AND(AH!$H$20="Derecha",RASANTE!F151&lt;=PERALTE!$AB$18),IF(RASANTE!F151&lt;=PERALTE!$Q$18,-2,IF(RASANTE!F151&lt;=PERALTE!$U$18,(10/(PERALTE!$U$18-PERALTE!$Q$18)*(RASANTE!F151-PERALTE!$Q$18)-2),IF(RASANTE!F151&lt;=PERALTE!$X$18,8,IF(RASANTE!F151&lt;=PERALTE!$AB$18,(10/(PERALTE!$X$18-PERALTE!$AB$18)*(RASANTE!F151-PERALTE!$AB$18)-2))))),IF(AND(AH!$H$24="Izquierda",RASANTE!F151&lt;=PERALTE!$AB$22),IF(RASANTE!F151&lt;=PERALTE!$S$22,-2,IF(RASANTE!F151&lt;=PERALTE!$U$22,(-6/(PERALTE!$U$22-PERALTE!$S$22)*(RASANTE!F151-PERALTE!$S$22)-2),IF(RASANTE!F151&lt;=PERALTE!$X$22,-8,IF(RASANTE!F151&lt;=PERALTE!$Z$22,(-6/(PERALTE!$X$22-PERALTE!$Z$22)*(RASANTE!F151-PERALTE!$Z$22)-2),IF(RASANTE!F151&lt;=PERALTE!$AB$22,-2))))),IF(AND(AH!$H$24="Derecha",RASANTE!F151&lt;=PERALTE!$AB$22),IF(RASANTE!F151&lt;=PERALTE!$Q$22,-2,IF(RASANTE!F151&lt;=PERALTE!$U$22,(10/(PERALTE!$U$22-PERALTE!$Q$22)*(RASANTE!F151-PERALTE!$Q$22)-2),IF(RASANTE!F151&lt;=PERALTE!$X$22,8,IF(RASANTE!F151&lt;=PERALTE!$AB$22,(10/(PERALTE!$X$22-PERALTE!$AB$22)*(RASANTE!F151-PERALTE!$AB$22)-2))))),IF(AND(AH!#REF!="Izquierda",RASANTE!F151&lt;=PERALTE!#REF!),IF(RASANTE!F151&lt;=PERALTE!#REF!,-2,IF(RASANTE!F151&lt;=PERALTE!#REF!,(-6/(PERALTE!#REF!-PERALTE!#REF!)*(RASANTE!F151-PERALTE!#REF!)-2),IF(RASANTE!F151&lt;=PERALTE!#REF!,-8,IF(RASANTE!F151&lt;=PERALTE!#REF!,(-6/(PERALTE!#REF!-PERALTE!#REF!)*(RASANTE!F151-PERALTE!#REF!)-2),IF(RASANTE!F151&lt;=PERALTE!#REF!,-2))))),IF(AND(AH!#REF!="Derecha",RASANTE!F151&lt;=PERALTE!#REF!),IF(RASANTE!F151&lt;=PERALTE!#REF!,-2,IF(RASANTE!F151&lt;=PERALTE!#REF!,(10/(PERALTE!#REF!-PERALTE!#REF!)*(RASANTE!F151-PERALTE!#REF!)-2),IF(RASANTE!F151&lt;=PERALTE!#REF!,8,IF(RASANTE!F151&lt;=PERALTE!#REF!,(10/(PERALTE!#REF!-PERALTE!#REF!)*(RASANTE!F151-PERALTE!#REF!)-2))))),IF(AND(AH!#REF!="Izquierda",RASANTE!F151&lt;=PERALTE!$AB$26),IF(RASANTE!F151&lt;=PERALTE!$S$26,-2,IF(RASANTE!F151&lt;=PERALTE!$U$26,(-6/(PERALTE!$U$26-PERALTE!$S$26)*(RASANTE!F151-PERALTE!$S$26)-2),IF(RASANTE!F151&lt;=PERALTE!$X$26,-8,IF(RASANTE!F151&lt;=PERALTE!$Z$26,(-6/(PERALTE!$X$26-PERALTE!$Z$26)*(RASANTE!F151-PERALTE!$Z$26)-2),IF(RASANTE!F151&lt;=PERALTE!$AB$26,-2))))),IF(AND(AH!#REF!="Derecha",RASANTE!F151&lt;=PERALTE!$AB$26),IF(RASANTE!F151&lt;=PERALTE!$Q$26,-2,IF(RASANTE!F151&lt;=PERALTE!$U$26,(10/(PERALTE!$U$26-PERALTE!$Q$26)*(RASANTE!F151-PERALTE!$Q$26)-2),IF(RASANTE!F151&lt;=PERALTE!$X$26,8,IF(RASANTE!F151&lt;=PERALTE!$AB$26,(10/(PERALTE!$X$26-PERALTE!$AB$26)*(RASANTE!F151-PERALTE!$AB$26)-2))))),IF(F151&lt;=PERALTE!#REF!,-2,"Abscisa fuera de la vía")))))))))))))))))))))</f>
        <v>-2</v>
      </c>
      <c r="I151" s="28">
        <f>+IF(AND(AH!$H$8="Derecha",RASANTE!F151&lt;=PERALTE!$AB$6),IF(RASANTE!F151&lt;=PERALTE!$S$6,-2,IF(RASANTE!F151&lt;=PERALTE!$U$6,(-6/(PERALTE!$U$6-PERALTE!$S$6)*(RASANTE!F151-PERALTE!$S$6)-2),IF(RASANTE!F151&lt;=PERALTE!$X$6,-8,IF(RASANTE!F151&lt;=PERALTE!$Z$6,(-6/(PERALTE!$X$6-PERALTE!$Z$6)*(RASANTE!F151-PERALTE!$Z$6)-2),IF(RASANTE!F151&lt;=PERALTE!$AB$6,-2))))),IF(AND(AH!$H$8="Izquierda",RASANTE!F151&lt;=PERALTE!$AB$6),IF(RASANTE!F151&lt;=PERALTE!$Q$6,-2,IF(RASANTE!F151&lt;=PERALTE!$U$6,(10/(PERALTE!$U$6-PERALTE!$Q$6)*(RASANTE!F151-PERALTE!$Q$6)-2),IF(RASANTE!F151&lt;=PERALTE!$X$6,8,IF(RASANTE!F151&lt;=PERALTE!$AB$6,(10/(PERALTE!$X$6-PERALTE!$AB$6)*(RASANTE!F151-PERALTE!$AB$6)-2))))),IF(AND(AH!$H$10="Derecha",RASANTE!F151&lt;=PERALTE!$AB$8),IF(RASANTE!F151&lt;=PERALTE!$S$8,-2,IF(RASANTE!F151&lt;=PERALTE!$U$8,(-6/(PERALTE!$U$8-PERALTE!$S$8)*(RASANTE!F151-PERALTE!$S$8)-2),IF(RASANTE!F151&lt;=PERALTE!$X$8,-8,IF(RASANTE!F151&lt;=PERALTE!$Z$8,(-6/(PERALTE!$X$8-PERALTE!$Z$8)*(RASANTE!F151-PERALTE!$Z$8)-2),IF(RASANTE!F151&lt;=PERALTE!$AB$8,-2))))),IF(AND(AH!$H$10="Izquierda",RASANTE!F151&lt;=PERALTE!$AB$8),IF(RASANTE!F151&lt;=PERALTE!$Q$8,-2,IF(RASANTE!F151&lt;=PERALTE!$U$8,(10/(PERALTE!$U$8-PERALTE!$Q$8)*(RASANTE!F151-PERALTE!$Q$8)-2),IF(RASANTE!F151&lt;=PERALTE!$X$8,8,IF(RASANTE!F151&lt;=PERALTE!$AB$8,(10/(PERALTE!$X$8-PERALTE!$AB$8)*(RASANTE!F151-PERALTE!$AB$8)-2))))),IF(AND(AH!$H$12="Derecha",RASANTE!F151&lt;=PERALTE!$AB$10),IF(RASANTE!F151&lt;=PERALTE!$S$10,-2,IF(RASANTE!F151&lt;=PERALTE!$U$10,(-6/(PERALTE!$U$10-PERALTE!$S$10)*(RASANTE!F151-PERALTE!$S$10)-2),IF(RASANTE!F151&lt;=PERALTE!$X$10,-8,IF(RASANTE!F151&lt;=PERALTE!$Z$10,(-6/(PERALTE!$X$10-PERALTE!$Z$10)*(RASANTE!F151-PERALTE!$Z$10)-2),IF(RASANTE!F151&lt;=PERALTE!$AB$10,-2))))),IF(AND(AH!$H$12="Izquierda",RASANTE!F151&lt;=PERALTE!$AB$10),IF(RASANTE!F151&lt;=PERALTE!$Q$10,-2,IF(RASANTE!F151&lt;=PERALTE!$U$10,(10/(PERALTE!$U$10-PERALTE!$Q$10)*(RASANTE!F151-PERALTE!$Q$10)-2),IF(RASANTE!F151&lt;=PERALTE!$X$10,8,IF(RASANTE!F151&lt;=PERALTE!$AB$10,(10/(PERALTE!$X$10-PERALTE!$AB$10)*(RASANTE!F151-PERALTE!$AB$10)-2))))),IF(AND(AH!$H$14="Derecha",RASANTE!F151&lt;=PERALTE!$AB$12),IF(RASANTE!F151&lt;=PERALTE!$S$12,-2,IF(RASANTE!F151&lt;=PERALTE!$U$12,(-6/(PERALTE!$U$12-PERALTE!$S$12)*(RASANTE!F151-PERALTE!$S$12)-2),IF(RASANTE!F151&lt;=PERALTE!$X$12,-8,IF(RASANTE!F151&lt;=PERALTE!$Z$12,(-6/(PERALTE!$X$12-PERALTE!$Z$12)*(RASANTE!F151-PERALTE!$Z$12)-2),IF(RASANTE!F151&lt;=PERALTE!$AB$12,-2))))),IF(AND(AH!$H$14="Izquierda",RASANTE!F151&lt;=PERALTE!$AB$12),IF(RASANTE!F151&lt;=PERALTE!$Q$12,-2,IF(RASANTE!F151&lt;=PERALTE!$U$12,(10/(PERALTE!$U$12-PERALTE!$Q$12)*(RASANTE!F151-PERALTE!$Q$12)-2),IF(RASANTE!F151&lt;=PERALTE!$X$12,8,IF(RASANTE!F151&lt;=PERALTE!$AB$12,(10/(PERALTE!$X$12-PERALTE!$AB$12)*(RASANTE!F151-PERALTE!$AB$12)-2))))),IF(AND(AH!$H$16="Derecha",RASANTE!F151&lt;=PERALTE!$AB$14),IF(RASANTE!F151&lt;=PERALTE!$S$14,-2,IF(RASANTE!F151&lt;=PERALTE!$U$14,(-6/(PERALTE!$U$14-PERALTE!$S$14)*(RASANTE!F151-PERALTE!$S$14)-2),IF(RASANTE!F151&lt;=PERALTE!$X$14,-8,IF(RASANTE!F151&lt;=PERALTE!$Z$14,(-6/(PERALTE!$X$14-PERALTE!$Z$14)*(RASANTE!F151-PERALTE!$Z$14)-2),IF(RASANTE!F151&lt;=PERALTE!$AB$14,-2))))),IF(AND(AH!$H$16="Izquierda",RASANTE!F151&lt;=PERALTE!$AB$14),IF(RASANTE!F151&lt;=PERALTE!$Q$14,-2,IF(RASANTE!F151&lt;=PERALTE!$U$14,(10/(PERALTE!$U$14-PERALTE!$Q$14)*(RASANTE!F151-PERALTE!$Q$14)-2),IF(RASANTE!F151&lt;=PERALTE!$X$14,8,IF(RASANTE!F151&lt;=PERALTE!$AB$14,(10/(PERALTE!$X$14-PERALTE!$AB$14)*(RASANTE!F151-PERALTE!$AB$14)-2))))),IF(AND(AH!$H$18="Derecha",RASANTE!F151&lt;=PERALTE!$AB$16),IF(RASANTE!F151&lt;=PERALTE!$S$16,-2,IF(RASANTE!F151&lt;=PERALTE!$U$16,(-6/(PERALTE!$U$16-PERALTE!$S$16)*(RASANTE!F151-PERALTE!$S$16)-2),IF(RASANTE!F151&lt;=PERALTE!$X$16,-8,IF(RASANTE!F151&lt;=PERALTE!$Z$16,(-6/(PERALTE!$X$16-PERALTE!$Z$16)*(RASANTE!F151-PERALTE!$Z$16)-2),IF(RASANTE!F151&lt;=PERALTE!$AB$16,-2))))),IF(AND(AH!$H$18="Izquierda",RASANTE!F151&lt;=PERALTE!$AB$16),IF(RASANTE!F151&lt;=PERALTE!$Q$16,-2,IF(RASANTE!F151&lt;=PERALTE!$U$16,(10/(PERALTE!$U$16-PERALTE!$Q$16)*(RASANTE!F151-PERALTE!$Q$16)-2),IF(RASANTE!F151&lt;=PERALTE!$X$16,8,IF(RASANTE!F151&lt;=PERALTE!$AB$16,(10/(PERALTE!$X$16-PERALTE!$AB$16)*(RASANTE!F151-PERALTE!$AB$16)-2))))),IF(AND(AH!$H$20="Derecha",RASANTE!F151&lt;=PERALTE!$AB$18),IF(RASANTE!F151&lt;=PERALTE!$S$18,-2,IF(RASANTE!F151&lt;=PERALTE!$U$18,(-6/(PERALTE!$U$18-PERALTE!$S$18)*(RASANTE!F151-PERALTE!$S$18)-2),IF(RASANTE!F151&lt;=PERALTE!$X$18,-8,IF(RASANTE!F151&lt;=PERALTE!$Z$18,(-6/(PERALTE!$X$18-PERALTE!$Z$18)*(RASANTE!F151-PERALTE!$Z$18)-2),IF(RASANTE!F151&lt;=PERALTE!$AB$18,-2))))),IF(AND(AH!$H$20="Izquierda",RASANTE!F151&lt;=PERALTE!$AB$18),IF(RASANTE!F151&lt;=PERALTE!$Q$18,-2,IF(RASANTE!F151&lt;=PERALTE!$U$18,(10/(PERALTE!$U$18-PERALTE!$Q$18)*(RASANTE!F151-PERALTE!$Q$18)-2),IF(RASANTE!F151&lt;=PERALTE!$X$18,8,IF(RASANTE!F151&lt;=PERALTE!$AB$18,(10/(PERALTE!$X$18-PERALTE!$AB$18)*(RASANTE!F151-PERALTE!$AB$18)-2))))),IF(AND(AH!$H$24="Derecha",RASANTE!F151&lt;=PERALTE!$AB$22),IF(RASANTE!F151&lt;=PERALTE!$S$22,-2,IF(RASANTE!F151&lt;=PERALTE!$U$22,(-6/(PERALTE!$U$22-PERALTE!$S$22)*(RASANTE!F151-PERALTE!$S$22)-2),IF(RASANTE!F151&lt;=PERALTE!$X$22,-8,IF(RASANTE!F151&lt;=PERALTE!$Z$22,(-6/(PERALTE!$X$22-PERALTE!$Z$22)*(RASANTE!F151-PERALTE!$Z$22)-2),IF(RASANTE!F151&lt;=PERALTE!$AB$22,-2))))),IF(AND(AH!$H$24="Izquierda",RASANTE!F151&lt;=PERALTE!$AB$22),IF(RASANTE!F151&lt;=PERALTE!$Q$22,-2,IF(RASANTE!F151&lt;=PERALTE!$U$22,(10/(PERALTE!$U$22-PERALTE!$Q$22)*(RASANTE!F151-PERALTE!$Q$22)-2),IF(RASANTE!F151&lt;=PERALTE!$X$22,8,IF(RASANTE!F151&lt;=PERALTE!$AB$22,(10/(PERALTE!$X$22-PERALTE!$AB$22)*(RASANTE!F151-PERALTE!$AB$22)-2))))),IF(AND(AH!#REF!="Derecha",RASANTE!F151&lt;=PERALTE!#REF!),IF(RASANTE!F151&lt;=PERALTE!#REF!,-2,IF(RASANTE!F151&lt;=PERALTE!#REF!,(-6/(PERALTE!#REF!-PERALTE!#REF!)*(RASANTE!F151-PERALTE!#REF!)-2),IF(RASANTE!F151&lt;=PERALTE!#REF!,-8,IF(RASANTE!F151&lt;=PERALTE!#REF!,(-6/(PERALTE!#REF!-PERALTE!#REF!)*(RASANTE!F151-PERALTE!#REF!)-2),IF(RASANTE!F151&lt;=PERALTE!#REF!,-2))))),IF(AND(AH!#REF!="Izquierda",RASANTE!F151&lt;=PERALTE!#REF!),IF(RASANTE!F151&lt;=PERALTE!#REF!,-2,IF(RASANTE!F151&lt;=PERALTE!#REF!,(10/(PERALTE!#REF!-PERALTE!#REF!)*(RASANTE!F151-PERALTE!#REF!)-2),IF(RASANTE!F151&lt;=PERALTE!#REF!,8,IF(RASANTE!F151&lt;=PERALTE!#REF!,(10/(PERALTE!#REF!-PERALTE!#REF!)*(RASANTE!F151-PERALTE!#REF!)-2))))),IF(AND(AH!#REF!="Derecha",RASANTE!F151&lt;=PERALTE!$AB$26),IF(RASANTE!F151&lt;=PERALTE!$S$26,-2,IF(RASANTE!F151&lt;=PERALTE!$U$26,(-6/(PERALTE!$U$26-PERALTE!$S$26)*(RASANTE!F151-PERALTE!$S$26)-2),IF(RASANTE!F151&lt;=PERALTE!$X$26,-8,IF(RASANTE!F151&lt;=PERALTE!$Z$26,(-6/(PERALTE!$X$26-PERALTE!$Z$26)*(RASANTE!F151-PERALTE!$Z$26)-2),IF(RASANTE!F151&lt;=PERALTE!$AB$26,-2))))),IF(AND(AH!#REF!="Izquierda",RASANTE!F151&lt;=PERALTE!$AB$26),IF(RASANTE!F151&lt;=PERALTE!$Q$26,-2,IF(RASANTE!F151&lt;=PERALTE!$U$26,(10/(PERALTE!$U$26-PERALTE!$Q$26)*(RASANTE!F151-PERALTE!$Q$26)-2),IF(RASANTE!F151&lt;=PERALTE!$X$26,8,IF(RASANTE!F151&lt;=PERALTE!$AB$26,(10/(PERALTE!$X$26-PERALTE!$AB$26)*(RASANTE!F151-PERALTE!$AB$26)-2))))),IF(F151&lt;=PERALTE!#REF!,-2,"Abscisa fuera de la vía")))))))))))))))))))))</f>
        <v>0.64398681937417912</v>
      </c>
      <c r="J151" s="28">
        <f t="shared" si="6"/>
        <v>1619.258538037592</v>
      </c>
      <c r="K151" s="28">
        <f>+IF(AND(AV!$S$6&lt;F151,F151&lt;=AV!$T$6),AV!$P$6*((AV!$S$6-RASANTE!F151)/(AV!$N$6))^2,IF(AND(AV!$T$6&lt;RASANTE!F151,F151&lt;AV!$U$6),AV!$P$6*((AV!$U$6-RASANTE!F151)/(AV!$O$6))^2,IF(AND(AV!$S$8&lt;F151,F151&lt;=AV!$T$8),AV!$P$8*((AV!$S$8-RASANTE!F151)/(AV!$N$8))^2,IF(AND(AV!$T$8&lt;RASANTE!F151,F151&lt;AV!$U$8),AV!$P$8*((AV!$U$8-RASANTE!F151)/(AV!$O$8))^2,IF(AND(AV!$S$10&lt;F151,F151&lt;=AV!$T$10),AV!$P$10*((AV!$S$10-RASANTE!F151)/(AV!$N$10))^2,IF(AND(AV!$T$10&lt;RASANTE!F151,F151&lt;AV!$U$10),AV!$P$10*((AV!$U$10-RASANTE!F151)/(AV!$O$10))^2,IF(AND(AV!$S$12&lt;F151,F151&lt;=AV!$T$12),AV!$P$12*((AV!$S$12-RASANTE!F151)/(AV!$N$12))^2,IF(AND(AV!$T$12&lt;RASANTE!F151,F151&lt;AV!$U$12),AV!$P$12*((AV!$U$12-RASANTE!F151)/(AV!$O$12))^2,IF(AND(AV!$S$14&lt;F151,F151&lt;=AV!$T$14),AV!$P$14*((AV!$S$14-RASANTE!F151)/(AV!$N$14))^2,IF(AND(AV!$T$14&lt;RASANTE!F151,F151&lt;AV!$U$14),AV!$P$14*((AV!$U$14-RASANTE!F151)/(AV!$O$14))^2,IF(AND(AV!$S$16&lt;F151,F151&lt;=AV!$T$16),AV!$P$16*((AV!$S$16-RASANTE!F151)/(AV!$N$16))^2,IF(AND(AV!$T$16&lt;RASANTE!F151,F151&lt;AV!$U$16),AV!$P$16*((AV!$U$16-RASANTE!F151)/(AV!$O$16))^2,IF(AND(AV!$S$18&lt;F151,F151&lt;=AV!$T$18),AV!$P$18*((AV!$S$18-RASANTE!F151)/(AV!$N$18))^2,IF(AND(AV!$T$18&lt;RASANTE!F151,F151&lt;AV!$U$18),AV!$P$18*((AV!$U$18-RASANTE!F151)/(AV!$O$18))^2,IF(AND(AV!$S$20&lt;F151,F151&lt;=AV!$T$20),AV!$P$20*((AV!$S$20-RASANTE!F151)/(AV!$N$20))^2,IF(AND(AV!$T$20&lt;RASANTE!F151,F151&lt;AV!$U$20),AV!$P$20*((AV!$U$20-RASANTE!F151)/(AV!$O$20))^2,IF(AND(AV!$S$22&lt;F151,F151&lt;=AV!$T$22),AV!$P$22*((AV!$S$22-RASANTE!F151)/(AV!$N$22))^2,IF(AND(AV!$T$22&lt;RASANTE!F151,F151&lt;AV!$U$22),AV!$P$22*((AV!$U$22-RASANTE!F151)/(AV!$O$22))^2,IF(AND(AV!$S$24&lt;F151,F151&lt;=AV!$T$24),AV!$P$24*((AV!$S$24-RASANTE!F151)/(AV!$N$24))^2,IF(AND(AV!$T$24&lt;RASANTE!F151,F151&lt;AV!$U$24),AV!$P$24*((AV!$U$24-RASANTE!F151)/(AV!$O$24))^2,0))))))))))))))))))))</f>
        <v>0</v>
      </c>
      <c r="L151" s="28">
        <f>+M151+H151%*PERALTE!$C$32</f>
        <v>1619.188538037592</v>
      </c>
      <c r="M151" s="28">
        <f t="shared" si="5"/>
        <v>1619.258538037592</v>
      </c>
      <c r="N151" s="28">
        <f>+M151+I151%*PERALTE!$C$32</f>
        <v>1619.28107757627</v>
      </c>
      <c r="O151" s="92"/>
      <c r="P151" s="84"/>
      <c r="Q151" s="84"/>
      <c r="R151" s="84"/>
      <c r="S151" s="84"/>
      <c r="T151" s="84"/>
      <c r="U151" s="84"/>
      <c r="V151" s="84"/>
      <c r="W151" s="84"/>
      <c r="X151" s="84"/>
      <c r="Y151" s="84"/>
    </row>
    <row r="152" spans="1:25" ht="15.75" customHeight="1" x14ac:dyDescent="0.2">
      <c r="A152" s="322" t="s">
        <v>346</v>
      </c>
      <c r="B152" s="86"/>
      <c r="C152" s="86"/>
      <c r="D152" s="86"/>
      <c r="F152" s="34">
        <f>PERALTE!AA12</f>
        <v>912.92721281533716</v>
      </c>
      <c r="G152" s="88">
        <f>IF(F152&lt;=AV!$T$6,AV!$C$5,IF(RASANTE!F152&lt;=AV!$T$8,AV!$C$7,IF(RASANTE!F152&lt;=AV!$T$10,AV!$C$9,IF(RASANTE!F152&lt;=AV!$T$12,AV!$C$11,IF(RASANTE!F152&lt;=AV!$T$14,AV!$C$13,IF(RASANTE!F152&lt;=AV!$T$16,AV!$C$15, IF(RASANTE!F152&lt;=AV!$T$18,AV!$C$17,IF(RASANTE!F152&lt;=AV!$T$20,AV!$C$19,IF(RASANTE!F152&lt;=AV!$T$22,AV!$C$21,IF(RASANTE!F152&lt;=AV!$T$24,AV!$C$23,AV!$C$25))))))))))</f>
        <v>-7.2409999999999997</v>
      </c>
      <c r="H152" s="28">
        <f>+IF(AND(AH!$H$8="Izquierda",RASANTE!F152&lt;=PERALTE!$AB$6),IF(RASANTE!F152&lt;=PERALTE!$S$6,-2,IF(RASANTE!F152&lt;=PERALTE!$U$6,(-6/(PERALTE!$U$6-PERALTE!$S$6)*(RASANTE!F152-PERALTE!$S$6)-2),IF(RASANTE!F152&lt;=PERALTE!$X$6,-8,IF(RASANTE!F152&lt;=PERALTE!$Z$6,(-6/(PERALTE!$X$6-PERALTE!$Z$6)*(RASANTE!F152-PERALTE!$Z$6)-2),IF(RASANTE!F152&lt;=PERALTE!$AB$6,-2))))),IF(AND(AH!$H$8="Derecha",RASANTE!F152&lt;=PERALTE!$AB$6),IF(RASANTE!F152&lt;=PERALTE!$Q$6,-2,IF(RASANTE!F152&lt;=PERALTE!$U$6,(10/(PERALTE!$U$6-PERALTE!$Q$6)*(RASANTE!F152-PERALTE!$Q$6)-2),IF(RASANTE!F152&lt;=PERALTE!$X$6,8,IF(RASANTE!F152&lt;=PERALTE!$AB$6,(10/(PERALTE!$X$6-PERALTE!$AB$6)*(RASANTE!F152-PERALTE!$AB$6)-2))))),IF(AND(AH!$H$10="Izquierda",RASANTE!F152&lt;=PERALTE!$AB$8),IF(RASANTE!F152&lt;=PERALTE!$S$8,-2,IF(RASANTE!F152&lt;=PERALTE!$U$8,(-6/(PERALTE!$U$8-PERALTE!$S$8)*(RASANTE!F152-PERALTE!$S$8)-2),IF(RASANTE!F152&lt;=PERALTE!$X$8,-8,IF(RASANTE!F152&lt;=PERALTE!$Z$8,(-6/(PERALTE!$X$8-PERALTE!$Z$8)*(RASANTE!F152-PERALTE!$Z$8)-2),IF(RASANTE!F152&lt;=PERALTE!$AB$8,-2))))),IF(AND(AH!$H$10="Derecha",RASANTE!F152&lt;=PERALTE!$AB$8),IF(RASANTE!F152&lt;=PERALTE!$Q$8,-2,IF(RASANTE!F152&lt;=PERALTE!$U$8,(10/(PERALTE!$U$8-PERALTE!$Q$8)*(RASANTE!F152-PERALTE!$Q$8)-2),IF(RASANTE!F152&lt;=PERALTE!$X$8,8,IF(RASANTE!F152&lt;=PERALTE!$AB$8,(10/(PERALTE!$X$8-PERALTE!$AB$8)*(RASANTE!F152-PERALTE!$AB$8)-2))))),IF(AND(AH!$H$12="Izquierda",RASANTE!F152&lt;=PERALTE!$AB$10),IF(RASANTE!F152&lt;=PERALTE!$S$10,-2,IF(RASANTE!F152&lt;=PERALTE!$U$10,(-6/(PERALTE!$U$10-PERALTE!$S$10)*(RASANTE!F152-PERALTE!$S$10)-2),IF(RASANTE!F152&lt;=PERALTE!$X$10,-8,IF(RASANTE!F152&lt;=PERALTE!$Z$10,(-6/(PERALTE!$X$10-PERALTE!$Z$10)*(RASANTE!F152-PERALTE!$Z$10)-2),IF(RASANTE!F152&lt;=PERALTE!$AB$10,-2))))),IF(AND(AH!$H$12="Derecha",RASANTE!F152&lt;=PERALTE!$AB$10),IF(RASANTE!F152&lt;=PERALTE!$Q$10,-2,IF(RASANTE!F152&lt;=PERALTE!$U$10,(10/(PERALTE!$U$10-PERALTE!$Q$10)*(RASANTE!F152-PERALTE!$Q$10)-2),IF(RASANTE!F152&lt;=PERALTE!$X$10,8,IF(RASANTE!F152&lt;=PERALTE!$AB$10,(10/(PERALTE!$X$10-PERALTE!$AB$10)*(RASANTE!F152-PERALTE!$AB$10)-2))))),IF(AND(AH!$H$14="Izquierda",RASANTE!F152&lt;=PERALTE!$AB$12),IF(RASANTE!F152&lt;=PERALTE!$S$12,-2,IF(RASANTE!F152&lt;=PERALTE!$U$12,(-6/(PERALTE!$U$12-PERALTE!$S$12)*(RASANTE!F152-PERALTE!$S$12)-2),IF(RASANTE!F152&lt;=PERALTE!$X$12,-8,IF(RASANTE!F152&lt;=PERALTE!$Z$12,(-6/(PERALTE!$X$12-PERALTE!$Z$12)*(RASANTE!F152-PERALTE!$Z$12)-2),IF(RASANTE!F152&lt;=PERALTE!$AB$12,-2))))),IF(AND(AH!$H$14="Derecha",RASANTE!F152&lt;=PERALTE!$AB$12),IF(RASANTE!F152&lt;=PERALTE!$Q$12,-2,IF(RASANTE!F152&lt;=PERALTE!$U$12,(10/(PERALTE!$U$12-PERALTE!$Q$12)*(RASANTE!F152-PERALTE!$Q$12)-2),IF(RASANTE!F152&lt;=PERALTE!$X$12,8,IF(RASANTE!F152&lt;=PERALTE!$AB$12,(10/(PERALTE!$X$12-PERALTE!$AB$12)*(RASANTE!F152-PERALTE!$AB$12)-2))))),IF(AND(AH!$H$16="Izquierda",RASANTE!F152&lt;=PERALTE!$AB$14),IF(RASANTE!F152&lt;=PERALTE!$S$14,-2,IF(RASANTE!F152&lt;=PERALTE!$U$14,(-6/(PERALTE!$U$14-PERALTE!$S$14)*(RASANTE!F152-PERALTE!$S$14)-2),IF(RASANTE!F152&lt;=PERALTE!$X$14,-8,IF(RASANTE!F152&lt;=PERALTE!$Z$14,(-6/(PERALTE!$X$14-PERALTE!$Z$14)*(RASANTE!F152-PERALTE!$Z$14)-2),IF(RASANTE!F152&lt;=PERALTE!$AB$14,-2))))),IF(AND(AH!$H$16="Derecha",RASANTE!F152&lt;=PERALTE!$AB$14),IF(RASANTE!F152&lt;=PERALTE!$Q$14,-2,IF(RASANTE!F152&lt;=PERALTE!$U$14,(10/(PERALTE!$U$14-PERALTE!$Q$14)*(RASANTE!F152-PERALTE!$Q$14)-2),IF(RASANTE!F152&lt;=PERALTE!$X$14,8,IF(RASANTE!F152&lt;=PERALTE!$AB$14,(10/(PERALTE!$X$14-PERALTE!$AB$14)*(RASANTE!F152-PERALTE!$AB$14)-2))))),IF(AND(AH!$H$18="Izquierda",RASANTE!F152&lt;=PERALTE!$AB$16),IF(RASANTE!F152&lt;=PERALTE!$S$16,-2,IF(RASANTE!F152&lt;=PERALTE!$U$16,(-6/(PERALTE!$U$16-PERALTE!$S$16)*(RASANTE!F152-PERALTE!$S$16)-2),IF(RASANTE!F152&lt;=PERALTE!$X$16,-8,IF(RASANTE!F152&lt;=PERALTE!$Z$16,(-6/(PERALTE!$X$16-PERALTE!$Z$16)*(RASANTE!F152-PERALTE!$Z$16)-2),IF(RASANTE!F152&lt;=PERALTE!$AB$16,-2))))),IF(AND(AH!$H$18="Derecha",RASANTE!F152&lt;=PERALTE!$AB$16),IF(RASANTE!F152&lt;=PERALTE!$Q$16,-2,IF(RASANTE!F152&lt;=PERALTE!$U$16,(10/(PERALTE!$U$16-PERALTE!$Q$16)*(RASANTE!F152-PERALTE!$Q$16)-2),IF(RASANTE!F152&lt;=PERALTE!$X$16,8,IF(RASANTE!F152&lt;=PERALTE!$AB$16,(10/(PERALTE!$X$16-PERALTE!$AB$16)*(RASANTE!F152-PERALTE!$AB$16)-2))))),IF(AND(AH!$H$20="Izquierda",RASANTE!F152&lt;=PERALTE!$AB$18),IF(RASANTE!F152&lt;=PERALTE!$S$18,-2,IF(RASANTE!F152&lt;=PERALTE!$U$18,(-6/(PERALTE!$U$18-PERALTE!$S$18)*(RASANTE!F152-PERALTE!$S$18)-2),IF(RASANTE!F152&lt;=PERALTE!$X$18,-8,IF(RASANTE!F152&lt;=PERALTE!$Z$18,(-6/(PERALTE!$X$18-PERALTE!$Z$18)*(RASANTE!F152-PERALTE!$Z$18)-2),IF(RASANTE!F152&lt;=PERALTE!$AB$18,-2))))),IF(AND(AH!$H$20="Derecha",RASANTE!F152&lt;=PERALTE!$AB$18),IF(RASANTE!F152&lt;=PERALTE!$Q$18,-2,IF(RASANTE!F152&lt;=PERALTE!$U$18,(10/(PERALTE!$U$18-PERALTE!$Q$18)*(RASANTE!F152-PERALTE!$Q$18)-2),IF(RASANTE!F152&lt;=PERALTE!$X$18,8,IF(RASANTE!F152&lt;=PERALTE!$AB$18,(10/(PERALTE!$X$18-PERALTE!$AB$18)*(RASANTE!F152-PERALTE!$AB$18)-2))))),IF(AND(AH!$H$24="Izquierda",RASANTE!F152&lt;=PERALTE!$AB$22),IF(RASANTE!F152&lt;=PERALTE!$S$22,-2,IF(RASANTE!F152&lt;=PERALTE!$U$22,(-6/(PERALTE!$U$22-PERALTE!$S$22)*(RASANTE!F152-PERALTE!$S$22)-2),IF(RASANTE!F152&lt;=PERALTE!$X$22,-8,IF(RASANTE!F152&lt;=PERALTE!$Z$22,(-6/(PERALTE!$X$22-PERALTE!$Z$22)*(RASANTE!F152-PERALTE!$Z$22)-2),IF(RASANTE!F152&lt;=PERALTE!$AB$22,-2))))),IF(AND(AH!$H$24="Derecha",RASANTE!F152&lt;=PERALTE!$AB$22),IF(RASANTE!F152&lt;=PERALTE!$Q$22,-2,IF(RASANTE!F152&lt;=PERALTE!$U$22,(10/(PERALTE!$U$22-PERALTE!$Q$22)*(RASANTE!F152-PERALTE!$Q$22)-2),IF(RASANTE!F152&lt;=PERALTE!$X$22,8,IF(RASANTE!F152&lt;=PERALTE!$AB$22,(10/(PERALTE!$X$22-PERALTE!$AB$22)*(RASANTE!F152-PERALTE!$AB$22)-2))))),IF(AND(AH!#REF!="Izquierda",RASANTE!F152&lt;=PERALTE!#REF!),IF(RASANTE!F152&lt;=PERALTE!#REF!,-2,IF(RASANTE!F152&lt;=PERALTE!#REF!,(-6/(PERALTE!#REF!-PERALTE!#REF!)*(RASANTE!F152-PERALTE!#REF!)-2),IF(RASANTE!F152&lt;=PERALTE!#REF!,-8,IF(RASANTE!F152&lt;=PERALTE!#REF!,(-6/(PERALTE!#REF!-PERALTE!#REF!)*(RASANTE!F152-PERALTE!#REF!)-2),IF(RASANTE!F152&lt;=PERALTE!#REF!,-2))))),IF(AND(AH!#REF!="Derecha",RASANTE!F152&lt;=PERALTE!#REF!),IF(RASANTE!F152&lt;=PERALTE!#REF!,-2,IF(RASANTE!F152&lt;=PERALTE!#REF!,(10/(PERALTE!#REF!-PERALTE!#REF!)*(RASANTE!F152-PERALTE!#REF!)-2),IF(RASANTE!F152&lt;=PERALTE!#REF!,8,IF(RASANTE!F152&lt;=PERALTE!#REF!,(10/(PERALTE!#REF!-PERALTE!#REF!)*(RASANTE!F152-PERALTE!#REF!)-2))))),IF(AND(AH!#REF!="Izquierda",RASANTE!F152&lt;=PERALTE!$AB$26),IF(RASANTE!F152&lt;=PERALTE!$S$26,-2,IF(RASANTE!F152&lt;=PERALTE!$U$26,(-6/(PERALTE!$U$26-PERALTE!$S$26)*(RASANTE!F152-PERALTE!$S$26)-2),IF(RASANTE!F152&lt;=PERALTE!$X$26,-8,IF(RASANTE!F152&lt;=PERALTE!$Z$26,(-6/(PERALTE!$X$26-PERALTE!$Z$26)*(RASANTE!F152-PERALTE!$Z$26)-2),IF(RASANTE!F152&lt;=PERALTE!$AB$26,-2))))),IF(AND(AH!#REF!="Derecha",RASANTE!F152&lt;=PERALTE!$AB$26),IF(RASANTE!F152&lt;=PERALTE!$Q$26,-2,IF(RASANTE!F152&lt;=PERALTE!$U$26,(10/(PERALTE!$U$26-PERALTE!$Q$26)*(RASANTE!F152-PERALTE!$Q$26)-2),IF(RASANTE!F152&lt;=PERALTE!$X$26,8,IF(RASANTE!F152&lt;=PERALTE!$AB$26,(10/(PERALTE!$X$26-PERALTE!$AB$26)*(RASANTE!F152-PERALTE!$AB$26)-2))))),IF(F152&lt;=PERALTE!#REF!,-2,"Abscisa fuera de la vía")))))))))))))))))))))</f>
        <v>-2</v>
      </c>
      <c r="I152" s="28">
        <f>+IF(AND(AH!$H$8="Derecha",RASANTE!F152&lt;=PERALTE!$AB$6),IF(RASANTE!F152&lt;=PERALTE!$S$6,-2,IF(RASANTE!F152&lt;=PERALTE!$U$6,(-6/(PERALTE!$U$6-PERALTE!$S$6)*(RASANTE!F152-PERALTE!$S$6)-2),IF(RASANTE!F152&lt;=PERALTE!$X$6,-8,IF(RASANTE!F152&lt;=PERALTE!$Z$6,(-6/(PERALTE!$X$6-PERALTE!$Z$6)*(RASANTE!F152-PERALTE!$Z$6)-2),IF(RASANTE!F152&lt;=PERALTE!$AB$6,-2))))),IF(AND(AH!$H$8="Izquierda",RASANTE!F152&lt;=PERALTE!$AB$6),IF(RASANTE!F152&lt;=PERALTE!$Q$6,-2,IF(RASANTE!F152&lt;=PERALTE!$U$6,(10/(PERALTE!$U$6-PERALTE!$Q$6)*(RASANTE!F152-PERALTE!$Q$6)-2),IF(RASANTE!F152&lt;=PERALTE!$X$6,8,IF(RASANTE!F152&lt;=PERALTE!$AB$6,(10/(PERALTE!$X$6-PERALTE!$AB$6)*(RASANTE!F152-PERALTE!$AB$6)-2))))),IF(AND(AH!$H$10="Derecha",RASANTE!F152&lt;=PERALTE!$AB$8),IF(RASANTE!F152&lt;=PERALTE!$S$8,-2,IF(RASANTE!F152&lt;=PERALTE!$U$8,(-6/(PERALTE!$U$8-PERALTE!$S$8)*(RASANTE!F152-PERALTE!$S$8)-2),IF(RASANTE!F152&lt;=PERALTE!$X$8,-8,IF(RASANTE!F152&lt;=PERALTE!$Z$8,(-6/(PERALTE!$X$8-PERALTE!$Z$8)*(RASANTE!F152-PERALTE!$Z$8)-2),IF(RASANTE!F152&lt;=PERALTE!$AB$8,-2))))),IF(AND(AH!$H$10="Izquierda",RASANTE!F152&lt;=PERALTE!$AB$8),IF(RASANTE!F152&lt;=PERALTE!$Q$8,-2,IF(RASANTE!F152&lt;=PERALTE!$U$8,(10/(PERALTE!$U$8-PERALTE!$Q$8)*(RASANTE!F152-PERALTE!$Q$8)-2),IF(RASANTE!F152&lt;=PERALTE!$X$8,8,IF(RASANTE!F152&lt;=PERALTE!$AB$8,(10/(PERALTE!$X$8-PERALTE!$AB$8)*(RASANTE!F152-PERALTE!$AB$8)-2))))),IF(AND(AH!$H$12="Derecha",RASANTE!F152&lt;=PERALTE!$AB$10),IF(RASANTE!F152&lt;=PERALTE!$S$10,-2,IF(RASANTE!F152&lt;=PERALTE!$U$10,(-6/(PERALTE!$U$10-PERALTE!$S$10)*(RASANTE!F152-PERALTE!$S$10)-2),IF(RASANTE!F152&lt;=PERALTE!$X$10,-8,IF(RASANTE!F152&lt;=PERALTE!$Z$10,(-6/(PERALTE!$X$10-PERALTE!$Z$10)*(RASANTE!F152-PERALTE!$Z$10)-2),IF(RASANTE!F152&lt;=PERALTE!$AB$10,-2))))),IF(AND(AH!$H$12="Izquierda",RASANTE!F152&lt;=PERALTE!$AB$10),IF(RASANTE!F152&lt;=PERALTE!$Q$10,-2,IF(RASANTE!F152&lt;=PERALTE!$U$10,(10/(PERALTE!$U$10-PERALTE!$Q$10)*(RASANTE!F152-PERALTE!$Q$10)-2),IF(RASANTE!F152&lt;=PERALTE!$X$10,8,IF(RASANTE!F152&lt;=PERALTE!$AB$10,(10/(PERALTE!$X$10-PERALTE!$AB$10)*(RASANTE!F152-PERALTE!$AB$10)-2))))),IF(AND(AH!$H$14="Derecha",RASANTE!F152&lt;=PERALTE!$AB$12),IF(RASANTE!F152&lt;=PERALTE!$S$12,-2,IF(RASANTE!F152&lt;=PERALTE!$U$12,(-6/(PERALTE!$U$12-PERALTE!$S$12)*(RASANTE!F152-PERALTE!$S$12)-2),IF(RASANTE!F152&lt;=PERALTE!$X$12,-8,IF(RASANTE!F152&lt;=PERALTE!$Z$12,(-6/(PERALTE!$X$12-PERALTE!$Z$12)*(RASANTE!F152-PERALTE!$Z$12)-2),IF(RASANTE!F152&lt;=PERALTE!$AB$12,-2))))),IF(AND(AH!$H$14="Izquierda",RASANTE!F152&lt;=PERALTE!$AB$12),IF(RASANTE!F152&lt;=PERALTE!$Q$12,-2,IF(RASANTE!F152&lt;=PERALTE!$U$12,(10/(PERALTE!$U$12-PERALTE!$Q$12)*(RASANTE!F152-PERALTE!$Q$12)-2),IF(RASANTE!F152&lt;=PERALTE!$X$12,8,IF(RASANTE!F152&lt;=PERALTE!$AB$12,(10/(PERALTE!$X$12-PERALTE!$AB$12)*(RASANTE!F152-PERALTE!$AB$12)-2))))),IF(AND(AH!$H$16="Derecha",RASANTE!F152&lt;=PERALTE!$AB$14),IF(RASANTE!F152&lt;=PERALTE!$S$14,-2,IF(RASANTE!F152&lt;=PERALTE!$U$14,(-6/(PERALTE!$U$14-PERALTE!$S$14)*(RASANTE!F152-PERALTE!$S$14)-2),IF(RASANTE!F152&lt;=PERALTE!$X$14,-8,IF(RASANTE!F152&lt;=PERALTE!$Z$14,(-6/(PERALTE!$X$14-PERALTE!$Z$14)*(RASANTE!F152-PERALTE!$Z$14)-2),IF(RASANTE!F152&lt;=PERALTE!$AB$14,-2))))),IF(AND(AH!$H$16="Izquierda",RASANTE!F152&lt;=PERALTE!$AB$14),IF(RASANTE!F152&lt;=PERALTE!$Q$14,-2,IF(RASANTE!F152&lt;=PERALTE!$U$14,(10/(PERALTE!$U$14-PERALTE!$Q$14)*(RASANTE!F152-PERALTE!$Q$14)-2),IF(RASANTE!F152&lt;=PERALTE!$X$14,8,IF(RASANTE!F152&lt;=PERALTE!$AB$14,(10/(PERALTE!$X$14-PERALTE!$AB$14)*(RASANTE!F152-PERALTE!$AB$14)-2))))),IF(AND(AH!$H$18="Derecha",RASANTE!F152&lt;=PERALTE!$AB$16),IF(RASANTE!F152&lt;=PERALTE!$S$16,-2,IF(RASANTE!F152&lt;=PERALTE!$U$16,(-6/(PERALTE!$U$16-PERALTE!$S$16)*(RASANTE!F152-PERALTE!$S$16)-2),IF(RASANTE!F152&lt;=PERALTE!$X$16,-8,IF(RASANTE!F152&lt;=PERALTE!$Z$16,(-6/(PERALTE!$X$16-PERALTE!$Z$16)*(RASANTE!F152-PERALTE!$Z$16)-2),IF(RASANTE!F152&lt;=PERALTE!$AB$16,-2))))),IF(AND(AH!$H$18="Izquierda",RASANTE!F152&lt;=PERALTE!$AB$16),IF(RASANTE!F152&lt;=PERALTE!$Q$16,-2,IF(RASANTE!F152&lt;=PERALTE!$U$16,(10/(PERALTE!$U$16-PERALTE!$Q$16)*(RASANTE!F152-PERALTE!$Q$16)-2),IF(RASANTE!F152&lt;=PERALTE!$X$16,8,IF(RASANTE!F152&lt;=PERALTE!$AB$16,(10/(PERALTE!$X$16-PERALTE!$AB$16)*(RASANTE!F152-PERALTE!$AB$16)-2))))),IF(AND(AH!$H$20="Derecha",RASANTE!F152&lt;=PERALTE!$AB$18),IF(RASANTE!F152&lt;=PERALTE!$S$18,-2,IF(RASANTE!F152&lt;=PERALTE!$U$18,(-6/(PERALTE!$U$18-PERALTE!$S$18)*(RASANTE!F152-PERALTE!$S$18)-2),IF(RASANTE!F152&lt;=PERALTE!$X$18,-8,IF(RASANTE!F152&lt;=PERALTE!$Z$18,(-6/(PERALTE!$X$18-PERALTE!$Z$18)*(RASANTE!F152-PERALTE!$Z$18)-2),IF(RASANTE!F152&lt;=PERALTE!$AB$18,-2))))),IF(AND(AH!$H$20="Izquierda",RASANTE!F152&lt;=PERALTE!$AB$18),IF(RASANTE!F152&lt;=PERALTE!$Q$18,-2,IF(RASANTE!F152&lt;=PERALTE!$U$18,(10/(PERALTE!$U$18-PERALTE!$Q$18)*(RASANTE!F152-PERALTE!$Q$18)-2),IF(RASANTE!F152&lt;=PERALTE!$X$18,8,IF(RASANTE!F152&lt;=PERALTE!$AB$18,(10/(PERALTE!$X$18-PERALTE!$AB$18)*(RASANTE!F152-PERALTE!$AB$18)-2))))),IF(AND(AH!$H$24="Derecha",RASANTE!F152&lt;=PERALTE!$AB$22),IF(RASANTE!F152&lt;=PERALTE!$S$22,-2,IF(RASANTE!F152&lt;=PERALTE!$U$22,(-6/(PERALTE!$U$22-PERALTE!$S$22)*(RASANTE!F152-PERALTE!$S$22)-2),IF(RASANTE!F152&lt;=PERALTE!$X$22,-8,IF(RASANTE!F152&lt;=PERALTE!$Z$22,(-6/(PERALTE!$X$22-PERALTE!$Z$22)*(RASANTE!F152-PERALTE!$Z$22)-2),IF(RASANTE!F152&lt;=PERALTE!$AB$22,-2))))),IF(AND(AH!$H$24="Izquierda",RASANTE!F152&lt;=PERALTE!$AB$22),IF(RASANTE!F152&lt;=PERALTE!$Q$22,-2,IF(RASANTE!F152&lt;=PERALTE!$U$22,(10/(PERALTE!$U$22-PERALTE!$Q$22)*(RASANTE!F152-PERALTE!$Q$22)-2),IF(RASANTE!F152&lt;=PERALTE!$X$22,8,IF(RASANTE!F152&lt;=PERALTE!$AB$22,(10/(PERALTE!$X$22-PERALTE!$AB$22)*(RASANTE!F152-PERALTE!$AB$22)-2))))),IF(AND(AH!#REF!="Derecha",RASANTE!F152&lt;=PERALTE!#REF!),IF(RASANTE!F152&lt;=PERALTE!#REF!,-2,IF(RASANTE!F152&lt;=PERALTE!#REF!,(-6/(PERALTE!#REF!-PERALTE!#REF!)*(RASANTE!F152-PERALTE!#REF!)-2),IF(RASANTE!F152&lt;=PERALTE!#REF!,-8,IF(RASANTE!F152&lt;=PERALTE!#REF!,(-6/(PERALTE!#REF!-PERALTE!#REF!)*(RASANTE!F152-PERALTE!#REF!)-2),IF(RASANTE!F152&lt;=PERALTE!#REF!,-2))))),IF(AND(AH!#REF!="Izquierda",RASANTE!F152&lt;=PERALTE!#REF!),IF(RASANTE!F152&lt;=PERALTE!#REF!,-2,IF(RASANTE!F152&lt;=PERALTE!#REF!,(10/(PERALTE!#REF!-PERALTE!#REF!)*(RASANTE!F152-PERALTE!#REF!)-2),IF(RASANTE!F152&lt;=PERALTE!#REF!,8,IF(RASANTE!F152&lt;=PERALTE!#REF!,(10/(PERALTE!#REF!-PERALTE!#REF!)*(RASANTE!F152-PERALTE!#REF!)-2))))),IF(AND(AH!#REF!="Derecha",RASANTE!F152&lt;=PERALTE!$AB$26),IF(RASANTE!F152&lt;=PERALTE!$S$26,-2,IF(RASANTE!F152&lt;=PERALTE!$U$26,(-6/(PERALTE!$U$26-PERALTE!$S$26)*(RASANTE!F152-PERALTE!$S$26)-2),IF(RASANTE!F152&lt;=PERALTE!$X$26,-8,IF(RASANTE!F152&lt;=PERALTE!$Z$26,(-6/(PERALTE!$X$26-PERALTE!$Z$26)*(RASANTE!F152-PERALTE!$Z$26)-2),IF(RASANTE!F152&lt;=PERALTE!$AB$26,-2))))),IF(AND(AH!#REF!="Izquierda",RASANTE!F152&lt;=PERALTE!$AB$26),IF(RASANTE!F152&lt;=PERALTE!$Q$26,-2,IF(RASANTE!F152&lt;=PERALTE!$U$26,(10/(PERALTE!$U$26-PERALTE!$Q$26)*(RASANTE!F152-PERALTE!$Q$26)-2),IF(RASANTE!F152&lt;=PERALTE!$X$26,8,IF(RASANTE!F152&lt;=PERALTE!$AB$26,(10/(PERALTE!$X$26-PERALTE!$AB$26)*(RASANTE!F152-PERALTE!$AB$26)-2))))),IF(F152&lt;=PERALTE!#REF!,-2,"Abscisa fuera de la vía")))))))))))))))))))))</f>
        <v>4.8849813083506888E-15</v>
      </c>
      <c r="J152" s="28">
        <f t="shared" si="6"/>
        <v>1619.0465785576334</v>
      </c>
      <c r="K152" s="28">
        <f>+IF(AND(AV!$S$6&lt;F152,F152&lt;=AV!$T$6),AV!$P$6*((AV!$S$6-RASANTE!F152)/(AV!$N$6))^2,IF(AND(AV!$T$6&lt;RASANTE!F152,F152&lt;AV!$U$6),AV!$P$6*((AV!$U$6-RASANTE!F152)/(AV!$O$6))^2,IF(AND(AV!$S$8&lt;F152,F152&lt;=AV!$T$8),AV!$P$8*((AV!$S$8-RASANTE!F152)/(AV!$N$8))^2,IF(AND(AV!$T$8&lt;RASANTE!F152,F152&lt;AV!$U$8),AV!$P$8*((AV!$U$8-RASANTE!F152)/(AV!$O$8))^2,IF(AND(AV!$S$10&lt;F152,F152&lt;=AV!$T$10),AV!$P$10*((AV!$S$10-RASANTE!F152)/(AV!$N$10))^2,IF(AND(AV!$T$10&lt;RASANTE!F152,F152&lt;AV!$U$10),AV!$P$10*((AV!$U$10-RASANTE!F152)/(AV!$O$10))^2,IF(AND(AV!$S$12&lt;F152,F152&lt;=AV!$T$12),AV!$P$12*((AV!$S$12-RASANTE!F152)/(AV!$N$12))^2,IF(AND(AV!$T$12&lt;RASANTE!F152,F152&lt;AV!$U$12),AV!$P$12*((AV!$U$12-RASANTE!F152)/(AV!$O$12))^2,IF(AND(AV!$S$14&lt;F152,F152&lt;=AV!$T$14),AV!$P$14*((AV!$S$14-RASANTE!F152)/(AV!$N$14))^2,IF(AND(AV!$T$14&lt;RASANTE!F152,F152&lt;AV!$U$14),AV!$P$14*((AV!$U$14-RASANTE!F152)/(AV!$O$14))^2,IF(AND(AV!$S$16&lt;F152,F152&lt;=AV!$T$16),AV!$P$16*((AV!$S$16-RASANTE!F152)/(AV!$N$16))^2,IF(AND(AV!$T$16&lt;RASANTE!F152,F152&lt;AV!$U$16),AV!$P$16*((AV!$U$16-RASANTE!F152)/(AV!$O$16))^2,IF(AND(AV!$S$18&lt;F152,F152&lt;=AV!$T$18),AV!$P$18*((AV!$S$18-RASANTE!F152)/(AV!$N$18))^2,IF(AND(AV!$T$18&lt;RASANTE!F152,F152&lt;AV!$U$18),AV!$P$18*((AV!$U$18-RASANTE!F152)/(AV!$O$18))^2,IF(AND(AV!$S$20&lt;F152,F152&lt;=AV!$T$20),AV!$P$20*((AV!$S$20-RASANTE!F152)/(AV!$N$20))^2,IF(AND(AV!$T$20&lt;RASANTE!F152,F152&lt;AV!$U$20),AV!$P$20*((AV!$U$20-RASANTE!F152)/(AV!$O$20))^2,IF(AND(AV!$S$22&lt;F152,F152&lt;=AV!$T$22),AV!$P$22*((AV!$S$22-RASANTE!F152)/(AV!$N$22))^2,IF(AND(AV!$T$22&lt;RASANTE!F152,F152&lt;AV!$U$22),AV!$P$22*((AV!$U$22-RASANTE!F152)/(AV!$O$22))^2,IF(AND(AV!$S$24&lt;F152,F152&lt;=AV!$T$24),AV!$P$24*((AV!$S$24-RASANTE!F152)/(AV!$N$24))^2,IF(AND(AV!$T$24&lt;RASANTE!F152,F152&lt;AV!$U$24),AV!$P$24*((AV!$U$24-RASANTE!F152)/(AV!$O$24))^2,0))))))))))))))))))))</f>
        <v>0</v>
      </c>
      <c r="L152" s="28">
        <f>+M152+H152%*PERALTE!$C$32</f>
        <v>1618.9765785576335</v>
      </c>
      <c r="M152" s="28">
        <f t="shared" si="5"/>
        <v>1619.0465785576334</v>
      </c>
      <c r="N152" s="28">
        <f>+M152+I152%*PERALTE!$C$32</f>
        <v>1619.0465785576334</v>
      </c>
      <c r="O152" s="92"/>
      <c r="P152" s="84"/>
      <c r="Q152" s="84"/>
      <c r="R152" s="84"/>
      <c r="S152" s="84"/>
      <c r="T152" s="84"/>
      <c r="U152" s="84"/>
      <c r="V152" s="84"/>
      <c r="W152" s="84"/>
      <c r="X152" s="84"/>
      <c r="Y152" s="84"/>
    </row>
    <row r="153" spans="1:25" ht="15.75" customHeight="1" x14ac:dyDescent="0.2">
      <c r="A153" s="322"/>
      <c r="F153" s="34">
        <v>920</v>
      </c>
      <c r="G153" s="88">
        <f>IF(F153&lt;=AV!$T$6,AV!$C$5,IF(RASANTE!F153&lt;=AV!$T$8,AV!$C$7,IF(RASANTE!F153&lt;=AV!$T$10,AV!$C$9,IF(RASANTE!F153&lt;=AV!$T$12,AV!$C$11,IF(RASANTE!F153&lt;=AV!$T$14,AV!$C$13,IF(RASANTE!F153&lt;=AV!$T$16,AV!$C$15, IF(RASANTE!F153&lt;=AV!$T$18,AV!$C$17,IF(RASANTE!F153&lt;=AV!$T$20,AV!$C$19,IF(RASANTE!F153&lt;=AV!$T$22,AV!$C$21,IF(RASANTE!F153&lt;=AV!$T$24,AV!$C$23,AV!$C$25))))))))))</f>
        <v>-7.2409999999999997</v>
      </c>
      <c r="H153" s="28">
        <f>+IF(AND(AH!$H$8="Izquierda",RASANTE!F153&lt;=PERALTE!$AB$6),IF(RASANTE!F153&lt;=PERALTE!$S$6,-2,IF(RASANTE!F153&lt;=PERALTE!$U$6,(-6/(PERALTE!$U$6-PERALTE!$S$6)*(RASANTE!F153-PERALTE!$S$6)-2),IF(RASANTE!F153&lt;=PERALTE!$X$6,-8,IF(RASANTE!F153&lt;=PERALTE!$Z$6,(-6/(PERALTE!$X$6-PERALTE!$Z$6)*(RASANTE!F153-PERALTE!$Z$6)-2),IF(RASANTE!F153&lt;=PERALTE!$AB$6,-2))))),IF(AND(AH!$H$8="Derecha",RASANTE!F153&lt;=PERALTE!$AB$6),IF(RASANTE!F153&lt;=PERALTE!$Q$6,-2,IF(RASANTE!F153&lt;=PERALTE!$U$6,(10/(PERALTE!$U$6-PERALTE!$Q$6)*(RASANTE!F153-PERALTE!$Q$6)-2),IF(RASANTE!F153&lt;=PERALTE!$X$6,8,IF(RASANTE!F153&lt;=PERALTE!$AB$6,(10/(PERALTE!$X$6-PERALTE!$AB$6)*(RASANTE!F153-PERALTE!$AB$6)-2))))),IF(AND(AH!$H$10="Izquierda",RASANTE!F153&lt;=PERALTE!$AB$8),IF(RASANTE!F153&lt;=PERALTE!$S$8,-2,IF(RASANTE!F153&lt;=PERALTE!$U$8,(-6/(PERALTE!$U$8-PERALTE!$S$8)*(RASANTE!F153-PERALTE!$S$8)-2),IF(RASANTE!F153&lt;=PERALTE!$X$8,-8,IF(RASANTE!F153&lt;=PERALTE!$Z$8,(-6/(PERALTE!$X$8-PERALTE!$Z$8)*(RASANTE!F153-PERALTE!$Z$8)-2),IF(RASANTE!F153&lt;=PERALTE!$AB$8,-2))))),IF(AND(AH!$H$10="Derecha",RASANTE!F153&lt;=PERALTE!$AB$8),IF(RASANTE!F153&lt;=PERALTE!$Q$8,-2,IF(RASANTE!F153&lt;=PERALTE!$U$8,(10/(PERALTE!$U$8-PERALTE!$Q$8)*(RASANTE!F153-PERALTE!$Q$8)-2),IF(RASANTE!F153&lt;=PERALTE!$X$8,8,IF(RASANTE!F153&lt;=PERALTE!$AB$8,(10/(PERALTE!$X$8-PERALTE!$AB$8)*(RASANTE!F153-PERALTE!$AB$8)-2))))),IF(AND(AH!$H$12="Izquierda",RASANTE!F153&lt;=PERALTE!$AB$10),IF(RASANTE!F153&lt;=PERALTE!$S$10,-2,IF(RASANTE!F153&lt;=PERALTE!$U$10,(-6/(PERALTE!$U$10-PERALTE!$S$10)*(RASANTE!F153-PERALTE!$S$10)-2),IF(RASANTE!F153&lt;=PERALTE!$X$10,-8,IF(RASANTE!F153&lt;=PERALTE!$Z$10,(-6/(PERALTE!$X$10-PERALTE!$Z$10)*(RASANTE!F153-PERALTE!$Z$10)-2),IF(RASANTE!F153&lt;=PERALTE!$AB$10,-2))))),IF(AND(AH!$H$12="Derecha",RASANTE!F153&lt;=PERALTE!$AB$10),IF(RASANTE!F153&lt;=PERALTE!$Q$10,-2,IF(RASANTE!F153&lt;=PERALTE!$U$10,(10/(PERALTE!$U$10-PERALTE!$Q$10)*(RASANTE!F153-PERALTE!$Q$10)-2),IF(RASANTE!F153&lt;=PERALTE!$X$10,8,IF(RASANTE!F153&lt;=PERALTE!$AB$10,(10/(PERALTE!$X$10-PERALTE!$AB$10)*(RASANTE!F153-PERALTE!$AB$10)-2))))),IF(AND(AH!$H$14="Izquierda",RASANTE!F153&lt;=PERALTE!$AB$12),IF(RASANTE!F153&lt;=PERALTE!$S$12,-2,IF(RASANTE!F153&lt;=PERALTE!$U$12,(-6/(PERALTE!$U$12-PERALTE!$S$12)*(RASANTE!F153-PERALTE!$S$12)-2),IF(RASANTE!F153&lt;=PERALTE!$X$12,-8,IF(RASANTE!F153&lt;=PERALTE!$Z$12,(-6/(PERALTE!$X$12-PERALTE!$Z$12)*(RASANTE!F153-PERALTE!$Z$12)-2),IF(RASANTE!F153&lt;=PERALTE!$AB$12,-2))))),IF(AND(AH!$H$14="Derecha",RASANTE!F153&lt;=PERALTE!$AB$12),IF(RASANTE!F153&lt;=PERALTE!$Q$12,-2,IF(RASANTE!F153&lt;=PERALTE!$U$12,(10/(PERALTE!$U$12-PERALTE!$Q$12)*(RASANTE!F153-PERALTE!$Q$12)-2),IF(RASANTE!F153&lt;=PERALTE!$X$12,8,IF(RASANTE!F153&lt;=PERALTE!$AB$12,(10/(PERALTE!$X$12-PERALTE!$AB$12)*(RASANTE!F153-PERALTE!$AB$12)-2))))),IF(AND(AH!$H$16="Izquierda",RASANTE!F153&lt;=PERALTE!$AB$14),IF(RASANTE!F153&lt;=PERALTE!$S$14,-2,IF(RASANTE!F153&lt;=PERALTE!$U$14,(-6/(PERALTE!$U$14-PERALTE!$S$14)*(RASANTE!F153-PERALTE!$S$14)-2),IF(RASANTE!F153&lt;=PERALTE!$X$14,-8,IF(RASANTE!F153&lt;=PERALTE!$Z$14,(-6/(PERALTE!$X$14-PERALTE!$Z$14)*(RASANTE!F153-PERALTE!$Z$14)-2),IF(RASANTE!F153&lt;=PERALTE!$AB$14,-2))))),IF(AND(AH!$H$16="Derecha",RASANTE!F153&lt;=PERALTE!$AB$14),IF(RASANTE!F153&lt;=PERALTE!$Q$14,-2,IF(RASANTE!F153&lt;=PERALTE!$U$14,(10/(PERALTE!$U$14-PERALTE!$Q$14)*(RASANTE!F153-PERALTE!$Q$14)-2),IF(RASANTE!F153&lt;=PERALTE!$X$14,8,IF(RASANTE!F153&lt;=PERALTE!$AB$14,(10/(PERALTE!$X$14-PERALTE!$AB$14)*(RASANTE!F153-PERALTE!$AB$14)-2))))),IF(AND(AH!$H$18="Izquierda",RASANTE!F153&lt;=PERALTE!$AB$16),IF(RASANTE!F153&lt;=PERALTE!$S$16,-2,IF(RASANTE!F153&lt;=PERALTE!$U$16,(-6/(PERALTE!$U$16-PERALTE!$S$16)*(RASANTE!F153-PERALTE!$S$16)-2),IF(RASANTE!F153&lt;=PERALTE!$X$16,-8,IF(RASANTE!F153&lt;=PERALTE!$Z$16,(-6/(PERALTE!$X$16-PERALTE!$Z$16)*(RASANTE!F153-PERALTE!$Z$16)-2),IF(RASANTE!F153&lt;=PERALTE!$AB$16,-2))))),IF(AND(AH!$H$18="Derecha",RASANTE!F153&lt;=PERALTE!$AB$16),IF(RASANTE!F153&lt;=PERALTE!$Q$16,-2,IF(RASANTE!F153&lt;=PERALTE!$U$16,(10/(PERALTE!$U$16-PERALTE!$Q$16)*(RASANTE!F153-PERALTE!$Q$16)-2),IF(RASANTE!F153&lt;=PERALTE!$X$16,8,IF(RASANTE!F153&lt;=PERALTE!$AB$16,(10/(PERALTE!$X$16-PERALTE!$AB$16)*(RASANTE!F153-PERALTE!$AB$16)-2))))),IF(AND(AH!$H$20="Izquierda",RASANTE!F153&lt;=PERALTE!$AB$18),IF(RASANTE!F153&lt;=PERALTE!$S$18,-2,IF(RASANTE!F153&lt;=PERALTE!$U$18,(-6/(PERALTE!$U$18-PERALTE!$S$18)*(RASANTE!F153-PERALTE!$S$18)-2),IF(RASANTE!F153&lt;=PERALTE!$X$18,-8,IF(RASANTE!F153&lt;=PERALTE!$Z$18,(-6/(PERALTE!$X$18-PERALTE!$Z$18)*(RASANTE!F153-PERALTE!$Z$18)-2),IF(RASANTE!F153&lt;=PERALTE!$AB$18,-2))))),IF(AND(AH!$H$20="Derecha",RASANTE!F153&lt;=PERALTE!$AB$18),IF(RASANTE!F153&lt;=PERALTE!$Q$18,-2,IF(RASANTE!F153&lt;=PERALTE!$U$18,(10/(PERALTE!$U$18-PERALTE!$Q$18)*(RASANTE!F153-PERALTE!$Q$18)-2),IF(RASANTE!F153&lt;=PERALTE!$X$18,8,IF(RASANTE!F153&lt;=PERALTE!$AB$18,(10/(PERALTE!$X$18-PERALTE!$AB$18)*(RASANTE!F153-PERALTE!$AB$18)-2))))),IF(AND(AH!$H$24="Izquierda",RASANTE!F153&lt;=PERALTE!$AB$22),IF(RASANTE!F153&lt;=PERALTE!$S$22,-2,IF(RASANTE!F153&lt;=PERALTE!$U$22,(-6/(PERALTE!$U$22-PERALTE!$S$22)*(RASANTE!F153-PERALTE!$S$22)-2),IF(RASANTE!F153&lt;=PERALTE!$X$22,-8,IF(RASANTE!F153&lt;=PERALTE!$Z$22,(-6/(PERALTE!$X$22-PERALTE!$Z$22)*(RASANTE!F153-PERALTE!$Z$22)-2),IF(RASANTE!F153&lt;=PERALTE!$AB$22,-2))))),IF(AND(AH!$H$24="Derecha",RASANTE!F153&lt;=PERALTE!$AB$22),IF(RASANTE!F153&lt;=PERALTE!$Q$22,-2,IF(RASANTE!F153&lt;=PERALTE!$U$22,(10/(PERALTE!$U$22-PERALTE!$Q$22)*(RASANTE!F153-PERALTE!$Q$22)-2),IF(RASANTE!F153&lt;=PERALTE!$X$22,8,IF(RASANTE!F153&lt;=PERALTE!$AB$22,(10/(PERALTE!$X$22-PERALTE!$AB$22)*(RASANTE!F153-PERALTE!$AB$22)-2))))),IF(AND(AH!#REF!="Izquierda",RASANTE!F153&lt;=PERALTE!#REF!),IF(RASANTE!F153&lt;=PERALTE!#REF!,-2,IF(RASANTE!F153&lt;=PERALTE!#REF!,(-6/(PERALTE!#REF!-PERALTE!#REF!)*(RASANTE!F153-PERALTE!#REF!)-2),IF(RASANTE!F153&lt;=PERALTE!#REF!,-8,IF(RASANTE!F153&lt;=PERALTE!#REF!,(-6/(PERALTE!#REF!-PERALTE!#REF!)*(RASANTE!F153-PERALTE!#REF!)-2),IF(RASANTE!F153&lt;=PERALTE!#REF!,-2))))),IF(AND(AH!#REF!="Derecha",RASANTE!F153&lt;=PERALTE!#REF!),IF(RASANTE!F153&lt;=PERALTE!#REF!,-2,IF(RASANTE!F153&lt;=PERALTE!#REF!,(10/(PERALTE!#REF!-PERALTE!#REF!)*(RASANTE!F153-PERALTE!#REF!)-2),IF(RASANTE!F153&lt;=PERALTE!#REF!,8,IF(RASANTE!F153&lt;=PERALTE!#REF!,(10/(PERALTE!#REF!-PERALTE!#REF!)*(RASANTE!F153-PERALTE!#REF!)-2))))),IF(AND(AH!#REF!="Izquierda",RASANTE!F153&lt;=PERALTE!$AB$26),IF(RASANTE!F153&lt;=PERALTE!$S$26,-2,IF(RASANTE!F153&lt;=PERALTE!$U$26,(-6/(PERALTE!$U$26-PERALTE!$S$26)*(RASANTE!F153-PERALTE!$S$26)-2),IF(RASANTE!F153&lt;=PERALTE!$X$26,-8,IF(RASANTE!F153&lt;=PERALTE!$Z$26,(-6/(PERALTE!$X$26-PERALTE!$Z$26)*(RASANTE!F153-PERALTE!$Z$26)-2),IF(RASANTE!F153&lt;=PERALTE!$AB$26,-2))))),IF(AND(AH!#REF!="Derecha",RASANTE!F153&lt;=PERALTE!$AB$26),IF(RASANTE!F153&lt;=PERALTE!$Q$26,-2,IF(RASANTE!F153&lt;=PERALTE!$U$26,(10/(PERALTE!$U$26-PERALTE!$Q$26)*(RASANTE!F153-PERALTE!$Q$26)-2),IF(RASANTE!F153&lt;=PERALTE!$X$26,8,IF(RASANTE!F153&lt;=PERALTE!$AB$26,(10/(PERALTE!$X$26-PERALTE!$AB$26)*(RASANTE!F153-PERALTE!$AB$26)-2))))),IF(F153&lt;=PERALTE!#REF!,-2,"Abscisa fuera de la vía")))))))))))))))))))))</f>
        <v>-2</v>
      </c>
      <c r="I153" s="28">
        <f>+IF(AND(AH!$H$8="Derecha",RASANTE!F153&lt;=PERALTE!$AB$6),IF(RASANTE!F153&lt;=PERALTE!$S$6,-2,IF(RASANTE!F153&lt;=PERALTE!$U$6,(-6/(PERALTE!$U$6-PERALTE!$S$6)*(RASANTE!F153-PERALTE!$S$6)-2),IF(RASANTE!F153&lt;=PERALTE!$X$6,-8,IF(RASANTE!F153&lt;=PERALTE!$Z$6,(-6/(PERALTE!$X$6-PERALTE!$Z$6)*(RASANTE!F153-PERALTE!$Z$6)-2),IF(RASANTE!F153&lt;=PERALTE!$AB$6,-2))))),IF(AND(AH!$H$8="Izquierda",RASANTE!F153&lt;=PERALTE!$AB$6),IF(RASANTE!F153&lt;=PERALTE!$Q$6,-2,IF(RASANTE!F153&lt;=PERALTE!$U$6,(10/(PERALTE!$U$6-PERALTE!$Q$6)*(RASANTE!F153-PERALTE!$Q$6)-2),IF(RASANTE!F153&lt;=PERALTE!$X$6,8,IF(RASANTE!F153&lt;=PERALTE!$AB$6,(10/(PERALTE!$X$6-PERALTE!$AB$6)*(RASANTE!F153-PERALTE!$AB$6)-2))))),IF(AND(AH!$H$10="Derecha",RASANTE!F153&lt;=PERALTE!$AB$8),IF(RASANTE!F153&lt;=PERALTE!$S$8,-2,IF(RASANTE!F153&lt;=PERALTE!$U$8,(-6/(PERALTE!$U$8-PERALTE!$S$8)*(RASANTE!F153-PERALTE!$S$8)-2),IF(RASANTE!F153&lt;=PERALTE!$X$8,-8,IF(RASANTE!F153&lt;=PERALTE!$Z$8,(-6/(PERALTE!$X$8-PERALTE!$Z$8)*(RASANTE!F153-PERALTE!$Z$8)-2),IF(RASANTE!F153&lt;=PERALTE!$AB$8,-2))))),IF(AND(AH!$H$10="Izquierda",RASANTE!F153&lt;=PERALTE!$AB$8),IF(RASANTE!F153&lt;=PERALTE!$Q$8,-2,IF(RASANTE!F153&lt;=PERALTE!$U$8,(10/(PERALTE!$U$8-PERALTE!$Q$8)*(RASANTE!F153-PERALTE!$Q$8)-2),IF(RASANTE!F153&lt;=PERALTE!$X$8,8,IF(RASANTE!F153&lt;=PERALTE!$AB$8,(10/(PERALTE!$X$8-PERALTE!$AB$8)*(RASANTE!F153-PERALTE!$AB$8)-2))))),IF(AND(AH!$H$12="Derecha",RASANTE!F153&lt;=PERALTE!$AB$10),IF(RASANTE!F153&lt;=PERALTE!$S$10,-2,IF(RASANTE!F153&lt;=PERALTE!$U$10,(-6/(PERALTE!$U$10-PERALTE!$S$10)*(RASANTE!F153-PERALTE!$S$10)-2),IF(RASANTE!F153&lt;=PERALTE!$X$10,-8,IF(RASANTE!F153&lt;=PERALTE!$Z$10,(-6/(PERALTE!$X$10-PERALTE!$Z$10)*(RASANTE!F153-PERALTE!$Z$10)-2),IF(RASANTE!F153&lt;=PERALTE!$AB$10,-2))))),IF(AND(AH!$H$12="Izquierda",RASANTE!F153&lt;=PERALTE!$AB$10),IF(RASANTE!F153&lt;=PERALTE!$Q$10,-2,IF(RASANTE!F153&lt;=PERALTE!$U$10,(10/(PERALTE!$U$10-PERALTE!$Q$10)*(RASANTE!F153-PERALTE!$Q$10)-2),IF(RASANTE!F153&lt;=PERALTE!$X$10,8,IF(RASANTE!F153&lt;=PERALTE!$AB$10,(10/(PERALTE!$X$10-PERALTE!$AB$10)*(RASANTE!F153-PERALTE!$AB$10)-2))))),IF(AND(AH!$H$14="Derecha",RASANTE!F153&lt;=PERALTE!$AB$12),IF(RASANTE!F153&lt;=PERALTE!$S$12,-2,IF(RASANTE!F153&lt;=PERALTE!$U$12,(-6/(PERALTE!$U$12-PERALTE!$S$12)*(RASANTE!F153-PERALTE!$S$12)-2),IF(RASANTE!F153&lt;=PERALTE!$X$12,-8,IF(RASANTE!F153&lt;=PERALTE!$Z$12,(-6/(PERALTE!$X$12-PERALTE!$Z$12)*(RASANTE!F153-PERALTE!$Z$12)-2),IF(RASANTE!F153&lt;=PERALTE!$AB$12,-2))))),IF(AND(AH!$H$14="Izquierda",RASANTE!F153&lt;=PERALTE!$AB$12),IF(RASANTE!F153&lt;=PERALTE!$Q$12,-2,IF(RASANTE!F153&lt;=PERALTE!$U$12,(10/(PERALTE!$U$12-PERALTE!$Q$12)*(RASANTE!F153-PERALTE!$Q$12)-2),IF(RASANTE!F153&lt;=PERALTE!$X$12,8,IF(RASANTE!F153&lt;=PERALTE!$AB$12,(10/(PERALTE!$X$12-PERALTE!$AB$12)*(RASANTE!F153-PERALTE!$AB$12)-2))))),IF(AND(AH!$H$16="Derecha",RASANTE!F153&lt;=PERALTE!$AB$14),IF(RASANTE!F153&lt;=PERALTE!$S$14,-2,IF(RASANTE!F153&lt;=PERALTE!$U$14,(-6/(PERALTE!$U$14-PERALTE!$S$14)*(RASANTE!F153-PERALTE!$S$14)-2),IF(RASANTE!F153&lt;=PERALTE!$X$14,-8,IF(RASANTE!F153&lt;=PERALTE!$Z$14,(-6/(PERALTE!$X$14-PERALTE!$Z$14)*(RASANTE!F153-PERALTE!$Z$14)-2),IF(RASANTE!F153&lt;=PERALTE!$AB$14,-2))))),IF(AND(AH!$H$16="Izquierda",RASANTE!F153&lt;=PERALTE!$AB$14),IF(RASANTE!F153&lt;=PERALTE!$Q$14,-2,IF(RASANTE!F153&lt;=PERALTE!$U$14,(10/(PERALTE!$U$14-PERALTE!$Q$14)*(RASANTE!F153-PERALTE!$Q$14)-2),IF(RASANTE!F153&lt;=PERALTE!$X$14,8,IF(RASANTE!F153&lt;=PERALTE!$AB$14,(10/(PERALTE!$X$14-PERALTE!$AB$14)*(RASANTE!F153-PERALTE!$AB$14)-2))))),IF(AND(AH!$H$18="Derecha",RASANTE!F153&lt;=PERALTE!$AB$16),IF(RASANTE!F153&lt;=PERALTE!$S$16,-2,IF(RASANTE!F153&lt;=PERALTE!$U$16,(-6/(PERALTE!$U$16-PERALTE!$S$16)*(RASANTE!F153-PERALTE!$S$16)-2),IF(RASANTE!F153&lt;=PERALTE!$X$16,-8,IF(RASANTE!F153&lt;=PERALTE!$Z$16,(-6/(PERALTE!$X$16-PERALTE!$Z$16)*(RASANTE!F153-PERALTE!$Z$16)-2),IF(RASANTE!F153&lt;=PERALTE!$AB$16,-2))))),IF(AND(AH!$H$18="Izquierda",RASANTE!F153&lt;=PERALTE!$AB$16),IF(RASANTE!F153&lt;=PERALTE!$Q$16,-2,IF(RASANTE!F153&lt;=PERALTE!$U$16,(10/(PERALTE!$U$16-PERALTE!$Q$16)*(RASANTE!F153-PERALTE!$Q$16)-2),IF(RASANTE!F153&lt;=PERALTE!$X$16,8,IF(RASANTE!F153&lt;=PERALTE!$AB$16,(10/(PERALTE!$X$16-PERALTE!$AB$16)*(RASANTE!F153-PERALTE!$AB$16)-2))))),IF(AND(AH!$H$20="Derecha",RASANTE!F153&lt;=PERALTE!$AB$18),IF(RASANTE!F153&lt;=PERALTE!$S$18,-2,IF(RASANTE!F153&lt;=PERALTE!$U$18,(-6/(PERALTE!$U$18-PERALTE!$S$18)*(RASANTE!F153-PERALTE!$S$18)-2),IF(RASANTE!F153&lt;=PERALTE!$X$18,-8,IF(RASANTE!F153&lt;=PERALTE!$Z$18,(-6/(PERALTE!$X$18-PERALTE!$Z$18)*(RASANTE!F153-PERALTE!$Z$18)-2),IF(RASANTE!F153&lt;=PERALTE!$AB$18,-2))))),IF(AND(AH!$H$20="Izquierda",RASANTE!F153&lt;=PERALTE!$AB$18),IF(RASANTE!F153&lt;=PERALTE!$Q$18,-2,IF(RASANTE!F153&lt;=PERALTE!$U$18,(10/(PERALTE!$U$18-PERALTE!$Q$18)*(RASANTE!F153-PERALTE!$Q$18)-2),IF(RASANTE!F153&lt;=PERALTE!$X$18,8,IF(RASANTE!F153&lt;=PERALTE!$AB$18,(10/(PERALTE!$X$18-PERALTE!$AB$18)*(RASANTE!F153-PERALTE!$AB$18)-2))))),IF(AND(AH!$H$24="Derecha",RASANTE!F153&lt;=PERALTE!$AB$22),IF(RASANTE!F153&lt;=PERALTE!$S$22,-2,IF(RASANTE!F153&lt;=PERALTE!$U$22,(-6/(PERALTE!$U$22-PERALTE!$S$22)*(RASANTE!F153-PERALTE!$S$22)-2),IF(RASANTE!F153&lt;=PERALTE!$X$22,-8,IF(RASANTE!F153&lt;=PERALTE!$Z$22,(-6/(PERALTE!$X$22-PERALTE!$Z$22)*(RASANTE!F153-PERALTE!$Z$22)-2),IF(RASANTE!F153&lt;=PERALTE!$AB$22,-2))))),IF(AND(AH!$H$24="Izquierda",RASANTE!F153&lt;=PERALTE!$AB$22),IF(RASANTE!F153&lt;=PERALTE!$Q$22,-2,IF(RASANTE!F153&lt;=PERALTE!$U$22,(10/(PERALTE!$U$22-PERALTE!$Q$22)*(RASANTE!F153-PERALTE!$Q$22)-2),IF(RASANTE!F153&lt;=PERALTE!$X$22,8,IF(RASANTE!F153&lt;=PERALTE!$AB$22,(10/(PERALTE!$X$22-PERALTE!$AB$22)*(RASANTE!F153-PERALTE!$AB$22)-2))))),IF(AND(AH!#REF!="Derecha",RASANTE!F153&lt;=PERALTE!#REF!),IF(RASANTE!F153&lt;=PERALTE!#REF!,-2,IF(RASANTE!F153&lt;=PERALTE!#REF!,(-6/(PERALTE!#REF!-PERALTE!#REF!)*(RASANTE!F153-PERALTE!#REF!)-2),IF(RASANTE!F153&lt;=PERALTE!#REF!,-8,IF(RASANTE!F153&lt;=PERALTE!#REF!,(-6/(PERALTE!#REF!-PERALTE!#REF!)*(RASANTE!F153-PERALTE!#REF!)-2),IF(RASANTE!F153&lt;=PERALTE!#REF!,-2))))),IF(AND(AH!#REF!="Izquierda",RASANTE!F153&lt;=PERALTE!#REF!),IF(RASANTE!F153&lt;=PERALTE!#REF!,-2,IF(RASANTE!F153&lt;=PERALTE!#REF!,(10/(PERALTE!#REF!-PERALTE!#REF!)*(RASANTE!F153-PERALTE!#REF!)-2),IF(RASANTE!F153&lt;=PERALTE!#REF!,8,IF(RASANTE!F153&lt;=PERALTE!#REF!,(10/(PERALTE!#REF!-PERALTE!#REF!)*(RASANTE!F153-PERALTE!#REF!)-2))))),IF(AND(AH!#REF!="Derecha",RASANTE!F153&lt;=PERALTE!$AB$26),IF(RASANTE!F153&lt;=PERALTE!$S$26,-2,IF(RASANTE!F153&lt;=PERALTE!$U$26,(-6/(PERALTE!$U$26-PERALTE!$S$26)*(RASANTE!F153-PERALTE!$S$26)-2),IF(RASANTE!F153&lt;=PERALTE!$X$26,-8,IF(RASANTE!F153&lt;=PERALTE!$Z$26,(-6/(PERALTE!$X$26-PERALTE!$Z$26)*(RASANTE!F153-PERALTE!$Z$26)-2),IF(RASANTE!F153&lt;=PERALTE!$AB$26,-2))))),IF(AND(AH!#REF!="Izquierda",RASANTE!F153&lt;=PERALTE!$AB$26),IF(RASANTE!F153&lt;=PERALTE!$Q$26,-2,IF(RASANTE!F153&lt;=PERALTE!$U$26,(10/(PERALTE!$U$26-PERALTE!$Q$26)*(RASANTE!F153-PERALTE!$Q$26)-2),IF(RASANTE!F153&lt;=PERALTE!$X$26,8,IF(RASANTE!F153&lt;=PERALTE!$AB$26,(10/(PERALTE!$X$26-PERALTE!$AB$26)*(RASANTE!F153-PERALTE!$AB$26)-2))))),IF(F153&lt;=PERALTE!#REF!,-2,"Abscisa fuera de la vía")))))))))))))))))))))</f>
        <v>-1.5560131806258191</v>
      </c>
      <c r="J153" s="28">
        <f t="shared" si="6"/>
        <v>1618.5344380375921</v>
      </c>
      <c r="K153" s="28">
        <f>+IF(AND(AV!$S$6&lt;F153,F153&lt;=AV!$T$6),AV!$P$6*((AV!$S$6-RASANTE!F153)/(AV!$N$6))^2,IF(AND(AV!$T$6&lt;RASANTE!F153,F153&lt;AV!$U$6),AV!$P$6*((AV!$U$6-RASANTE!F153)/(AV!$O$6))^2,IF(AND(AV!$S$8&lt;F153,F153&lt;=AV!$T$8),AV!$P$8*((AV!$S$8-RASANTE!F153)/(AV!$N$8))^2,IF(AND(AV!$T$8&lt;RASANTE!F153,F153&lt;AV!$U$8),AV!$P$8*((AV!$U$8-RASANTE!F153)/(AV!$O$8))^2,IF(AND(AV!$S$10&lt;F153,F153&lt;=AV!$T$10),AV!$P$10*((AV!$S$10-RASANTE!F153)/(AV!$N$10))^2,IF(AND(AV!$T$10&lt;RASANTE!F153,F153&lt;AV!$U$10),AV!$P$10*((AV!$U$10-RASANTE!F153)/(AV!$O$10))^2,IF(AND(AV!$S$12&lt;F153,F153&lt;=AV!$T$12),AV!$P$12*((AV!$S$12-RASANTE!F153)/(AV!$N$12))^2,IF(AND(AV!$T$12&lt;RASANTE!F153,F153&lt;AV!$U$12),AV!$P$12*((AV!$U$12-RASANTE!F153)/(AV!$O$12))^2,IF(AND(AV!$S$14&lt;F153,F153&lt;=AV!$T$14),AV!$P$14*((AV!$S$14-RASANTE!F153)/(AV!$N$14))^2,IF(AND(AV!$T$14&lt;RASANTE!F153,F153&lt;AV!$U$14),AV!$P$14*((AV!$U$14-RASANTE!F153)/(AV!$O$14))^2,IF(AND(AV!$S$16&lt;F153,F153&lt;=AV!$T$16),AV!$P$16*((AV!$S$16-RASANTE!F153)/(AV!$N$16))^2,IF(AND(AV!$T$16&lt;RASANTE!F153,F153&lt;AV!$U$16),AV!$P$16*((AV!$U$16-RASANTE!F153)/(AV!$O$16))^2,IF(AND(AV!$S$18&lt;F153,F153&lt;=AV!$T$18),AV!$P$18*((AV!$S$18-RASANTE!F153)/(AV!$N$18))^2,IF(AND(AV!$T$18&lt;RASANTE!F153,F153&lt;AV!$U$18),AV!$P$18*((AV!$U$18-RASANTE!F153)/(AV!$O$18))^2,IF(AND(AV!$S$20&lt;F153,F153&lt;=AV!$T$20),AV!$P$20*((AV!$S$20-RASANTE!F153)/(AV!$N$20))^2,IF(AND(AV!$T$20&lt;RASANTE!F153,F153&lt;AV!$U$20),AV!$P$20*((AV!$U$20-RASANTE!F153)/(AV!$O$20))^2,IF(AND(AV!$S$22&lt;F153,F153&lt;=AV!$T$22),AV!$P$22*((AV!$S$22-RASANTE!F153)/(AV!$N$22))^2,IF(AND(AV!$T$22&lt;RASANTE!F153,F153&lt;AV!$U$22),AV!$P$22*((AV!$U$22-RASANTE!F153)/(AV!$O$22))^2,IF(AND(AV!$S$24&lt;F153,F153&lt;=AV!$T$24),AV!$P$24*((AV!$S$24-RASANTE!F153)/(AV!$N$24))^2,IF(AND(AV!$T$24&lt;RASANTE!F153,F153&lt;AV!$U$24),AV!$P$24*((AV!$U$24-RASANTE!F153)/(AV!$O$24))^2,0))))))))))))))))))))</f>
        <v>0</v>
      </c>
      <c r="L153" s="28">
        <f>+M153+H153%*PERALTE!$C$32</f>
        <v>1618.4644380375921</v>
      </c>
      <c r="M153" s="28">
        <f t="shared" si="5"/>
        <v>1618.5344380375921</v>
      </c>
      <c r="N153" s="28">
        <f>+M153+I153%*PERALTE!$C$32</f>
        <v>1618.4799775762701</v>
      </c>
      <c r="O153" s="92"/>
      <c r="P153" s="84"/>
      <c r="Q153" s="84"/>
      <c r="R153" s="84"/>
      <c r="S153" s="84"/>
      <c r="T153" s="84"/>
      <c r="U153" s="84"/>
      <c r="V153" s="84"/>
      <c r="W153" s="84"/>
      <c r="X153" s="84"/>
      <c r="Y153" s="84"/>
    </row>
    <row r="154" spans="1:25" ht="15.75" customHeight="1" x14ac:dyDescent="0.2">
      <c r="A154" s="322" t="s">
        <v>347</v>
      </c>
      <c r="F154" s="34">
        <f>PERALTE!AB12</f>
        <v>922.01812190624628</v>
      </c>
      <c r="G154" s="88">
        <f>IF(F154&lt;=AV!$T$6,AV!$C$5,IF(RASANTE!F154&lt;=AV!$T$8,AV!$C$7,IF(RASANTE!F154&lt;=AV!$T$10,AV!$C$9,IF(RASANTE!F154&lt;=AV!$T$12,AV!$C$11,IF(RASANTE!F154&lt;=AV!$T$14,AV!$C$13,IF(RASANTE!F154&lt;=AV!$T$16,AV!$C$15, IF(RASANTE!F154&lt;=AV!$T$18,AV!$C$17,IF(RASANTE!F154&lt;=AV!$T$20,AV!$C$19,IF(RASANTE!F154&lt;=AV!$T$22,AV!$C$21,IF(RASANTE!F154&lt;=AV!$T$24,AV!$C$23,AV!$C$25))))))))))</f>
        <v>-7.2409999999999997</v>
      </c>
      <c r="H154" s="28">
        <f>+IF(AND(AH!$H$8="Izquierda",RASANTE!F154&lt;=PERALTE!$AB$6),IF(RASANTE!F154&lt;=PERALTE!$S$6,-2,IF(RASANTE!F154&lt;=PERALTE!$U$6,(-6/(PERALTE!$U$6-PERALTE!$S$6)*(RASANTE!F154-PERALTE!$S$6)-2),IF(RASANTE!F154&lt;=PERALTE!$X$6,-8,IF(RASANTE!F154&lt;=PERALTE!$Z$6,(-6/(PERALTE!$X$6-PERALTE!$Z$6)*(RASANTE!F154-PERALTE!$Z$6)-2),IF(RASANTE!F154&lt;=PERALTE!$AB$6,-2))))),IF(AND(AH!$H$8="Derecha",RASANTE!F154&lt;=PERALTE!$AB$6),IF(RASANTE!F154&lt;=PERALTE!$Q$6,-2,IF(RASANTE!F154&lt;=PERALTE!$U$6,(10/(PERALTE!$U$6-PERALTE!$Q$6)*(RASANTE!F154-PERALTE!$Q$6)-2),IF(RASANTE!F154&lt;=PERALTE!$X$6,8,IF(RASANTE!F154&lt;=PERALTE!$AB$6,(10/(PERALTE!$X$6-PERALTE!$AB$6)*(RASANTE!F154-PERALTE!$AB$6)-2))))),IF(AND(AH!$H$10="Izquierda",RASANTE!F154&lt;=PERALTE!$AB$8),IF(RASANTE!F154&lt;=PERALTE!$S$8,-2,IF(RASANTE!F154&lt;=PERALTE!$U$8,(-6/(PERALTE!$U$8-PERALTE!$S$8)*(RASANTE!F154-PERALTE!$S$8)-2),IF(RASANTE!F154&lt;=PERALTE!$X$8,-8,IF(RASANTE!F154&lt;=PERALTE!$Z$8,(-6/(PERALTE!$X$8-PERALTE!$Z$8)*(RASANTE!F154-PERALTE!$Z$8)-2),IF(RASANTE!F154&lt;=PERALTE!$AB$8,-2))))),IF(AND(AH!$H$10="Derecha",RASANTE!F154&lt;=PERALTE!$AB$8),IF(RASANTE!F154&lt;=PERALTE!$Q$8,-2,IF(RASANTE!F154&lt;=PERALTE!$U$8,(10/(PERALTE!$U$8-PERALTE!$Q$8)*(RASANTE!F154-PERALTE!$Q$8)-2),IF(RASANTE!F154&lt;=PERALTE!$X$8,8,IF(RASANTE!F154&lt;=PERALTE!$AB$8,(10/(PERALTE!$X$8-PERALTE!$AB$8)*(RASANTE!F154-PERALTE!$AB$8)-2))))),IF(AND(AH!$H$12="Izquierda",RASANTE!F154&lt;=PERALTE!$AB$10),IF(RASANTE!F154&lt;=PERALTE!$S$10,-2,IF(RASANTE!F154&lt;=PERALTE!$U$10,(-6/(PERALTE!$U$10-PERALTE!$S$10)*(RASANTE!F154-PERALTE!$S$10)-2),IF(RASANTE!F154&lt;=PERALTE!$X$10,-8,IF(RASANTE!F154&lt;=PERALTE!$Z$10,(-6/(PERALTE!$X$10-PERALTE!$Z$10)*(RASANTE!F154-PERALTE!$Z$10)-2),IF(RASANTE!F154&lt;=PERALTE!$AB$10,-2))))),IF(AND(AH!$H$12="Derecha",RASANTE!F154&lt;=PERALTE!$AB$10),IF(RASANTE!F154&lt;=PERALTE!$Q$10,-2,IF(RASANTE!F154&lt;=PERALTE!$U$10,(10/(PERALTE!$U$10-PERALTE!$Q$10)*(RASANTE!F154-PERALTE!$Q$10)-2),IF(RASANTE!F154&lt;=PERALTE!$X$10,8,IF(RASANTE!F154&lt;=PERALTE!$AB$10,(10/(PERALTE!$X$10-PERALTE!$AB$10)*(RASANTE!F154-PERALTE!$AB$10)-2))))),IF(AND(AH!$H$14="Izquierda",RASANTE!F154&lt;=PERALTE!$AB$12),IF(RASANTE!F154&lt;=PERALTE!$S$12,-2,IF(RASANTE!F154&lt;=PERALTE!$U$12,(-6/(PERALTE!$U$12-PERALTE!$S$12)*(RASANTE!F154-PERALTE!$S$12)-2),IF(RASANTE!F154&lt;=PERALTE!$X$12,-8,IF(RASANTE!F154&lt;=PERALTE!$Z$12,(-6/(PERALTE!$X$12-PERALTE!$Z$12)*(RASANTE!F154-PERALTE!$Z$12)-2),IF(RASANTE!F154&lt;=PERALTE!$AB$12,-2))))),IF(AND(AH!$H$14="Derecha",RASANTE!F154&lt;=PERALTE!$AB$12),IF(RASANTE!F154&lt;=PERALTE!$Q$12,-2,IF(RASANTE!F154&lt;=PERALTE!$U$12,(10/(PERALTE!$U$12-PERALTE!$Q$12)*(RASANTE!F154-PERALTE!$Q$12)-2),IF(RASANTE!F154&lt;=PERALTE!$X$12,8,IF(RASANTE!F154&lt;=PERALTE!$AB$12,(10/(PERALTE!$X$12-PERALTE!$AB$12)*(RASANTE!F154-PERALTE!$AB$12)-2))))),IF(AND(AH!$H$16="Izquierda",RASANTE!F154&lt;=PERALTE!$AB$14),IF(RASANTE!F154&lt;=PERALTE!$S$14,-2,IF(RASANTE!F154&lt;=PERALTE!$U$14,(-6/(PERALTE!$U$14-PERALTE!$S$14)*(RASANTE!F154-PERALTE!$S$14)-2),IF(RASANTE!F154&lt;=PERALTE!$X$14,-8,IF(RASANTE!F154&lt;=PERALTE!$Z$14,(-6/(PERALTE!$X$14-PERALTE!$Z$14)*(RASANTE!F154-PERALTE!$Z$14)-2),IF(RASANTE!F154&lt;=PERALTE!$AB$14,-2))))),IF(AND(AH!$H$16="Derecha",RASANTE!F154&lt;=PERALTE!$AB$14),IF(RASANTE!F154&lt;=PERALTE!$Q$14,-2,IF(RASANTE!F154&lt;=PERALTE!$U$14,(10/(PERALTE!$U$14-PERALTE!$Q$14)*(RASANTE!F154-PERALTE!$Q$14)-2),IF(RASANTE!F154&lt;=PERALTE!$X$14,8,IF(RASANTE!F154&lt;=PERALTE!$AB$14,(10/(PERALTE!$X$14-PERALTE!$AB$14)*(RASANTE!F154-PERALTE!$AB$14)-2))))),IF(AND(AH!$H$18="Izquierda",RASANTE!F154&lt;=PERALTE!$AB$16),IF(RASANTE!F154&lt;=PERALTE!$S$16,-2,IF(RASANTE!F154&lt;=PERALTE!$U$16,(-6/(PERALTE!$U$16-PERALTE!$S$16)*(RASANTE!F154-PERALTE!$S$16)-2),IF(RASANTE!F154&lt;=PERALTE!$X$16,-8,IF(RASANTE!F154&lt;=PERALTE!$Z$16,(-6/(PERALTE!$X$16-PERALTE!$Z$16)*(RASANTE!F154-PERALTE!$Z$16)-2),IF(RASANTE!F154&lt;=PERALTE!$AB$16,-2))))),IF(AND(AH!$H$18="Derecha",RASANTE!F154&lt;=PERALTE!$AB$16),IF(RASANTE!F154&lt;=PERALTE!$Q$16,-2,IF(RASANTE!F154&lt;=PERALTE!$U$16,(10/(PERALTE!$U$16-PERALTE!$Q$16)*(RASANTE!F154-PERALTE!$Q$16)-2),IF(RASANTE!F154&lt;=PERALTE!$X$16,8,IF(RASANTE!F154&lt;=PERALTE!$AB$16,(10/(PERALTE!$X$16-PERALTE!$AB$16)*(RASANTE!F154-PERALTE!$AB$16)-2))))),IF(AND(AH!$H$20="Izquierda",RASANTE!F154&lt;=PERALTE!$AB$18),IF(RASANTE!F154&lt;=PERALTE!$S$18,-2,IF(RASANTE!F154&lt;=PERALTE!$U$18,(-6/(PERALTE!$U$18-PERALTE!$S$18)*(RASANTE!F154-PERALTE!$S$18)-2),IF(RASANTE!F154&lt;=PERALTE!$X$18,-8,IF(RASANTE!F154&lt;=PERALTE!$Z$18,(-6/(PERALTE!$X$18-PERALTE!$Z$18)*(RASANTE!F154-PERALTE!$Z$18)-2),IF(RASANTE!F154&lt;=PERALTE!$AB$18,-2))))),IF(AND(AH!$H$20="Derecha",RASANTE!F154&lt;=PERALTE!$AB$18),IF(RASANTE!F154&lt;=PERALTE!$Q$18,-2,IF(RASANTE!F154&lt;=PERALTE!$U$18,(10/(PERALTE!$U$18-PERALTE!$Q$18)*(RASANTE!F154-PERALTE!$Q$18)-2),IF(RASANTE!F154&lt;=PERALTE!$X$18,8,IF(RASANTE!F154&lt;=PERALTE!$AB$18,(10/(PERALTE!$X$18-PERALTE!$AB$18)*(RASANTE!F154-PERALTE!$AB$18)-2))))),IF(AND(AH!$H$24="Izquierda",RASANTE!F154&lt;=PERALTE!$AB$22),IF(RASANTE!F154&lt;=PERALTE!$S$22,-2,IF(RASANTE!F154&lt;=PERALTE!$U$22,(-6/(PERALTE!$U$22-PERALTE!$S$22)*(RASANTE!F154-PERALTE!$S$22)-2),IF(RASANTE!F154&lt;=PERALTE!$X$22,-8,IF(RASANTE!F154&lt;=PERALTE!$Z$22,(-6/(PERALTE!$X$22-PERALTE!$Z$22)*(RASANTE!F154-PERALTE!$Z$22)-2),IF(RASANTE!F154&lt;=PERALTE!$AB$22,-2))))),IF(AND(AH!$H$24="Derecha",RASANTE!F154&lt;=PERALTE!$AB$22),IF(RASANTE!F154&lt;=PERALTE!$Q$22,-2,IF(RASANTE!F154&lt;=PERALTE!$U$22,(10/(PERALTE!$U$22-PERALTE!$Q$22)*(RASANTE!F154-PERALTE!$Q$22)-2),IF(RASANTE!F154&lt;=PERALTE!$X$22,8,IF(RASANTE!F154&lt;=PERALTE!$AB$22,(10/(PERALTE!$X$22-PERALTE!$AB$22)*(RASANTE!F154-PERALTE!$AB$22)-2))))),IF(AND(AH!#REF!="Izquierda",RASANTE!F154&lt;=PERALTE!#REF!),IF(RASANTE!F154&lt;=PERALTE!#REF!,-2,IF(RASANTE!F154&lt;=PERALTE!#REF!,(-6/(PERALTE!#REF!-PERALTE!#REF!)*(RASANTE!F154-PERALTE!#REF!)-2),IF(RASANTE!F154&lt;=PERALTE!#REF!,-8,IF(RASANTE!F154&lt;=PERALTE!#REF!,(-6/(PERALTE!#REF!-PERALTE!#REF!)*(RASANTE!F154-PERALTE!#REF!)-2),IF(RASANTE!F154&lt;=PERALTE!#REF!,-2))))),IF(AND(AH!#REF!="Derecha",RASANTE!F154&lt;=PERALTE!#REF!),IF(RASANTE!F154&lt;=PERALTE!#REF!,-2,IF(RASANTE!F154&lt;=PERALTE!#REF!,(10/(PERALTE!#REF!-PERALTE!#REF!)*(RASANTE!F154-PERALTE!#REF!)-2),IF(RASANTE!F154&lt;=PERALTE!#REF!,8,IF(RASANTE!F154&lt;=PERALTE!#REF!,(10/(PERALTE!#REF!-PERALTE!#REF!)*(RASANTE!F154-PERALTE!#REF!)-2))))),IF(AND(AH!#REF!="Izquierda",RASANTE!F154&lt;=PERALTE!$AB$26),IF(RASANTE!F154&lt;=PERALTE!$S$26,-2,IF(RASANTE!F154&lt;=PERALTE!$U$26,(-6/(PERALTE!$U$26-PERALTE!$S$26)*(RASANTE!F154-PERALTE!$S$26)-2),IF(RASANTE!F154&lt;=PERALTE!$X$26,-8,IF(RASANTE!F154&lt;=PERALTE!$Z$26,(-6/(PERALTE!$X$26-PERALTE!$Z$26)*(RASANTE!F154-PERALTE!$Z$26)-2),IF(RASANTE!F154&lt;=PERALTE!$AB$26,-2))))),IF(AND(AH!#REF!="Derecha",RASANTE!F154&lt;=PERALTE!$AB$26),IF(RASANTE!F154&lt;=PERALTE!$Q$26,-2,IF(RASANTE!F154&lt;=PERALTE!$U$26,(10/(PERALTE!$U$26-PERALTE!$Q$26)*(RASANTE!F154-PERALTE!$Q$26)-2),IF(RASANTE!F154&lt;=PERALTE!$X$26,8,IF(RASANTE!F154&lt;=PERALTE!$AB$26,(10/(PERALTE!$X$26-PERALTE!$AB$26)*(RASANTE!F154-PERALTE!$AB$26)-2))))),IF(F154&lt;=PERALTE!#REF!,-2,"Abscisa fuera de la vía")))))))))))))))))))))</f>
        <v>-2</v>
      </c>
      <c r="I154" s="28">
        <f>+IF(AND(AH!$H$8="Derecha",RASANTE!F154&lt;=PERALTE!$AB$6),IF(RASANTE!F154&lt;=PERALTE!$S$6,-2,IF(RASANTE!F154&lt;=PERALTE!$U$6,(-6/(PERALTE!$U$6-PERALTE!$S$6)*(RASANTE!F154-PERALTE!$S$6)-2),IF(RASANTE!F154&lt;=PERALTE!$X$6,-8,IF(RASANTE!F154&lt;=PERALTE!$Z$6,(-6/(PERALTE!$X$6-PERALTE!$Z$6)*(RASANTE!F154-PERALTE!$Z$6)-2),IF(RASANTE!F154&lt;=PERALTE!$AB$6,-2))))),IF(AND(AH!$H$8="Izquierda",RASANTE!F154&lt;=PERALTE!$AB$6),IF(RASANTE!F154&lt;=PERALTE!$Q$6,-2,IF(RASANTE!F154&lt;=PERALTE!$U$6,(10/(PERALTE!$U$6-PERALTE!$Q$6)*(RASANTE!F154-PERALTE!$Q$6)-2),IF(RASANTE!F154&lt;=PERALTE!$X$6,8,IF(RASANTE!F154&lt;=PERALTE!$AB$6,(10/(PERALTE!$X$6-PERALTE!$AB$6)*(RASANTE!F154-PERALTE!$AB$6)-2))))),IF(AND(AH!$H$10="Derecha",RASANTE!F154&lt;=PERALTE!$AB$8),IF(RASANTE!F154&lt;=PERALTE!$S$8,-2,IF(RASANTE!F154&lt;=PERALTE!$U$8,(-6/(PERALTE!$U$8-PERALTE!$S$8)*(RASANTE!F154-PERALTE!$S$8)-2),IF(RASANTE!F154&lt;=PERALTE!$X$8,-8,IF(RASANTE!F154&lt;=PERALTE!$Z$8,(-6/(PERALTE!$X$8-PERALTE!$Z$8)*(RASANTE!F154-PERALTE!$Z$8)-2),IF(RASANTE!F154&lt;=PERALTE!$AB$8,-2))))),IF(AND(AH!$H$10="Izquierda",RASANTE!F154&lt;=PERALTE!$AB$8),IF(RASANTE!F154&lt;=PERALTE!$Q$8,-2,IF(RASANTE!F154&lt;=PERALTE!$U$8,(10/(PERALTE!$U$8-PERALTE!$Q$8)*(RASANTE!F154-PERALTE!$Q$8)-2),IF(RASANTE!F154&lt;=PERALTE!$X$8,8,IF(RASANTE!F154&lt;=PERALTE!$AB$8,(10/(PERALTE!$X$8-PERALTE!$AB$8)*(RASANTE!F154-PERALTE!$AB$8)-2))))),IF(AND(AH!$H$12="Derecha",RASANTE!F154&lt;=PERALTE!$AB$10),IF(RASANTE!F154&lt;=PERALTE!$S$10,-2,IF(RASANTE!F154&lt;=PERALTE!$U$10,(-6/(PERALTE!$U$10-PERALTE!$S$10)*(RASANTE!F154-PERALTE!$S$10)-2),IF(RASANTE!F154&lt;=PERALTE!$X$10,-8,IF(RASANTE!F154&lt;=PERALTE!$Z$10,(-6/(PERALTE!$X$10-PERALTE!$Z$10)*(RASANTE!F154-PERALTE!$Z$10)-2),IF(RASANTE!F154&lt;=PERALTE!$AB$10,-2))))),IF(AND(AH!$H$12="Izquierda",RASANTE!F154&lt;=PERALTE!$AB$10),IF(RASANTE!F154&lt;=PERALTE!$Q$10,-2,IF(RASANTE!F154&lt;=PERALTE!$U$10,(10/(PERALTE!$U$10-PERALTE!$Q$10)*(RASANTE!F154-PERALTE!$Q$10)-2),IF(RASANTE!F154&lt;=PERALTE!$X$10,8,IF(RASANTE!F154&lt;=PERALTE!$AB$10,(10/(PERALTE!$X$10-PERALTE!$AB$10)*(RASANTE!F154-PERALTE!$AB$10)-2))))),IF(AND(AH!$H$14="Derecha",RASANTE!F154&lt;=PERALTE!$AB$12),IF(RASANTE!F154&lt;=PERALTE!$S$12,-2,IF(RASANTE!F154&lt;=PERALTE!$U$12,(-6/(PERALTE!$U$12-PERALTE!$S$12)*(RASANTE!F154-PERALTE!$S$12)-2),IF(RASANTE!F154&lt;=PERALTE!$X$12,-8,IF(RASANTE!F154&lt;=PERALTE!$Z$12,(-6/(PERALTE!$X$12-PERALTE!$Z$12)*(RASANTE!F154-PERALTE!$Z$12)-2),IF(RASANTE!F154&lt;=PERALTE!$AB$12,-2))))),IF(AND(AH!$H$14="Izquierda",RASANTE!F154&lt;=PERALTE!$AB$12),IF(RASANTE!F154&lt;=PERALTE!$Q$12,-2,IF(RASANTE!F154&lt;=PERALTE!$U$12,(10/(PERALTE!$U$12-PERALTE!$Q$12)*(RASANTE!F154-PERALTE!$Q$12)-2),IF(RASANTE!F154&lt;=PERALTE!$X$12,8,IF(RASANTE!F154&lt;=PERALTE!$AB$12,(10/(PERALTE!$X$12-PERALTE!$AB$12)*(RASANTE!F154-PERALTE!$AB$12)-2))))),IF(AND(AH!$H$16="Derecha",RASANTE!F154&lt;=PERALTE!$AB$14),IF(RASANTE!F154&lt;=PERALTE!$S$14,-2,IF(RASANTE!F154&lt;=PERALTE!$U$14,(-6/(PERALTE!$U$14-PERALTE!$S$14)*(RASANTE!F154-PERALTE!$S$14)-2),IF(RASANTE!F154&lt;=PERALTE!$X$14,-8,IF(RASANTE!F154&lt;=PERALTE!$Z$14,(-6/(PERALTE!$X$14-PERALTE!$Z$14)*(RASANTE!F154-PERALTE!$Z$14)-2),IF(RASANTE!F154&lt;=PERALTE!$AB$14,-2))))),IF(AND(AH!$H$16="Izquierda",RASANTE!F154&lt;=PERALTE!$AB$14),IF(RASANTE!F154&lt;=PERALTE!$Q$14,-2,IF(RASANTE!F154&lt;=PERALTE!$U$14,(10/(PERALTE!$U$14-PERALTE!$Q$14)*(RASANTE!F154-PERALTE!$Q$14)-2),IF(RASANTE!F154&lt;=PERALTE!$X$14,8,IF(RASANTE!F154&lt;=PERALTE!$AB$14,(10/(PERALTE!$X$14-PERALTE!$AB$14)*(RASANTE!F154-PERALTE!$AB$14)-2))))),IF(AND(AH!$H$18="Derecha",RASANTE!F154&lt;=PERALTE!$AB$16),IF(RASANTE!F154&lt;=PERALTE!$S$16,-2,IF(RASANTE!F154&lt;=PERALTE!$U$16,(-6/(PERALTE!$U$16-PERALTE!$S$16)*(RASANTE!F154-PERALTE!$S$16)-2),IF(RASANTE!F154&lt;=PERALTE!$X$16,-8,IF(RASANTE!F154&lt;=PERALTE!$Z$16,(-6/(PERALTE!$X$16-PERALTE!$Z$16)*(RASANTE!F154-PERALTE!$Z$16)-2),IF(RASANTE!F154&lt;=PERALTE!$AB$16,-2))))),IF(AND(AH!$H$18="Izquierda",RASANTE!F154&lt;=PERALTE!$AB$16),IF(RASANTE!F154&lt;=PERALTE!$Q$16,-2,IF(RASANTE!F154&lt;=PERALTE!$U$16,(10/(PERALTE!$U$16-PERALTE!$Q$16)*(RASANTE!F154-PERALTE!$Q$16)-2),IF(RASANTE!F154&lt;=PERALTE!$X$16,8,IF(RASANTE!F154&lt;=PERALTE!$AB$16,(10/(PERALTE!$X$16-PERALTE!$AB$16)*(RASANTE!F154-PERALTE!$AB$16)-2))))),IF(AND(AH!$H$20="Derecha",RASANTE!F154&lt;=PERALTE!$AB$18),IF(RASANTE!F154&lt;=PERALTE!$S$18,-2,IF(RASANTE!F154&lt;=PERALTE!$U$18,(-6/(PERALTE!$U$18-PERALTE!$S$18)*(RASANTE!F154-PERALTE!$S$18)-2),IF(RASANTE!F154&lt;=PERALTE!$X$18,-8,IF(RASANTE!F154&lt;=PERALTE!$Z$18,(-6/(PERALTE!$X$18-PERALTE!$Z$18)*(RASANTE!F154-PERALTE!$Z$18)-2),IF(RASANTE!F154&lt;=PERALTE!$AB$18,-2))))),IF(AND(AH!$H$20="Izquierda",RASANTE!F154&lt;=PERALTE!$AB$18),IF(RASANTE!F154&lt;=PERALTE!$Q$18,-2,IF(RASANTE!F154&lt;=PERALTE!$U$18,(10/(PERALTE!$U$18-PERALTE!$Q$18)*(RASANTE!F154-PERALTE!$Q$18)-2),IF(RASANTE!F154&lt;=PERALTE!$X$18,8,IF(RASANTE!F154&lt;=PERALTE!$AB$18,(10/(PERALTE!$X$18-PERALTE!$AB$18)*(RASANTE!F154-PERALTE!$AB$18)-2))))),IF(AND(AH!$H$24="Derecha",RASANTE!F154&lt;=PERALTE!$AB$22),IF(RASANTE!F154&lt;=PERALTE!$S$22,-2,IF(RASANTE!F154&lt;=PERALTE!$U$22,(-6/(PERALTE!$U$22-PERALTE!$S$22)*(RASANTE!F154-PERALTE!$S$22)-2),IF(RASANTE!F154&lt;=PERALTE!$X$22,-8,IF(RASANTE!F154&lt;=PERALTE!$Z$22,(-6/(PERALTE!$X$22-PERALTE!$Z$22)*(RASANTE!F154-PERALTE!$Z$22)-2),IF(RASANTE!F154&lt;=PERALTE!$AB$22,-2))))),IF(AND(AH!$H$24="Izquierda",RASANTE!F154&lt;=PERALTE!$AB$22),IF(RASANTE!F154&lt;=PERALTE!$Q$22,-2,IF(RASANTE!F154&lt;=PERALTE!$U$22,(10/(PERALTE!$U$22-PERALTE!$Q$22)*(RASANTE!F154-PERALTE!$Q$22)-2),IF(RASANTE!F154&lt;=PERALTE!$X$22,8,IF(RASANTE!F154&lt;=PERALTE!$AB$22,(10/(PERALTE!$X$22-PERALTE!$AB$22)*(RASANTE!F154-PERALTE!$AB$22)-2))))),IF(AND(AH!#REF!="Derecha",RASANTE!F154&lt;=PERALTE!#REF!),IF(RASANTE!F154&lt;=PERALTE!#REF!,-2,IF(RASANTE!F154&lt;=PERALTE!#REF!,(-6/(PERALTE!#REF!-PERALTE!#REF!)*(RASANTE!F154-PERALTE!#REF!)-2),IF(RASANTE!F154&lt;=PERALTE!#REF!,-8,IF(RASANTE!F154&lt;=PERALTE!#REF!,(-6/(PERALTE!#REF!-PERALTE!#REF!)*(RASANTE!F154-PERALTE!#REF!)-2),IF(RASANTE!F154&lt;=PERALTE!#REF!,-2))))),IF(AND(AH!#REF!="Izquierda",RASANTE!F154&lt;=PERALTE!#REF!),IF(RASANTE!F154&lt;=PERALTE!#REF!,-2,IF(RASANTE!F154&lt;=PERALTE!#REF!,(10/(PERALTE!#REF!-PERALTE!#REF!)*(RASANTE!F154-PERALTE!#REF!)-2),IF(RASANTE!F154&lt;=PERALTE!#REF!,8,IF(RASANTE!F154&lt;=PERALTE!#REF!,(10/(PERALTE!#REF!-PERALTE!#REF!)*(RASANTE!F154-PERALTE!#REF!)-2))))),IF(AND(AH!#REF!="Derecha",RASANTE!F154&lt;=PERALTE!$AB$26),IF(RASANTE!F154&lt;=PERALTE!$S$26,-2,IF(RASANTE!F154&lt;=PERALTE!$U$26,(-6/(PERALTE!$U$26-PERALTE!$S$26)*(RASANTE!F154-PERALTE!$S$26)-2),IF(RASANTE!F154&lt;=PERALTE!$X$26,-8,IF(RASANTE!F154&lt;=PERALTE!$Z$26,(-6/(PERALTE!$X$26-PERALTE!$Z$26)*(RASANTE!F154-PERALTE!$Z$26)-2),IF(RASANTE!F154&lt;=PERALTE!$AB$26,-2))))),IF(AND(AH!#REF!="Izquierda",RASANTE!F154&lt;=PERALTE!$AB$26),IF(RASANTE!F154&lt;=PERALTE!$Q$26,-2,IF(RASANTE!F154&lt;=PERALTE!$U$26,(10/(PERALTE!$U$26-PERALTE!$Q$26)*(RASANTE!F154-PERALTE!$Q$26)-2),IF(RASANTE!F154&lt;=PERALTE!$X$26,8,IF(RASANTE!F154&lt;=PERALTE!$AB$26,(10/(PERALTE!$X$26-PERALTE!$AB$26)*(RASANTE!F154-PERALTE!$AB$26)-2))))),IF(F154&lt;=PERALTE!#REF!,-2,"Abscisa fuera de la vía")))))))))))))))))))))</f>
        <v>-2</v>
      </c>
      <c r="J154" s="28">
        <f t="shared" si="6"/>
        <v>1618.3883058303607</v>
      </c>
      <c r="K154" s="28">
        <f>+IF(AND(AV!$S$6&lt;F154,F154&lt;=AV!$T$6),AV!$P$6*((AV!$S$6-RASANTE!F154)/(AV!$N$6))^2,IF(AND(AV!$T$6&lt;RASANTE!F154,F154&lt;AV!$U$6),AV!$P$6*((AV!$U$6-RASANTE!F154)/(AV!$O$6))^2,IF(AND(AV!$S$8&lt;F154,F154&lt;=AV!$T$8),AV!$P$8*((AV!$S$8-RASANTE!F154)/(AV!$N$8))^2,IF(AND(AV!$T$8&lt;RASANTE!F154,F154&lt;AV!$U$8),AV!$P$8*((AV!$U$8-RASANTE!F154)/(AV!$O$8))^2,IF(AND(AV!$S$10&lt;F154,F154&lt;=AV!$T$10),AV!$P$10*((AV!$S$10-RASANTE!F154)/(AV!$N$10))^2,IF(AND(AV!$T$10&lt;RASANTE!F154,F154&lt;AV!$U$10),AV!$P$10*((AV!$U$10-RASANTE!F154)/(AV!$O$10))^2,IF(AND(AV!$S$12&lt;F154,F154&lt;=AV!$T$12),AV!$P$12*((AV!$S$12-RASANTE!F154)/(AV!$N$12))^2,IF(AND(AV!$T$12&lt;RASANTE!F154,F154&lt;AV!$U$12),AV!$P$12*((AV!$U$12-RASANTE!F154)/(AV!$O$12))^2,IF(AND(AV!$S$14&lt;F154,F154&lt;=AV!$T$14),AV!$P$14*((AV!$S$14-RASANTE!F154)/(AV!$N$14))^2,IF(AND(AV!$T$14&lt;RASANTE!F154,F154&lt;AV!$U$14),AV!$P$14*((AV!$U$14-RASANTE!F154)/(AV!$O$14))^2,IF(AND(AV!$S$16&lt;F154,F154&lt;=AV!$T$16),AV!$P$16*((AV!$S$16-RASANTE!F154)/(AV!$N$16))^2,IF(AND(AV!$T$16&lt;RASANTE!F154,F154&lt;AV!$U$16),AV!$P$16*((AV!$U$16-RASANTE!F154)/(AV!$O$16))^2,IF(AND(AV!$S$18&lt;F154,F154&lt;=AV!$T$18),AV!$P$18*((AV!$S$18-RASANTE!F154)/(AV!$N$18))^2,IF(AND(AV!$T$18&lt;RASANTE!F154,F154&lt;AV!$U$18),AV!$P$18*((AV!$U$18-RASANTE!F154)/(AV!$O$18))^2,IF(AND(AV!$S$20&lt;F154,F154&lt;=AV!$T$20),AV!$P$20*((AV!$S$20-RASANTE!F154)/(AV!$N$20))^2,IF(AND(AV!$T$20&lt;RASANTE!F154,F154&lt;AV!$U$20),AV!$P$20*((AV!$U$20-RASANTE!F154)/(AV!$O$20))^2,IF(AND(AV!$S$22&lt;F154,F154&lt;=AV!$T$22),AV!$P$22*((AV!$S$22-RASANTE!F154)/(AV!$N$22))^2,IF(AND(AV!$T$22&lt;RASANTE!F154,F154&lt;AV!$U$22),AV!$P$22*((AV!$U$22-RASANTE!F154)/(AV!$O$22))^2,IF(AND(AV!$S$24&lt;F154,F154&lt;=AV!$T$24),AV!$P$24*((AV!$S$24-RASANTE!F154)/(AV!$N$24))^2,IF(AND(AV!$T$24&lt;RASANTE!F154,F154&lt;AV!$U$24),AV!$P$24*((AV!$U$24-RASANTE!F154)/(AV!$O$24))^2,0))))))))))))))))))))</f>
        <v>0</v>
      </c>
      <c r="L154" s="28">
        <f>+M154+H154%*PERALTE!$C$32</f>
        <v>1618.3183058303607</v>
      </c>
      <c r="M154" s="28">
        <f t="shared" si="5"/>
        <v>1618.3883058303607</v>
      </c>
      <c r="N154" s="28">
        <f>+M154+I154%*PERALTE!$C$32</f>
        <v>1618.3183058303607</v>
      </c>
      <c r="O154" s="92"/>
      <c r="P154" s="84"/>
      <c r="Q154" s="84"/>
      <c r="R154" s="84"/>
      <c r="S154" s="84"/>
      <c r="T154" s="84"/>
      <c r="U154" s="84"/>
      <c r="V154" s="84"/>
      <c r="W154" s="84"/>
      <c r="X154" s="84"/>
      <c r="Y154" s="84"/>
    </row>
    <row r="155" spans="1:25" ht="15.75" customHeight="1" x14ac:dyDescent="0.2">
      <c r="A155" s="322"/>
      <c r="F155" s="34">
        <v>930</v>
      </c>
      <c r="G155" s="88">
        <f>IF(F155&lt;=AV!$T$6,AV!$C$5,IF(RASANTE!F155&lt;=AV!$T$8,AV!$C$7,IF(RASANTE!F155&lt;=AV!$T$10,AV!$C$9,IF(RASANTE!F155&lt;=AV!$T$12,AV!$C$11,IF(RASANTE!F155&lt;=AV!$T$14,AV!$C$13,IF(RASANTE!F155&lt;=AV!$T$16,AV!$C$15, IF(RASANTE!F155&lt;=AV!$T$18,AV!$C$17,IF(RASANTE!F155&lt;=AV!$T$20,AV!$C$19,IF(RASANTE!F155&lt;=AV!$T$22,AV!$C$21,IF(RASANTE!F155&lt;=AV!$T$24,AV!$C$23,AV!$C$25))))))))))</f>
        <v>-7.2409999999999997</v>
      </c>
      <c r="H155" s="28">
        <f>+IF(AND(AH!$H$8="Izquierda",RASANTE!F155&lt;=PERALTE!$AB$6),IF(RASANTE!F155&lt;=PERALTE!$S$6,-2,IF(RASANTE!F155&lt;=PERALTE!$U$6,(-6/(PERALTE!$U$6-PERALTE!$S$6)*(RASANTE!F155-PERALTE!$S$6)-2),IF(RASANTE!F155&lt;=PERALTE!$X$6,-8,IF(RASANTE!F155&lt;=PERALTE!$Z$6,(-6/(PERALTE!$X$6-PERALTE!$Z$6)*(RASANTE!F155-PERALTE!$Z$6)-2),IF(RASANTE!F155&lt;=PERALTE!$AB$6,-2))))),IF(AND(AH!$H$8="Derecha",RASANTE!F155&lt;=PERALTE!$AB$6),IF(RASANTE!F155&lt;=PERALTE!$Q$6,-2,IF(RASANTE!F155&lt;=PERALTE!$U$6,(10/(PERALTE!$U$6-PERALTE!$Q$6)*(RASANTE!F155-PERALTE!$Q$6)-2),IF(RASANTE!F155&lt;=PERALTE!$X$6,8,IF(RASANTE!F155&lt;=PERALTE!$AB$6,(10/(PERALTE!$X$6-PERALTE!$AB$6)*(RASANTE!F155-PERALTE!$AB$6)-2))))),IF(AND(AH!$H$10="Izquierda",RASANTE!F155&lt;=PERALTE!$AB$8),IF(RASANTE!F155&lt;=PERALTE!$S$8,-2,IF(RASANTE!F155&lt;=PERALTE!$U$8,(-6/(PERALTE!$U$8-PERALTE!$S$8)*(RASANTE!F155-PERALTE!$S$8)-2),IF(RASANTE!F155&lt;=PERALTE!$X$8,-8,IF(RASANTE!F155&lt;=PERALTE!$Z$8,(-6/(PERALTE!$X$8-PERALTE!$Z$8)*(RASANTE!F155-PERALTE!$Z$8)-2),IF(RASANTE!F155&lt;=PERALTE!$AB$8,-2))))),IF(AND(AH!$H$10="Derecha",RASANTE!F155&lt;=PERALTE!$AB$8),IF(RASANTE!F155&lt;=PERALTE!$Q$8,-2,IF(RASANTE!F155&lt;=PERALTE!$U$8,(10/(PERALTE!$U$8-PERALTE!$Q$8)*(RASANTE!F155-PERALTE!$Q$8)-2),IF(RASANTE!F155&lt;=PERALTE!$X$8,8,IF(RASANTE!F155&lt;=PERALTE!$AB$8,(10/(PERALTE!$X$8-PERALTE!$AB$8)*(RASANTE!F155-PERALTE!$AB$8)-2))))),IF(AND(AH!$H$12="Izquierda",RASANTE!F155&lt;=PERALTE!$AB$10),IF(RASANTE!F155&lt;=PERALTE!$S$10,-2,IF(RASANTE!F155&lt;=PERALTE!$U$10,(-6/(PERALTE!$U$10-PERALTE!$S$10)*(RASANTE!F155-PERALTE!$S$10)-2),IF(RASANTE!F155&lt;=PERALTE!$X$10,-8,IF(RASANTE!F155&lt;=PERALTE!$Z$10,(-6/(PERALTE!$X$10-PERALTE!$Z$10)*(RASANTE!F155-PERALTE!$Z$10)-2),IF(RASANTE!F155&lt;=PERALTE!$AB$10,-2))))),IF(AND(AH!$H$12="Derecha",RASANTE!F155&lt;=PERALTE!$AB$10),IF(RASANTE!F155&lt;=PERALTE!$Q$10,-2,IF(RASANTE!F155&lt;=PERALTE!$U$10,(10/(PERALTE!$U$10-PERALTE!$Q$10)*(RASANTE!F155-PERALTE!$Q$10)-2),IF(RASANTE!F155&lt;=PERALTE!$X$10,8,IF(RASANTE!F155&lt;=PERALTE!$AB$10,(10/(PERALTE!$X$10-PERALTE!$AB$10)*(RASANTE!F155-PERALTE!$AB$10)-2))))),IF(AND(AH!$H$14="Izquierda",RASANTE!F155&lt;=PERALTE!$AB$12),IF(RASANTE!F155&lt;=PERALTE!$S$12,-2,IF(RASANTE!F155&lt;=PERALTE!$U$12,(-6/(PERALTE!$U$12-PERALTE!$S$12)*(RASANTE!F155-PERALTE!$S$12)-2),IF(RASANTE!F155&lt;=PERALTE!$X$12,-8,IF(RASANTE!F155&lt;=PERALTE!$Z$12,(-6/(PERALTE!$X$12-PERALTE!$Z$12)*(RASANTE!F155-PERALTE!$Z$12)-2),IF(RASANTE!F155&lt;=PERALTE!$AB$12,-2))))),IF(AND(AH!$H$14="Derecha",RASANTE!F155&lt;=PERALTE!$AB$12),IF(RASANTE!F155&lt;=PERALTE!$Q$12,-2,IF(RASANTE!F155&lt;=PERALTE!$U$12,(10/(PERALTE!$U$12-PERALTE!$Q$12)*(RASANTE!F155-PERALTE!$Q$12)-2),IF(RASANTE!F155&lt;=PERALTE!$X$12,8,IF(RASANTE!F155&lt;=PERALTE!$AB$12,(10/(PERALTE!$X$12-PERALTE!$AB$12)*(RASANTE!F155-PERALTE!$AB$12)-2))))),IF(AND(AH!$H$16="Izquierda",RASANTE!F155&lt;=PERALTE!$AB$14),IF(RASANTE!F155&lt;=PERALTE!$S$14,-2,IF(RASANTE!F155&lt;=PERALTE!$U$14,(-6/(PERALTE!$U$14-PERALTE!$S$14)*(RASANTE!F155-PERALTE!$S$14)-2),IF(RASANTE!F155&lt;=PERALTE!$X$14,-8,IF(RASANTE!F155&lt;=PERALTE!$Z$14,(-6/(PERALTE!$X$14-PERALTE!$Z$14)*(RASANTE!F155-PERALTE!$Z$14)-2),IF(RASANTE!F155&lt;=PERALTE!$AB$14,-2))))),IF(AND(AH!$H$16="Derecha",RASANTE!F155&lt;=PERALTE!$AB$14),IF(RASANTE!F155&lt;=PERALTE!$Q$14,-2,IF(RASANTE!F155&lt;=PERALTE!$U$14,(10/(PERALTE!$U$14-PERALTE!$Q$14)*(RASANTE!F155-PERALTE!$Q$14)-2),IF(RASANTE!F155&lt;=PERALTE!$X$14,8,IF(RASANTE!F155&lt;=PERALTE!$AB$14,(10/(PERALTE!$X$14-PERALTE!$AB$14)*(RASANTE!F155-PERALTE!$AB$14)-2))))),IF(AND(AH!$H$18="Izquierda",RASANTE!F155&lt;=PERALTE!$AB$16),IF(RASANTE!F155&lt;=PERALTE!$S$16,-2,IF(RASANTE!F155&lt;=PERALTE!$U$16,(-6/(PERALTE!$U$16-PERALTE!$S$16)*(RASANTE!F155-PERALTE!$S$16)-2),IF(RASANTE!F155&lt;=PERALTE!$X$16,-8,IF(RASANTE!F155&lt;=PERALTE!$Z$16,(-6/(PERALTE!$X$16-PERALTE!$Z$16)*(RASANTE!F155-PERALTE!$Z$16)-2),IF(RASANTE!F155&lt;=PERALTE!$AB$16,-2))))),IF(AND(AH!$H$18="Derecha",RASANTE!F155&lt;=PERALTE!$AB$16),IF(RASANTE!F155&lt;=PERALTE!$Q$16,-2,IF(RASANTE!F155&lt;=PERALTE!$U$16,(10/(PERALTE!$U$16-PERALTE!$Q$16)*(RASANTE!F155-PERALTE!$Q$16)-2),IF(RASANTE!F155&lt;=PERALTE!$X$16,8,IF(RASANTE!F155&lt;=PERALTE!$AB$16,(10/(PERALTE!$X$16-PERALTE!$AB$16)*(RASANTE!F155-PERALTE!$AB$16)-2))))),IF(AND(AH!$H$20="Izquierda",RASANTE!F155&lt;=PERALTE!$AB$18),IF(RASANTE!F155&lt;=PERALTE!$S$18,-2,IF(RASANTE!F155&lt;=PERALTE!$U$18,(-6/(PERALTE!$U$18-PERALTE!$S$18)*(RASANTE!F155-PERALTE!$S$18)-2),IF(RASANTE!F155&lt;=PERALTE!$X$18,-8,IF(RASANTE!F155&lt;=PERALTE!$Z$18,(-6/(PERALTE!$X$18-PERALTE!$Z$18)*(RASANTE!F155-PERALTE!$Z$18)-2),IF(RASANTE!F155&lt;=PERALTE!$AB$18,-2))))),IF(AND(AH!$H$20="Derecha",RASANTE!F155&lt;=PERALTE!$AB$18),IF(RASANTE!F155&lt;=PERALTE!$Q$18,-2,IF(RASANTE!F155&lt;=PERALTE!$U$18,(10/(PERALTE!$U$18-PERALTE!$Q$18)*(RASANTE!F155-PERALTE!$Q$18)-2),IF(RASANTE!F155&lt;=PERALTE!$X$18,8,IF(RASANTE!F155&lt;=PERALTE!$AB$18,(10/(PERALTE!$X$18-PERALTE!$AB$18)*(RASANTE!F155-PERALTE!$AB$18)-2))))),IF(AND(AH!$H$24="Izquierda",RASANTE!F155&lt;=PERALTE!$AB$22),IF(RASANTE!F155&lt;=PERALTE!$S$22,-2,IF(RASANTE!F155&lt;=PERALTE!$U$22,(-6/(PERALTE!$U$22-PERALTE!$S$22)*(RASANTE!F155-PERALTE!$S$22)-2),IF(RASANTE!F155&lt;=PERALTE!$X$22,-8,IF(RASANTE!F155&lt;=PERALTE!$Z$22,(-6/(PERALTE!$X$22-PERALTE!$Z$22)*(RASANTE!F155-PERALTE!$Z$22)-2),IF(RASANTE!F155&lt;=PERALTE!$AB$22,-2))))),IF(AND(AH!$H$24="Derecha",RASANTE!F155&lt;=PERALTE!$AB$22),IF(RASANTE!F155&lt;=PERALTE!$Q$22,-2,IF(RASANTE!F155&lt;=PERALTE!$U$22,(10/(PERALTE!$U$22-PERALTE!$Q$22)*(RASANTE!F155-PERALTE!$Q$22)-2),IF(RASANTE!F155&lt;=PERALTE!$X$22,8,IF(RASANTE!F155&lt;=PERALTE!$AB$22,(10/(PERALTE!$X$22-PERALTE!$AB$22)*(RASANTE!F155-PERALTE!$AB$22)-2))))),IF(AND(AH!#REF!="Izquierda",RASANTE!F155&lt;=PERALTE!#REF!),IF(RASANTE!F155&lt;=PERALTE!#REF!,-2,IF(RASANTE!F155&lt;=PERALTE!#REF!,(-6/(PERALTE!#REF!-PERALTE!#REF!)*(RASANTE!F155-PERALTE!#REF!)-2),IF(RASANTE!F155&lt;=PERALTE!#REF!,-8,IF(RASANTE!F155&lt;=PERALTE!#REF!,(-6/(PERALTE!#REF!-PERALTE!#REF!)*(RASANTE!F155-PERALTE!#REF!)-2),IF(RASANTE!F155&lt;=PERALTE!#REF!,-2))))),IF(AND(AH!#REF!="Derecha",RASANTE!F155&lt;=PERALTE!#REF!),IF(RASANTE!F155&lt;=PERALTE!#REF!,-2,IF(RASANTE!F155&lt;=PERALTE!#REF!,(10/(PERALTE!#REF!-PERALTE!#REF!)*(RASANTE!F155-PERALTE!#REF!)-2),IF(RASANTE!F155&lt;=PERALTE!#REF!,8,IF(RASANTE!F155&lt;=PERALTE!#REF!,(10/(PERALTE!#REF!-PERALTE!#REF!)*(RASANTE!F155-PERALTE!#REF!)-2))))),IF(AND(AH!#REF!="Izquierda",RASANTE!F155&lt;=PERALTE!$AB$26),IF(RASANTE!F155&lt;=PERALTE!$S$26,-2,IF(RASANTE!F155&lt;=PERALTE!$U$26,(-6/(PERALTE!$U$26-PERALTE!$S$26)*(RASANTE!F155-PERALTE!$S$26)-2),IF(RASANTE!F155&lt;=PERALTE!$X$26,-8,IF(RASANTE!F155&lt;=PERALTE!$Z$26,(-6/(PERALTE!$X$26-PERALTE!$Z$26)*(RASANTE!F155-PERALTE!$Z$26)-2),IF(RASANTE!F155&lt;=PERALTE!$AB$26,-2))))),IF(AND(AH!#REF!="Derecha",RASANTE!F155&lt;=PERALTE!$AB$26),IF(RASANTE!F155&lt;=PERALTE!$Q$26,-2,IF(RASANTE!F155&lt;=PERALTE!$U$26,(10/(PERALTE!$U$26-PERALTE!$Q$26)*(RASANTE!F155-PERALTE!$Q$26)-2),IF(RASANTE!F155&lt;=PERALTE!$X$26,8,IF(RASANTE!F155&lt;=PERALTE!$AB$26,(10/(PERALTE!$X$26-PERALTE!$AB$26)*(RASANTE!F155-PERALTE!$AB$26)-2))))),IF(F155&lt;=PERALTE!#REF!,-2,"Abscisa fuera de la vía")))))))))))))))))))))</f>
        <v>-2</v>
      </c>
      <c r="I155" s="28">
        <f>+IF(AND(AH!$H$8="Derecha",RASANTE!F155&lt;=PERALTE!$AB$6),IF(RASANTE!F155&lt;=PERALTE!$S$6,-2,IF(RASANTE!F155&lt;=PERALTE!$U$6,(-6/(PERALTE!$U$6-PERALTE!$S$6)*(RASANTE!F155-PERALTE!$S$6)-2),IF(RASANTE!F155&lt;=PERALTE!$X$6,-8,IF(RASANTE!F155&lt;=PERALTE!$Z$6,(-6/(PERALTE!$X$6-PERALTE!$Z$6)*(RASANTE!F155-PERALTE!$Z$6)-2),IF(RASANTE!F155&lt;=PERALTE!$AB$6,-2))))),IF(AND(AH!$H$8="Izquierda",RASANTE!F155&lt;=PERALTE!$AB$6),IF(RASANTE!F155&lt;=PERALTE!$Q$6,-2,IF(RASANTE!F155&lt;=PERALTE!$U$6,(10/(PERALTE!$U$6-PERALTE!$Q$6)*(RASANTE!F155-PERALTE!$Q$6)-2),IF(RASANTE!F155&lt;=PERALTE!$X$6,8,IF(RASANTE!F155&lt;=PERALTE!$AB$6,(10/(PERALTE!$X$6-PERALTE!$AB$6)*(RASANTE!F155-PERALTE!$AB$6)-2))))),IF(AND(AH!$H$10="Derecha",RASANTE!F155&lt;=PERALTE!$AB$8),IF(RASANTE!F155&lt;=PERALTE!$S$8,-2,IF(RASANTE!F155&lt;=PERALTE!$U$8,(-6/(PERALTE!$U$8-PERALTE!$S$8)*(RASANTE!F155-PERALTE!$S$8)-2),IF(RASANTE!F155&lt;=PERALTE!$X$8,-8,IF(RASANTE!F155&lt;=PERALTE!$Z$8,(-6/(PERALTE!$X$8-PERALTE!$Z$8)*(RASANTE!F155-PERALTE!$Z$8)-2),IF(RASANTE!F155&lt;=PERALTE!$AB$8,-2))))),IF(AND(AH!$H$10="Izquierda",RASANTE!F155&lt;=PERALTE!$AB$8),IF(RASANTE!F155&lt;=PERALTE!$Q$8,-2,IF(RASANTE!F155&lt;=PERALTE!$U$8,(10/(PERALTE!$U$8-PERALTE!$Q$8)*(RASANTE!F155-PERALTE!$Q$8)-2),IF(RASANTE!F155&lt;=PERALTE!$X$8,8,IF(RASANTE!F155&lt;=PERALTE!$AB$8,(10/(PERALTE!$X$8-PERALTE!$AB$8)*(RASANTE!F155-PERALTE!$AB$8)-2))))),IF(AND(AH!$H$12="Derecha",RASANTE!F155&lt;=PERALTE!$AB$10),IF(RASANTE!F155&lt;=PERALTE!$S$10,-2,IF(RASANTE!F155&lt;=PERALTE!$U$10,(-6/(PERALTE!$U$10-PERALTE!$S$10)*(RASANTE!F155-PERALTE!$S$10)-2),IF(RASANTE!F155&lt;=PERALTE!$X$10,-8,IF(RASANTE!F155&lt;=PERALTE!$Z$10,(-6/(PERALTE!$X$10-PERALTE!$Z$10)*(RASANTE!F155-PERALTE!$Z$10)-2),IF(RASANTE!F155&lt;=PERALTE!$AB$10,-2))))),IF(AND(AH!$H$12="Izquierda",RASANTE!F155&lt;=PERALTE!$AB$10),IF(RASANTE!F155&lt;=PERALTE!$Q$10,-2,IF(RASANTE!F155&lt;=PERALTE!$U$10,(10/(PERALTE!$U$10-PERALTE!$Q$10)*(RASANTE!F155-PERALTE!$Q$10)-2),IF(RASANTE!F155&lt;=PERALTE!$X$10,8,IF(RASANTE!F155&lt;=PERALTE!$AB$10,(10/(PERALTE!$X$10-PERALTE!$AB$10)*(RASANTE!F155-PERALTE!$AB$10)-2))))),IF(AND(AH!$H$14="Derecha",RASANTE!F155&lt;=PERALTE!$AB$12),IF(RASANTE!F155&lt;=PERALTE!$S$12,-2,IF(RASANTE!F155&lt;=PERALTE!$U$12,(-6/(PERALTE!$U$12-PERALTE!$S$12)*(RASANTE!F155-PERALTE!$S$12)-2),IF(RASANTE!F155&lt;=PERALTE!$X$12,-8,IF(RASANTE!F155&lt;=PERALTE!$Z$12,(-6/(PERALTE!$X$12-PERALTE!$Z$12)*(RASANTE!F155-PERALTE!$Z$12)-2),IF(RASANTE!F155&lt;=PERALTE!$AB$12,-2))))),IF(AND(AH!$H$14="Izquierda",RASANTE!F155&lt;=PERALTE!$AB$12),IF(RASANTE!F155&lt;=PERALTE!$Q$12,-2,IF(RASANTE!F155&lt;=PERALTE!$U$12,(10/(PERALTE!$U$12-PERALTE!$Q$12)*(RASANTE!F155-PERALTE!$Q$12)-2),IF(RASANTE!F155&lt;=PERALTE!$X$12,8,IF(RASANTE!F155&lt;=PERALTE!$AB$12,(10/(PERALTE!$X$12-PERALTE!$AB$12)*(RASANTE!F155-PERALTE!$AB$12)-2))))),IF(AND(AH!$H$16="Derecha",RASANTE!F155&lt;=PERALTE!$AB$14),IF(RASANTE!F155&lt;=PERALTE!$S$14,-2,IF(RASANTE!F155&lt;=PERALTE!$U$14,(-6/(PERALTE!$U$14-PERALTE!$S$14)*(RASANTE!F155-PERALTE!$S$14)-2),IF(RASANTE!F155&lt;=PERALTE!$X$14,-8,IF(RASANTE!F155&lt;=PERALTE!$Z$14,(-6/(PERALTE!$X$14-PERALTE!$Z$14)*(RASANTE!F155-PERALTE!$Z$14)-2),IF(RASANTE!F155&lt;=PERALTE!$AB$14,-2))))),IF(AND(AH!$H$16="Izquierda",RASANTE!F155&lt;=PERALTE!$AB$14),IF(RASANTE!F155&lt;=PERALTE!$Q$14,-2,IF(RASANTE!F155&lt;=PERALTE!$U$14,(10/(PERALTE!$U$14-PERALTE!$Q$14)*(RASANTE!F155-PERALTE!$Q$14)-2),IF(RASANTE!F155&lt;=PERALTE!$X$14,8,IF(RASANTE!F155&lt;=PERALTE!$AB$14,(10/(PERALTE!$X$14-PERALTE!$AB$14)*(RASANTE!F155-PERALTE!$AB$14)-2))))),IF(AND(AH!$H$18="Derecha",RASANTE!F155&lt;=PERALTE!$AB$16),IF(RASANTE!F155&lt;=PERALTE!$S$16,-2,IF(RASANTE!F155&lt;=PERALTE!$U$16,(-6/(PERALTE!$U$16-PERALTE!$S$16)*(RASANTE!F155-PERALTE!$S$16)-2),IF(RASANTE!F155&lt;=PERALTE!$X$16,-8,IF(RASANTE!F155&lt;=PERALTE!$Z$16,(-6/(PERALTE!$X$16-PERALTE!$Z$16)*(RASANTE!F155-PERALTE!$Z$16)-2),IF(RASANTE!F155&lt;=PERALTE!$AB$16,-2))))),IF(AND(AH!$H$18="Izquierda",RASANTE!F155&lt;=PERALTE!$AB$16),IF(RASANTE!F155&lt;=PERALTE!$Q$16,-2,IF(RASANTE!F155&lt;=PERALTE!$U$16,(10/(PERALTE!$U$16-PERALTE!$Q$16)*(RASANTE!F155-PERALTE!$Q$16)-2),IF(RASANTE!F155&lt;=PERALTE!$X$16,8,IF(RASANTE!F155&lt;=PERALTE!$AB$16,(10/(PERALTE!$X$16-PERALTE!$AB$16)*(RASANTE!F155-PERALTE!$AB$16)-2))))),IF(AND(AH!$H$20="Derecha",RASANTE!F155&lt;=PERALTE!$AB$18),IF(RASANTE!F155&lt;=PERALTE!$S$18,-2,IF(RASANTE!F155&lt;=PERALTE!$U$18,(-6/(PERALTE!$U$18-PERALTE!$S$18)*(RASANTE!F155-PERALTE!$S$18)-2),IF(RASANTE!F155&lt;=PERALTE!$X$18,-8,IF(RASANTE!F155&lt;=PERALTE!$Z$18,(-6/(PERALTE!$X$18-PERALTE!$Z$18)*(RASANTE!F155-PERALTE!$Z$18)-2),IF(RASANTE!F155&lt;=PERALTE!$AB$18,-2))))),IF(AND(AH!$H$20="Izquierda",RASANTE!F155&lt;=PERALTE!$AB$18),IF(RASANTE!F155&lt;=PERALTE!$Q$18,-2,IF(RASANTE!F155&lt;=PERALTE!$U$18,(10/(PERALTE!$U$18-PERALTE!$Q$18)*(RASANTE!F155-PERALTE!$Q$18)-2),IF(RASANTE!F155&lt;=PERALTE!$X$18,8,IF(RASANTE!F155&lt;=PERALTE!$AB$18,(10/(PERALTE!$X$18-PERALTE!$AB$18)*(RASANTE!F155-PERALTE!$AB$18)-2))))),IF(AND(AH!$H$24="Derecha",RASANTE!F155&lt;=PERALTE!$AB$22),IF(RASANTE!F155&lt;=PERALTE!$S$22,-2,IF(RASANTE!F155&lt;=PERALTE!$U$22,(-6/(PERALTE!$U$22-PERALTE!$S$22)*(RASANTE!F155-PERALTE!$S$22)-2),IF(RASANTE!F155&lt;=PERALTE!$X$22,-8,IF(RASANTE!F155&lt;=PERALTE!$Z$22,(-6/(PERALTE!$X$22-PERALTE!$Z$22)*(RASANTE!F155-PERALTE!$Z$22)-2),IF(RASANTE!F155&lt;=PERALTE!$AB$22,-2))))),IF(AND(AH!$H$24="Izquierda",RASANTE!F155&lt;=PERALTE!$AB$22),IF(RASANTE!F155&lt;=PERALTE!$Q$22,-2,IF(RASANTE!F155&lt;=PERALTE!$U$22,(10/(PERALTE!$U$22-PERALTE!$Q$22)*(RASANTE!F155-PERALTE!$Q$22)-2),IF(RASANTE!F155&lt;=PERALTE!$X$22,8,IF(RASANTE!F155&lt;=PERALTE!$AB$22,(10/(PERALTE!$X$22-PERALTE!$AB$22)*(RASANTE!F155-PERALTE!$AB$22)-2))))),IF(AND(AH!#REF!="Derecha",RASANTE!F155&lt;=PERALTE!#REF!),IF(RASANTE!F155&lt;=PERALTE!#REF!,-2,IF(RASANTE!F155&lt;=PERALTE!#REF!,(-6/(PERALTE!#REF!-PERALTE!#REF!)*(RASANTE!F155-PERALTE!#REF!)-2),IF(RASANTE!F155&lt;=PERALTE!#REF!,-8,IF(RASANTE!F155&lt;=PERALTE!#REF!,(-6/(PERALTE!#REF!-PERALTE!#REF!)*(RASANTE!F155-PERALTE!#REF!)-2),IF(RASANTE!F155&lt;=PERALTE!#REF!,-2))))),IF(AND(AH!#REF!="Izquierda",RASANTE!F155&lt;=PERALTE!#REF!),IF(RASANTE!F155&lt;=PERALTE!#REF!,-2,IF(RASANTE!F155&lt;=PERALTE!#REF!,(10/(PERALTE!#REF!-PERALTE!#REF!)*(RASANTE!F155-PERALTE!#REF!)-2),IF(RASANTE!F155&lt;=PERALTE!#REF!,8,IF(RASANTE!F155&lt;=PERALTE!#REF!,(10/(PERALTE!#REF!-PERALTE!#REF!)*(RASANTE!F155-PERALTE!#REF!)-2))))),IF(AND(AH!#REF!="Derecha",RASANTE!F155&lt;=PERALTE!$AB$26),IF(RASANTE!F155&lt;=PERALTE!$S$26,-2,IF(RASANTE!F155&lt;=PERALTE!$U$26,(-6/(PERALTE!$U$26-PERALTE!$S$26)*(RASANTE!F155-PERALTE!$S$26)-2),IF(RASANTE!F155&lt;=PERALTE!$X$26,-8,IF(RASANTE!F155&lt;=PERALTE!$Z$26,(-6/(PERALTE!$X$26-PERALTE!$Z$26)*(RASANTE!F155-PERALTE!$Z$26)-2),IF(RASANTE!F155&lt;=PERALTE!$AB$26,-2))))),IF(AND(AH!#REF!="Izquierda",RASANTE!F155&lt;=PERALTE!$AB$26),IF(RASANTE!F155&lt;=PERALTE!$Q$26,-2,IF(RASANTE!F155&lt;=PERALTE!$U$26,(10/(PERALTE!$U$26-PERALTE!$Q$26)*(RASANTE!F155-PERALTE!$Q$26)-2),IF(RASANTE!F155&lt;=PERALTE!$X$26,8,IF(RASANTE!F155&lt;=PERALTE!$AB$26,(10/(PERALTE!$X$26-PERALTE!$AB$26)*(RASANTE!F155-PERALTE!$AB$26)-2))))),IF(F155&lt;=PERALTE!#REF!,-2,"Abscisa fuera de la vía")))))))))))))))))))))</f>
        <v>-2</v>
      </c>
      <c r="J155" s="28">
        <f t="shared" si="6"/>
        <v>1617.8103380375919</v>
      </c>
      <c r="K155" s="28">
        <f>+IF(AND(AV!$S$6&lt;F155,F155&lt;=AV!$T$6),AV!$P$6*((AV!$S$6-RASANTE!F155)/(AV!$N$6))^2,IF(AND(AV!$T$6&lt;RASANTE!F155,F155&lt;AV!$U$6),AV!$P$6*((AV!$U$6-RASANTE!F155)/(AV!$O$6))^2,IF(AND(AV!$S$8&lt;F155,F155&lt;=AV!$T$8),AV!$P$8*((AV!$S$8-RASANTE!F155)/(AV!$N$8))^2,IF(AND(AV!$T$8&lt;RASANTE!F155,F155&lt;AV!$U$8),AV!$P$8*((AV!$U$8-RASANTE!F155)/(AV!$O$8))^2,IF(AND(AV!$S$10&lt;F155,F155&lt;=AV!$T$10),AV!$P$10*((AV!$S$10-RASANTE!F155)/(AV!$N$10))^2,IF(AND(AV!$T$10&lt;RASANTE!F155,F155&lt;AV!$U$10),AV!$P$10*((AV!$U$10-RASANTE!F155)/(AV!$O$10))^2,IF(AND(AV!$S$12&lt;F155,F155&lt;=AV!$T$12),AV!$P$12*((AV!$S$12-RASANTE!F155)/(AV!$N$12))^2,IF(AND(AV!$T$12&lt;RASANTE!F155,F155&lt;AV!$U$12),AV!$P$12*((AV!$U$12-RASANTE!F155)/(AV!$O$12))^2,IF(AND(AV!$S$14&lt;F155,F155&lt;=AV!$T$14),AV!$P$14*((AV!$S$14-RASANTE!F155)/(AV!$N$14))^2,IF(AND(AV!$T$14&lt;RASANTE!F155,F155&lt;AV!$U$14),AV!$P$14*((AV!$U$14-RASANTE!F155)/(AV!$O$14))^2,IF(AND(AV!$S$16&lt;F155,F155&lt;=AV!$T$16),AV!$P$16*((AV!$S$16-RASANTE!F155)/(AV!$N$16))^2,IF(AND(AV!$T$16&lt;RASANTE!F155,F155&lt;AV!$U$16),AV!$P$16*((AV!$U$16-RASANTE!F155)/(AV!$O$16))^2,IF(AND(AV!$S$18&lt;F155,F155&lt;=AV!$T$18),AV!$P$18*((AV!$S$18-RASANTE!F155)/(AV!$N$18))^2,IF(AND(AV!$T$18&lt;RASANTE!F155,F155&lt;AV!$U$18),AV!$P$18*((AV!$U$18-RASANTE!F155)/(AV!$O$18))^2,IF(AND(AV!$S$20&lt;F155,F155&lt;=AV!$T$20),AV!$P$20*((AV!$S$20-RASANTE!F155)/(AV!$N$20))^2,IF(AND(AV!$T$20&lt;RASANTE!F155,F155&lt;AV!$U$20),AV!$P$20*((AV!$U$20-RASANTE!F155)/(AV!$O$20))^2,IF(AND(AV!$S$22&lt;F155,F155&lt;=AV!$T$22),AV!$P$22*((AV!$S$22-RASANTE!F155)/(AV!$N$22))^2,IF(AND(AV!$T$22&lt;RASANTE!F155,F155&lt;AV!$U$22),AV!$P$22*((AV!$U$22-RASANTE!F155)/(AV!$O$22))^2,IF(AND(AV!$S$24&lt;F155,F155&lt;=AV!$T$24),AV!$P$24*((AV!$S$24-RASANTE!F155)/(AV!$N$24))^2,IF(AND(AV!$T$24&lt;RASANTE!F155,F155&lt;AV!$U$24),AV!$P$24*((AV!$U$24-RASANTE!F155)/(AV!$O$24))^2,0))))))))))))))))))))</f>
        <v>0</v>
      </c>
      <c r="L155" s="28">
        <f>+M155+H155%*PERALTE!$C$32</f>
        <v>1617.740338037592</v>
      </c>
      <c r="M155" s="28">
        <f t="shared" si="5"/>
        <v>1617.8103380375919</v>
      </c>
      <c r="N155" s="28">
        <f>+M155+I155%*PERALTE!$C$32</f>
        <v>1617.740338037592</v>
      </c>
      <c r="O155" s="92"/>
      <c r="P155" s="84"/>
      <c r="Q155" s="84"/>
      <c r="R155" s="84"/>
      <c r="S155" s="84"/>
      <c r="T155" s="84"/>
      <c r="U155" s="84"/>
      <c r="V155" s="84"/>
      <c r="W155" s="84"/>
      <c r="X155" s="84"/>
      <c r="Y155" s="84"/>
    </row>
    <row r="156" spans="1:25" ht="15.75" customHeight="1" x14ac:dyDescent="0.2">
      <c r="A156" s="205"/>
      <c r="B156" s="86"/>
      <c r="C156" s="86"/>
      <c r="D156" s="86"/>
      <c r="E156" s="351"/>
      <c r="F156" s="34">
        <v>940</v>
      </c>
      <c r="G156" s="88">
        <f>IF(F156&lt;=AV!$T$6,AV!$C$5,IF(RASANTE!F156&lt;=AV!$T$8,AV!$C$7,IF(RASANTE!F156&lt;=AV!$T$10,AV!$C$9,IF(RASANTE!F156&lt;=AV!$T$12,AV!$C$11,IF(RASANTE!F156&lt;=AV!$T$14,AV!$C$13,IF(RASANTE!F156&lt;=AV!$T$16,AV!$C$15, IF(RASANTE!F156&lt;=AV!$T$18,AV!$C$17,IF(RASANTE!F156&lt;=AV!$T$20,AV!$C$19,IF(RASANTE!F156&lt;=AV!$T$22,AV!$C$21,IF(RASANTE!F156&lt;=AV!$T$24,AV!$C$23,AV!$C$25))))))))))</f>
        <v>-7.2409999999999997</v>
      </c>
      <c r="H156" s="28">
        <f>+IF(AND(AH!$H$8="Izquierda",RASANTE!F156&lt;=PERALTE!$AB$6),IF(RASANTE!F156&lt;=PERALTE!$S$6,-2,IF(RASANTE!F156&lt;=PERALTE!$U$6,(-6/(PERALTE!$U$6-PERALTE!$S$6)*(RASANTE!F156-PERALTE!$S$6)-2),IF(RASANTE!F156&lt;=PERALTE!$X$6,-8,IF(RASANTE!F156&lt;=PERALTE!$Z$6,(-6/(PERALTE!$X$6-PERALTE!$Z$6)*(RASANTE!F156-PERALTE!$Z$6)-2),IF(RASANTE!F156&lt;=PERALTE!$AB$6,-2))))),IF(AND(AH!$H$8="Derecha",RASANTE!F156&lt;=PERALTE!$AB$6),IF(RASANTE!F156&lt;=PERALTE!$Q$6,-2,IF(RASANTE!F156&lt;=PERALTE!$U$6,(10/(PERALTE!$U$6-PERALTE!$Q$6)*(RASANTE!F156-PERALTE!$Q$6)-2),IF(RASANTE!F156&lt;=PERALTE!$X$6,8,IF(RASANTE!F156&lt;=PERALTE!$AB$6,(10/(PERALTE!$X$6-PERALTE!$AB$6)*(RASANTE!F156-PERALTE!$AB$6)-2))))),IF(AND(AH!$H$10="Izquierda",RASANTE!F156&lt;=PERALTE!$AB$8),IF(RASANTE!F156&lt;=PERALTE!$S$8,-2,IF(RASANTE!F156&lt;=PERALTE!$U$8,(-6/(PERALTE!$U$8-PERALTE!$S$8)*(RASANTE!F156-PERALTE!$S$8)-2),IF(RASANTE!F156&lt;=PERALTE!$X$8,-8,IF(RASANTE!F156&lt;=PERALTE!$Z$8,(-6/(PERALTE!$X$8-PERALTE!$Z$8)*(RASANTE!F156-PERALTE!$Z$8)-2),IF(RASANTE!F156&lt;=PERALTE!$AB$8,-2))))),IF(AND(AH!$H$10="Derecha",RASANTE!F156&lt;=PERALTE!$AB$8),IF(RASANTE!F156&lt;=PERALTE!$Q$8,-2,IF(RASANTE!F156&lt;=PERALTE!$U$8,(10/(PERALTE!$U$8-PERALTE!$Q$8)*(RASANTE!F156-PERALTE!$Q$8)-2),IF(RASANTE!F156&lt;=PERALTE!$X$8,8,IF(RASANTE!F156&lt;=PERALTE!$AB$8,(10/(PERALTE!$X$8-PERALTE!$AB$8)*(RASANTE!F156-PERALTE!$AB$8)-2))))),IF(AND(AH!$H$12="Izquierda",RASANTE!F156&lt;=PERALTE!$AB$10),IF(RASANTE!F156&lt;=PERALTE!$S$10,-2,IF(RASANTE!F156&lt;=PERALTE!$U$10,(-6/(PERALTE!$U$10-PERALTE!$S$10)*(RASANTE!F156-PERALTE!$S$10)-2),IF(RASANTE!F156&lt;=PERALTE!$X$10,-8,IF(RASANTE!F156&lt;=PERALTE!$Z$10,(-6/(PERALTE!$X$10-PERALTE!$Z$10)*(RASANTE!F156-PERALTE!$Z$10)-2),IF(RASANTE!F156&lt;=PERALTE!$AB$10,-2))))),IF(AND(AH!$H$12="Derecha",RASANTE!F156&lt;=PERALTE!$AB$10),IF(RASANTE!F156&lt;=PERALTE!$Q$10,-2,IF(RASANTE!F156&lt;=PERALTE!$U$10,(10/(PERALTE!$U$10-PERALTE!$Q$10)*(RASANTE!F156-PERALTE!$Q$10)-2),IF(RASANTE!F156&lt;=PERALTE!$X$10,8,IF(RASANTE!F156&lt;=PERALTE!$AB$10,(10/(PERALTE!$X$10-PERALTE!$AB$10)*(RASANTE!F156-PERALTE!$AB$10)-2))))),IF(AND(AH!$H$14="Izquierda",RASANTE!F156&lt;=PERALTE!$AB$12),IF(RASANTE!F156&lt;=PERALTE!$S$12,-2,IF(RASANTE!F156&lt;=PERALTE!$U$12,(-6/(PERALTE!$U$12-PERALTE!$S$12)*(RASANTE!F156-PERALTE!$S$12)-2),IF(RASANTE!F156&lt;=PERALTE!$X$12,-8,IF(RASANTE!F156&lt;=PERALTE!$Z$12,(-6/(PERALTE!$X$12-PERALTE!$Z$12)*(RASANTE!F156-PERALTE!$Z$12)-2),IF(RASANTE!F156&lt;=PERALTE!$AB$12,-2))))),IF(AND(AH!$H$14="Derecha",RASANTE!F156&lt;=PERALTE!$AB$12),IF(RASANTE!F156&lt;=PERALTE!$Q$12,-2,IF(RASANTE!F156&lt;=PERALTE!$U$12,(10/(PERALTE!$U$12-PERALTE!$Q$12)*(RASANTE!F156-PERALTE!$Q$12)-2),IF(RASANTE!F156&lt;=PERALTE!$X$12,8,IF(RASANTE!F156&lt;=PERALTE!$AB$12,(10/(PERALTE!$X$12-PERALTE!$AB$12)*(RASANTE!F156-PERALTE!$AB$12)-2))))),IF(AND(AH!$H$16="Izquierda",RASANTE!F156&lt;=PERALTE!$AB$14),IF(RASANTE!F156&lt;=PERALTE!$S$14,-2,IF(RASANTE!F156&lt;=PERALTE!$U$14,(-6/(PERALTE!$U$14-PERALTE!$S$14)*(RASANTE!F156-PERALTE!$S$14)-2),IF(RASANTE!F156&lt;=PERALTE!$X$14,-8,IF(RASANTE!F156&lt;=PERALTE!$Z$14,(-6/(PERALTE!$X$14-PERALTE!$Z$14)*(RASANTE!F156-PERALTE!$Z$14)-2),IF(RASANTE!F156&lt;=PERALTE!$AB$14,-2))))),IF(AND(AH!$H$16="Derecha",RASANTE!F156&lt;=PERALTE!$AB$14),IF(RASANTE!F156&lt;=PERALTE!$Q$14,-2,IF(RASANTE!F156&lt;=PERALTE!$U$14,(10/(PERALTE!$U$14-PERALTE!$Q$14)*(RASANTE!F156-PERALTE!$Q$14)-2),IF(RASANTE!F156&lt;=PERALTE!$X$14,8,IF(RASANTE!F156&lt;=PERALTE!$AB$14,(10/(PERALTE!$X$14-PERALTE!$AB$14)*(RASANTE!F156-PERALTE!$AB$14)-2))))),IF(AND(AH!$H$18="Izquierda",RASANTE!F156&lt;=PERALTE!$AB$16),IF(RASANTE!F156&lt;=PERALTE!$S$16,-2,IF(RASANTE!F156&lt;=PERALTE!$U$16,(-6/(PERALTE!$U$16-PERALTE!$S$16)*(RASANTE!F156-PERALTE!$S$16)-2),IF(RASANTE!F156&lt;=PERALTE!$X$16,-8,IF(RASANTE!F156&lt;=PERALTE!$Z$16,(-6/(PERALTE!$X$16-PERALTE!$Z$16)*(RASANTE!F156-PERALTE!$Z$16)-2),IF(RASANTE!F156&lt;=PERALTE!$AB$16,-2))))),IF(AND(AH!$H$18="Derecha",RASANTE!F156&lt;=PERALTE!$AB$16),IF(RASANTE!F156&lt;=PERALTE!$Q$16,-2,IF(RASANTE!F156&lt;=PERALTE!$U$16,(10/(PERALTE!$U$16-PERALTE!$Q$16)*(RASANTE!F156-PERALTE!$Q$16)-2),IF(RASANTE!F156&lt;=PERALTE!$X$16,8,IF(RASANTE!F156&lt;=PERALTE!$AB$16,(10/(PERALTE!$X$16-PERALTE!$AB$16)*(RASANTE!F156-PERALTE!$AB$16)-2))))),IF(AND(AH!$H$20="Izquierda",RASANTE!F156&lt;=PERALTE!$AB$18),IF(RASANTE!F156&lt;=PERALTE!$S$18,-2,IF(RASANTE!F156&lt;=PERALTE!$U$18,(-6/(PERALTE!$U$18-PERALTE!$S$18)*(RASANTE!F156-PERALTE!$S$18)-2),IF(RASANTE!F156&lt;=PERALTE!$X$18,-8,IF(RASANTE!F156&lt;=PERALTE!$Z$18,(-6/(PERALTE!$X$18-PERALTE!$Z$18)*(RASANTE!F156-PERALTE!$Z$18)-2),IF(RASANTE!F156&lt;=PERALTE!$AB$18,-2))))),IF(AND(AH!$H$20="Derecha",RASANTE!F156&lt;=PERALTE!$AB$18),IF(RASANTE!F156&lt;=PERALTE!$Q$18,-2,IF(RASANTE!F156&lt;=PERALTE!$U$18,(10/(PERALTE!$U$18-PERALTE!$Q$18)*(RASANTE!F156-PERALTE!$Q$18)-2),IF(RASANTE!F156&lt;=PERALTE!$X$18,8,IF(RASANTE!F156&lt;=PERALTE!$AB$18,(10/(PERALTE!$X$18-PERALTE!$AB$18)*(RASANTE!F156-PERALTE!$AB$18)-2))))),IF(AND(AH!$H$24="Izquierda",RASANTE!F156&lt;=PERALTE!$AB$22),IF(RASANTE!F156&lt;=PERALTE!$S$22,-2,IF(RASANTE!F156&lt;=PERALTE!$U$22,(-6/(PERALTE!$U$22-PERALTE!$S$22)*(RASANTE!F156-PERALTE!$S$22)-2),IF(RASANTE!F156&lt;=PERALTE!$X$22,-8,IF(RASANTE!F156&lt;=PERALTE!$Z$22,(-6/(PERALTE!$X$22-PERALTE!$Z$22)*(RASANTE!F156-PERALTE!$Z$22)-2),IF(RASANTE!F156&lt;=PERALTE!$AB$22,-2))))),IF(AND(AH!$H$24="Derecha",RASANTE!F156&lt;=PERALTE!$AB$22),IF(RASANTE!F156&lt;=PERALTE!$Q$22,-2,IF(RASANTE!F156&lt;=PERALTE!$U$22,(10/(PERALTE!$U$22-PERALTE!$Q$22)*(RASANTE!F156-PERALTE!$Q$22)-2),IF(RASANTE!F156&lt;=PERALTE!$X$22,8,IF(RASANTE!F156&lt;=PERALTE!$AB$22,(10/(PERALTE!$X$22-PERALTE!$AB$22)*(RASANTE!F156-PERALTE!$AB$22)-2))))),IF(AND(AH!#REF!="Izquierda",RASANTE!F156&lt;=PERALTE!#REF!),IF(RASANTE!F156&lt;=PERALTE!#REF!,-2,IF(RASANTE!F156&lt;=PERALTE!#REF!,(-6/(PERALTE!#REF!-PERALTE!#REF!)*(RASANTE!F156-PERALTE!#REF!)-2),IF(RASANTE!F156&lt;=PERALTE!#REF!,-8,IF(RASANTE!F156&lt;=PERALTE!#REF!,(-6/(PERALTE!#REF!-PERALTE!#REF!)*(RASANTE!F156-PERALTE!#REF!)-2),IF(RASANTE!F156&lt;=PERALTE!#REF!,-2))))),IF(AND(AH!#REF!="Derecha",RASANTE!F156&lt;=PERALTE!#REF!),IF(RASANTE!F156&lt;=PERALTE!#REF!,-2,IF(RASANTE!F156&lt;=PERALTE!#REF!,(10/(PERALTE!#REF!-PERALTE!#REF!)*(RASANTE!F156-PERALTE!#REF!)-2),IF(RASANTE!F156&lt;=PERALTE!#REF!,8,IF(RASANTE!F156&lt;=PERALTE!#REF!,(10/(PERALTE!#REF!-PERALTE!#REF!)*(RASANTE!F156-PERALTE!#REF!)-2))))),IF(AND(AH!#REF!="Izquierda",RASANTE!F156&lt;=PERALTE!$AB$26),IF(RASANTE!F156&lt;=PERALTE!$S$26,-2,IF(RASANTE!F156&lt;=PERALTE!$U$26,(-6/(PERALTE!$U$26-PERALTE!$S$26)*(RASANTE!F156-PERALTE!$S$26)-2),IF(RASANTE!F156&lt;=PERALTE!$X$26,-8,IF(RASANTE!F156&lt;=PERALTE!$Z$26,(-6/(PERALTE!$X$26-PERALTE!$Z$26)*(RASANTE!F156-PERALTE!$Z$26)-2),IF(RASANTE!F156&lt;=PERALTE!$AB$26,-2))))),IF(AND(AH!#REF!="Derecha",RASANTE!F156&lt;=PERALTE!$AB$26),IF(RASANTE!F156&lt;=PERALTE!$Q$26,-2,IF(RASANTE!F156&lt;=PERALTE!$U$26,(10/(PERALTE!$U$26-PERALTE!$Q$26)*(RASANTE!F156-PERALTE!$Q$26)-2),IF(RASANTE!F156&lt;=PERALTE!$X$26,8,IF(RASANTE!F156&lt;=PERALTE!$AB$26,(10/(PERALTE!$X$26-PERALTE!$AB$26)*(RASANTE!F156-PERALTE!$AB$26)-2))))),IF(F156&lt;=PERALTE!#REF!,-2,"Abscisa fuera de la vía")))))))))))))))))))))</f>
        <v>-2</v>
      </c>
      <c r="I156" s="28">
        <f>+IF(AND(AH!$H$8="Derecha",RASANTE!F156&lt;=PERALTE!$AB$6),IF(RASANTE!F156&lt;=PERALTE!$S$6,-2,IF(RASANTE!F156&lt;=PERALTE!$U$6,(-6/(PERALTE!$U$6-PERALTE!$S$6)*(RASANTE!F156-PERALTE!$S$6)-2),IF(RASANTE!F156&lt;=PERALTE!$X$6,-8,IF(RASANTE!F156&lt;=PERALTE!$Z$6,(-6/(PERALTE!$X$6-PERALTE!$Z$6)*(RASANTE!F156-PERALTE!$Z$6)-2),IF(RASANTE!F156&lt;=PERALTE!$AB$6,-2))))),IF(AND(AH!$H$8="Izquierda",RASANTE!F156&lt;=PERALTE!$AB$6),IF(RASANTE!F156&lt;=PERALTE!$Q$6,-2,IF(RASANTE!F156&lt;=PERALTE!$U$6,(10/(PERALTE!$U$6-PERALTE!$Q$6)*(RASANTE!F156-PERALTE!$Q$6)-2),IF(RASANTE!F156&lt;=PERALTE!$X$6,8,IF(RASANTE!F156&lt;=PERALTE!$AB$6,(10/(PERALTE!$X$6-PERALTE!$AB$6)*(RASANTE!F156-PERALTE!$AB$6)-2))))),IF(AND(AH!$H$10="Derecha",RASANTE!F156&lt;=PERALTE!$AB$8),IF(RASANTE!F156&lt;=PERALTE!$S$8,-2,IF(RASANTE!F156&lt;=PERALTE!$U$8,(-6/(PERALTE!$U$8-PERALTE!$S$8)*(RASANTE!F156-PERALTE!$S$8)-2),IF(RASANTE!F156&lt;=PERALTE!$X$8,-8,IF(RASANTE!F156&lt;=PERALTE!$Z$8,(-6/(PERALTE!$X$8-PERALTE!$Z$8)*(RASANTE!F156-PERALTE!$Z$8)-2),IF(RASANTE!F156&lt;=PERALTE!$AB$8,-2))))),IF(AND(AH!$H$10="Izquierda",RASANTE!F156&lt;=PERALTE!$AB$8),IF(RASANTE!F156&lt;=PERALTE!$Q$8,-2,IF(RASANTE!F156&lt;=PERALTE!$U$8,(10/(PERALTE!$U$8-PERALTE!$Q$8)*(RASANTE!F156-PERALTE!$Q$8)-2),IF(RASANTE!F156&lt;=PERALTE!$X$8,8,IF(RASANTE!F156&lt;=PERALTE!$AB$8,(10/(PERALTE!$X$8-PERALTE!$AB$8)*(RASANTE!F156-PERALTE!$AB$8)-2))))),IF(AND(AH!$H$12="Derecha",RASANTE!F156&lt;=PERALTE!$AB$10),IF(RASANTE!F156&lt;=PERALTE!$S$10,-2,IF(RASANTE!F156&lt;=PERALTE!$U$10,(-6/(PERALTE!$U$10-PERALTE!$S$10)*(RASANTE!F156-PERALTE!$S$10)-2),IF(RASANTE!F156&lt;=PERALTE!$X$10,-8,IF(RASANTE!F156&lt;=PERALTE!$Z$10,(-6/(PERALTE!$X$10-PERALTE!$Z$10)*(RASANTE!F156-PERALTE!$Z$10)-2),IF(RASANTE!F156&lt;=PERALTE!$AB$10,-2))))),IF(AND(AH!$H$12="Izquierda",RASANTE!F156&lt;=PERALTE!$AB$10),IF(RASANTE!F156&lt;=PERALTE!$Q$10,-2,IF(RASANTE!F156&lt;=PERALTE!$U$10,(10/(PERALTE!$U$10-PERALTE!$Q$10)*(RASANTE!F156-PERALTE!$Q$10)-2),IF(RASANTE!F156&lt;=PERALTE!$X$10,8,IF(RASANTE!F156&lt;=PERALTE!$AB$10,(10/(PERALTE!$X$10-PERALTE!$AB$10)*(RASANTE!F156-PERALTE!$AB$10)-2))))),IF(AND(AH!$H$14="Derecha",RASANTE!F156&lt;=PERALTE!$AB$12),IF(RASANTE!F156&lt;=PERALTE!$S$12,-2,IF(RASANTE!F156&lt;=PERALTE!$U$12,(-6/(PERALTE!$U$12-PERALTE!$S$12)*(RASANTE!F156-PERALTE!$S$12)-2),IF(RASANTE!F156&lt;=PERALTE!$X$12,-8,IF(RASANTE!F156&lt;=PERALTE!$Z$12,(-6/(PERALTE!$X$12-PERALTE!$Z$12)*(RASANTE!F156-PERALTE!$Z$12)-2),IF(RASANTE!F156&lt;=PERALTE!$AB$12,-2))))),IF(AND(AH!$H$14="Izquierda",RASANTE!F156&lt;=PERALTE!$AB$12),IF(RASANTE!F156&lt;=PERALTE!$Q$12,-2,IF(RASANTE!F156&lt;=PERALTE!$U$12,(10/(PERALTE!$U$12-PERALTE!$Q$12)*(RASANTE!F156-PERALTE!$Q$12)-2),IF(RASANTE!F156&lt;=PERALTE!$X$12,8,IF(RASANTE!F156&lt;=PERALTE!$AB$12,(10/(PERALTE!$X$12-PERALTE!$AB$12)*(RASANTE!F156-PERALTE!$AB$12)-2))))),IF(AND(AH!$H$16="Derecha",RASANTE!F156&lt;=PERALTE!$AB$14),IF(RASANTE!F156&lt;=PERALTE!$S$14,-2,IF(RASANTE!F156&lt;=PERALTE!$U$14,(-6/(PERALTE!$U$14-PERALTE!$S$14)*(RASANTE!F156-PERALTE!$S$14)-2),IF(RASANTE!F156&lt;=PERALTE!$X$14,-8,IF(RASANTE!F156&lt;=PERALTE!$Z$14,(-6/(PERALTE!$X$14-PERALTE!$Z$14)*(RASANTE!F156-PERALTE!$Z$14)-2),IF(RASANTE!F156&lt;=PERALTE!$AB$14,-2))))),IF(AND(AH!$H$16="Izquierda",RASANTE!F156&lt;=PERALTE!$AB$14),IF(RASANTE!F156&lt;=PERALTE!$Q$14,-2,IF(RASANTE!F156&lt;=PERALTE!$U$14,(10/(PERALTE!$U$14-PERALTE!$Q$14)*(RASANTE!F156-PERALTE!$Q$14)-2),IF(RASANTE!F156&lt;=PERALTE!$X$14,8,IF(RASANTE!F156&lt;=PERALTE!$AB$14,(10/(PERALTE!$X$14-PERALTE!$AB$14)*(RASANTE!F156-PERALTE!$AB$14)-2))))),IF(AND(AH!$H$18="Derecha",RASANTE!F156&lt;=PERALTE!$AB$16),IF(RASANTE!F156&lt;=PERALTE!$S$16,-2,IF(RASANTE!F156&lt;=PERALTE!$U$16,(-6/(PERALTE!$U$16-PERALTE!$S$16)*(RASANTE!F156-PERALTE!$S$16)-2),IF(RASANTE!F156&lt;=PERALTE!$X$16,-8,IF(RASANTE!F156&lt;=PERALTE!$Z$16,(-6/(PERALTE!$X$16-PERALTE!$Z$16)*(RASANTE!F156-PERALTE!$Z$16)-2),IF(RASANTE!F156&lt;=PERALTE!$AB$16,-2))))),IF(AND(AH!$H$18="Izquierda",RASANTE!F156&lt;=PERALTE!$AB$16),IF(RASANTE!F156&lt;=PERALTE!$Q$16,-2,IF(RASANTE!F156&lt;=PERALTE!$U$16,(10/(PERALTE!$U$16-PERALTE!$Q$16)*(RASANTE!F156-PERALTE!$Q$16)-2),IF(RASANTE!F156&lt;=PERALTE!$X$16,8,IF(RASANTE!F156&lt;=PERALTE!$AB$16,(10/(PERALTE!$X$16-PERALTE!$AB$16)*(RASANTE!F156-PERALTE!$AB$16)-2))))),IF(AND(AH!$H$20="Derecha",RASANTE!F156&lt;=PERALTE!$AB$18),IF(RASANTE!F156&lt;=PERALTE!$S$18,-2,IF(RASANTE!F156&lt;=PERALTE!$U$18,(-6/(PERALTE!$U$18-PERALTE!$S$18)*(RASANTE!F156-PERALTE!$S$18)-2),IF(RASANTE!F156&lt;=PERALTE!$X$18,-8,IF(RASANTE!F156&lt;=PERALTE!$Z$18,(-6/(PERALTE!$X$18-PERALTE!$Z$18)*(RASANTE!F156-PERALTE!$Z$18)-2),IF(RASANTE!F156&lt;=PERALTE!$AB$18,-2))))),IF(AND(AH!$H$20="Izquierda",RASANTE!F156&lt;=PERALTE!$AB$18),IF(RASANTE!F156&lt;=PERALTE!$Q$18,-2,IF(RASANTE!F156&lt;=PERALTE!$U$18,(10/(PERALTE!$U$18-PERALTE!$Q$18)*(RASANTE!F156-PERALTE!$Q$18)-2),IF(RASANTE!F156&lt;=PERALTE!$X$18,8,IF(RASANTE!F156&lt;=PERALTE!$AB$18,(10/(PERALTE!$X$18-PERALTE!$AB$18)*(RASANTE!F156-PERALTE!$AB$18)-2))))),IF(AND(AH!$H$24="Derecha",RASANTE!F156&lt;=PERALTE!$AB$22),IF(RASANTE!F156&lt;=PERALTE!$S$22,-2,IF(RASANTE!F156&lt;=PERALTE!$U$22,(-6/(PERALTE!$U$22-PERALTE!$S$22)*(RASANTE!F156-PERALTE!$S$22)-2),IF(RASANTE!F156&lt;=PERALTE!$X$22,-8,IF(RASANTE!F156&lt;=PERALTE!$Z$22,(-6/(PERALTE!$X$22-PERALTE!$Z$22)*(RASANTE!F156-PERALTE!$Z$22)-2),IF(RASANTE!F156&lt;=PERALTE!$AB$22,-2))))),IF(AND(AH!$H$24="Izquierda",RASANTE!F156&lt;=PERALTE!$AB$22),IF(RASANTE!F156&lt;=PERALTE!$Q$22,-2,IF(RASANTE!F156&lt;=PERALTE!$U$22,(10/(PERALTE!$U$22-PERALTE!$Q$22)*(RASANTE!F156-PERALTE!$Q$22)-2),IF(RASANTE!F156&lt;=PERALTE!$X$22,8,IF(RASANTE!F156&lt;=PERALTE!$AB$22,(10/(PERALTE!$X$22-PERALTE!$AB$22)*(RASANTE!F156-PERALTE!$AB$22)-2))))),IF(AND(AH!#REF!="Derecha",RASANTE!F156&lt;=PERALTE!#REF!),IF(RASANTE!F156&lt;=PERALTE!#REF!,-2,IF(RASANTE!F156&lt;=PERALTE!#REF!,(-6/(PERALTE!#REF!-PERALTE!#REF!)*(RASANTE!F156-PERALTE!#REF!)-2),IF(RASANTE!F156&lt;=PERALTE!#REF!,-8,IF(RASANTE!F156&lt;=PERALTE!#REF!,(-6/(PERALTE!#REF!-PERALTE!#REF!)*(RASANTE!F156-PERALTE!#REF!)-2),IF(RASANTE!F156&lt;=PERALTE!#REF!,-2))))),IF(AND(AH!#REF!="Izquierda",RASANTE!F156&lt;=PERALTE!#REF!),IF(RASANTE!F156&lt;=PERALTE!#REF!,-2,IF(RASANTE!F156&lt;=PERALTE!#REF!,(10/(PERALTE!#REF!-PERALTE!#REF!)*(RASANTE!F156-PERALTE!#REF!)-2),IF(RASANTE!F156&lt;=PERALTE!#REF!,8,IF(RASANTE!F156&lt;=PERALTE!#REF!,(10/(PERALTE!#REF!-PERALTE!#REF!)*(RASANTE!F156-PERALTE!#REF!)-2))))),IF(AND(AH!#REF!="Derecha",RASANTE!F156&lt;=PERALTE!$AB$26),IF(RASANTE!F156&lt;=PERALTE!$S$26,-2,IF(RASANTE!F156&lt;=PERALTE!$U$26,(-6/(PERALTE!$U$26-PERALTE!$S$26)*(RASANTE!F156-PERALTE!$S$26)-2),IF(RASANTE!F156&lt;=PERALTE!$X$26,-8,IF(RASANTE!F156&lt;=PERALTE!$Z$26,(-6/(PERALTE!$X$26-PERALTE!$Z$26)*(RASANTE!F156-PERALTE!$Z$26)-2),IF(RASANTE!F156&lt;=PERALTE!$AB$26,-2))))),IF(AND(AH!#REF!="Izquierda",RASANTE!F156&lt;=PERALTE!$AB$26),IF(RASANTE!F156&lt;=PERALTE!$Q$26,-2,IF(RASANTE!F156&lt;=PERALTE!$U$26,(10/(PERALTE!$U$26-PERALTE!$Q$26)*(RASANTE!F156-PERALTE!$Q$26)-2),IF(RASANTE!F156&lt;=PERALTE!$X$26,8,IF(RASANTE!F156&lt;=PERALTE!$AB$26,(10/(PERALTE!$X$26-PERALTE!$AB$26)*(RASANTE!F156-PERALTE!$AB$26)-2))))),IF(F156&lt;=PERALTE!#REF!,-2,"Abscisa fuera de la vía")))))))))))))))))))))</f>
        <v>-2</v>
      </c>
      <c r="J156" s="28">
        <f t="shared" si="6"/>
        <v>1617.086238037592</v>
      </c>
      <c r="K156" s="28">
        <f>+IF(AND(AV!$S$6&lt;F156,F156&lt;=AV!$T$6),AV!$P$6*((AV!$S$6-RASANTE!F156)/(AV!$N$6))^2,IF(AND(AV!$T$6&lt;RASANTE!F156,F156&lt;AV!$U$6),AV!$P$6*((AV!$U$6-RASANTE!F156)/(AV!$O$6))^2,IF(AND(AV!$S$8&lt;F156,F156&lt;=AV!$T$8),AV!$P$8*((AV!$S$8-RASANTE!F156)/(AV!$N$8))^2,IF(AND(AV!$T$8&lt;RASANTE!F156,F156&lt;AV!$U$8),AV!$P$8*((AV!$U$8-RASANTE!F156)/(AV!$O$8))^2,IF(AND(AV!$S$10&lt;F156,F156&lt;=AV!$T$10),AV!$P$10*((AV!$S$10-RASANTE!F156)/(AV!$N$10))^2,IF(AND(AV!$T$10&lt;RASANTE!F156,F156&lt;AV!$U$10),AV!$P$10*((AV!$U$10-RASANTE!F156)/(AV!$O$10))^2,IF(AND(AV!$S$12&lt;F156,F156&lt;=AV!$T$12),AV!$P$12*((AV!$S$12-RASANTE!F156)/(AV!$N$12))^2,IF(AND(AV!$T$12&lt;RASANTE!F156,F156&lt;AV!$U$12),AV!$P$12*((AV!$U$12-RASANTE!F156)/(AV!$O$12))^2,IF(AND(AV!$S$14&lt;F156,F156&lt;=AV!$T$14),AV!$P$14*((AV!$S$14-RASANTE!F156)/(AV!$N$14))^2,IF(AND(AV!$T$14&lt;RASANTE!F156,F156&lt;AV!$U$14),AV!$P$14*((AV!$U$14-RASANTE!F156)/(AV!$O$14))^2,IF(AND(AV!$S$16&lt;F156,F156&lt;=AV!$T$16),AV!$P$16*((AV!$S$16-RASANTE!F156)/(AV!$N$16))^2,IF(AND(AV!$T$16&lt;RASANTE!F156,F156&lt;AV!$U$16),AV!$P$16*((AV!$U$16-RASANTE!F156)/(AV!$O$16))^2,IF(AND(AV!$S$18&lt;F156,F156&lt;=AV!$T$18),AV!$P$18*((AV!$S$18-RASANTE!F156)/(AV!$N$18))^2,IF(AND(AV!$T$18&lt;RASANTE!F156,F156&lt;AV!$U$18),AV!$P$18*((AV!$U$18-RASANTE!F156)/(AV!$O$18))^2,IF(AND(AV!$S$20&lt;F156,F156&lt;=AV!$T$20),AV!$P$20*((AV!$S$20-RASANTE!F156)/(AV!$N$20))^2,IF(AND(AV!$T$20&lt;RASANTE!F156,F156&lt;AV!$U$20),AV!$P$20*((AV!$U$20-RASANTE!F156)/(AV!$O$20))^2,IF(AND(AV!$S$22&lt;F156,F156&lt;=AV!$T$22),AV!$P$22*((AV!$S$22-RASANTE!F156)/(AV!$N$22))^2,IF(AND(AV!$T$22&lt;RASANTE!F156,F156&lt;AV!$U$22),AV!$P$22*((AV!$U$22-RASANTE!F156)/(AV!$O$22))^2,IF(AND(AV!$S$24&lt;F156,F156&lt;=AV!$T$24),AV!$P$24*((AV!$S$24-RASANTE!F156)/(AV!$N$24))^2,IF(AND(AV!$T$24&lt;RASANTE!F156,F156&lt;AV!$U$24),AV!$P$24*((AV!$U$24-RASANTE!F156)/(AV!$O$24))^2,0))))))))))))))))))))</f>
        <v>0</v>
      </c>
      <c r="L156" s="28">
        <f>+M156+H156%*PERALTE!$C$32</f>
        <v>1617.0162380375921</v>
      </c>
      <c r="M156" s="28">
        <f t="shared" si="5"/>
        <v>1617.086238037592</v>
      </c>
      <c r="N156" s="28">
        <f>+M156+I156%*PERALTE!$C$32</f>
        <v>1617.0162380375921</v>
      </c>
      <c r="O156" s="92"/>
      <c r="P156" s="84"/>
      <c r="Q156" s="84"/>
      <c r="R156" s="84"/>
      <c r="S156" s="84"/>
      <c r="T156" s="84"/>
      <c r="U156" s="84"/>
      <c r="V156" s="84"/>
      <c r="W156" s="84"/>
      <c r="X156" s="84"/>
      <c r="Y156" s="84"/>
    </row>
    <row r="157" spans="1:25" ht="15.75" customHeight="1" x14ac:dyDescent="0.2">
      <c r="A157" s="90"/>
      <c r="B157" s="86"/>
      <c r="C157" s="86"/>
      <c r="D157" s="86"/>
      <c r="F157" s="34">
        <v>950</v>
      </c>
      <c r="G157" s="88">
        <f>IF(F157&lt;=AV!$T$6,AV!$C$5,IF(RASANTE!F157&lt;=AV!$T$8,AV!$C$7,IF(RASANTE!F157&lt;=AV!$T$10,AV!$C$9,IF(RASANTE!F157&lt;=AV!$T$12,AV!$C$11,IF(RASANTE!F157&lt;=AV!$T$14,AV!$C$13,IF(RASANTE!F157&lt;=AV!$T$16,AV!$C$15, IF(RASANTE!F157&lt;=AV!$T$18,AV!$C$17,IF(RASANTE!F157&lt;=AV!$T$20,AV!$C$19,IF(RASANTE!F157&lt;=AV!$T$22,AV!$C$21,IF(RASANTE!F157&lt;=AV!$T$24,AV!$C$23,AV!$C$25))))))))))</f>
        <v>-7.2409999999999997</v>
      </c>
      <c r="H157" s="28">
        <f>+IF(AND(AH!$H$8="Izquierda",RASANTE!F157&lt;=PERALTE!$AB$6),IF(RASANTE!F157&lt;=PERALTE!$S$6,-2,IF(RASANTE!F157&lt;=PERALTE!$U$6,(-6/(PERALTE!$U$6-PERALTE!$S$6)*(RASANTE!F157-PERALTE!$S$6)-2),IF(RASANTE!F157&lt;=PERALTE!$X$6,-8,IF(RASANTE!F157&lt;=PERALTE!$Z$6,(-6/(PERALTE!$X$6-PERALTE!$Z$6)*(RASANTE!F157-PERALTE!$Z$6)-2),IF(RASANTE!F157&lt;=PERALTE!$AB$6,-2))))),IF(AND(AH!$H$8="Derecha",RASANTE!F157&lt;=PERALTE!$AB$6),IF(RASANTE!F157&lt;=PERALTE!$Q$6,-2,IF(RASANTE!F157&lt;=PERALTE!$U$6,(10/(PERALTE!$U$6-PERALTE!$Q$6)*(RASANTE!F157-PERALTE!$Q$6)-2),IF(RASANTE!F157&lt;=PERALTE!$X$6,8,IF(RASANTE!F157&lt;=PERALTE!$AB$6,(10/(PERALTE!$X$6-PERALTE!$AB$6)*(RASANTE!F157-PERALTE!$AB$6)-2))))),IF(AND(AH!$H$10="Izquierda",RASANTE!F157&lt;=PERALTE!$AB$8),IF(RASANTE!F157&lt;=PERALTE!$S$8,-2,IF(RASANTE!F157&lt;=PERALTE!$U$8,(-6/(PERALTE!$U$8-PERALTE!$S$8)*(RASANTE!F157-PERALTE!$S$8)-2),IF(RASANTE!F157&lt;=PERALTE!$X$8,-8,IF(RASANTE!F157&lt;=PERALTE!$Z$8,(-6/(PERALTE!$X$8-PERALTE!$Z$8)*(RASANTE!F157-PERALTE!$Z$8)-2),IF(RASANTE!F157&lt;=PERALTE!$AB$8,-2))))),IF(AND(AH!$H$10="Derecha",RASANTE!F157&lt;=PERALTE!$AB$8),IF(RASANTE!F157&lt;=PERALTE!$Q$8,-2,IF(RASANTE!F157&lt;=PERALTE!$U$8,(10/(PERALTE!$U$8-PERALTE!$Q$8)*(RASANTE!F157-PERALTE!$Q$8)-2),IF(RASANTE!F157&lt;=PERALTE!$X$8,8,IF(RASANTE!F157&lt;=PERALTE!$AB$8,(10/(PERALTE!$X$8-PERALTE!$AB$8)*(RASANTE!F157-PERALTE!$AB$8)-2))))),IF(AND(AH!$H$12="Izquierda",RASANTE!F157&lt;=PERALTE!$AB$10),IF(RASANTE!F157&lt;=PERALTE!$S$10,-2,IF(RASANTE!F157&lt;=PERALTE!$U$10,(-6/(PERALTE!$U$10-PERALTE!$S$10)*(RASANTE!F157-PERALTE!$S$10)-2),IF(RASANTE!F157&lt;=PERALTE!$X$10,-8,IF(RASANTE!F157&lt;=PERALTE!$Z$10,(-6/(PERALTE!$X$10-PERALTE!$Z$10)*(RASANTE!F157-PERALTE!$Z$10)-2),IF(RASANTE!F157&lt;=PERALTE!$AB$10,-2))))),IF(AND(AH!$H$12="Derecha",RASANTE!F157&lt;=PERALTE!$AB$10),IF(RASANTE!F157&lt;=PERALTE!$Q$10,-2,IF(RASANTE!F157&lt;=PERALTE!$U$10,(10/(PERALTE!$U$10-PERALTE!$Q$10)*(RASANTE!F157-PERALTE!$Q$10)-2),IF(RASANTE!F157&lt;=PERALTE!$X$10,8,IF(RASANTE!F157&lt;=PERALTE!$AB$10,(10/(PERALTE!$X$10-PERALTE!$AB$10)*(RASANTE!F157-PERALTE!$AB$10)-2))))),IF(AND(AH!$H$14="Izquierda",RASANTE!F157&lt;=PERALTE!$AB$12),IF(RASANTE!F157&lt;=PERALTE!$S$12,-2,IF(RASANTE!F157&lt;=PERALTE!$U$12,(-6/(PERALTE!$U$12-PERALTE!$S$12)*(RASANTE!F157-PERALTE!$S$12)-2),IF(RASANTE!F157&lt;=PERALTE!$X$12,-8,IF(RASANTE!F157&lt;=PERALTE!$Z$12,(-6/(PERALTE!$X$12-PERALTE!$Z$12)*(RASANTE!F157-PERALTE!$Z$12)-2),IF(RASANTE!F157&lt;=PERALTE!$AB$12,-2))))),IF(AND(AH!$H$14="Derecha",RASANTE!F157&lt;=PERALTE!$AB$12),IF(RASANTE!F157&lt;=PERALTE!$Q$12,-2,IF(RASANTE!F157&lt;=PERALTE!$U$12,(10/(PERALTE!$U$12-PERALTE!$Q$12)*(RASANTE!F157-PERALTE!$Q$12)-2),IF(RASANTE!F157&lt;=PERALTE!$X$12,8,IF(RASANTE!F157&lt;=PERALTE!$AB$12,(10/(PERALTE!$X$12-PERALTE!$AB$12)*(RASANTE!F157-PERALTE!$AB$12)-2))))),IF(AND(AH!$H$16="Izquierda",RASANTE!F157&lt;=PERALTE!$AB$14),IF(RASANTE!F157&lt;=PERALTE!$S$14,-2,IF(RASANTE!F157&lt;=PERALTE!$U$14,(-6/(PERALTE!$U$14-PERALTE!$S$14)*(RASANTE!F157-PERALTE!$S$14)-2),IF(RASANTE!F157&lt;=PERALTE!$X$14,-8,IF(RASANTE!F157&lt;=PERALTE!$Z$14,(-6/(PERALTE!$X$14-PERALTE!$Z$14)*(RASANTE!F157-PERALTE!$Z$14)-2),IF(RASANTE!F157&lt;=PERALTE!$AB$14,-2))))),IF(AND(AH!$H$16="Derecha",RASANTE!F157&lt;=PERALTE!$AB$14),IF(RASANTE!F157&lt;=PERALTE!$Q$14,-2,IF(RASANTE!F157&lt;=PERALTE!$U$14,(10/(PERALTE!$U$14-PERALTE!$Q$14)*(RASANTE!F157-PERALTE!$Q$14)-2),IF(RASANTE!F157&lt;=PERALTE!$X$14,8,IF(RASANTE!F157&lt;=PERALTE!$AB$14,(10/(PERALTE!$X$14-PERALTE!$AB$14)*(RASANTE!F157-PERALTE!$AB$14)-2))))),IF(AND(AH!$H$18="Izquierda",RASANTE!F157&lt;=PERALTE!$AB$16),IF(RASANTE!F157&lt;=PERALTE!$S$16,-2,IF(RASANTE!F157&lt;=PERALTE!$U$16,(-6/(PERALTE!$U$16-PERALTE!$S$16)*(RASANTE!F157-PERALTE!$S$16)-2),IF(RASANTE!F157&lt;=PERALTE!$X$16,-8,IF(RASANTE!F157&lt;=PERALTE!$Z$16,(-6/(PERALTE!$X$16-PERALTE!$Z$16)*(RASANTE!F157-PERALTE!$Z$16)-2),IF(RASANTE!F157&lt;=PERALTE!$AB$16,-2))))),IF(AND(AH!$H$18="Derecha",RASANTE!F157&lt;=PERALTE!$AB$16),IF(RASANTE!F157&lt;=PERALTE!$Q$16,-2,IF(RASANTE!F157&lt;=PERALTE!$U$16,(10/(PERALTE!$U$16-PERALTE!$Q$16)*(RASANTE!F157-PERALTE!$Q$16)-2),IF(RASANTE!F157&lt;=PERALTE!$X$16,8,IF(RASANTE!F157&lt;=PERALTE!$AB$16,(10/(PERALTE!$X$16-PERALTE!$AB$16)*(RASANTE!F157-PERALTE!$AB$16)-2))))),IF(AND(AH!$H$20="Izquierda",RASANTE!F157&lt;=PERALTE!$AB$18),IF(RASANTE!F157&lt;=PERALTE!$S$18,-2,IF(RASANTE!F157&lt;=PERALTE!$U$18,(-6/(PERALTE!$U$18-PERALTE!$S$18)*(RASANTE!F157-PERALTE!$S$18)-2),IF(RASANTE!F157&lt;=PERALTE!$X$18,-8,IF(RASANTE!F157&lt;=PERALTE!$Z$18,(-6/(PERALTE!$X$18-PERALTE!$Z$18)*(RASANTE!F157-PERALTE!$Z$18)-2),IF(RASANTE!F157&lt;=PERALTE!$AB$18,-2))))),IF(AND(AH!$H$20="Derecha",RASANTE!F157&lt;=PERALTE!$AB$18),IF(RASANTE!F157&lt;=PERALTE!$Q$18,-2,IF(RASANTE!F157&lt;=PERALTE!$U$18,(10/(PERALTE!$U$18-PERALTE!$Q$18)*(RASANTE!F157-PERALTE!$Q$18)-2),IF(RASANTE!F157&lt;=PERALTE!$X$18,8,IF(RASANTE!F157&lt;=PERALTE!$AB$18,(10/(PERALTE!$X$18-PERALTE!$AB$18)*(RASANTE!F157-PERALTE!$AB$18)-2))))),IF(AND(AH!$H$24="Izquierda",RASANTE!F157&lt;=PERALTE!$AB$22),IF(RASANTE!F157&lt;=PERALTE!$S$22,-2,IF(RASANTE!F157&lt;=PERALTE!$U$22,(-6/(PERALTE!$U$22-PERALTE!$S$22)*(RASANTE!F157-PERALTE!$S$22)-2),IF(RASANTE!F157&lt;=PERALTE!$X$22,-8,IF(RASANTE!F157&lt;=PERALTE!$Z$22,(-6/(PERALTE!$X$22-PERALTE!$Z$22)*(RASANTE!F157-PERALTE!$Z$22)-2),IF(RASANTE!F157&lt;=PERALTE!$AB$22,-2))))),IF(AND(AH!$H$24="Derecha",RASANTE!F157&lt;=PERALTE!$AB$22),IF(RASANTE!F157&lt;=PERALTE!$Q$22,-2,IF(RASANTE!F157&lt;=PERALTE!$U$22,(10/(PERALTE!$U$22-PERALTE!$Q$22)*(RASANTE!F157-PERALTE!$Q$22)-2),IF(RASANTE!F157&lt;=PERALTE!$X$22,8,IF(RASANTE!F157&lt;=PERALTE!$AB$22,(10/(PERALTE!$X$22-PERALTE!$AB$22)*(RASANTE!F157-PERALTE!$AB$22)-2))))),IF(AND(AH!#REF!="Izquierda",RASANTE!F157&lt;=PERALTE!#REF!),IF(RASANTE!F157&lt;=PERALTE!#REF!,-2,IF(RASANTE!F157&lt;=PERALTE!#REF!,(-6/(PERALTE!#REF!-PERALTE!#REF!)*(RASANTE!F157-PERALTE!#REF!)-2),IF(RASANTE!F157&lt;=PERALTE!#REF!,-8,IF(RASANTE!F157&lt;=PERALTE!#REF!,(-6/(PERALTE!#REF!-PERALTE!#REF!)*(RASANTE!F157-PERALTE!#REF!)-2),IF(RASANTE!F157&lt;=PERALTE!#REF!,-2))))),IF(AND(AH!#REF!="Derecha",RASANTE!F157&lt;=PERALTE!#REF!),IF(RASANTE!F157&lt;=PERALTE!#REF!,-2,IF(RASANTE!F157&lt;=PERALTE!#REF!,(10/(PERALTE!#REF!-PERALTE!#REF!)*(RASANTE!F157-PERALTE!#REF!)-2),IF(RASANTE!F157&lt;=PERALTE!#REF!,8,IF(RASANTE!F157&lt;=PERALTE!#REF!,(10/(PERALTE!#REF!-PERALTE!#REF!)*(RASANTE!F157-PERALTE!#REF!)-2))))),IF(AND(AH!#REF!="Izquierda",RASANTE!F157&lt;=PERALTE!$AB$26),IF(RASANTE!F157&lt;=PERALTE!$S$26,-2,IF(RASANTE!F157&lt;=PERALTE!$U$26,(-6/(PERALTE!$U$26-PERALTE!$S$26)*(RASANTE!F157-PERALTE!$S$26)-2),IF(RASANTE!F157&lt;=PERALTE!$X$26,-8,IF(RASANTE!F157&lt;=PERALTE!$Z$26,(-6/(PERALTE!$X$26-PERALTE!$Z$26)*(RASANTE!F157-PERALTE!$Z$26)-2),IF(RASANTE!F157&lt;=PERALTE!$AB$26,-2))))),IF(AND(AH!#REF!="Derecha",RASANTE!F157&lt;=PERALTE!$AB$26),IF(RASANTE!F157&lt;=PERALTE!$Q$26,-2,IF(RASANTE!F157&lt;=PERALTE!$U$26,(10/(PERALTE!$U$26-PERALTE!$Q$26)*(RASANTE!F157-PERALTE!$Q$26)-2),IF(RASANTE!F157&lt;=PERALTE!$X$26,8,IF(RASANTE!F157&lt;=PERALTE!$AB$26,(10/(PERALTE!$X$26-PERALTE!$AB$26)*(RASANTE!F157-PERALTE!$AB$26)-2))))),IF(F157&lt;=PERALTE!#REF!,-2,"Abscisa fuera de la vía")))))))))))))))))))))</f>
        <v>-2</v>
      </c>
      <c r="I157" s="28">
        <f>+IF(AND(AH!$H$8="Derecha",RASANTE!F157&lt;=PERALTE!$AB$6),IF(RASANTE!F157&lt;=PERALTE!$S$6,-2,IF(RASANTE!F157&lt;=PERALTE!$U$6,(-6/(PERALTE!$U$6-PERALTE!$S$6)*(RASANTE!F157-PERALTE!$S$6)-2),IF(RASANTE!F157&lt;=PERALTE!$X$6,-8,IF(RASANTE!F157&lt;=PERALTE!$Z$6,(-6/(PERALTE!$X$6-PERALTE!$Z$6)*(RASANTE!F157-PERALTE!$Z$6)-2),IF(RASANTE!F157&lt;=PERALTE!$AB$6,-2))))),IF(AND(AH!$H$8="Izquierda",RASANTE!F157&lt;=PERALTE!$AB$6),IF(RASANTE!F157&lt;=PERALTE!$Q$6,-2,IF(RASANTE!F157&lt;=PERALTE!$U$6,(10/(PERALTE!$U$6-PERALTE!$Q$6)*(RASANTE!F157-PERALTE!$Q$6)-2),IF(RASANTE!F157&lt;=PERALTE!$X$6,8,IF(RASANTE!F157&lt;=PERALTE!$AB$6,(10/(PERALTE!$X$6-PERALTE!$AB$6)*(RASANTE!F157-PERALTE!$AB$6)-2))))),IF(AND(AH!$H$10="Derecha",RASANTE!F157&lt;=PERALTE!$AB$8),IF(RASANTE!F157&lt;=PERALTE!$S$8,-2,IF(RASANTE!F157&lt;=PERALTE!$U$8,(-6/(PERALTE!$U$8-PERALTE!$S$8)*(RASANTE!F157-PERALTE!$S$8)-2),IF(RASANTE!F157&lt;=PERALTE!$X$8,-8,IF(RASANTE!F157&lt;=PERALTE!$Z$8,(-6/(PERALTE!$X$8-PERALTE!$Z$8)*(RASANTE!F157-PERALTE!$Z$8)-2),IF(RASANTE!F157&lt;=PERALTE!$AB$8,-2))))),IF(AND(AH!$H$10="Izquierda",RASANTE!F157&lt;=PERALTE!$AB$8),IF(RASANTE!F157&lt;=PERALTE!$Q$8,-2,IF(RASANTE!F157&lt;=PERALTE!$U$8,(10/(PERALTE!$U$8-PERALTE!$Q$8)*(RASANTE!F157-PERALTE!$Q$8)-2),IF(RASANTE!F157&lt;=PERALTE!$X$8,8,IF(RASANTE!F157&lt;=PERALTE!$AB$8,(10/(PERALTE!$X$8-PERALTE!$AB$8)*(RASANTE!F157-PERALTE!$AB$8)-2))))),IF(AND(AH!$H$12="Derecha",RASANTE!F157&lt;=PERALTE!$AB$10),IF(RASANTE!F157&lt;=PERALTE!$S$10,-2,IF(RASANTE!F157&lt;=PERALTE!$U$10,(-6/(PERALTE!$U$10-PERALTE!$S$10)*(RASANTE!F157-PERALTE!$S$10)-2),IF(RASANTE!F157&lt;=PERALTE!$X$10,-8,IF(RASANTE!F157&lt;=PERALTE!$Z$10,(-6/(PERALTE!$X$10-PERALTE!$Z$10)*(RASANTE!F157-PERALTE!$Z$10)-2),IF(RASANTE!F157&lt;=PERALTE!$AB$10,-2))))),IF(AND(AH!$H$12="Izquierda",RASANTE!F157&lt;=PERALTE!$AB$10),IF(RASANTE!F157&lt;=PERALTE!$Q$10,-2,IF(RASANTE!F157&lt;=PERALTE!$U$10,(10/(PERALTE!$U$10-PERALTE!$Q$10)*(RASANTE!F157-PERALTE!$Q$10)-2),IF(RASANTE!F157&lt;=PERALTE!$X$10,8,IF(RASANTE!F157&lt;=PERALTE!$AB$10,(10/(PERALTE!$X$10-PERALTE!$AB$10)*(RASANTE!F157-PERALTE!$AB$10)-2))))),IF(AND(AH!$H$14="Derecha",RASANTE!F157&lt;=PERALTE!$AB$12),IF(RASANTE!F157&lt;=PERALTE!$S$12,-2,IF(RASANTE!F157&lt;=PERALTE!$U$12,(-6/(PERALTE!$U$12-PERALTE!$S$12)*(RASANTE!F157-PERALTE!$S$12)-2),IF(RASANTE!F157&lt;=PERALTE!$X$12,-8,IF(RASANTE!F157&lt;=PERALTE!$Z$12,(-6/(PERALTE!$X$12-PERALTE!$Z$12)*(RASANTE!F157-PERALTE!$Z$12)-2),IF(RASANTE!F157&lt;=PERALTE!$AB$12,-2))))),IF(AND(AH!$H$14="Izquierda",RASANTE!F157&lt;=PERALTE!$AB$12),IF(RASANTE!F157&lt;=PERALTE!$Q$12,-2,IF(RASANTE!F157&lt;=PERALTE!$U$12,(10/(PERALTE!$U$12-PERALTE!$Q$12)*(RASANTE!F157-PERALTE!$Q$12)-2),IF(RASANTE!F157&lt;=PERALTE!$X$12,8,IF(RASANTE!F157&lt;=PERALTE!$AB$12,(10/(PERALTE!$X$12-PERALTE!$AB$12)*(RASANTE!F157-PERALTE!$AB$12)-2))))),IF(AND(AH!$H$16="Derecha",RASANTE!F157&lt;=PERALTE!$AB$14),IF(RASANTE!F157&lt;=PERALTE!$S$14,-2,IF(RASANTE!F157&lt;=PERALTE!$U$14,(-6/(PERALTE!$U$14-PERALTE!$S$14)*(RASANTE!F157-PERALTE!$S$14)-2),IF(RASANTE!F157&lt;=PERALTE!$X$14,-8,IF(RASANTE!F157&lt;=PERALTE!$Z$14,(-6/(PERALTE!$X$14-PERALTE!$Z$14)*(RASANTE!F157-PERALTE!$Z$14)-2),IF(RASANTE!F157&lt;=PERALTE!$AB$14,-2))))),IF(AND(AH!$H$16="Izquierda",RASANTE!F157&lt;=PERALTE!$AB$14),IF(RASANTE!F157&lt;=PERALTE!$Q$14,-2,IF(RASANTE!F157&lt;=PERALTE!$U$14,(10/(PERALTE!$U$14-PERALTE!$Q$14)*(RASANTE!F157-PERALTE!$Q$14)-2),IF(RASANTE!F157&lt;=PERALTE!$X$14,8,IF(RASANTE!F157&lt;=PERALTE!$AB$14,(10/(PERALTE!$X$14-PERALTE!$AB$14)*(RASANTE!F157-PERALTE!$AB$14)-2))))),IF(AND(AH!$H$18="Derecha",RASANTE!F157&lt;=PERALTE!$AB$16),IF(RASANTE!F157&lt;=PERALTE!$S$16,-2,IF(RASANTE!F157&lt;=PERALTE!$U$16,(-6/(PERALTE!$U$16-PERALTE!$S$16)*(RASANTE!F157-PERALTE!$S$16)-2),IF(RASANTE!F157&lt;=PERALTE!$X$16,-8,IF(RASANTE!F157&lt;=PERALTE!$Z$16,(-6/(PERALTE!$X$16-PERALTE!$Z$16)*(RASANTE!F157-PERALTE!$Z$16)-2),IF(RASANTE!F157&lt;=PERALTE!$AB$16,-2))))),IF(AND(AH!$H$18="Izquierda",RASANTE!F157&lt;=PERALTE!$AB$16),IF(RASANTE!F157&lt;=PERALTE!$Q$16,-2,IF(RASANTE!F157&lt;=PERALTE!$U$16,(10/(PERALTE!$U$16-PERALTE!$Q$16)*(RASANTE!F157-PERALTE!$Q$16)-2),IF(RASANTE!F157&lt;=PERALTE!$X$16,8,IF(RASANTE!F157&lt;=PERALTE!$AB$16,(10/(PERALTE!$X$16-PERALTE!$AB$16)*(RASANTE!F157-PERALTE!$AB$16)-2))))),IF(AND(AH!$H$20="Derecha",RASANTE!F157&lt;=PERALTE!$AB$18),IF(RASANTE!F157&lt;=PERALTE!$S$18,-2,IF(RASANTE!F157&lt;=PERALTE!$U$18,(-6/(PERALTE!$U$18-PERALTE!$S$18)*(RASANTE!F157-PERALTE!$S$18)-2),IF(RASANTE!F157&lt;=PERALTE!$X$18,-8,IF(RASANTE!F157&lt;=PERALTE!$Z$18,(-6/(PERALTE!$X$18-PERALTE!$Z$18)*(RASANTE!F157-PERALTE!$Z$18)-2),IF(RASANTE!F157&lt;=PERALTE!$AB$18,-2))))),IF(AND(AH!$H$20="Izquierda",RASANTE!F157&lt;=PERALTE!$AB$18),IF(RASANTE!F157&lt;=PERALTE!$Q$18,-2,IF(RASANTE!F157&lt;=PERALTE!$U$18,(10/(PERALTE!$U$18-PERALTE!$Q$18)*(RASANTE!F157-PERALTE!$Q$18)-2),IF(RASANTE!F157&lt;=PERALTE!$X$18,8,IF(RASANTE!F157&lt;=PERALTE!$AB$18,(10/(PERALTE!$X$18-PERALTE!$AB$18)*(RASANTE!F157-PERALTE!$AB$18)-2))))),IF(AND(AH!$H$24="Derecha",RASANTE!F157&lt;=PERALTE!$AB$22),IF(RASANTE!F157&lt;=PERALTE!$S$22,-2,IF(RASANTE!F157&lt;=PERALTE!$U$22,(-6/(PERALTE!$U$22-PERALTE!$S$22)*(RASANTE!F157-PERALTE!$S$22)-2),IF(RASANTE!F157&lt;=PERALTE!$X$22,-8,IF(RASANTE!F157&lt;=PERALTE!$Z$22,(-6/(PERALTE!$X$22-PERALTE!$Z$22)*(RASANTE!F157-PERALTE!$Z$22)-2),IF(RASANTE!F157&lt;=PERALTE!$AB$22,-2))))),IF(AND(AH!$H$24="Izquierda",RASANTE!F157&lt;=PERALTE!$AB$22),IF(RASANTE!F157&lt;=PERALTE!$Q$22,-2,IF(RASANTE!F157&lt;=PERALTE!$U$22,(10/(PERALTE!$U$22-PERALTE!$Q$22)*(RASANTE!F157-PERALTE!$Q$22)-2),IF(RASANTE!F157&lt;=PERALTE!$X$22,8,IF(RASANTE!F157&lt;=PERALTE!$AB$22,(10/(PERALTE!$X$22-PERALTE!$AB$22)*(RASANTE!F157-PERALTE!$AB$22)-2))))),IF(AND(AH!#REF!="Derecha",RASANTE!F157&lt;=PERALTE!#REF!),IF(RASANTE!F157&lt;=PERALTE!#REF!,-2,IF(RASANTE!F157&lt;=PERALTE!#REF!,(-6/(PERALTE!#REF!-PERALTE!#REF!)*(RASANTE!F157-PERALTE!#REF!)-2),IF(RASANTE!F157&lt;=PERALTE!#REF!,-8,IF(RASANTE!F157&lt;=PERALTE!#REF!,(-6/(PERALTE!#REF!-PERALTE!#REF!)*(RASANTE!F157-PERALTE!#REF!)-2),IF(RASANTE!F157&lt;=PERALTE!#REF!,-2))))),IF(AND(AH!#REF!="Izquierda",RASANTE!F157&lt;=PERALTE!#REF!),IF(RASANTE!F157&lt;=PERALTE!#REF!,-2,IF(RASANTE!F157&lt;=PERALTE!#REF!,(10/(PERALTE!#REF!-PERALTE!#REF!)*(RASANTE!F157-PERALTE!#REF!)-2),IF(RASANTE!F157&lt;=PERALTE!#REF!,8,IF(RASANTE!F157&lt;=PERALTE!#REF!,(10/(PERALTE!#REF!-PERALTE!#REF!)*(RASANTE!F157-PERALTE!#REF!)-2))))),IF(AND(AH!#REF!="Derecha",RASANTE!F157&lt;=PERALTE!$AB$26),IF(RASANTE!F157&lt;=PERALTE!$S$26,-2,IF(RASANTE!F157&lt;=PERALTE!$U$26,(-6/(PERALTE!$U$26-PERALTE!$S$26)*(RASANTE!F157-PERALTE!$S$26)-2),IF(RASANTE!F157&lt;=PERALTE!$X$26,-8,IF(RASANTE!F157&lt;=PERALTE!$Z$26,(-6/(PERALTE!$X$26-PERALTE!$Z$26)*(RASANTE!F157-PERALTE!$Z$26)-2),IF(RASANTE!F157&lt;=PERALTE!$AB$26,-2))))),IF(AND(AH!#REF!="Izquierda",RASANTE!F157&lt;=PERALTE!$AB$26),IF(RASANTE!F157&lt;=PERALTE!$Q$26,-2,IF(RASANTE!F157&lt;=PERALTE!$U$26,(10/(PERALTE!$U$26-PERALTE!$Q$26)*(RASANTE!F157-PERALTE!$Q$26)-2),IF(RASANTE!F157&lt;=PERALTE!$X$26,8,IF(RASANTE!F157&lt;=PERALTE!$AB$26,(10/(PERALTE!$X$26-PERALTE!$AB$26)*(RASANTE!F157-PERALTE!$AB$26)-2))))),IF(F157&lt;=PERALTE!#REF!,-2,"Abscisa fuera de la vía")))))))))))))))))))))</f>
        <v>-2</v>
      </c>
      <c r="J157" s="28">
        <f t="shared" si="6"/>
        <v>1616.3621380375921</v>
      </c>
      <c r="K157" s="28">
        <f>+IF(AND(AV!$S$6&lt;F157,F157&lt;=AV!$T$6),AV!$P$6*((AV!$S$6-RASANTE!F157)/(AV!$N$6))^2,IF(AND(AV!$T$6&lt;RASANTE!F157,F157&lt;AV!$U$6),AV!$P$6*((AV!$U$6-RASANTE!F157)/(AV!$O$6))^2,IF(AND(AV!$S$8&lt;F157,F157&lt;=AV!$T$8),AV!$P$8*((AV!$S$8-RASANTE!F157)/(AV!$N$8))^2,IF(AND(AV!$T$8&lt;RASANTE!F157,F157&lt;AV!$U$8),AV!$P$8*((AV!$U$8-RASANTE!F157)/(AV!$O$8))^2,IF(AND(AV!$S$10&lt;F157,F157&lt;=AV!$T$10),AV!$P$10*((AV!$S$10-RASANTE!F157)/(AV!$N$10))^2,IF(AND(AV!$T$10&lt;RASANTE!F157,F157&lt;AV!$U$10),AV!$P$10*((AV!$U$10-RASANTE!F157)/(AV!$O$10))^2,IF(AND(AV!$S$12&lt;F157,F157&lt;=AV!$T$12),AV!$P$12*((AV!$S$12-RASANTE!F157)/(AV!$N$12))^2,IF(AND(AV!$T$12&lt;RASANTE!F157,F157&lt;AV!$U$12),AV!$P$12*((AV!$U$12-RASANTE!F157)/(AV!$O$12))^2,IF(AND(AV!$S$14&lt;F157,F157&lt;=AV!$T$14),AV!$P$14*((AV!$S$14-RASANTE!F157)/(AV!$N$14))^2,IF(AND(AV!$T$14&lt;RASANTE!F157,F157&lt;AV!$U$14),AV!$P$14*((AV!$U$14-RASANTE!F157)/(AV!$O$14))^2,IF(AND(AV!$S$16&lt;F157,F157&lt;=AV!$T$16),AV!$P$16*((AV!$S$16-RASANTE!F157)/(AV!$N$16))^2,IF(AND(AV!$T$16&lt;RASANTE!F157,F157&lt;AV!$U$16),AV!$P$16*((AV!$U$16-RASANTE!F157)/(AV!$O$16))^2,IF(AND(AV!$S$18&lt;F157,F157&lt;=AV!$T$18),AV!$P$18*((AV!$S$18-RASANTE!F157)/(AV!$N$18))^2,IF(AND(AV!$T$18&lt;RASANTE!F157,F157&lt;AV!$U$18),AV!$P$18*((AV!$U$18-RASANTE!F157)/(AV!$O$18))^2,IF(AND(AV!$S$20&lt;F157,F157&lt;=AV!$T$20),AV!$P$20*((AV!$S$20-RASANTE!F157)/(AV!$N$20))^2,IF(AND(AV!$T$20&lt;RASANTE!F157,F157&lt;AV!$U$20),AV!$P$20*((AV!$U$20-RASANTE!F157)/(AV!$O$20))^2,IF(AND(AV!$S$22&lt;F157,F157&lt;=AV!$T$22),AV!$P$22*((AV!$S$22-RASANTE!F157)/(AV!$N$22))^2,IF(AND(AV!$T$22&lt;RASANTE!F157,F157&lt;AV!$U$22),AV!$P$22*((AV!$U$22-RASANTE!F157)/(AV!$O$22))^2,IF(AND(AV!$S$24&lt;F157,F157&lt;=AV!$T$24),AV!$P$24*((AV!$S$24-RASANTE!F157)/(AV!$N$24))^2,IF(AND(AV!$T$24&lt;RASANTE!F157,F157&lt;AV!$U$24),AV!$P$24*((AV!$U$24-RASANTE!F157)/(AV!$O$24))^2,0))))))))))))))))))))</f>
        <v>0</v>
      </c>
      <c r="L157" s="28">
        <f>+M157+H157%*PERALTE!$C$32</f>
        <v>1616.2921380375922</v>
      </c>
      <c r="M157" s="28">
        <f t="shared" si="5"/>
        <v>1616.3621380375921</v>
      </c>
      <c r="N157" s="28">
        <f>+M157+I157%*PERALTE!$C$32</f>
        <v>1616.2921380375922</v>
      </c>
      <c r="O157" s="92"/>
      <c r="P157" s="84"/>
      <c r="Q157" s="84"/>
      <c r="R157" s="84"/>
      <c r="S157" s="84"/>
      <c r="T157" s="84"/>
      <c r="U157" s="84"/>
      <c r="V157" s="84"/>
      <c r="W157" s="84"/>
      <c r="X157" s="84"/>
      <c r="Y157" s="84"/>
    </row>
    <row r="158" spans="1:25" ht="15.75" customHeight="1" x14ac:dyDescent="0.2">
      <c r="A158" s="90"/>
      <c r="B158" s="86"/>
      <c r="C158" s="86"/>
      <c r="D158" s="86"/>
      <c r="F158" s="34">
        <v>960</v>
      </c>
      <c r="G158" s="88">
        <f>IF(F158&lt;=AV!$T$6,AV!$C$5,IF(RASANTE!F158&lt;=AV!$T$8,AV!$C$7,IF(RASANTE!F158&lt;=AV!$T$10,AV!$C$9,IF(RASANTE!F158&lt;=AV!$T$12,AV!$C$11,IF(RASANTE!F158&lt;=AV!$T$14,AV!$C$13,IF(RASANTE!F158&lt;=AV!$T$16,AV!$C$15, IF(RASANTE!F158&lt;=AV!$T$18,AV!$C$17,IF(RASANTE!F158&lt;=AV!$T$20,AV!$C$19,IF(RASANTE!F158&lt;=AV!$T$22,AV!$C$21,IF(RASANTE!F158&lt;=AV!$T$24,AV!$C$23,AV!$C$25))))))))))</f>
        <v>-7.2409999999999997</v>
      </c>
      <c r="H158" s="28">
        <f>+IF(AND(AH!$H$8="Izquierda",RASANTE!F158&lt;=PERALTE!$AB$6),IF(RASANTE!F158&lt;=PERALTE!$S$6,-2,IF(RASANTE!F158&lt;=PERALTE!$U$6,(-6/(PERALTE!$U$6-PERALTE!$S$6)*(RASANTE!F158-PERALTE!$S$6)-2),IF(RASANTE!F158&lt;=PERALTE!$X$6,-8,IF(RASANTE!F158&lt;=PERALTE!$Z$6,(-6/(PERALTE!$X$6-PERALTE!$Z$6)*(RASANTE!F158-PERALTE!$Z$6)-2),IF(RASANTE!F158&lt;=PERALTE!$AB$6,-2))))),IF(AND(AH!$H$8="Derecha",RASANTE!F158&lt;=PERALTE!$AB$6),IF(RASANTE!F158&lt;=PERALTE!$Q$6,-2,IF(RASANTE!F158&lt;=PERALTE!$U$6,(10/(PERALTE!$U$6-PERALTE!$Q$6)*(RASANTE!F158-PERALTE!$Q$6)-2),IF(RASANTE!F158&lt;=PERALTE!$X$6,8,IF(RASANTE!F158&lt;=PERALTE!$AB$6,(10/(PERALTE!$X$6-PERALTE!$AB$6)*(RASANTE!F158-PERALTE!$AB$6)-2))))),IF(AND(AH!$H$10="Izquierda",RASANTE!F158&lt;=PERALTE!$AB$8),IF(RASANTE!F158&lt;=PERALTE!$S$8,-2,IF(RASANTE!F158&lt;=PERALTE!$U$8,(-6/(PERALTE!$U$8-PERALTE!$S$8)*(RASANTE!F158-PERALTE!$S$8)-2),IF(RASANTE!F158&lt;=PERALTE!$X$8,-8,IF(RASANTE!F158&lt;=PERALTE!$Z$8,(-6/(PERALTE!$X$8-PERALTE!$Z$8)*(RASANTE!F158-PERALTE!$Z$8)-2),IF(RASANTE!F158&lt;=PERALTE!$AB$8,-2))))),IF(AND(AH!$H$10="Derecha",RASANTE!F158&lt;=PERALTE!$AB$8),IF(RASANTE!F158&lt;=PERALTE!$Q$8,-2,IF(RASANTE!F158&lt;=PERALTE!$U$8,(10/(PERALTE!$U$8-PERALTE!$Q$8)*(RASANTE!F158-PERALTE!$Q$8)-2),IF(RASANTE!F158&lt;=PERALTE!$X$8,8,IF(RASANTE!F158&lt;=PERALTE!$AB$8,(10/(PERALTE!$X$8-PERALTE!$AB$8)*(RASANTE!F158-PERALTE!$AB$8)-2))))),IF(AND(AH!$H$12="Izquierda",RASANTE!F158&lt;=PERALTE!$AB$10),IF(RASANTE!F158&lt;=PERALTE!$S$10,-2,IF(RASANTE!F158&lt;=PERALTE!$U$10,(-6/(PERALTE!$U$10-PERALTE!$S$10)*(RASANTE!F158-PERALTE!$S$10)-2),IF(RASANTE!F158&lt;=PERALTE!$X$10,-8,IF(RASANTE!F158&lt;=PERALTE!$Z$10,(-6/(PERALTE!$X$10-PERALTE!$Z$10)*(RASANTE!F158-PERALTE!$Z$10)-2),IF(RASANTE!F158&lt;=PERALTE!$AB$10,-2))))),IF(AND(AH!$H$12="Derecha",RASANTE!F158&lt;=PERALTE!$AB$10),IF(RASANTE!F158&lt;=PERALTE!$Q$10,-2,IF(RASANTE!F158&lt;=PERALTE!$U$10,(10/(PERALTE!$U$10-PERALTE!$Q$10)*(RASANTE!F158-PERALTE!$Q$10)-2),IF(RASANTE!F158&lt;=PERALTE!$X$10,8,IF(RASANTE!F158&lt;=PERALTE!$AB$10,(10/(PERALTE!$X$10-PERALTE!$AB$10)*(RASANTE!F158-PERALTE!$AB$10)-2))))),IF(AND(AH!$H$14="Izquierda",RASANTE!F158&lt;=PERALTE!$AB$12),IF(RASANTE!F158&lt;=PERALTE!$S$12,-2,IF(RASANTE!F158&lt;=PERALTE!$U$12,(-6/(PERALTE!$U$12-PERALTE!$S$12)*(RASANTE!F158-PERALTE!$S$12)-2),IF(RASANTE!F158&lt;=PERALTE!$X$12,-8,IF(RASANTE!F158&lt;=PERALTE!$Z$12,(-6/(PERALTE!$X$12-PERALTE!$Z$12)*(RASANTE!F158-PERALTE!$Z$12)-2),IF(RASANTE!F158&lt;=PERALTE!$AB$12,-2))))),IF(AND(AH!$H$14="Derecha",RASANTE!F158&lt;=PERALTE!$AB$12),IF(RASANTE!F158&lt;=PERALTE!$Q$12,-2,IF(RASANTE!F158&lt;=PERALTE!$U$12,(10/(PERALTE!$U$12-PERALTE!$Q$12)*(RASANTE!F158-PERALTE!$Q$12)-2),IF(RASANTE!F158&lt;=PERALTE!$X$12,8,IF(RASANTE!F158&lt;=PERALTE!$AB$12,(10/(PERALTE!$X$12-PERALTE!$AB$12)*(RASANTE!F158-PERALTE!$AB$12)-2))))),IF(AND(AH!$H$16="Izquierda",RASANTE!F158&lt;=PERALTE!$AB$14),IF(RASANTE!F158&lt;=PERALTE!$S$14,-2,IF(RASANTE!F158&lt;=PERALTE!$U$14,(-6/(PERALTE!$U$14-PERALTE!$S$14)*(RASANTE!F158-PERALTE!$S$14)-2),IF(RASANTE!F158&lt;=PERALTE!$X$14,-8,IF(RASANTE!F158&lt;=PERALTE!$Z$14,(-6/(PERALTE!$X$14-PERALTE!$Z$14)*(RASANTE!F158-PERALTE!$Z$14)-2),IF(RASANTE!F158&lt;=PERALTE!$AB$14,-2))))),IF(AND(AH!$H$16="Derecha",RASANTE!F158&lt;=PERALTE!$AB$14),IF(RASANTE!F158&lt;=PERALTE!$Q$14,-2,IF(RASANTE!F158&lt;=PERALTE!$U$14,(10/(PERALTE!$U$14-PERALTE!$Q$14)*(RASANTE!F158-PERALTE!$Q$14)-2),IF(RASANTE!F158&lt;=PERALTE!$X$14,8,IF(RASANTE!F158&lt;=PERALTE!$AB$14,(10/(PERALTE!$X$14-PERALTE!$AB$14)*(RASANTE!F158-PERALTE!$AB$14)-2))))),IF(AND(AH!$H$18="Izquierda",RASANTE!F158&lt;=PERALTE!$AB$16),IF(RASANTE!F158&lt;=PERALTE!$S$16,-2,IF(RASANTE!F158&lt;=PERALTE!$U$16,(-6/(PERALTE!$U$16-PERALTE!$S$16)*(RASANTE!F158-PERALTE!$S$16)-2),IF(RASANTE!F158&lt;=PERALTE!$X$16,-8,IF(RASANTE!F158&lt;=PERALTE!$Z$16,(-6/(PERALTE!$X$16-PERALTE!$Z$16)*(RASANTE!F158-PERALTE!$Z$16)-2),IF(RASANTE!F158&lt;=PERALTE!$AB$16,-2))))),IF(AND(AH!$H$18="Derecha",RASANTE!F158&lt;=PERALTE!$AB$16),IF(RASANTE!F158&lt;=PERALTE!$Q$16,-2,IF(RASANTE!F158&lt;=PERALTE!$U$16,(10/(PERALTE!$U$16-PERALTE!$Q$16)*(RASANTE!F158-PERALTE!$Q$16)-2),IF(RASANTE!F158&lt;=PERALTE!$X$16,8,IF(RASANTE!F158&lt;=PERALTE!$AB$16,(10/(PERALTE!$X$16-PERALTE!$AB$16)*(RASANTE!F158-PERALTE!$AB$16)-2))))),IF(AND(AH!$H$20="Izquierda",RASANTE!F158&lt;=PERALTE!$AB$18),IF(RASANTE!F158&lt;=PERALTE!$S$18,-2,IF(RASANTE!F158&lt;=PERALTE!$U$18,(-6/(PERALTE!$U$18-PERALTE!$S$18)*(RASANTE!F158-PERALTE!$S$18)-2),IF(RASANTE!F158&lt;=PERALTE!$X$18,-8,IF(RASANTE!F158&lt;=PERALTE!$Z$18,(-6/(PERALTE!$X$18-PERALTE!$Z$18)*(RASANTE!F158-PERALTE!$Z$18)-2),IF(RASANTE!F158&lt;=PERALTE!$AB$18,-2))))),IF(AND(AH!$H$20="Derecha",RASANTE!F158&lt;=PERALTE!$AB$18),IF(RASANTE!F158&lt;=PERALTE!$Q$18,-2,IF(RASANTE!F158&lt;=PERALTE!$U$18,(10/(PERALTE!$U$18-PERALTE!$Q$18)*(RASANTE!F158-PERALTE!$Q$18)-2),IF(RASANTE!F158&lt;=PERALTE!$X$18,8,IF(RASANTE!F158&lt;=PERALTE!$AB$18,(10/(PERALTE!$X$18-PERALTE!$AB$18)*(RASANTE!F158-PERALTE!$AB$18)-2))))),IF(AND(AH!$H$24="Izquierda",RASANTE!F158&lt;=PERALTE!$AB$22),IF(RASANTE!F158&lt;=PERALTE!$S$22,-2,IF(RASANTE!F158&lt;=PERALTE!$U$22,(-6/(PERALTE!$U$22-PERALTE!$S$22)*(RASANTE!F158-PERALTE!$S$22)-2),IF(RASANTE!F158&lt;=PERALTE!$X$22,-8,IF(RASANTE!F158&lt;=PERALTE!$Z$22,(-6/(PERALTE!$X$22-PERALTE!$Z$22)*(RASANTE!F158-PERALTE!$Z$22)-2),IF(RASANTE!F158&lt;=PERALTE!$AB$22,-2))))),IF(AND(AH!$H$24="Derecha",RASANTE!F158&lt;=PERALTE!$AB$22),IF(RASANTE!F158&lt;=PERALTE!$Q$22,-2,IF(RASANTE!F158&lt;=PERALTE!$U$22,(10/(PERALTE!$U$22-PERALTE!$Q$22)*(RASANTE!F158-PERALTE!$Q$22)-2),IF(RASANTE!F158&lt;=PERALTE!$X$22,8,IF(RASANTE!F158&lt;=PERALTE!$AB$22,(10/(PERALTE!$X$22-PERALTE!$AB$22)*(RASANTE!F158-PERALTE!$AB$22)-2))))),IF(AND(AH!#REF!="Izquierda",RASANTE!F158&lt;=PERALTE!#REF!),IF(RASANTE!F158&lt;=PERALTE!#REF!,-2,IF(RASANTE!F158&lt;=PERALTE!#REF!,(-6/(PERALTE!#REF!-PERALTE!#REF!)*(RASANTE!F158-PERALTE!#REF!)-2),IF(RASANTE!F158&lt;=PERALTE!#REF!,-8,IF(RASANTE!F158&lt;=PERALTE!#REF!,(-6/(PERALTE!#REF!-PERALTE!#REF!)*(RASANTE!F158-PERALTE!#REF!)-2),IF(RASANTE!F158&lt;=PERALTE!#REF!,-2))))),IF(AND(AH!#REF!="Derecha",RASANTE!F158&lt;=PERALTE!#REF!),IF(RASANTE!F158&lt;=PERALTE!#REF!,-2,IF(RASANTE!F158&lt;=PERALTE!#REF!,(10/(PERALTE!#REF!-PERALTE!#REF!)*(RASANTE!F158-PERALTE!#REF!)-2),IF(RASANTE!F158&lt;=PERALTE!#REF!,8,IF(RASANTE!F158&lt;=PERALTE!#REF!,(10/(PERALTE!#REF!-PERALTE!#REF!)*(RASANTE!F158-PERALTE!#REF!)-2))))),IF(AND(AH!#REF!="Izquierda",RASANTE!F158&lt;=PERALTE!$AB$26),IF(RASANTE!F158&lt;=PERALTE!$S$26,-2,IF(RASANTE!F158&lt;=PERALTE!$U$26,(-6/(PERALTE!$U$26-PERALTE!$S$26)*(RASANTE!F158-PERALTE!$S$26)-2),IF(RASANTE!F158&lt;=PERALTE!$X$26,-8,IF(RASANTE!F158&lt;=PERALTE!$Z$26,(-6/(PERALTE!$X$26-PERALTE!$Z$26)*(RASANTE!F158-PERALTE!$Z$26)-2),IF(RASANTE!F158&lt;=PERALTE!$AB$26,-2))))),IF(AND(AH!#REF!="Derecha",RASANTE!F158&lt;=PERALTE!$AB$26),IF(RASANTE!F158&lt;=PERALTE!$Q$26,-2,IF(RASANTE!F158&lt;=PERALTE!$U$26,(10/(PERALTE!$U$26-PERALTE!$Q$26)*(RASANTE!F158-PERALTE!$Q$26)-2),IF(RASANTE!F158&lt;=PERALTE!$X$26,8,IF(RASANTE!F158&lt;=PERALTE!$AB$26,(10/(PERALTE!$X$26-PERALTE!$AB$26)*(RASANTE!F158-PERALTE!$AB$26)-2))))),IF(F158&lt;=PERALTE!#REF!,-2,"Abscisa fuera de la vía")))))))))))))))))))))</f>
        <v>-2</v>
      </c>
      <c r="I158" s="28">
        <f>+IF(AND(AH!$H$8="Derecha",RASANTE!F158&lt;=PERALTE!$AB$6),IF(RASANTE!F158&lt;=PERALTE!$S$6,-2,IF(RASANTE!F158&lt;=PERALTE!$U$6,(-6/(PERALTE!$U$6-PERALTE!$S$6)*(RASANTE!F158-PERALTE!$S$6)-2),IF(RASANTE!F158&lt;=PERALTE!$X$6,-8,IF(RASANTE!F158&lt;=PERALTE!$Z$6,(-6/(PERALTE!$X$6-PERALTE!$Z$6)*(RASANTE!F158-PERALTE!$Z$6)-2),IF(RASANTE!F158&lt;=PERALTE!$AB$6,-2))))),IF(AND(AH!$H$8="Izquierda",RASANTE!F158&lt;=PERALTE!$AB$6),IF(RASANTE!F158&lt;=PERALTE!$Q$6,-2,IF(RASANTE!F158&lt;=PERALTE!$U$6,(10/(PERALTE!$U$6-PERALTE!$Q$6)*(RASANTE!F158-PERALTE!$Q$6)-2),IF(RASANTE!F158&lt;=PERALTE!$X$6,8,IF(RASANTE!F158&lt;=PERALTE!$AB$6,(10/(PERALTE!$X$6-PERALTE!$AB$6)*(RASANTE!F158-PERALTE!$AB$6)-2))))),IF(AND(AH!$H$10="Derecha",RASANTE!F158&lt;=PERALTE!$AB$8),IF(RASANTE!F158&lt;=PERALTE!$S$8,-2,IF(RASANTE!F158&lt;=PERALTE!$U$8,(-6/(PERALTE!$U$8-PERALTE!$S$8)*(RASANTE!F158-PERALTE!$S$8)-2),IF(RASANTE!F158&lt;=PERALTE!$X$8,-8,IF(RASANTE!F158&lt;=PERALTE!$Z$8,(-6/(PERALTE!$X$8-PERALTE!$Z$8)*(RASANTE!F158-PERALTE!$Z$8)-2),IF(RASANTE!F158&lt;=PERALTE!$AB$8,-2))))),IF(AND(AH!$H$10="Izquierda",RASANTE!F158&lt;=PERALTE!$AB$8),IF(RASANTE!F158&lt;=PERALTE!$Q$8,-2,IF(RASANTE!F158&lt;=PERALTE!$U$8,(10/(PERALTE!$U$8-PERALTE!$Q$8)*(RASANTE!F158-PERALTE!$Q$8)-2),IF(RASANTE!F158&lt;=PERALTE!$X$8,8,IF(RASANTE!F158&lt;=PERALTE!$AB$8,(10/(PERALTE!$X$8-PERALTE!$AB$8)*(RASANTE!F158-PERALTE!$AB$8)-2))))),IF(AND(AH!$H$12="Derecha",RASANTE!F158&lt;=PERALTE!$AB$10),IF(RASANTE!F158&lt;=PERALTE!$S$10,-2,IF(RASANTE!F158&lt;=PERALTE!$U$10,(-6/(PERALTE!$U$10-PERALTE!$S$10)*(RASANTE!F158-PERALTE!$S$10)-2),IF(RASANTE!F158&lt;=PERALTE!$X$10,-8,IF(RASANTE!F158&lt;=PERALTE!$Z$10,(-6/(PERALTE!$X$10-PERALTE!$Z$10)*(RASANTE!F158-PERALTE!$Z$10)-2),IF(RASANTE!F158&lt;=PERALTE!$AB$10,-2))))),IF(AND(AH!$H$12="Izquierda",RASANTE!F158&lt;=PERALTE!$AB$10),IF(RASANTE!F158&lt;=PERALTE!$Q$10,-2,IF(RASANTE!F158&lt;=PERALTE!$U$10,(10/(PERALTE!$U$10-PERALTE!$Q$10)*(RASANTE!F158-PERALTE!$Q$10)-2),IF(RASANTE!F158&lt;=PERALTE!$X$10,8,IF(RASANTE!F158&lt;=PERALTE!$AB$10,(10/(PERALTE!$X$10-PERALTE!$AB$10)*(RASANTE!F158-PERALTE!$AB$10)-2))))),IF(AND(AH!$H$14="Derecha",RASANTE!F158&lt;=PERALTE!$AB$12),IF(RASANTE!F158&lt;=PERALTE!$S$12,-2,IF(RASANTE!F158&lt;=PERALTE!$U$12,(-6/(PERALTE!$U$12-PERALTE!$S$12)*(RASANTE!F158-PERALTE!$S$12)-2),IF(RASANTE!F158&lt;=PERALTE!$X$12,-8,IF(RASANTE!F158&lt;=PERALTE!$Z$12,(-6/(PERALTE!$X$12-PERALTE!$Z$12)*(RASANTE!F158-PERALTE!$Z$12)-2),IF(RASANTE!F158&lt;=PERALTE!$AB$12,-2))))),IF(AND(AH!$H$14="Izquierda",RASANTE!F158&lt;=PERALTE!$AB$12),IF(RASANTE!F158&lt;=PERALTE!$Q$12,-2,IF(RASANTE!F158&lt;=PERALTE!$U$12,(10/(PERALTE!$U$12-PERALTE!$Q$12)*(RASANTE!F158-PERALTE!$Q$12)-2),IF(RASANTE!F158&lt;=PERALTE!$X$12,8,IF(RASANTE!F158&lt;=PERALTE!$AB$12,(10/(PERALTE!$X$12-PERALTE!$AB$12)*(RASANTE!F158-PERALTE!$AB$12)-2))))),IF(AND(AH!$H$16="Derecha",RASANTE!F158&lt;=PERALTE!$AB$14),IF(RASANTE!F158&lt;=PERALTE!$S$14,-2,IF(RASANTE!F158&lt;=PERALTE!$U$14,(-6/(PERALTE!$U$14-PERALTE!$S$14)*(RASANTE!F158-PERALTE!$S$14)-2),IF(RASANTE!F158&lt;=PERALTE!$X$14,-8,IF(RASANTE!F158&lt;=PERALTE!$Z$14,(-6/(PERALTE!$X$14-PERALTE!$Z$14)*(RASANTE!F158-PERALTE!$Z$14)-2),IF(RASANTE!F158&lt;=PERALTE!$AB$14,-2))))),IF(AND(AH!$H$16="Izquierda",RASANTE!F158&lt;=PERALTE!$AB$14),IF(RASANTE!F158&lt;=PERALTE!$Q$14,-2,IF(RASANTE!F158&lt;=PERALTE!$U$14,(10/(PERALTE!$U$14-PERALTE!$Q$14)*(RASANTE!F158-PERALTE!$Q$14)-2),IF(RASANTE!F158&lt;=PERALTE!$X$14,8,IF(RASANTE!F158&lt;=PERALTE!$AB$14,(10/(PERALTE!$X$14-PERALTE!$AB$14)*(RASANTE!F158-PERALTE!$AB$14)-2))))),IF(AND(AH!$H$18="Derecha",RASANTE!F158&lt;=PERALTE!$AB$16),IF(RASANTE!F158&lt;=PERALTE!$S$16,-2,IF(RASANTE!F158&lt;=PERALTE!$U$16,(-6/(PERALTE!$U$16-PERALTE!$S$16)*(RASANTE!F158-PERALTE!$S$16)-2),IF(RASANTE!F158&lt;=PERALTE!$X$16,-8,IF(RASANTE!F158&lt;=PERALTE!$Z$16,(-6/(PERALTE!$X$16-PERALTE!$Z$16)*(RASANTE!F158-PERALTE!$Z$16)-2),IF(RASANTE!F158&lt;=PERALTE!$AB$16,-2))))),IF(AND(AH!$H$18="Izquierda",RASANTE!F158&lt;=PERALTE!$AB$16),IF(RASANTE!F158&lt;=PERALTE!$Q$16,-2,IF(RASANTE!F158&lt;=PERALTE!$U$16,(10/(PERALTE!$U$16-PERALTE!$Q$16)*(RASANTE!F158-PERALTE!$Q$16)-2),IF(RASANTE!F158&lt;=PERALTE!$X$16,8,IF(RASANTE!F158&lt;=PERALTE!$AB$16,(10/(PERALTE!$X$16-PERALTE!$AB$16)*(RASANTE!F158-PERALTE!$AB$16)-2))))),IF(AND(AH!$H$20="Derecha",RASANTE!F158&lt;=PERALTE!$AB$18),IF(RASANTE!F158&lt;=PERALTE!$S$18,-2,IF(RASANTE!F158&lt;=PERALTE!$U$18,(-6/(PERALTE!$U$18-PERALTE!$S$18)*(RASANTE!F158-PERALTE!$S$18)-2),IF(RASANTE!F158&lt;=PERALTE!$X$18,-8,IF(RASANTE!F158&lt;=PERALTE!$Z$18,(-6/(PERALTE!$X$18-PERALTE!$Z$18)*(RASANTE!F158-PERALTE!$Z$18)-2),IF(RASANTE!F158&lt;=PERALTE!$AB$18,-2))))),IF(AND(AH!$H$20="Izquierda",RASANTE!F158&lt;=PERALTE!$AB$18),IF(RASANTE!F158&lt;=PERALTE!$Q$18,-2,IF(RASANTE!F158&lt;=PERALTE!$U$18,(10/(PERALTE!$U$18-PERALTE!$Q$18)*(RASANTE!F158-PERALTE!$Q$18)-2),IF(RASANTE!F158&lt;=PERALTE!$X$18,8,IF(RASANTE!F158&lt;=PERALTE!$AB$18,(10/(PERALTE!$X$18-PERALTE!$AB$18)*(RASANTE!F158-PERALTE!$AB$18)-2))))),IF(AND(AH!$H$24="Derecha",RASANTE!F158&lt;=PERALTE!$AB$22),IF(RASANTE!F158&lt;=PERALTE!$S$22,-2,IF(RASANTE!F158&lt;=PERALTE!$U$22,(-6/(PERALTE!$U$22-PERALTE!$S$22)*(RASANTE!F158-PERALTE!$S$22)-2),IF(RASANTE!F158&lt;=PERALTE!$X$22,-8,IF(RASANTE!F158&lt;=PERALTE!$Z$22,(-6/(PERALTE!$X$22-PERALTE!$Z$22)*(RASANTE!F158-PERALTE!$Z$22)-2),IF(RASANTE!F158&lt;=PERALTE!$AB$22,-2))))),IF(AND(AH!$H$24="Izquierda",RASANTE!F158&lt;=PERALTE!$AB$22),IF(RASANTE!F158&lt;=PERALTE!$Q$22,-2,IF(RASANTE!F158&lt;=PERALTE!$U$22,(10/(PERALTE!$U$22-PERALTE!$Q$22)*(RASANTE!F158-PERALTE!$Q$22)-2),IF(RASANTE!F158&lt;=PERALTE!$X$22,8,IF(RASANTE!F158&lt;=PERALTE!$AB$22,(10/(PERALTE!$X$22-PERALTE!$AB$22)*(RASANTE!F158-PERALTE!$AB$22)-2))))),IF(AND(AH!#REF!="Derecha",RASANTE!F158&lt;=PERALTE!#REF!),IF(RASANTE!F158&lt;=PERALTE!#REF!,-2,IF(RASANTE!F158&lt;=PERALTE!#REF!,(-6/(PERALTE!#REF!-PERALTE!#REF!)*(RASANTE!F158-PERALTE!#REF!)-2),IF(RASANTE!F158&lt;=PERALTE!#REF!,-8,IF(RASANTE!F158&lt;=PERALTE!#REF!,(-6/(PERALTE!#REF!-PERALTE!#REF!)*(RASANTE!F158-PERALTE!#REF!)-2),IF(RASANTE!F158&lt;=PERALTE!#REF!,-2))))),IF(AND(AH!#REF!="Izquierda",RASANTE!F158&lt;=PERALTE!#REF!),IF(RASANTE!F158&lt;=PERALTE!#REF!,-2,IF(RASANTE!F158&lt;=PERALTE!#REF!,(10/(PERALTE!#REF!-PERALTE!#REF!)*(RASANTE!F158-PERALTE!#REF!)-2),IF(RASANTE!F158&lt;=PERALTE!#REF!,8,IF(RASANTE!F158&lt;=PERALTE!#REF!,(10/(PERALTE!#REF!-PERALTE!#REF!)*(RASANTE!F158-PERALTE!#REF!)-2))))),IF(AND(AH!#REF!="Derecha",RASANTE!F158&lt;=PERALTE!$AB$26),IF(RASANTE!F158&lt;=PERALTE!$S$26,-2,IF(RASANTE!F158&lt;=PERALTE!$U$26,(-6/(PERALTE!$U$26-PERALTE!$S$26)*(RASANTE!F158-PERALTE!$S$26)-2),IF(RASANTE!F158&lt;=PERALTE!$X$26,-8,IF(RASANTE!F158&lt;=PERALTE!$Z$26,(-6/(PERALTE!$X$26-PERALTE!$Z$26)*(RASANTE!F158-PERALTE!$Z$26)-2),IF(RASANTE!F158&lt;=PERALTE!$AB$26,-2))))),IF(AND(AH!#REF!="Izquierda",RASANTE!F158&lt;=PERALTE!$AB$26),IF(RASANTE!F158&lt;=PERALTE!$Q$26,-2,IF(RASANTE!F158&lt;=PERALTE!$U$26,(10/(PERALTE!$U$26-PERALTE!$Q$26)*(RASANTE!F158-PERALTE!$Q$26)-2),IF(RASANTE!F158&lt;=PERALTE!$X$26,8,IF(RASANTE!F158&lt;=PERALTE!$AB$26,(10/(PERALTE!$X$26-PERALTE!$AB$26)*(RASANTE!F158-PERALTE!$AB$26)-2))))),IF(F158&lt;=PERALTE!#REF!,-2,"Abscisa fuera de la vía")))))))))))))))))))))</f>
        <v>-2</v>
      </c>
      <c r="J158" s="28">
        <f t="shared" si="6"/>
        <v>1615.6380380375922</v>
      </c>
      <c r="K158" s="28">
        <f>+IF(AND(AV!$S$6&lt;F158,F158&lt;=AV!$T$6),AV!$P$6*((AV!$S$6-RASANTE!F158)/(AV!$N$6))^2,IF(AND(AV!$T$6&lt;RASANTE!F158,F158&lt;AV!$U$6),AV!$P$6*((AV!$U$6-RASANTE!F158)/(AV!$O$6))^2,IF(AND(AV!$S$8&lt;F158,F158&lt;=AV!$T$8),AV!$P$8*((AV!$S$8-RASANTE!F158)/(AV!$N$8))^2,IF(AND(AV!$T$8&lt;RASANTE!F158,F158&lt;AV!$U$8),AV!$P$8*((AV!$U$8-RASANTE!F158)/(AV!$O$8))^2,IF(AND(AV!$S$10&lt;F158,F158&lt;=AV!$T$10),AV!$P$10*((AV!$S$10-RASANTE!F158)/(AV!$N$10))^2,IF(AND(AV!$T$10&lt;RASANTE!F158,F158&lt;AV!$U$10),AV!$P$10*((AV!$U$10-RASANTE!F158)/(AV!$O$10))^2,IF(AND(AV!$S$12&lt;F158,F158&lt;=AV!$T$12),AV!$P$12*((AV!$S$12-RASANTE!F158)/(AV!$N$12))^2,IF(AND(AV!$T$12&lt;RASANTE!F158,F158&lt;AV!$U$12),AV!$P$12*((AV!$U$12-RASANTE!F158)/(AV!$O$12))^2,IF(AND(AV!$S$14&lt;F158,F158&lt;=AV!$T$14),AV!$P$14*((AV!$S$14-RASANTE!F158)/(AV!$N$14))^2,IF(AND(AV!$T$14&lt;RASANTE!F158,F158&lt;AV!$U$14),AV!$P$14*((AV!$U$14-RASANTE!F158)/(AV!$O$14))^2,IF(AND(AV!$S$16&lt;F158,F158&lt;=AV!$T$16),AV!$P$16*((AV!$S$16-RASANTE!F158)/(AV!$N$16))^2,IF(AND(AV!$T$16&lt;RASANTE!F158,F158&lt;AV!$U$16),AV!$P$16*((AV!$U$16-RASANTE!F158)/(AV!$O$16))^2,IF(AND(AV!$S$18&lt;F158,F158&lt;=AV!$T$18),AV!$P$18*((AV!$S$18-RASANTE!F158)/(AV!$N$18))^2,IF(AND(AV!$T$18&lt;RASANTE!F158,F158&lt;AV!$U$18),AV!$P$18*((AV!$U$18-RASANTE!F158)/(AV!$O$18))^2,IF(AND(AV!$S$20&lt;F158,F158&lt;=AV!$T$20),AV!$P$20*((AV!$S$20-RASANTE!F158)/(AV!$N$20))^2,IF(AND(AV!$T$20&lt;RASANTE!F158,F158&lt;AV!$U$20),AV!$P$20*((AV!$U$20-RASANTE!F158)/(AV!$O$20))^2,IF(AND(AV!$S$22&lt;F158,F158&lt;=AV!$T$22),AV!$P$22*((AV!$S$22-RASANTE!F158)/(AV!$N$22))^2,IF(AND(AV!$T$22&lt;RASANTE!F158,F158&lt;AV!$U$22),AV!$P$22*((AV!$U$22-RASANTE!F158)/(AV!$O$22))^2,IF(AND(AV!$S$24&lt;F158,F158&lt;=AV!$T$24),AV!$P$24*((AV!$S$24-RASANTE!F158)/(AV!$N$24))^2,IF(AND(AV!$T$24&lt;RASANTE!F158,F158&lt;AV!$U$24),AV!$P$24*((AV!$U$24-RASANTE!F158)/(AV!$O$24))^2,0))))))))))))))))))))</f>
        <v>0</v>
      </c>
      <c r="L158" s="28">
        <f>+M158+H158%*PERALTE!$C$32</f>
        <v>1615.5680380375923</v>
      </c>
      <c r="M158" s="28">
        <f t="shared" si="5"/>
        <v>1615.6380380375922</v>
      </c>
      <c r="N158" s="28">
        <f>+M158+I158%*PERALTE!$C$32</f>
        <v>1615.5680380375923</v>
      </c>
      <c r="O158" s="92"/>
      <c r="P158" s="84"/>
      <c r="Q158" s="84"/>
      <c r="R158" s="84"/>
      <c r="S158" s="84"/>
      <c r="T158" s="84"/>
      <c r="U158" s="84"/>
      <c r="V158" s="84"/>
      <c r="W158" s="84"/>
      <c r="X158" s="84"/>
      <c r="Y158" s="84"/>
    </row>
    <row r="159" spans="1:25" ht="15.75" customHeight="1" x14ac:dyDescent="0.2">
      <c r="A159" s="130" t="s">
        <v>212</v>
      </c>
      <c r="E159" s="131" t="s">
        <v>213</v>
      </c>
      <c r="F159" s="34">
        <f>AV!S12</f>
        <v>963</v>
      </c>
      <c r="G159" s="88">
        <f>IF(F159&lt;=AV!$T$6,AV!$C$5,IF(RASANTE!F159&lt;=AV!$T$8,AV!$C$7,IF(RASANTE!F159&lt;=AV!$T$10,AV!$C$9,IF(RASANTE!F159&lt;=AV!$T$12,AV!$C$11,IF(RASANTE!F159&lt;=AV!$T$14,AV!$C$13,IF(RASANTE!F159&lt;=AV!$T$16,AV!$C$15, IF(RASANTE!F159&lt;=AV!$T$18,AV!$C$17,IF(RASANTE!F159&lt;=AV!$T$20,AV!$C$19,IF(RASANTE!F159&lt;=AV!$T$22,AV!$C$21,IF(RASANTE!F159&lt;=AV!$T$24,AV!$C$23,AV!$C$25))))))))))</f>
        <v>-7.2409999999999997</v>
      </c>
      <c r="H159" s="28">
        <f>+IF(AND(AH!$H$8="Izquierda",RASANTE!F159&lt;=PERALTE!$AB$6),IF(RASANTE!F159&lt;=PERALTE!$S$6,-2,IF(RASANTE!F159&lt;=PERALTE!$U$6,(-6/(PERALTE!$U$6-PERALTE!$S$6)*(RASANTE!F159-PERALTE!$S$6)-2),IF(RASANTE!F159&lt;=PERALTE!$X$6,-8,IF(RASANTE!F159&lt;=PERALTE!$Z$6,(-6/(PERALTE!$X$6-PERALTE!$Z$6)*(RASANTE!F159-PERALTE!$Z$6)-2),IF(RASANTE!F159&lt;=PERALTE!$AB$6,-2))))),IF(AND(AH!$H$8="Derecha",RASANTE!F159&lt;=PERALTE!$AB$6),IF(RASANTE!F159&lt;=PERALTE!$Q$6,-2,IF(RASANTE!F159&lt;=PERALTE!$U$6,(10/(PERALTE!$U$6-PERALTE!$Q$6)*(RASANTE!F159-PERALTE!$Q$6)-2),IF(RASANTE!F159&lt;=PERALTE!$X$6,8,IF(RASANTE!F159&lt;=PERALTE!$AB$6,(10/(PERALTE!$X$6-PERALTE!$AB$6)*(RASANTE!F159-PERALTE!$AB$6)-2))))),IF(AND(AH!$H$10="Izquierda",RASANTE!F159&lt;=PERALTE!$AB$8),IF(RASANTE!F159&lt;=PERALTE!$S$8,-2,IF(RASANTE!F159&lt;=PERALTE!$U$8,(-6/(PERALTE!$U$8-PERALTE!$S$8)*(RASANTE!F159-PERALTE!$S$8)-2),IF(RASANTE!F159&lt;=PERALTE!$X$8,-8,IF(RASANTE!F159&lt;=PERALTE!$Z$8,(-6/(PERALTE!$X$8-PERALTE!$Z$8)*(RASANTE!F159-PERALTE!$Z$8)-2),IF(RASANTE!F159&lt;=PERALTE!$AB$8,-2))))),IF(AND(AH!$H$10="Derecha",RASANTE!F159&lt;=PERALTE!$AB$8),IF(RASANTE!F159&lt;=PERALTE!$Q$8,-2,IF(RASANTE!F159&lt;=PERALTE!$U$8,(10/(PERALTE!$U$8-PERALTE!$Q$8)*(RASANTE!F159-PERALTE!$Q$8)-2),IF(RASANTE!F159&lt;=PERALTE!$X$8,8,IF(RASANTE!F159&lt;=PERALTE!$AB$8,(10/(PERALTE!$X$8-PERALTE!$AB$8)*(RASANTE!F159-PERALTE!$AB$8)-2))))),IF(AND(AH!$H$12="Izquierda",RASANTE!F159&lt;=PERALTE!$AB$10),IF(RASANTE!F159&lt;=PERALTE!$S$10,-2,IF(RASANTE!F159&lt;=PERALTE!$U$10,(-6/(PERALTE!$U$10-PERALTE!$S$10)*(RASANTE!F159-PERALTE!$S$10)-2),IF(RASANTE!F159&lt;=PERALTE!$X$10,-8,IF(RASANTE!F159&lt;=PERALTE!$Z$10,(-6/(PERALTE!$X$10-PERALTE!$Z$10)*(RASANTE!F159-PERALTE!$Z$10)-2),IF(RASANTE!F159&lt;=PERALTE!$AB$10,-2))))),IF(AND(AH!$H$12="Derecha",RASANTE!F159&lt;=PERALTE!$AB$10),IF(RASANTE!F159&lt;=PERALTE!$Q$10,-2,IF(RASANTE!F159&lt;=PERALTE!$U$10,(10/(PERALTE!$U$10-PERALTE!$Q$10)*(RASANTE!F159-PERALTE!$Q$10)-2),IF(RASANTE!F159&lt;=PERALTE!$X$10,8,IF(RASANTE!F159&lt;=PERALTE!$AB$10,(10/(PERALTE!$X$10-PERALTE!$AB$10)*(RASANTE!F159-PERALTE!$AB$10)-2))))),IF(AND(AH!$H$14="Izquierda",RASANTE!F159&lt;=PERALTE!$AB$12),IF(RASANTE!F159&lt;=PERALTE!$S$12,-2,IF(RASANTE!F159&lt;=PERALTE!$U$12,(-6/(PERALTE!$U$12-PERALTE!$S$12)*(RASANTE!F159-PERALTE!$S$12)-2),IF(RASANTE!F159&lt;=PERALTE!$X$12,-8,IF(RASANTE!F159&lt;=PERALTE!$Z$12,(-6/(PERALTE!$X$12-PERALTE!$Z$12)*(RASANTE!F159-PERALTE!$Z$12)-2),IF(RASANTE!F159&lt;=PERALTE!$AB$12,-2))))),IF(AND(AH!$H$14="Derecha",RASANTE!F159&lt;=PERALTE!$AB$12),IF(RASANTE!F159&lt;=PERALTE!$Q$12,-2,IF(RASANTE!F159&lt;=PERALTE!$U$12,(10/(PERALTE!$U$12-PERALTE!$Q$12)*(RASANTE!F159-PERALTE!$Q$12)-2),IF(RASANTE!F159&lt;=PERALTE!$X$12,8,IF(RASANTE!F159&lt;=PERALTE!$AB$12,(10/(PERALTE!$X$12-PERALTE!$AB$12)*(RASANTE!F159-PERALTE!$AB$12)-2))))),IF(AND(AH!$H$16="Izquierda",RASANTE!F159&lt;=PERALTE!$AB$14),IF(RASANTE!F159&lt;=PERALTE!$S$14,-2,IF(RASANTE!F159&lt;=PERALTE!$U$14,(-6/(PERALTE!$U$14-PERALTE!$S$14)*(RASANTE!F159-PERALTE!$S$14)-2),IF(RASANTE!F159&lt;=PERALTE!$X$14,-8,IF(RASANTE!F159&lt;=PERALTE!$Z$14,(-6/(PERALTE!$X$14-PERALTE!$Z$14)*(RASANTE!F159-PERALTE!$Z$14)-2),IF(RASANTE!F159&lt;=PERALTE!$AB$14,-2))))),IF(AND(AH!$H$16="Derecha",RASANTE!F159&lt;=PERALTE!$AB$14),IF(RASANTE!F159&lt;=PERALTE!$Q$14,-2,IF(RASANTE!F159&lt;=PERALTE!$U$14,(10/(PERALTE!$U$14-PERALTE!$Q$14)*(RASANTE!F159-PERALTE!$Q$14)-2),IF(RASANTE!F159&lt;=PERALTE!$X$14,8,IF(RASANTE!F159&lt;=PERALTE!$AB$14,(10/(PERALTE!$X$14-PERALTE!$AB$14)*(RASANTE!F159-PERALTE!$AB$14)-2))))),IF(AND(AH!$H$18="Izquierda",RASANTE!F159&lt;=PERALTE!$AB$16),IF(RASANTE!F159&lt;=PERALTE!$S$16,-2,IF(RASANTE!F159&lt;=PERALTE!$U$16,(-6/(PERALTE!$U$16-PERALTE!$S$16)*(RASANTE!F159-PERALTE!$S$16)-2),IF(RASANTE!F159&lt;=PERALTE!$X$16,-8,IF(RASANTE!F159&lt;=PERALTE!$Z$16,(-6/(PERALTE!$X$16-PERALTE!$Z$16)*(RASANTE!F159-PERALTE!$Z$16)-2),IF(RASANTE!F159&lt;=PERALTE!$AB$16,-2))))),IF(AND(AH!$H$18="Derecha",RASANTE!F159&lt;=PERALTE!$AB$16),IF(RASANTE!F159&lt;=PERALTE!$Q$16,-2,IF(RASANTE!F159&lt;=PERALTE!$U$16,(10/(PERALTE!$U$16-PERALTE!$Q$16)*(RASANTE!F159-PERALTE!$Q$16)-2),IF(RASANTE!F159&lt;=PERALTE!$X$16,8,IF(RASANTE!F159&lt;=PERALTE!$AB$16,(10/(PERALTE!$X$16-PERALTE!$AB$16)*(RASANTE!F159-PERALTE!$AB$16)-2))))),IF(AND(AH!$H$20="Izquierda",RASANTE!F159&lt;=PERALTE!$AB$18),IF(RASANTE!F159&lt;=PERALTE!$S$18,-2,IF(RASANTE!F159&lt;=PERALTE!$U$18,(-6/(PERALTE!$U$18-PERALTE!$S$18)*(RASANTE!F159-PERALTE!$S$18)-2),IF(RASANTE!F159&lt;=PERALTE!$X$18,-8,IF(RASANTE!F159&lt;=PERALTE!$Z$18,(-6/(PERALTE!$X$18-PERALTE!$Z$18)*(RASANTE!F159-PERALTE!$Z$18)-2),IF(RASANTE!F159&lt;=PERALTE!$AB$18,-2))))),IF(AND(AH!$H$20="Derecha",RASANTE!F159&lt;=PERALTE!$AB$18),IF(RASANTE!F159&lt;=PERALTE!$Q$18,-2,IF(RASANTE!F159&lt;=PERALTE!$U$18,(10/(PERALTE!$U$18-PERALTE!$Q$18)*(RASANTE!F159-PERALTE!$Q$18)-2),IF(RASANTE!F159&lt;=PERALTE!$X$18,8,IF(RASANTE!F159&lt;=PERALTE!$AB$18,(10/(PERALTE!$X$18-PERALTE!$AB$18)*(RASANTE!F159-PERALTE!$AB$18)-2))))),IF(AND(AH!$H$24="Izquierda",RASANTE!F159&lt;=PERALTE!$AB$22),IF(RASANTE!F159&lt;=PERALTE!$S$22,-2,IF(RASANTE!F159&lt;=PERALTE!$U$22,(-6/(PERALTE!$U$22-PERALTE!$S$22)*(RASANTE!F159-PERALTE!$S$22)-2),IF(RASANTE!F159&lt;=PERALTE!$X$22,-8,IF(RASANTE!F159&lt;=PERALTE!$Z$22,(-6/(PERALTE!$X$22-PERALTE!$Z$22)*(RASANTE!F159-PERALTE!$Z$22)-2),IF(RASANTE!F159&lt;=PERALTE!$AB$22,-2))))),IF(AND(AH!$H$24="Derecha",RASANTE!F159&lt;=PERALTE!$AB$22),IF(RASANTE!F159&lt;=PERALTE!$Q$22,-2,IF(RASANTE!F159&lt;=PERALTE!$U$22,(10/(PERALTE!$U$22-PERALTE!$Q$22)*(RASANTE!F159-PERALTE!$Q$22)-2),IF(RASANTE!F159&lt;=PERALTE!$X$22,8,IF(RASANTE!F159&lt;=PERALTE!$AB$22,(10/(PERALTE!$X$22-PERALTE!$AB$22)*(RASANTE!F159-PERALTE!$AB$22)-2))))),IF(AND(AH!#REF!="Izquierda",RASANTE!F159&lt;=PERALTE!#REF!),IF(RASANTE!F159&lt;=PERALTE!#REF!,-2,IF(RASANTE!F159&lt;=PERALTE!#REF!,(-6/(PERALTE!#REF!-PERALTE!#REF!)*(RASANTE!F159-PERALTE!#REF!)-2),IF(RASANTE!F159&lt;=PERALTE!#REF!,-8,IF(RASANTE!F159&lt;=PERALTE!#REF!,(-6/(PERALTE!#REF!-PERALTE!#REF!)*(RASANTE!F159-PERALTE!#REF!)-2),IF(RASANTE!F159&lt;=PERALTE!#REF!,-2))))),IF(AND(AH!#REF!="Derecha",RASANTE!F159&lt;=PERALTE!#REF!),IF(RASANTE!F159&lt;=PERALTE!#REF!,-2,IF(RASANTE!F159&lt;=PERALTE!#REF!,(10/(PERALTE!#REF!-PERALTE!#REF!)*(RASANTE!F159-PERALTE!#REF!)-2),IF(RASANTE!F159&lt;=PERALTE!#REF!,8,IF(RASANTE!F159&lt;=PERALTE!#REF!,(10/(PERALTE!#REF!-PERALTE!#REF!)*(RASANTE!F159-PERALTE!#REF!)-2))))),IF(AND(AH!#REF!="Izquierda",RASANTE!F159&lt;=PERALTE!$AB$26),IF(RASANTE!F159&lt;=PERALTE!$S$26,-2,IF(RASANTE!F159&lt;=PERALTE!$U$26,(-6/(PERALTE!$U$26-PERALTE!$S$26)*(RASANTE!F159-PERALTE!$S$26)-2),IF(RASANTE!F159&lt;=PERALTE!$X$26,-8,IF(RASANTE!F159&lt;=PERALTE!$Z$26,(-6/(PERALTE!$X$26-PERALTE!$Z$26)*(RASANTE!F159-PERALTE!$Z$26)-2),IF(RASANTE!F159&lt;=PERALTE!$AB$26,-2))))),IF(AND(AH!#REF!="Derecha",RASANTE!F159&lt;=PERALTE!$AB$26),IF(RASANTE!F159&lt;=PERALTE!$Q$26,-2,IF(RASANTE!F159&lt;=PERALTE!$U$26,(10/(PERALTE!$U$26-PERALTE!$Q$26)*(RASANTE!F159-PERALTE!$Q$26)-2),IF(RASANTE!F159&lt;=PERALTE!$X$26,8,IF(RASANTE!F159&lt;=PERALTE!$AB$26,(10/(PERALTE!$X$26-PERALTE!$AB$26)*(RASANTE!F159-PERALTE!$AB$26)-2))))),IF(F159&lt;=PERALTE!#REF!,-2,"Abscisa fuera de la vía")))))))))))))))))))))</f>
        <v>-2</v>
      </c>
      <c r="I159" s="28">
        <f>+IF(AND(AH!$H$8="Derecha",RASANTE!F159&lt;=PERALTE!$AB$6),IF(RASANTE!F159&lt;=PERALTE!$S$6,-2,IF(RASANTE!F159&lt;=PERALTE!$U$6,(-6/(PERALTE!$U$6-PERALTE!$S$6)*(RASANTE!F159-PERALTE!$S$6)-2),IF(RASANTE!F159&lt;=PERALTE!$X$6,-8,IF(RASANTE!F159&lt;=PERALTE!$Z$6,(-6/(PERALTE!$X$6-PERALTE!$Z$6)*(RASANTE!F159-PERALTE!$Z$6)-2),IF(RASANTE!F159&lt;=PERALTE!$AB$6,-2))))),IF(AND(AH!$H$8="Izquierda",RASANTE!F159&lt;=PERALTE!$AB$6),IF(RASANTE!F159&lt;=PERALTE!$Q$6,-2,IF(RASANTE!F159&lt;=PERALTE!$U$6,(10/(PERALTE!$U$6-PERALTE!$Q$6)*(RASANTE!F159-PERALTE!$Q$6)-2),IF(RASANTE!F159&lt;=PERALTE!$X$6,8,IF(RASANTE!F159&lt;=PERALTE!$AB$6,(10/(PERALTE!$X$6-PERALTE!$AB$6)*(RASANTE!F159-PERALTE!$AB$6)-2))))),IF(AND(AH!$H$10="Derecha",RASANTE!F159&lt;=PERALTE!$AB$8),IF(RASANTE!F159&lt;=PERALTE!$S$8,-2,IF(RASANTE!F159&lt;=PERALTE!$U$8,(-6/(PERALTE!$U$8-PERALTE!$S$8)*(RASANTE!F159-PERALTE!$S$8)-2),IF(RASANTE!F159&lt;=PERALTE!$X$8,-8,IF(RASANTE!F159&lt;=PERALTE!$Z$8,(-6/(PERALTE!$X$8-PERALTE!$Z$8)*(RASANTE!F159-PERALTE!$Z$8)-2),IF(RASANTE!F159&lt;=PERALTE!$AB$8,-2))))),IF(AND(AH!$H$10="Izquierda",RASANTE!F159&lt;=PERALTE!$AB$8),IF(RASANTE!F159&lt;=PERALTE!$Q$8,-2,IF(RASANTE!F159&lt;=PERALTE!$U$8,(10/(PERALTE!$U$8-PERALTE!$Q$8)*(RASANTE!F159-PERALTE!$Q$8)-2),IF(RASANTE!F159&lt;=PERALTE!$X$8,8,IF(RASANTE!F159&lt;=PERALTE!$AB$8,(10/(PERALTE!$X$8-PERALTE!$AB$8)*(RASANTE!F159-PERALTE!$AB$8)-2))))),IF(AND(AH!$H$12="Derecha",RASANTE!F159&lt;=PERALTE!$AB$10),IF(RASANTE!F159&lt;=PERALTE!$S$10,-2,IF(RASANTE!F159&lt;=PERALTE!$U$10,(-6/(PERALTE!$U$10-PERALTE!$S$10)*(RASANTE!F159-PERALTE!$S$10)-2),IF(RASANTE!F159&lt;=PERALTE!$X$10,-8,IF(RASANTE!F159&lt;=PERALTE!$Z$10,(-6/(PERALTE!$X$10-PERALTE!$Z$10)*(RASANTE!F159-PERALTE!$Z$10)-2),IF(RASANTE!F159&lt;=PERALTE!$AB$10,-2))))),IF(AND(AH!$H$12="Izquierda",RASANTE!F159&lt;=PERALTE!$AB$10),IF(RASANTE!F159&lt;=PERALTE!$Q$10,-2,IF(RASANTE!F159&lt;=PERALTE!$U$10,(10/(PERALTE!$U$10-PERALTE!$Q$10)*(RASANTE!F159-PERALTE!$Q$10)-2),IF(RASANTE!F159&lt;=PERALTE!$X$10,8,IF(RASANTE!F159&lt;=PERALTE!$AB$10,(10/(PERALTE!$X$10-PERALTE!$AB$10)*(RASANTE!F159-PERALTE!$AB$10)-2))))),IF(AND(AH!$H$14="Derecha",RASANTE!F159&lt;=PERALTE!$AB$12),IF(RASANTE!F159&lt;=PERALTE!$S$12,-2,IF(RASANTE!F159&lt;=PERALTE!$U$12,(-6/(PERALTE!$U$12-PERALTE!$S$12)*(RASANTE!F159-PERALTE!$S$12)-2),IF(RASANTE!F159&lt;=PERALTE!$X$12,-8,IF(RASANTE!F159&lt;=PERALTE!$Z$12,(-6/(PERALTE!$X$12-PERALTE!$Z$12)*(RASANTE!F159-PERALTE!$Z$12)-2),IF(RASANTE!F159&lt;=PERALTE!$AB$12,-2))))),IF(AND(AH!$H$14="Izquierda",RASANTE!F159&lt;=PERALTE!$AB$12),IF(RASANTE!F159&lt;=PERALTE!$Q$12,-2,IF(RASANTE!F159&lt;=PERALTE!$U$12,(10/(PERALTE!$U$12-PERALTE!$Q$12)*(RASANTE!F159-PERALTE!$Q$12)-2),IF(RASANTE!F159&lt;=PERALTE!$X$12,8,IF(RASANTE!F159&lt;=PERALTE!$AB$12,(10/(PERALTE!$X$12-PERALTE!$AB$12)*(RASANTE!F159-PERALTE!$AB$12)-2))))),IF(AND(AH!$H$16="Derecha",RASANTE!F159&lt;=PERALTE!$AB$14),IF(RASANTE!F159&lt;=PERALTE!$S$14,-2,IF(RASANTE!F159&lt;=PERALTE!$U$14,(-6/(PERALTE!$U$14-PERALTE!$S$14)*(RASANTE!F159-PERALTE!$S$14)-2),IF(RASANTE!F159&lt;=PERALTE!$X$14,-8,IF(RASANTE!F159&lt;=PERALTE!$Z$14,(-6/(PERALTE!$X$14-PERALTE!$Z$14)*(RASANTE!F159-PERALTE!$Z$14)-2),IF(RASANTE!F159&lt;=PERALTE!$AB$14,-2))))),IF(AND(AH!$H$16="Izquierda",RASANTE!F159&lt;=PERALTE!$AB$14),IF(RASANTE!F159&lt;=PERALTE!$Q$14,-2,IF(RASANTE!F159&lt;=PERALTE!$U$14,(10/(PERALTE!$U$14-PERALTE!$Q$14)*(RASANTE!F159-PERALTE!$Q$14)-2),IF(RASANTE!F159&lt;=PERALTE!$X$14,8,IF(RASANTE!F159&lt;=PERALTE!$AB$14,(10/(PERALTE!$X$14-PERALTE!$AB$14)*(RASANTE!F159-PERALTE!$AB$14)-2))))),IF(AND(AH!$H$18="Derecha",RASANTE!F159&lt;=PERALTE!$AB$16),IF(RASANTE!F159&lt;=PERALTE!$S$16,-2,IF(RASANTE!F159&lt;=PERALTE!$U$16,(-6/(PERALTE!$U$16-PERALTE!$S$16)*(RASANTE!F159-PERALTE!$S$16)-2),IF(RASANTE!F159&lt;=PERALTE!$X$16,-8,IF(RASANTE!F159&lt;=PERALTE!$Z$16,(-6/(PERALTE!$X$16-PERALTE!$Z$16)*(RASANTE!F159-PERALTE!$Z$16)-2),IF(RASANTE!F159&lt;=PERALTE!$AB$16,-2))))),IF(AND(AH!$H$18="Izquierda",RASANTE!F159&lt;=PERALTE!$AB$16),IF(RASANTE!F159&lt;=PERALTE!$Q$16,-2,IF(RASANTE!F159&lt;=PERALTE!$U$16,(10/(PERALTE!$U$16-PERALTE!$Q$16)*(RASANTE!F159-PERALTE!$Q$16)-2),IF(RASANTE!F159&lt;=PERALTE!$X$16,8,IF(RASANTE!F159&lt;=PERALTE!$AB$16,(10/(PERALTE!$X$16-PERALTE!$AB$16)*(RASANTE!F159-PERALTE!$AB$16)-2))))),IF(AND(AH!$H$20="Derecha",RASANTE!F159&lt;=PERALTE!$AB$18),IF(RASANTE!F159&lt;=PERALTE!$S$18,-2,IF(RASANTE!F159&lt;=PERALTE!$U$18,(-6/(PERALTE!$U$18-PERALTE!$S$18)*(RASANTE!F159-PERALTE!$S$18)-2),IF(RASANTE!F159&lt;=PERALTE!$X$18,-8,IF(RASANTE!F159&lt;=PERALTE!$Z$18,(-6/(PERALTE!$X$18-PERALTE!$Z$18)*(RASANTE!F159-PERALTE!$Z$18)-2),IF(RASANTE!F159&lt;=PERALTE!$AB$18,-2))))),IF(AND(AH!$H$20="Izquierda",RASANTE!F159&lt;=PERALTE!$AB$18),IF(RASANTE!F159&lt;=PERALTE!$Q$18,-2,IF(RASANTE!F159&lt;=PERALTE!$U$18,(10/(PERALTE!$U$18-PERALTE!$Q$18)*(RASANTE!F159-PERALTE!$Q$18)-2),IF(RASANTE!F159&lt;=PERALTE!$X$18,8,IF(RASANTE!F159&lt;=PERALTE!$AB$18,(10/(PERALTE!$X$18-PERALTE!$AB$18)*(RASANTE!F159-PERALTE!$AB$18)-2))))),IF(AND(AH!$H$24="Derecha",RASANTE!F159&lt;=PERALTE!$AB$22),IF(RASANTE!F159&lt;=PERALTE!$S$22,-2,IF(RASANTE!F159&lt;=PERALTE!$U$22,(-6/(PERALTE!$U$22-PERALTE!$S$22)*(RASANTE!F159-PERALTE!$S$22)-2),IF(RASANTE!F159&lt;=PERALTE!$X$22,-8,IF(RASANTE!F159&lt;=PERALTE!$Z$22,(-6/(PERALTE!$X$22-PERALTE!$Z$22)*(RASANTE!F159-PERALTE!$Z$22)-2),IF(RASANTE!F159&lt;=PERALTE!$AB$22,-2))))),IF(AND(AH!$H$24="Izquierda",RASANTE!F159&lt;=PERALTE!$AB$22),IF(RASANTE!F159&lt;=PERALTE!$Q$22,-2,IF(RASANTE!F159&lt;=PERALTE!$U$22,(10/(PERALTE!$U$22-PERALTE!$Q$22)*(RASANTE!F159-PERALTE!$Q$22)-2),IF(RASANTE!F159&lt;=PERALTE!$X$22,8,IF(RASANTE!F159&lt;=PERALTE!$AB$22,(10/(PERALTE!$X$22-PERALTE!$AB$22)*(RASANTE!F159-PERALTE!$AB$22)-2))))),IF(AND(AH!#REF!="Derecha",RASANTE!F159&lt;=PERALTE!#REF!),IF(RASANTE!F159&lt;=PERALTE!#REF!,-2,IF(RASANTE!F159&lt;=PERALTE!#REF!,(-6/(PERALTE!#REF!-PERALTE!#REF!)*(RASANTE!F159-PERALTE!#REF!)-2),IF(RASANTE!F159&lt;=PERALTE!#REF!,-8,IF(RASANTE!F159&lt;=PERALTE!#REF!,(-6/(PERALTE!#REF!-PERALTE!#REF!)*(RASANTE!F159-PERALTE!#REF!)-2),IF(RASANTE!F159&lt;=PERALTE!#REF!,-2))))),IF(AND(AH!#REF!="Izquierda",RASANTE!F159&lt;=PERALTE!#REF!),IF(RASANTE!F159&lt;=PERALTE!#REF!,-2,IF(RASANTE!F159&lt;=PERALTE!#REF!,(10/(PERALTE!#REF!-PERALTE!#REF!)*(RASANTE!F159-PERALTE!#REF!)-2),IF(RASANTE!F159&lt;=PERALTE!#REF!,8,IF(RASANTE!F159&lt;=PERALTE!#REF!,(10/(PERALTE!#REF!-PERALTE!#REF!)*(RASANTE!F159-PERALTE!#REF!)-2))))),IF(AND(AH!#REF!="Derecha",RASANTE!F159&lt;=PERALTE!$AB$26),IF(RASANTE!F159&lt;=PERALTE!$S$26,-2,IF(RASANTE!F159&lt;=PERALTE!$U$26,(-6/(PERALTE!$U$26-PERALTE!$S$26)*(RASANTE!F159-PERALTE!$S$26)-2),IF(RASANTE!F159&lt;=PERALTE!$X$26,-8,IF(RASANTE!F159&lt;=PERALTE!$Z$26,(-6/(PERALTE!$X$26-PERALTE!$Z$26)*(RASANTE!F159-PERALTE!$Z$26)-2),IF(RASANTE!F159&lt;=PERALTE!$AB$26,-2))))),IF(AND(AH!#REF!="Izquierda",RASANTE!F159&lt;=PERALTE!$AB$26),IF(RASANTE!F159&lt;=PERALTE!$Q$26,-2,IF(RASANTE!F159&lt;=PERALTE!$U$26,(10/(PERALTE!$U$26-PERALTE!$Q$26)*(RASANTE!F159-PERALTE!$Q$26)-2),IF(RASANTE!F159&lt;=PERALTE!$X$26,8,IF(RASANTE!F159&lt;=PERALTE!$AB$26,(10/(PERALTE!$X$26-PERALTE!$AB$26)*(RASANTE!F159-PERALTE!$AB$26)-2))))),IF(F159&lt;=PERALTE!#REF!,-2,"Abscisa fuera de la vía")))))))))))))))))))))</f>
        <v>-2</v>
      </c>
      <c r="J159" s="28">
        <f t="shared" si="6"/>
        <v>1615.4208080375922</v>
      </c>
      <c r="K159" s="28">
        <f>+IF(AND(AV!$S$6&lt;F159,F159&lt;=AV!$T$6),AV!$P$6*((AV!$S$6-RASANTE!F159)/(AV!$N$6))^2,IF(AND(AV!$T$6&lt;RASANTE!F159,F159&lt;AV!$U$6),AV!$P$6*((AV!$U$6-RASANTE!F159)/(AV!$O$6))^2,IF(AND(AV!$S$8&lt;F159,F159&lt;=AV!$T$8),AV!$P$8*((AV!$S$8-RASANTE!F159)/(AV!$N$8))^2,IF(AND(AV!$T$8&lt;RASANTE!F159,F159&lt;AV!$U$8),AV!$P$8*((AV!$U$8-RASANTE!F159)/(AV!$O$8))^2,IF(AND(AV!$S$10&lt;F159,F159&lt;=AV!$T$10),AV!$P$10*((AV!$S$10-RASANTE!F159)/(AV!$N$10))^2,IF(AND(AV!$T$10&lt;RASANTE!F159,F159&lt;AV!$U$10),AV!$P$10*((AV!$U$10-RASANTE!F159)/(AV!$O$10))^2,IF(AND(AV!$S$12&lt;F159,F159&lt;=AV!$T$12),AV!$P$12*((AV!$S$12-RASANTE!F159)/(AV!$N$12))^2,IF(AND(AV!$T$12&lt;RASANTE!F159,F159&lt;AV!$U$12),AV!$P$12*((AV!$U$12-RASANTE!F159)/(AV!$O$12))^2,IF(AND(AV!$S$14&lt;F159,F159&lt;=AV!$T$14),AV!$P$14*((AV!$S$14-RASANTE!F159)/(AV!$N$14))^2,IF(AND(AV!$T$14&lt;RASANTE!F159,F159&lt;AV!$U$14),AV!$P$14*((AV!$U$14-RASANTE!F159)/(AV!$O$14))^2,IF(AND(AV!$S$16&lt;F159,F159&lt;=AV!$T$16),AV!$P$16*((AV!$S$16-RASANTE!F159)/(AV!$N$16))^2,IF(AND(AV!$T$16&lt;RASANTE!F159,F159&lt;AV!$U$16),AV!$P$16*((AV!$U$16-RASANTE!F159)/(AV!$O$16))^2,IF(AND(AV!$S$18&lt;F159,F159&lt;=AV!$T$18),AV!$P$18*((AV!$S$18-RASANTE!F159)/(AV!$N$18))^2,IF(AND(AV!$T$18&lt;RASANTE!F159,F159&lt;AV!$U$18),AV!$P$18*((AV!$U$18-RASANTE!F159)/(AV!$O$18))^2,IF(AND(AV!$S$20&lt;F159,F159&lt;=AV!$T$20),AV!$P$20*((AV!$S$20-RASANTE!F159)/(AV!$N$20))^2,IF(AND(AV!$T$20&lt;RASANTE!F159,F159&lt;AV!$U$20),AV!$P$20*((AV!$U$20-RASANTE!F159)/(AV!$O$20))^2,IF(AND(AV!$S$22&lt;F159,F159&lt;=AV!$T$22),AV!$P$22*((AV!$S$22-RASANTE!F159)/(AV!$N$22))^2,IF(AND(AV!$T$22&lt;RASANTE!F159,F159&lt;AV!$U$22),AV!$P$22*((AV!$U$22-RASANTE!F159)/(AV!$O$22))^2,IF(AND(AV!$S$24&lt;F159,F159&lt;=AV!$T$24),AV!$P$24*((AV!$S$24-RASANTE!F159)/(AV!$N$24))^2,IF(AND(AV!$T$24&lt;RASANTE!F159,F159&lt;AV!$U$24),AV!$P$24*((AV!$U$24-RASANTE!F159)/(AV!$O$24))^2,0))))))))))))))))))))</f>
        <v>0</v>
      </c>
      <c r="L159" s="28">
        <f>+M159+H159%*PERALTE!$C$32</f>
        <v>1615.3508080375923</v>
      </c>
      <c r="M159" s="28">
        <f t="shared" si="5"/>
        <v>1615.4208080375922</v>
      </c>
      <c r="N159" s="28">
        <f>+M159+I159%*PERALTE!$C$32</f>
        <v>1615.3508080375923</v>
      </c>
      <c r="O159" s="92"/>
      <c r="P159" s="84"/>
      <c r="Q159" s="84"/>
      <c r="R159" s="84"/>
      <c r="S159" s="84"/>
      <c r="T159" s="84"/>
      <c r="U159" s="84"/>
      <c r="V159" s="84"/>
      <c r="W159" s="84"/>
      <c r="X159" s="84"/>
      <c r="Y159" s="84"/>
    </row>
    <row r="160" spans="1:25" ht="15.75" customHeight="1" x14ac:dyDescent="0.2">
      <c r="A160" s="90"/>
      <c r="B160" s="86"/>
      <c r="C160" s="86"/>
      <c r="D160" s="86"/>
      <c r="E160" s="179">
        <f>AV!M14</f>
        <v>30</v>
      </c>
      <c r="F160" s="34">
        <v>970</v>
      </c>
      <c r="G160" s="88">
        <f>IF(F160&lt;=AV!$T$6,AV!$C$5,IF(RASANTE!F160&lt;=AV!$T$8,AV!$C$7,IF(RASANTE!F160&lt;=AV!$T$10,AV!$C$9,IF(RASANTE!F160&lt;=AV!$T$12,AV!$C$11,IF(RASANTE!F160&lt;=AV!$T$14,AV!$C$13,IF(RASANTE!F160&lt;=AV!$T$16,AV!$C$15, IF(RASANTE!F160&lt;=AV!$T$18,AV!$C$17,IF(RASANTE!F160&lt;=AV!$T$20,AV!$C$19,IF(RASANTE!F160&lt;=AV!$T$22,AV!$C$21,IF(RASANTE!F160&lt;=AV!$T$24,AV!$C$23,AV!$C$25))))))))))</f>
        <v>-7.2409999999999997</v>
      </c>
      <c r="H160" s="28">
        <f>+IF(AND(AH!$H$8="Izquierda",RASANTE!F160&lt;=PERALTE!$AB$6),IF(RASANTE!F160&lt;=PERALTE!$S$6,-2,IF(RASANTE!F160&lt;=PERALTE!$U$6,(-6/(PERALTE!$U$6-PERALTE!$S$6)*(RASANTE!F160-PERALTE!$S$6)-2),IF(RASANTE!F160&lt;=PERALTE!$X$6,-8,IF(RASANTE!F160&lt;=PERALTE!$Z$6,(-6/(PERALTE!$X$6-PERALTE!$Z$6)*(RASANTE!F160-PERALTE!$Z$6)-2),IF(RASANTE!F160&lt;=PERALTE!$AB$6,-2))))),IF(AND(AH!$H$8="Derecha",RASANTE!F160&lt;=PERALTE!$AB$6),IF(RASANTE!F160&lt;=PERALTE!$Q$6,-2,IF(RASANTE!F160&lt;=PERALTE!$U$6,(10/(PERALTE!$U$6-PERALTE!$Q$6)*(RASANTE!F160-PERALTE!$Q$6)-2),IF(RASANTE!F160&lt;=PERALTE!$X$6,8,IF(RASANTE!F160&lt;=PERALTE!$AB$6,(10/(PERALTE!$X$6-PERALTE!$AB$6)*(RASANTE!F160-PERALTE!$AB$6)-2))))),IF(AND(AH!$H$10="Izquierda",RASANTE!F160&lt;=PERALTE!$AB$8),IF(RASANTE!F160&lt;=PERALTE!$S$8,-2,IF(RASANTE!F160&lt;=PERALTE!$U$8,(-6/(PERALTE!$U$8-PERALTE!$S$8)*(RASANTE!F160-PERALTE!$S$8)-2),IF(RASANTE!F160&lt;=PERALTE!$X$8,-8,IF(RASANTE!F160&lt;=PERALTE!$Z$8,(-6/(PERALTE!$X$8-PERALTE!$Z$8)*(RASANTE!F160-PERALTE!$Z$8)-2),IF(RASANTE!F160&lt;=PERALTE!$AB$8,-2))))),IF(AND(AH!$H$10="Derecha",RASANTE!F160&lt;=PERALTE!$AB$8),IF(RASANTE!F160&lt;=PERALTE!$Q$8,-2,IF(RASANTE!F160&lt;=PERALTE!$U$8,(10/(PERALTE!$U$8-PERALTE!$Q$8)*(RASANTE!F160-PERALTE!$Q$8)-2),IF(RASANTE!F160&lt;=PERALTE!$X$8,8,IF(RASANTE!F160&lt;=PERALTE!$AB$8,(10/(PERALTE!$X$8-PERALTE!$AB$8)*(RASANTE!F160-PERALTE!$AB$8)-2))))),IF(AND(AH!$H$12="Izquierda",RASANTE!F160&lt;=PERALTE!$AB$10),IF(RASANTE!F160&lt;=PERALTE!$S$10,-2,IF(RASANTE!F160&lt;=PERALTE!$U$10,(-6/(PERALTE!$U$10-PERALTE!$S$10)*(RASANTE!F160-PERALTE!$S$10)-2),IF(RASANTE!F160&lt;=PERALTE!$X$10,-8,IF(RASANTE!F160&lt;=PERALTE!$Z$10,(-6/(PERALTE!$X$10-PERALTE!$Z$10)*(RASANTE!F160-PERALTE!$Z$10)-2),IF(RASANTE!F160&lt;=PERALTE!$AB$10,-2))))),IF(AND(AH!$H$12="Derecha",RASANTE!F160&lt;=PERALTE!$AB$10),IF(RASANTE!F160&lt;=PERALTE!$Q$10,-2,IF(RASANTE!F160&lt;=PERALTE!$U$10,(10/(PERALTE!$U$10-PERALTE!$Q$10)*(RASANTE!F160-PERALTE!$Q$10)-2),IF(RASANTE!F160&lt;=PERALTE!$X$10,8,IF(RASANTE!F160&lt;=PERALTE!$AB$10,(10/(PERALTE!$X$10-PERALTE!$AB$10)*(RASANTE!F160-PERALTE!$AB$10)-2))))),IF(AND(AH!$H$14="Izquierda",RASANTE!F160&lt;=PERALTE!$AB$12),IF(RASANTE!F160&lt;=PERALTE!$S$12,-2,IF(RASANTE!F160&lt;=PERALTE!$U$12,(-6/(PERALTE!$U$12-PERALTE!$S$12)*(RASANTE!F160-PERALTE!$S$12)-2),IF(RASANTE!F160&lt;=PERALTE!$X$12,-8,IF(RASANTE!F160&lt;=PERALTE!$Z$12,(-6/(PERALTE!$X$12-PERALTE!$Z$12)*(RASANTE!F160-PERALTE!$Z$12)-2),IF(RASANTE!F160&lt;=PERALTE!$AB$12,-2))))),IF(AND(AH!$H$14="Derecha",RASANTE!F160&lt;=PERALTE!$AB$12),IF(RASANTE!F160&lt;=PERALTE!$Q$12,-2,IF(RASANTE!F160&lt;=PERALTE!$U$12,(10/(PERALTE!$U$12-PERALTE!$Q$12)*(RASANTE!F160-PERALTE!$Q$12)-2),IF(RASANTE!F160&lt;=PERALTE!$X$12,8,IF(RASANTE!F160&lt;=PERALTE!$AB$12,(10/(PERALTE!$X$12-PERALTE!$AB$12)*(RASANTE!F160-PERALTE!$AB$12)-2))))),IF(AND(AH!$H$16="Izquierda",RASANTE!F160&lt;=PERALTE!$AB$14),IF(RASANTE!F160&lt;=PERALTE!$S$14,-2,IF(RASANTE!F160&lt;=PERALTE!$U$14,(-6/(PERALTE!$U$14-PERALTE!$S$14)*(RASANTE!F160-PERALTE!$S$14)-2),IF(RASANTE!F160&lt;=PERALTE!$X$14,-8,IF(RASANTE!F160&lt;=PERALTE!$Z$14,(-6/(PERALTE!$X$14-PERALTE!$Z$14)*(RASANTE!F160-PERALTE!$Z$14)-2),IF(RASANTE!F160&lt;=PERALTE!$AB$14,-2))))),IF(AND(AH!$H$16="Derecha",RASANTE!F160&lt;=PERALTE!$AB$14),IF(RASANTE!F160&lt;=PERALTE!$Q$14,-2,IF(RASANTE!F160&lt;=PERALTE!$U$14,(10/(PERALTE!$U$14-PERALTE!$Q$14)*(RASANTE!F160-PERALTE!$Q$14)-2),IF(RASANTE!F160&lt;=PERALTE!$X$14,8,IF(RASANTE!F160&lt;=PERALTE!$AB$14,(10/(PERALTE!$X$14-PERALTE!$AB$14)*(RASANTE!F160-PERALTE!$AB$14)-2))))),IF(AND(AH!$H$18="Izquierda",RASANTE!F160&lt;=PERALTE!$AB$16),IF(RASANTE!F160&lt;=PERALTE!$S$16,-2,IF(RASANTE!F160&lt;=PERALTE!$U$16,(-6/(PERALTE!$U$16-PERALTE!$S$16)*(RASANTE!F160-PERALTE!$S$16)-2),IF(RASANTE!F160&lt;=PERALTE!$X$16,-8,IF(RASANTE!F160&lt;=PERALTE!$Z$16,(-6/(PERALTE!$X$16-PERALTE!$Z$16)*(RASANTE!F160-PERALTE!$Z$16)-2),IF(RASANTE!F160&lt;=PERALTE!$AB$16,-2))))),IF(AND(AH!$H$18="Derecha",RASANTE!F160&lt;=PERALTE!$AB$16),IF(RASANTE!F160&lt;=PERALTE!$Q$16,-2,IF(RASANTE!F160&lt;=PERALTE!$U$16,(10/(PERALTE!$U$16-PERALTE!$Q$16)*(RASANTE!F160-PERALTE!$Q$16)-2),IF(RASANTE!F160&lt;=PERALTE!$X$16,8,IF(RASANTE!F160&lt;=PERALTE!$AB$16,(10/(PERALTE!$X$16-PERALTE!$AB$16)*(RASANTE!F160-PERALTE!$AB$16)-2))))),IF(AND(AH!$H$20="Izquierda",RASANTE!F160&lt;=PERALTE!$AB$18),IF(RASANTE!F160&lt;=PERALTE!$S$18,-2,IF(RASANTE!F160&lt;=PERALTE!$U$18,(-6/(PERALTE!$U$18-PERALTE!$S$18)*(RASANTE!F160-PERALTE!$S$18)-2),IF(RASANTE!F160&lt;=PERALTE!$X$18,-8,IF(RASANTE!F160&lt;=PERALTE!$Z$18,(-6/(PERALTE!$X$18-PERALTE!$Z$18)*(RASANTE!F160-PERALTE!$Z$18)-2),IF(RASANTE!F160&lt;=PERALTE!$AB$18,-2))))),IF(AND(AH!$H$20="Derecha",RASANTE!F160&lt;=PERALTE!$AB$18),IF(RASANTE!F160&lt;=PERALTE!$Q$18,-2,IF(RASANTE!F160&lt;=PERALTE!$U$18,(10/(PERALTE!$U$18-PERALTE!$Q$18)*(RASANTE!F160-PERALTE!$Q$18)-2),IF(RASANTE!F160&lt;=PERALTE!$X$18,8,IF(RASANTE!F160&lt;=PERALTE!$AB$18,(10/(PERALTE!$X$18-PERALTE!$AB$18)*(RASANTE!F160-PERALTE!$AB$18)-2))))),IF(AND(AH!$H$24="Izquierda",RASANTE!F160&lt;=PERALTE!$AB$22),IF(RASANTE!F160&lt;=PERALTE!$S$22,-2,IF(RASANTE!F160&lt;=PERALTE!$U$22,(-6/(PERALTE!$U$22-PERALTE!$S$22)*(RASANTE!F160-PERALTE!$S$22)-2),IF(RASANTE!F160&lt;=PERALTE!$X$22,-8,IF(RASANTE!F160&lt;=PERALTE!$Z$22,(-6/(PERALTE!$X$22-PERALTE!$Z$22)*(RASANTE!F160-PERALTE!$Z$22)-2),IF(RASANTE!F160&lt;=PERALTE!$AB$22,-2))))),IF(AND(AH!$H$24="Derecha",RASANTE!F160&lt;=PERALTE!$AB$22),IF(RASANTE!F160&lt;=PERALTE!$Q$22,-2,IF(RASANTE!F160&lt;=PERALTE!$U$22,(10/(PERALTE!$U$22-PERALTE!$Q$22)*(RASANTE!F160-PERALTE!$Q$22)-2),IF(RASANTE!F160&lt;=PERALTE!$X$22,8,IF(RASANTE!F160&lt;=PERALTE!$AB$22,(10/(PERALTE!$X$22-PERALTE!$AB$22)*(RASANTE!F160-PERALTE!$AB$22)-2))))),IF(AND(AH!#REF!="Izquierda",RASANTE!F160&lt;=PERALTE!#REF!),IF(RASANTE!F160&lt;=PERALTE!#REF!,-2,IF(RASANTE!F160&lt;=PERALTE!#REF!,(-6/(PERALTE!#REF!-PERALTE!#REF!)*(RASANTE!F160-PERALTE!#REF!)-2),IF(RASANTE!F160&lt;=PERALTE!#REF!,-8,IF(RASANTE!F160&lt;=PERALTE!#REF!,(-6/(PERALTE!#REF!-PERALTE!#REF!)*(RASANTE!F160-PERALTE!#REF!)-2),IF(RASANTE!F160&lt;=PERALTE!#REF!,-2))))),IF(AND(AH!#REF!="Derecha",RASANTE!F160&lt;=PERALTE!#REF!),IF(RASANTE!F160&lt;=PERALTE!#REF!,-2,IF(RASANTE!F160&lt;=PERALTE!#REF!,(10/(PERALTE!#REF!-PERALTE!#REF!)*(RASANTE!F160-PERALTE!#REF!)-2),IF(RASANTE!F160&lt;=PERALTE!#REF!,8,IF(RASANTE!F160&lt;=PERALTE!#REF!,(10/(PERALTE!#REF!-PERALTE!#REF!)*(RASANTE!F160-PERALTE!#REF!)-2))))),IF(AND(AH!#REF!="Izquierda",RASANTE!F160&lt;=PERALTE!$AB$26),IF(RASANTE!F160&lt;=PERALTE!$S$26,-2,IF(RASANTE!F160&lt;=PERALTE!$U$26,(-6/(PERALTE!$U$26-PERALTE!$S$26)*(RASANTE!F160-PERALTE!$S$26)-2),IF(RASANTE!F160&lt;=PERALTE!$X$26,-8,IF(RASANTE!F160&lt;=PERALTE!$Z$26,(-6/(PERALTE!$X$26-PERALTE!$Z$26)*(RASANTE!F160-PERALTE!$Z$26)-2),IF(RASANTE!F160&lt;=PERALTE!$AB$26,-2))))),IF(AND(AH!#REF!="Derecha",RASANTE!F160&lt;=PERALTE!$AB$26),IF(RASANTE!F160&lt;=PERALTE!$Q$26,-2,IF(RASANTE!F160&lt;=PERALTE!$U$26,(10/(PERALTE!$U$26-PERALTE!$Q$26)*(RASANTE!F160-PERALTE!$Q$26)-2),IF(RASANTE!F160&lt;=PERALTE!$X$26,8,IF(RASANTE!F160&lt;=PERALTE!$AB$26,(10/(PERALTE!$X$26-PERALTE!$AB$26)*(RASANTE!F160-PERALTE!$AB$26)-2))))),IF(F160&lt;=PERALTE!#REF!,-2,"Abscisa fuera de la vía")))))))))))))))))))))</f>
        <v>-2</v>
      </c>
      <c r="I160" s="28">
        <f>+IF(AND(AH!$H$8="Derecha",RASANTE!F160&lt;=PERALTE!$AB$6),IF(RASANTE!F160&lt;=PERALTE!$S$6,-2,IF(RASANTE!F160&lt;=PERALTE!$U$6,(-6/(PERALTE!$U$6-PERALTE!$S$6)*(RASANTE!F160-PERALTE!$S$6)-2),IF(RASANTE!F160&lt;=PERALTE!$X$6,-8,IF(RASANTE!F160&lt;=PERALTE!$Z$6,(-6/(PERALTE!$X$6-PERALTE!$Z$6)*(RASANTE!F160-PERALTE!$Z$6)-2),IF(RASANTE!F160&lt;=PERALTE!$AB$6,-2))))),IF(AND(AH!$H$8="Izquierda",RASANTE!F160&lt;=PERALTE!$AB$6),IF(RASANTE!F160&lt;=PERALTE!$Q$6,-2,IF(RASANTE!F160&lt;=PERALTE!$U$6,(10/(PERALTE!$U$6-PERALTE!$Q$6)*(RASANTE!F160-PERALTE!$Q$6)-2),IF(RASANTE!F160&lt;=PERALTE!$X$6,8,IF(RASANTE!F160&lt;=PERALTE!$AB$6,(10/(PERALTE!$X$6-PERALTE!$AB$6)*(RASANTE!F160-PERALTE!$AB$6)-2))))),IF(AND(AH!$H$10="Derecha",RASANTE!F160&lt;=PERALTE!$AB$8),IF(RASANTE!F160&lt;=PERALTE!$S$8,-2,IF(RASANTE!F160&lt;=PERALTE!$U$8,(-6/(PERALTE!$U$8-PERALTE!$S$8)*(RASANTE!F160-PERALTE!$S$8)-2),IF(RASANTE!F160&lt;=PERALTE!$X$8,-8,IF(RASANTE!F160&lt;=PERALTE!$Z$8,(-6/(PERALTE!$X$8-PERALTE!$Z$8)*(RASANTE!F160-PERALTE!$Z$8)-2),IF(RASANTE!F160&lt;=PERALTE!$AB$8,-2))))),IF(AND(AH!$H$10="Izquierda",RASANTE!F160&lt;=PERALTE!$AB$8),IF(RASANTE!F160&lt;=PERALTE!$Q$8,-2,IF(RASANTE!F160&lt;=PERALTE!$U$8,(10/(PERALTE!$U$8-PERALTE!$Q$8)*(RASANTE!F160-PERALTE!$Q$8)-2),IF(RASANTE!F160&lt;=PERALTE!$X$8,8,IF(RASANTE!F160&lt;=PERALTE!$AB$8,(10/(PERALTE!$X$8-PERALTE!$AB$8)*(RASANTE!F160-PERALTE!$AB$8)-2))))),IF(AND(AH!$H$12="Derecha",RASANTE!F160&lt;=PERALTE!$AB$10),IF(RASANTE!F160&lt;=PERALTE!$S$10,-2,IF(RASANTE!F160&lt;=PERALTE!$U$10,(-6/(PERALTE!$U$10-PERALTE!$S$10)*(RASANTE!F160-PERALTE!$S$10)-2),IF(RASANTE!F160&lt;=PERALTE!$X$10,-8,IF(RASANTE!F160&lt;=PERALTE!$Z$10,(-6/(PERALTE!$X$10-PERALTE!$Z$10)*(RASANTE!F160-PERALTE!$Z$10)-2),IF(RASANTE!F160&lt;=PERALTE!$AB$10,-2))))),IF(AND(AH!$H$12="Izquierda",RASANTE!F160&lt;=PERALTE!$AB$10),IF(RASANTE!F160&lt;=PERALTE!$Q$10,-2,IF(RASANTE!F160&lt;=PERALTE!$U$10,(10/(PERALTE!$U$10-PERALTE!$Q$10)*(RASANTE!F160-PERALTE!$Q$10)-2),IF(RASANTE!F160&lt;=PERALTE!$X$10,8,IF(RASANTE!F160&lt;=PERALTE!$AB$10,(10/(PERALTE!$X$10-PERALTE!$AB$10)*(RASANTE!F160-PERALTE!$AB$10)-2))))),IF(AND(AH!$H$14="Derecha",RASANTE!F160&lt;=PERALTE!$AB$12),IF(RASANTE!F160&lt;=PERALTE!$S$12,-2,IF(RASANTE!F160&lt;=PERALTE!$U$12,(-6/(PERALTE!$U$12-PERALTE!$S$12)*(RASANTE!F160-PERALTE!$S$12)-2),IF(RASANTE!F160&lt;=PERALTE!$X$12,-8,IF(RASANTE!F160&lt;=PERALTE!$Z$12,(-6/(PERALTE!$X$12-PERALTE!$Z$12)*(RASANTE!F160-PERALTE!$Z$12)-2),IF(RASANTE!F160&lt;=PERALTE!$AB$12,-2))))),IF(AND(AH!$H$14="Izquierda",RASANTE!F160&lt;=PERALTE!$AB$12),IF(RASANTE!F160&lt;=PERALTE!$Q$12,-2,IF(RASANTE!F160&lt;=PERALTE!$U$12,(10/(PERALTE!$U$12-PERALTE!$Q$12)*(RASANTE!F160-PERALTE!$Q$12)-2),IF(RASANTE!F160&lt;=PERALTE!$X$12,8,IF(RASANTE!F160&lt;=PERALTE!$AB$12,(10/(PERALTE!$X$12-PERALTE!$AB$12)*(RASANTE!F160-PERALTE!$AB$12)-2))))),IF(AND(AH!$H$16="Derecha",RASANTE!F160&lt;=PERALTE!$AB$14),IF(RASANTE!F160&lt;=PERALTE!$S$14,-2,IF(RASANTE!F160&lt;=PERALTE!$U$14,(-6/(PERALTE!$U$14-PERALTE!$S$14)*(RASANTE!F160-PERALTE!$S$14)-2),IF(RASANTE!F160&lt;=PERALTE!$X$14,-8,IF(RASANTE!F160&lt;=PERALTE!$Z$14,(-6/(PERALTE!$X$14-PERALTE!$Z$14)*(RASANTE!F160-PERALTE!$Z$14)-2),IF(RASANTE!F160&lt;=PERALTE!$AB$14,-2))))),IF(AND(AH!$H$16="Izquierda",RASANTE!F160&lt;=PERALTE!$AB$14),IF(RASANTE!F160&lt;=PERALTE!$Q$14,-2,IF(RASANTE!F160&lt;=PERALTE!$U$14,(10/(PERALTE!$U$14-PERALTE!$Q$14)*(RASANTE!F160-PERALTE!$Q$14)-2),IF(RASANTE!F160&lt;=PERALTE!$X$14,8,IF(RASANTE!F160&lt;=PERALTE!$AB$14,(10/(PERALTE!$X$14-PERALTE!$AB$14)*(RASANTE!F160-PERALTE!$AB$14)-2))))),IF(AND(AH!$H$18="Derecha",RASANTE!F160&lt;=PERALTE!$AB$16),IF(RASANTE!F160&lt;=PERALTE!$S$16,-2,IF(RASANTE!F160&lt;=PERALTE!$U$16,(-6/(PERALTE!$U$16-PERALTE!$S$16)*(RASANTE!F160-PERALTE!$S$16)-2),IF(RASANTE!F160&lt;=PERALTE!$X$16,-8,IF(RASANTE!F160&lt;=PERALTE!$Z$16,(-6/(PERALTE!$X$16-PERALTE!$Z$16)*(RASANTE!F160-PERALTE!$Z$16)-2),IF(RASANTE!F160&lt;=PERALTE!$AB$16,-2))))),IF(AND(AH!$H$18="Izquierda",RASANTE!F160&lt;=PERALTE!$AB$16),IF(RASANTE!F160&lt;=PERALTE!$Q$16,-2,IF(RASANTE!F160&lt;=PERALTE!$U$16,(10/(PERALTE!$U$16-PERALTE!$Q$16)*(RASANTE!F160-PERALTE!$Q$16)-2),IF(RASANTE!F160&lt;=PERALTE!$X$16,8,IF(RASANTE!F160&lt;=PERALTE!$AB$16,(10/(PERALTE!$X$16-PERALTE!$AB$16)*(RASANTE!F160-PERALTE!$AB$16)-2))))),IF(AND(AH!$H$20="Derecha",RASANTE!F160&lt;=PERALTE!$AB$18),IF(RASANTE!F160&lt;=PERALTE!$S$18,-2,IF(RASANTE!F160&lt;=PERALTE!$U$18,(-6/(PERALTE!$U$18-PERALTE!$S$18)*(RASANTE!F160-PERALTE!$S$18)-2),IF(RASANTE!F160&lt;=PERALTE!$X$18,-8,IF(RASANTE!F160&lt;=PERALTE!$Z$18,(-6/(PERALTE!$X$18-PERALTE!$Z$18)*(RASANTE!F160-PERALTE!$Z$18)-2),IF(RASANTE!F160&lt;=PERALTE!$AB$18,-2))))),IF(AND(AH!$H$20="Izquierda",RASANTE!F160&lt;=PERALTE!$AB$18),IF(RASANTE!F160&lt;=PERALTE!$Q$18,-2,IF(RASANTE!F160&lt;=PERALTE!$U$18,(10/(PERALTE!$U$18-PERALTE!$Q$18)*(RASANTE!F160-PERALTE!$Q$18)-2),IF(RASANTE!F160&lt;=PERALTE!$X$18,8,IF(RASANTE!F160&lt;=PERALTE!$AB$18,(10/(PERALTE!$X$18-PERALTE!$AB$18)*(RASANTE!F160-PERALTE!$AB$18)-2))))),IF(AND(AH!$H$24="Derecha",RASANTE!F160&lt;=PERALTE!$AB$22),IF(RASANTE!F160&lt;=PERALTE!$S$22,-2,IF(RASANTE!F160&lt;=PERALTE!$U$22,(-6/(PERALTE!$U$22-PERALTE!$S$22)*(RASANTE!F160-PERALTE!$S$22)-2),IF(RASANTE!F160&lt;=PERALTE!$X$22,-8,IF(RASANTE!F160&lt;=PERALTE!$Z$22,(-6/(PERALTE!$X$22-PERALTE!$Z$22)*(RASANTE!F160-PERALTE!$Z$22)-2),IF(RASANTE!F160&lt;=PERALTE!$AB$22,-2))))),IF(AND(AH!$H$24="Izquierda",RASANTE!F160&lt;=PERALTE!$AB$22),IF(RASANTE!F160&lt;=PERALTE!$Q$22,-2,IF(RASANTE!F160&lt;=PERALTE!$U$22,(10/(PERALTE!$U$22-PERALTE!$Q$22)*(RASANTE!F160-PERALTE!$Q$22)-2),IF(RASANTE!F160&lt;=PERALTE!$X$22,8,IF(RASANTE!F160&lt;=PERALTE!$AB$22,(10/(PERALTE!$X$22-PERALTE!$AB$22)*(RASANTE!F160-PERALTE!$AB$22)-2))))),IF(AND(AH!#REF!="Derecha",RASANTE!F160&lt;=PERALTE!#REF!),IF(RASANTE!F160&lt;=PERALTE!#REF!,-2,IF(RASANTE!F160&lt;=PERALTE!#REF!,(-6/(PERALTE!#REF!-PERALTE!#REF!)*(RASANTE!F160-PERALTE!#REF!)-2),IF(RASANTE!F160&lt;=PERALTE!#REF!,-8,IF(RASANTE!F160&lt;=PERALTE!#REF!,(-6/(PERALTE!#REF!-PERALTE!#REF!)*(RASANTE!F160-PERALTE!#REF!)-2),IF(RASANTE!F160&lt;=PERALTE!#REF!,-2))))),IF(AND(AH!#REF!="Izquierda",RASANTE!F160&lt;=PERALTE!#REF!),IF(RASANTE!F160&lt;=PERALTE!#REF!,-2,IF(RASANTE!F160&lt;=PERALTE!#REF!,(10/(PERALTE!#REF!-PERALTE!#REF!)*(RASANTE!F160-PERALTE!#REF!)-2),IF(RASANTE!F160&lt;=PERALTE!#REF!,8,IF(RASANTE!F160&lt;=PERALTE!#REF!,(10/(PERALTE!#REF!-PERALTE!#REF!)*(RASANTE!F160-PERALTE!#REF!)-2))))),IF(AND(AH!#REF!="Derecha",RASANTE!F160&lt;=PERALTE!$AB$26),IF(RASANTE!F160&lt;=PERALTE!$S$26,-2,IF(RASANTE!F160&lt;=PERALTE!$U$26,(-6/(PERALTE!$U$26-PERALTE!$S$26)*(RASANTE!F160-PERALTE!$S$26)-2),IF(RASANTE!F160&lt;=PERALTE!$X$26,-8,IF(RASANTE!F160&lt;=PERALTE!$Z$26,(-6/(PERALTE!$X$26-PERALTE!$Z$26)*(RASANTE!F160-PERALTE!$Z$26)-2),IF(RASANTE!F160&lt;=PERALTE!$AB$26,-2))))),IF(AND(AH!#REF!="Izquierda",RASANTE!F160&lt;=PERALTE!$AB$26),IF(RASANTE!F160&lt;=PERALTE!$Q$26,-2,IF(RASANTE!F160&lt;=PERALTE!$U$26,(10/(PERALTE!$U$26-PERALTE!$Q$26)*(RASANTE!F160-PERALTE!$Q$26)-2),IF(RASANTE!F160&lt;=PERALTE!$X$26,8,IF(RASANTE!F160&lt;=PERALTE!$AB$26,(10/(PERALTE!$X$26-PERALTE!$AB$26)*(RASANTE!F160-PERALTE!$AB$26)-2))))),IF(F160&lt;=PERALTE!#REF!,-2,"Abscisa fuera de la vía")))))))))))))))))))))</f>
        <v>-2</v>
      </c>
      <c r="J160" s="28">
        <f t="shared" si="6"/>
        <v>1614.9139380375923</v>
      </c>
      <c r="K160" s="28">
        <f>+IF(AND(AV!$S$6&lt;F160,F160&lt;=AV!$T$6),AV!$P$6*((AV!$S$6-RASANTE!F160)/(AV!$N$6))^2,IF(AND(AV!$T$6&lt;RASANTE!F160,F160&lt;AV!$U$6),AV!$P$6*((AV!$U$6-RASANTE!F160)/(AV!$O$6))^2,IF(AND(AV!$S$8&lt;F160,F160&lt;=AV!$T$8),AV!$P$8*((AV!$S$8-RASANTE!F160)/(AV!$N$8))^2,IF(AND(AV!$T$8&lt;RASANTE!F160,F160&lt;AV!$U$8),AV!$P$8*((AV!$U$8-RASANTE!F160)/(AV!$O$8))^2,IF(AND(AV!$S$10&lt;F160,F160&lt;=AV!$T$10),AV!$P$10*((AV!$S$10-RASANTE!F160)/(AV!$N$10))^2,IF(AND(AV!$T$10&lt;RASANTE!F160,F160&lt;AV!$U$10),AV!$P$10*((AV!$U$10-RASANTE!F160)/(AV!$O$10))^2,IF(AND(AV!$S$12&lt;F160,F160&lt;=AV!$T$12),AV!$P$12*((AV!$S$12-RASANTE!F160)/(AV!$N$12))^2,IF(AND(AV!$T$12&lt;RASANTE!F160,F160&lt;AV!$U$12),AV!$P$12*((AV!$U$12-RASANTE!F160)/(AV!$O$12))^2,IF(AND(AV!$S$14&lt;F160,F160&lt;=AV!$T$14),AV!$P$14*((AV!$S$14-RASANTE!F160)/(AV!$N$14))^2,IF(AND(AV!$T$14&lt;RASANTE!F160,F160&lt;AV!$U$14),AV!$P$14*((AV!$U$14-RASANTE!F160)/(AV!$O$14))^2,IF(AND(AV!$S$16&lt;F160,F160&lt;=AV!$T$16),AV!$P$16*((AV!$S$16-RASANTE!F160)/(AV!$N$16))^2,IF(AND(AV!$T$16&lt;RASANTE!F160,F160&lt;AV!$U$16),AV!$P$16*((AV!$U$16-RASANTE!F160)/(AV!$O$16))^2,IF(AND(AV!$S$18&lt;F160,F160&lt;=AV!$T$18),AV!$P$18*((AV!$S$18-RASANTE!F160)/(AV!$N$18))^2,IF(AND(AV!$T$18&lt;RASANTE!F160,F160&lt;AV!$U$18),AV!$P$18*((AV!$U$18-RASANTE!F160)/(AV!$O$18))^2,IF(AND(AV!$S$20&lt;F160,F160&lt;=AV!$T$20),AV!$P$20*((AV!$S$20-RASANTE!F160)/(AV!$N$20))^2,IF(AND(AV!$T$20&lt;RASANTE!F160,F160&lt;AV!$U$20),AV!$P$20*((AV!$U$20-RASANTE!F160)/(AV!$O$20))^2,IF(AND(AV!$S$22&lt;F160,F160&lt;=AV!$T$22),AV!$P$22*((AV!$S$22-RASANTE!F160)/(AV!$N$22))^2,IF(AND(AV!$T$22&lt;RASANTE!F160,F160&lt;AV!$U$22),AV!$P$22*((AV!$U$22-RASANTE!F160)/(AV!$O$22))^2,IF(AND(AV!$S$24&lt;F160,F160&lt;=AV!$T$24),AV!$P$24*((AV!$S$24-RASANTE!F160)/(AV!$N$24))^2,IF(AND(AV!$T$24&lt;RASANTE!F160,F160&lt;AV!$U$24),AV!$P$24*((AV!$U$24-RASANTE!F160)/(AV!$O$24))^2,0))))))))))))))))))))</f>
        <v>2.3644031249999992E-2</v>
      </c>
      <c r="L160" s="28">
        <f>+M160+H160%*PERALTE!$C$32</f>
        <v>1614.8675820688422</v>
      </c>
      <c r="M160" s="28">
        <f t="shared" si="5"/>
        <v>1614.9375820688422</v>
      </c>
      <c r="N160" s="28">
        <f>+M160+I160%*PERALTE!$C$32</f>
        <v>1614.8675820688422</v>
      </c>
      <c r="O160" s="92"/>
      <c r="P160" s="84"/>
      <c r="Q160" s="84"/>
      <c r="R160" s="84"/>
      <c r="S160" s="84"/>
      <c r="T160" s="84"/>
      <c r="U160" s="84"/>
      <c r="V160" s="84"/>
      <c r="W160" s="84"/>
      <c r="X160" s="84"/>
      <c r="Y160" s="84"/>
    </row>
    <row r="161" spans="1:25" ht="15.75" customHeight="1" x14ac:dyDescent="0.2">
      <c r="A161" s="90"/>
      <c r="B161" s="86"/>
      <c r="C161" s="86"/>
      <c r="D161" s="86"/>
      <c r="E161" s="150">
        <f>AV!N12</f>
        <v>80</v>
      </c>
      <c r="F161" s="34">
        <v>980</v>
      </c>
      <c r="G161" s="88">
        <f>IF(F161&lt;=AV!$T$6,AV!$C$5,IF(RASANTE!F161&lt;=AV!$T$8,AV!$C$7,IF(RASANTE!F161&lt;=AV!$T$10,AV!$C$9,IF(RASANTE!F161&lt;=AV!$T$12,AV!$C$11,IF(RASANTE!F161&lt;=AV!$T$14,AV!$C$13,IF(RASANTE!F161&lt;=AV!$T$16,AV!$C$15, IF(RASANTE!F161&lt;=AV!$T$18,AV!$C$17,IF(RASANTE!F161&lt;=AV!$T$20,AV!$C$19,IF(RASANTE!F161&lt;=AV!$T$22,AV!$C$21,IF(RASANTE!F161&lt;=AV!$T$24,AV!$C$23,AV!$C$25))))))))))</f>
        <v>-7.2409999999999997</v>
      </c>
      <c r="H161" s="28">
        <f>+IF(AND(AH!$H$8="Izquierda",RASANTE!F161&lt;=PERALTE!$AB$6),IF(RASANTE!F161&lt;=PERALTE!$S$6,-2,IF(RASANTE!F161&lt;=PERALTE!$U$6,(-6/(PERALTE!$U$6-PERALTE!$S$6)*(RASANTE!F161-PERALTE!$S$6)-2),IF(RASANTE!F161&lt;=PERALTE!$X$6,-8,IF(RASANTE!F161&lt;=PERALTE!$Z$6,(-6/(PERALTE!$X$6-PERALTE!$Z$6)*(RASANTE!F161-PERALTE!$Z$6)-2),IF(RASANTE!F161&lt;=PERALTE!$AB$6,-2))))),IF(AND(AH!$H$8="Derecha",RASANTE!F161&lt;=PERALTE!$AB$6),IF(RASANTE!F161&lt;=PERALTE!$Q$6,-2,IF(RASANTE!F161&lt;=PERALTE!$U$6,(10/(PERALTE!$U$6-PERALTE!$Q$6)*(RASANTE!F161-PERALTE!$Q$6)-2),IF(RASANTE!F161&lt;=PERALTE!$X$6,8,IF(RASANTE!F161&lt;=PERALTE!$AB$6,(10/(PERALTE!$X$6-PERALTE!$AB$6)*(RASANTE!F161-PERALTE!$AB$6)-2))))),IF(AND(AH!$H$10="Izquierda",RASANTE!F161&lt;=PERALTE!$AB$8),IF(RASANTE!F161&lt;=PERALTE!$S$8,-2,IF(RASANTE!F161&lt;=PERALTE!$U$8,(-6/(PERALTE!$U$8-PERALTE!$S$8)*(RASANTE!F161-PERALTE!$S$8)-2),IF(RASANTE!F161&lt;=PERALTE!$X$8,-8,IF(RASANTE!F161&lt;=PERALTE!$Z$8,(-6/(PERALTE!$X$8-PERALTE!$Z$8)*(RASANTE!F161-PERALTE!$Z$8)-2),IF(RASANTE!F161&lt;=PERALTE!$AB$8,-2))))),IF(AND(AH!$H$10="Derecha",RASANTE!F161&lt;=PERALTE!$AB$8),IF(RASANTE!F161&lt;=PERALTE!$Q$8,-2,IF(RASANTE!F161&lt;=PERALTE!$U$8,(10/(PERALTE!$U$8-PERALTE!$Q$8)*(RASANTE!F161-PERALTE!$Q$8)-2),IF(RASANTE!F161&lt;=PERALTE!$X$8,8,IF(RASANTE!F161&lt;=PERALTE!$AB$8,(10/(PERALTE!$X$8-PERALTE!$AB$8)*(RASANTE!F161-PERALTE!$AB$8)-2))))),IF(AND(AH!$H$12="Izquierda",RASANTE!F161&lt;=PERALTE!$AB$10),IF(RASANTE!F161&lt;=PERALTE!$S$10,-2,IF(RASANTE!F161&lt;=PERALTE!$U$10,(-6/(PERALTE!$U$10-PERALTE!$S$10)*(RASANTE!F161-PERALTE!$S$10)-2),IF(RASANTE!F161&lt;=PERALTE!$X$10,-8,IF(RASANTE!F161&lt;=PERALTE!$Z$10,(-6/(PERALTE!$X$10-PERALTE!$Z$10)*(RASANTE!F161-PERALTE!$Z$10)-2),IF(RASANTE!F161&lt;=PERALTE!$AB$10,-2))))),IF(AND(AH!$H$12="Derecha",RASANTE!F161&lt;=PERALTE!$AB$10),IF(RASANTE!F161&lt;=PERALTE!$Q$10,-2,IF(RASANTE!F161&lt;=PERALTE!$U$10,(10/(PERALTE!$U$10-PERALTE!$Q$10)*(RASANTE!F161-PERALTE!$Q$10)-2),IF(RASANTE!F161&lt;=PERALTE!$X$10,8,IF(RASANTE!F161&lt;=PERALTE!$AB$10,(10/(PERALTE!$X$10-PERALTE!$AB$10)*(RASANTE!F161-PERALTE!$AB$10)-2))))),IF(AND(AH!$H$14="Izquierda",RASANTE!F161&lt;=PERALTE!$AB$12),IF(RASANTE!F161&lt;=PERALTE!$S$12,-2,IF(RASANTE!F161&lt;=PERALTE!$U$12,(-6/(PERALTE!$U$12-PERALTE!$S$12)*(RASANTE!F161-PERALTE!$S$12)-2),IF(RASANTE!F161&lt;=PERALTE!$X$12,-8,IF(RASANTE!F161&lt;=PERALTE!$Z$12,(-6/(PERALTE!$X$12-PERALTE!$Z$12)*(RASANTE!F161-PERALTE!$Z$12)-2),IF(RASANTE!F161&lt;=PERALTE!$AB$12,-2))))),IF(AND(AH!$H$14="Derecha",RASANTE!F161&lt;=PERALTE!$AB$12),IF(RASANTE!F161&lt;=PERALTE!$Q$12,-2,IF(RASANTE!F161&lt;=PERALTE!$U$12,(10/(PERALTE!$U$12-PERALTE!$Q$12)*(RASANTE!F161-PERALTE!$Q$12)-2),IF(RASANTE!F161&lt;=PERALTE!$X$12,8,IF(RASANTE!F161&lt;=PERALTE!$AB$12,(10/(PERALTE!$X$12-PERALTE!$AB$12)*(RASANTE!F161-PERALTE!$AB$12)-2))))),IF(AND(AH!$H$16="Izquierda",RASANTE!F161&lt;=PERALTE!$AB$14),IF(RASANTE!F161&lt;=PERALTE!$S$14,-2,IF(RASANTE!F161&lt;=PERALTE!$U$14,(-6/(PERALTE!$U$14-PERALTE!$S$14)*(RASANTE!F161-PERALTE!$S$14)-2),IF(RASANTE!F161&lt;=PERALTE!$X$14,-8,IF(RASANTE!F161&lt;=PERALTE!$Z$14,(-6/(PERALTE!$X$14-PERALTE!$Z$14)*(RASANTE!F161-PERALTE!$Z$14)-2),IF(RASANTE!F161&lt;=PERALTE!$AB$14,-2))))),IF(AND(AH!$H$16="Derecha",RASANTE!F161&lt;=PERALTE!$AB$14),IF(RASANTE!F161&lt;=PERALTE!$Q$14,-2,IF(RASANTE!F161&lt;=PERALTE!$U$14,(10/(PERALTE!$U$14-PERALTE!$Q$14)*(RASANTE!F161-PERALTE!$Q$14)-2),IF(RASANTE!F161&lt;=PERALTE!$X$14,8,IF(RASANTE!F161&lt;=PERALTE!$AB$14,(10/(PERALTE!$X$14-PERALTE!$AB$14)*(RASANTE!F161-PERALTE!$AB$14)-2))))),IF(AND(AH!$H$18="Izquierda",RASANTE!F161&lt;=PERALTE!$AB$16),IF(RASANTE!F161&lt;=PERALTE!$S$16,-2,IF(RASANTE!F161&lt;=PERALTE!$U$16,(-6/(PERALTE!$U$16-PERALTE!$S$16)*(RASANTE!F161-PERALTE!$S$16)-2),IF(RASANTE!F161&lt;=PERALTE!$X$16,-8,IF(RASANTE!F161&lt;=PERALTE!$Z$16,(-6/(PERALTE!$X$16-PERALTE!$Z$16)*(RASANTE!F161-PERALTE!$Z$16)-2),IF(RASANTE!F161&lt;=PERALTE!$AB$16,-2))))),IF(AND(AH!$H$18="Derecha",RASANTE!F161&lt;=PERALTE!$AB$16),IF(RASANTE!F161&lt;=PERALTE!$Q$16,-2,IF(RASANTE!F161&lt;=PERALTE!$U$16,(10/(PERALTE!$U$16-PERALTE!$Q$16)*(RASANTE!F161-PERALTE!$Q$16)-2),IF(RASANTE!F161&lt;=PERALTE!$X$16,8,IF(RASANTE!F161&lt;=PERALTE!$AB$16,(10/(PERALTE!$X$16-PERALTE!$AB$16)*(RASANTE!F161-PERALTE!$AB$16)-2))))),IF(AND(AH!$H$20="Izquierda",RASANTE!F161&lt;=PERALTE!$AB$18),IF(RASANTE!F161&lt;=PERALTE!$S$18,-2,IF(RASANTE!F161&lt;=PERALTE!$U$18,(-6/(PERALTE!$U$18-PERALTE!$S$18)*(RASANTE!F161-PERALTE!$S$18)-2),IF(RASANTE!F161&lt;=PERALTE!$X$18,-8,IF(RASANTE!F161&lt;=PERALTE!$Z$18,(-6/(PERALTE!$X$18-PERALTE!$Z$18)*(RASANTE!F161-PERALTE!$Z$18)-2),IF(RASANTE!F161&lt;=PERALTE!$AB$18,-2))))),IF(AND(AH!$H$20="Derecha",RASANTE!F161&lt;=PERALTE!$AB$18),IF(RASANTE!F161&lt;=PERALTE!$Q$18,-2,IF(RASANTE!F161&lt;=PERALTE!$U$18,(10/(PERALTE!$U$18-PERALTE!$Q$18)*(RASANTE!F161-PERALTE!$Q$18)-2),IF(RASANTE!F161&lt;=PERALTE!$X$18,8,IF(RASANTE!F161&lt;=PERALTE!$AB$18,(10/(PERALTE!$X$18-PERALTE!$AB$18)*(RASANTE!F161-PERALTE!$AB$18)-2))))),IF(AND(AH!$H$24="Izquierda",RASANTE!F161&lt;=PERALTE!$AB$22),IF(RASANTE!F161&lt;=PERALTE!$S$22,-2,IF(RASANTE!F161&lt;=PERALTE!$U$22,(-6/(PERALTE!$U$22-PERALTE!$S$22)*(RASANTE!F161-PERALTE!$S$22)-2),IF(RASANTE!F161&lt;=PERALTE!$X$22,-8,IF(RASANTE!F161&lt;=PERALTE!$Z$22,(-6/(PERALTE!$X$22-PERALTE!$Z$22)*(RASANTE!F161-PERALTE!$Z$22)-2),IF(RASANTE!F161&lt;=PERALTE!$AB$22,-2))))),IF(AND(AH!$H$24="Derecha",RASANTE!F161&lt;=PERALTE!$AB$22),IF(RASANTE!F161&lt;=PERALTE!$Q$22,-2,IF(RASANTE!F161&lt;=PERALTE!$U$22,(10/(PERALTE!$U$22-PERALTE!$Q$22)*(RASANTE!F161-PERALTE!$Q$22)-2),IF(RASANTE!F161&lt;=PERALTE!$X$22,8,IF(RASANTE!F161&lt;=PERALTE!$AB$22,(10/(PERALTE!$X$22-PERALTE!$AB$22)*(RASANTE!F161-PERALTE!$AB$22)-2))))),IF(AND(AH!#REF!="Izquierda",RASANTE!F161&lt;=PERALTE!#REF!),IF(RASANTE!F161&lt;=PERALTE!#REF!,-2,IF(RASANTE!F161&lt;=PERALTE!#REF!,(-6/(PERALTE!#REF!-PERALTE!#REF!)*(RASANTE!F161-PERALTE!#REF!)-2),IF(RASANTE!F161&lt;=PERALTE!#REF!,-8,IF(RASANTE!F161&lt;=PERALTE!#REF!,(-6/(PERALTE!#REF!-PERALTE!#REF!)*(RASANTE!F161-PERALTE!#REF!)-2),IF(RASANTE!F161&lt;=PERALTE!#REF!,-2))))),IF(AND(AH!#REF!="Derecha",RASANTE!F161&lt;=PERALTE!#REF!),IF(RASANTE!F161&lt;=PERALTE!#REF!,-2,IF(RASANTE!F161&lt;=PERALTE!#REF!,(10/(PERALTE!#REF!-PERALTE!#REF!)*(RASANTE!F161-PERALTE!#REF!)-2),IF(RASANTE!F161&lt;=PERALTE!#REF!,8,IF(RASANTE!F161&lt;=PERALTE!#REF!,(10/(PERALTE!#REF!-PERALTE!#REF!)*(RASANTE!F161-PERALTE!#REF!)-2))))),IF(AND(AH!#REF!="Izquierda",RASANTE!F161&lt;=PERALTE!$AB$26),IF(RASANTE!F161&lt;=PERALTE!$S$26,-2,IF(RASANTE!F161&lt;=PERALTE!$U$26,(-6/(PERALTE!$U$26-PERALTE!$S$26)*(RASANTE!F161-PERALTE!$S$26)-2),IF(RASANTE!F161&lt;=PERALTE!$X$26,-8,IF(RASANTE!F161&lt;=PERALTE!$Z$26,(-6/(PERALTE!$X$26-PERALTE!$Z$26)*(RASANTE!F161-PERALTE!$Z$26)-2),IF(RASANTE!F161&lt;=PERALTE!$AB$26,-2))))),IF(AND(AH!#REF!="Derecha",RASANTE!F161&lt;=PERALTE!$AB$26),IF(RASANTE!F161&lt;=PERALTE!$Q$26,-2,IF(RASANTE!F161&lt;=PERALTE!$U$26,(10/(PERALTE!$U$26-PERALTE!$Q$26)*(RASANTE!F161-PERALTE!$Q$26)-2),IF(RASANTE!F161&lt;=PERALTE!$X$26,8,IF(RASANTE!F161&lt;=PERALTE!$AB$26,(10/(PERALTE!$X$26-PERALTE!$AB$26)*(RASANTE!F161-PERALTE!$AB$26)-2))))),IF(F161&lt;=PERALTE!#REF!,-2,"Abscisa fuera de la vía")))))))))))))))))))))</f>
        <v>-2</v>
      </c>
      <c r="I161" s="28">
        <f>+IF(AND(AH!$H$8="Derecha",RASANTE!F161&lt;=PERALTE!$AB$6),IF(RASANTE!F161&lt;=PERALTE!$S$6,-2,IF(RASANTE!F161&lt;=PERALTE!$U$6,(-6/(PERALTE!$U$6-PERALTE!$S$6)*(RASANTE!F161-PERALTE!$S$6)-2),IF(RASANTE!F161&lt;=PERALTE!$X$6,-8,IF(RASANTE!F161&lt;=PERALTE!$Z$6,(-6/(PERALTE!$X$6-PERALTE!$Z$6)*(RASANTE!F161-PERALTE!$Z$6)-2),IF(RASANTE!F161&lt;=PERALTE!$AB$6,-2))))),IF(AND(AH!$H$8="Izquierda",RASANTE!F161&lt;=PERALTE!$AB$6),IF(RASANTE!F161&lt;=PERALTE!$Q$6,-2,IF(RASANTE!F161&lt;=PERALTE!$U$6,(10/(PERALTE!$U$6-PERALTE!$Q$6)*(RASANTE!F161-PERALTE!$Q$6)-2),IF(RASANTE!F161&lt;=PERALTE!$X$6,8,IF(RASANTE!F161&lt;=PERALTE!$AB$6,(10/(PERALTE!$X$6-PERALTE!$AB$6)*(RASANTE!F161-PERALTE!$AB$6)-2))))),IF(AND(AH!$H$10="Derecha",RASANTE!F161&lt;=PERALTE!$AB$8),IF(RASANTE!F161&lt;=PERALTE!$S$8,-2,IF(RASANTE!F161&lt;=PERALTE!$U$8,(-6/(PERALTE!$U$8-PERALTE!$S$8)*(RASANTE!F161-PERALTE!$S$8)-2),IF(RASANTE!F161&lt;=PERALTE!$X$8,-8,IF(RASANTE!F161&lt;=PERALTE!$Z$8,(-6/(PERALTE!$X$8-PERALTE!$Z$8)*(RASANTE!F161-PERALTE!$Z$8)-2),IF(RASANTE!F161&lt;=PERALTE!$AB$8,-2))))),IF(AND(AH!$H$10="Izquierda",RASANTE!F161&lt;=PERALTE!$AB$8),IF(RASANTE!F161&lt;=PERALTE!$Q$8,-2,IF(RASANTE!F161&lt;=PERALTE!$U$8,(10/(PERALTE!$U$8-PERALTE!$Q$8)*(RASANTE!F161-PERALTE!$Q$8)-2),IF(RASANTE!F161&lt;=PERALTE!$X$8,8,IF(RASANTE!F161&lt;=PERALTE!$AB$8,(10/(PERALTE!$X$8-PERALTE!$AB$8)*(RASANTE!F161-PERALTE!$AB$8)-2))))),IF(AND(AH!$H$12="Derecha",RASANTE!F161&lt;=PERALTE!$AB$10),IF(RASANTE!F161&lt;=PERALTE!$S$10,-2,IF(RASANTE!F161&lt;=PERALTE!$U$10,(-6/(PERALTE!$U$10-PERALTE!$S$10)*(RASANTE!F161-PERALTE!$S$10)-2),IF(RASANTE!F161&lt;=PERALTE!$X$10,-8,IF(RASANTE!F161&lt;=PERALTE!$Z$10,(-6/(PERALTE!$X$10-PERALTE!$Z$10)*(RASANTE!F161-PERALTE!$Z$10)-2),IF(RASANTE!F161&lt;=PERALTE!$AB$10,-2))))),IF(AND(AH!$H$12="Izquierda",RASANTE!F161&lt;=PERALTE!$AB$10),IF(RASANTE!F161&lt;=PERALTE!$Q$10,-2,IF(RASANTE!F161&lt;=PERALTE!$U$10,(10/(PERALTE!$U$10-PERALTE!$Q$10)*(RASANTE!F161-PERALTE!$Q$10)-2),IF(RASANTE!F161&lt;=PERALTE!$X$10,8,IF(RASANTE!F161&lt;=PERALTE!$AB$10,(10/(PERALTE!$X$10-PERALTE!$AB$10)*(RASANTE!F161-PERALTE!$AB$10)-2))))),IF(AND(AH!$H$14="Derecha",RASANTE!F161&lt;=PERALTE!$AB$12),IF(RASANTE!F161&lt;=PERALTE!$S$12,-2,IF(RASANTE!F161&lt;=PERALTE!$U$12,(-6/(PERALTE!$U$12-PERALTE!$S$12)*(RASANTE!F161-PERALTE!$S$12)-2),IF(RASANTE!F161&lt;=PERALTE!$X$12,-8,IF(RASANTE!F161&lt;=PERALTE!$Z$12,(-6/(PERALTE!$X$12-PERALTE!$Z$12)*(RASANTE!F161-PERALTE!$Z$12)-2),IF(RASANTE!F161&lt;=PERALTE!$AB$12,-2))))),IF(AND(AH!$H$14="Izquierda",RASANTE!F161&lt;=PERALTE!$AB$12),IF(RASANTE!F161&lt;=PERALTE!$Q$12,-2,IF(RASANTE!F161&lt;=PERALTE!$U$12,(10/(PERALTE!$U$12-PERALTE!$Q$12)*(RASANTE!F161-PERALTE!$Q$12)-2),IF(RASANTE!F161&lt;=PERALTE!$X$12,8,IF(RASANTE!F161&lt;=PERALTE!$AB$12,(10/(PERALTE!$X$12-PERALTE!$AB$12)*(RASANTE!F161-PERALTE!$AB$12)-2))))),IF(AND(AH!$H$16="Derecha",RASANTE!F161&lt;=PERALTE!$AB$14),IF(RASANTE!F161&lt;=PERALTE!$S$14,-2,IF(RASANTE!F161&lt;=PERALTE!$U$14,(-6/(PERALTE!$U$14-PERALTE!$S$14)*(RASANTE!F161-PERALTE!$S$14)-2),IF(RASANTE!F161&lt;=PERALTE!$X$14,-8,IF(RASANTE!F161&lt;=PERALTE!$Z$14,(-6/(PERALTE!$X$14-PERALTE!$Z$14)*(RASANTE!F161-PERALTE!$Z$14)-2),IF(RASANTE!F161&lt;=PERALTE!$AB$14,-2))))),IF(AND(AH!$H$16="Izquierda",RASANTE!F161&lt;=PERALTE!$AB$14),IF(RASANTE!F161&lt;=PERALTE!$Q$14,-2,IF(RASANTE!F161&lt;=PERALTE!$U$14,(10/(PERALTE!$U$14-PERALTE!$Q$14)*(RASANTE!F161-PERALTE!$Q$14)-2),IF(RASANTE!F161&lt;=PERALTE!$X$14,8,IF(RASANTE!F161&lt;=PERALTE!$AB$14,(10/(PERALTE!$X$14-PERALTE!$AB$14)*(RASANTE!F161-PERALTE!$AB$14)-2))))),IF(AND(AH!$H$18="Derecha",RASANTE!F161&lt;=PERALTE!$AB$16),IF(RASANTE!F161&lt;=PERALTE!$S$16,-2,IF(RASANTE!F161&lt;=PERALTE!$U$16,(-6/(PERALTE!$U$16-PERALTE!$S$16)*(RASANTE!F161-PERALTE!$S$16)-2),IF(RASANTE!F161&lt;=PERALTE!$X$16,-8,IF(RASANTE!F161&lt;=PERALTE!$Z$16,(-6/(PERALTE!$X$16-PERALTE!$Z$16)*(RASANTE!F161-PERALTE!$Z$16)-2),IF(RASANTE!F161&lt;=PERALTE!$AB$16,-2))))),IF(AND(AH!$H$18="Izquierda",RASANTE!F161&lt;=PERALTE!$AB$16),IF(RASANTE!F161&lt;=PERALTE!$Q$16,-2,IF(RASANTE!F161&lt;=PERALTE!$U$16,(10/(PERALTE!$U$16-PERALTE!$Q$16)*(RASANTE!F161-PERALTE!$Q$16)-2),IF(RASANTE!F161&lt;=PERALTE!$X$16,8,IF(RASANTE!F161&lt;=PERALTE!$AB$16,(10/(PERALTE!$X$16-PERALTE!$AB$16)*(RASANTE!F161-PERALTE!$AB$16)-2))))),IF(AND(AH!$H$20="Derecha",RASANTE!F161&lt;=PERALTE!$AB$18),IF(RASANTE!F161&lt;=PERALTE!$S$18,-2,IF(RASANTE!F161&lt;=PERALTE!$U$18,(-6/(PERALTE!$U$18-PERALTE!$S$18)*(RASANTE!F161-PERALTE!$S$18)-2),IF(RASANTE!F161&lt;=PERALTE!$X$18,-8,IF(RASANTE!F161&lt;=PERALTE!$Z$18,(-6/(PERALTE!$X$18-PERALTE!$Z$18)*(RASANTE!F161-PERALTE!$Z$18)-2),IF(RASANTE!F161&lt;=PERALTE!$AB$18,-2))))),IF(AND(AH!$H$20="Izquierda",RASANTE!F161&lt;=PERALTE!$AB$18),IF(RASANTE!F161&lt;=PERALTE!$Q$18,-2,IF(RASANTE!F161&lt;=PERALTE!$U$18,(10/(PERALTE!$U$18-PERALTE!$Q$18)*(RASANTE!F161-PERALTE!$Q$18)-2),IF(RASANTE!F161&lt;=PERALTE!$X$18,8,IF(RASANTE!F161&lt;=PERALTE!$AB$18,(10/(PERALTE!$X$18-PERALTE!$AB$18)*(RASANTE!F161-PERALTE!$AB$18)-2))))),IF(AND(AH!$H$24="Derecha",RASANTE!F161&lt;=PERALTE!$AB$22),IF(RASANTE!F161&lt;=PERALTE!$S$22,-2,IF(RASANTE!F161&lt;=PERALTE!$U$22,(-6/(PERALTE!$U$22-PERALTE!$S$22)*(RASANTE!F161-PERALTE!$S$22)-2),IF(RASANTE!F161&lt;=PERALTE!$X$22,-8,IF(RASANTE!F161&lt;=PERALTE!$Z$22,(-6/(PERALTE!$X$22-PERALTE!$Z$22)*(RASANTE!F161-PERALTE!$Z$22)-2),IF(RASANTE!F161&lt;=PERALTE!$AB$22,-2))))),IF(AND(AH!$H$24="Izquierda",RASANTE!F161&lt;=PERALTE!$AB$22),IF(RASANTE!F161&lt;=PERALTE!$Q$22,-2,IF(RASANTE!F161&lt;=PERALTE!$U$22,(10/(PERALTE!$U$22-PERALTE!$Q$22)*(RASANTE!F161-PERALTE!$Q$22)-2),IF(RASANTE!F161&lt;=PERALTE!$X$22,8,IF(RASANTE!F161&lt;=PERALTE!$AB$22,(10/(PERALTE!$X$22-PERALTE!$AB$22)*(RASANTE!F161-PERALTE!$AB$22)-2))))),IF(AND(AH!#REF!="Derecha",RASANTE!F161&lt;=PERALTE!#REF!),IF(RASANTE!F161&lt;=PERALTE!#REF!,-2,IF(RASANTE!F161&lt;=PERALTE!#REF!,(-6/(PERALTE!#REF!-PERALTE!#REF!)*(RASANTE!F161-PERALTE!#REF!)-2),IF(RASANTE!F161&lt;=PERALTE!#REF!,-8,IF(RASANTE!F161&lt;=PERALTE!#REF!,(-6/(PERALTE!#REF!-PERALTE!#REF!)*(RASANTE!F161-PERALTE!#REF!)-2),IF(RASANTE!F161&lt;=PERALTE!#REF!,-2))))),IF(AND(AH!#REF!="Izquierda",RASANTE!F161&lt;=PERALTE!#REF!),IF(RASANTE!F161&lt;=PERALTE!#REF!,-2,IF(RASANTE!F161&lt;=PERALTE!#REF!,(10/(PERALTE!#REF!-PERALTE!#REF!)*(RASANTE!F161-PERALTE!#REF!)-2),IF(RASANTE!F161&lt;=PERALTE!#REF!,8,IF(RASANTE!F161&lt;=PERALTE!#REF!,(10/(PERALTE!#REF!-PERALTE!#REF!)*(RASANTE!F161-PERALTE!#REF!)-2))))),IF(AND(AH!#REF!="Derecha",RASANTE!F161&lt;=PERALTE!$AB$26),IF(RASANTE!F161&lt;=PERALTE!$S$26,-2,IF(RASANTE!F161&lt;=PERALTE!$U$26,(-6/(PERALTE!$U$26-PERALTE!$S$26)*(RASANTE!F161-PERALTE!$S$26)-2),IF(RASANTE!F161&lt;=PERALTE!$X$26,-8,IF(RASANTE!F161&lt;=PERALTE!$Z$26,(-6/(PERALTE!$X$26-PERALTE!$Z$26)*(RASANTE!F161-PERALTE!$Z$26)-2),IF(RASANTE!F161&lt;=PERALTE!$AB$26,-2))))),IF(AND(AH!#REF!="Izquierda",RASANTE!F161&lt;=PERALTE!$AB$26),IF(RASANTE!F161&lt;=PERALTE!$Q$26,-2,IF(RASANTE!F161&lt;=PERALTE!$U$26,(10/(PERALTE!$U$26-PERALTE!$Q$26)*(RASANTE!F161-PERALTE!$Q$26)-2),IF(RASANTE!F161&lt;=PERALTE!$X$26,8,IF(RASANTE!F161&lt;=PERALTE!$AB$26,(10/(PERALTE!$X$26-PERALTE!$AB$26)*(RASANTE!F161-PERALTE!$AB$26)-2))))),IF(F161&lt;=PERALTE!#REF!,-2,"Abscisa fuera de la vía")))))))))))))))))))))</f>
        <v>-2</v>
      </c>
      <c r="J161" s="28">
        <f t="shared" si="6"/>
        <v>1614.1898380375924</v>
      </c>
      <c r="K161" s="28">
        <f>+IF(AND(AV!$S$6&lt;F161,F161&lt;=AV!$T$6),AV!$P$6*((AV!$S$6-RASANTE!F161)/(AV!$N$6))^2,IF(AND(AV!$T$6&lt;RASANTE!F161,F161&lt;AV!$U$6),AV!$P$6*((AV!$U$6-RASANTE!F161)/(AV!$O$6))^2,IF(AND(AV!$S$8&lt;F161,F161&lt;=AV!$T$8),AV!$P$8*((AV!$S$8-RASANTE!F161)/(AV!$N$8))^2,IF(AND(AV!$T$8&lt;RASANTE!F161,F161&lt;AV!$U$8),AV!$P$8*((AV!$U$8-RASANTE!F161)/(AV!$O$8))^2,IF(AND(AV!$S$10&lt;F161,F161&lt;=AV!$T$10),AV!$P$10*((AV!$S$10-RASANTE!F161)/(AV!$N$10))^2,IF(AND(AV!$T$10&lt;RASANTE!F161,F161&lt;AV!$U$10),AV!$P$10*((AV!$U$10-RASANTE!F161)/(AV!$O$10))^2,IF(AND(AV!$S$12&lt;F161,F161&lt;=AV!$T$12),AV!$P$12*((AV!$S$12-RASANTE!F161)/(AV!$N$12))^2,IF(AND(AV!$T$12&lt;RASANTE!F161,F161&lt;AV!$U$12),AV!$P$12*((AV!$U$12-RASANTE!F161)/(AV!$O$12))^2,IF(AND(AV!$S$14&lt;F161,F161&lt;=AV!$T$14),AV!$P$14*((AV!$S$14-RASANTE!F161)/(AV!$N$14))^2,IF(AND(AV!$T$14&lt;RASANTE!F161,F161&lt;AV!$U$14),AV!$P$14*((AV!$U$14-RASANTE!F161)/(AV!$O$14))^2,IF(AND(AV!$S$16&lt;F161,F161&lt;=AV!$T$16),AV!$P$16*((AV!$S$16-RASANTE!F161)/(AV!$N$16))^2,IF(AND(AV!$T$16&lt;RASANTE!F161,F161&lt;AV!$U$16),AV!$P$16*((AV!$U$16-RASANTE!F161)/(AV!$O$16))^2,IF(AND(AV!$S$18&lt;F161,F161&lt;=AV!$T$18),AV!$P$18*((AV!$S$18-RASANTE!F161)/(AV!$N$18))^2,IF(AND(AV!$T$18&lt;RASANTE!F161,F161&lt;AV!$U$18),AV!$P$18*((AV!$U$18-RASANTE!F161)/(AV!$O$18))^2,IF(AND(AV!$S$20&lt;F161,F161&lt;=AV!$T$20),AV!$P$20*((AV!$S$20-RASANTE!F161)/(AV!$N$20))^2,IF(AND(AV!$T$20&lt;RASANTE!F161,F161&lt;AV!$U$20),AV!$P$20*((AV!$U$20-RASANTE!F161)/(AV!$O$20))^2,IF(AND(AV!$S$22&lt;F161,F161&lt;=AV!$T$22),AV!$P$22*((AV!$S$22-RASANTE!F161)/(AV!$N$22))^2,IF(AND(AV!$T$22&lt;RASANTE!F161,F161&lt;AV!$U$22),AV!$P$22*((AV!$U$22-RASANTE!F161)/(AV!$O$22))^2,IF(AND(AV!$S$24&lt;F161,F161&lt;=AV!$T$24),AV!$P$24*((AV!$S$24-RASANTE!F161)/(AV!$N$24))^2,IF(AND(AV!$T$24&lt;RASANTE!F161,F161&lt;AV!$U$24),AV!$P$24*((AV!$U$24-RASANTE!F161)/(AV!$O$24))^2,0))))))))))))))))))))</f>
        <v>0.13945153124999995</v>
      </c>
      <c r="L161" s="28">
        <f>+M161+H161%*PERALTE!$C$32</f>
        <v>1614.2592895688424</v>
      </c>
      <c r="M161" s="28">
        <f t="shared" si="5"/>
        <v>1614.3292895688423</v>
      </c>
      <c r="N161" s="28">
        <f>+M161+I161%*PERALTE!$C$32</f>
        <v>1614.2592895688424</v>
      </c>
      <c r="O161" s="92"/>
      <c r="P161" s="84"/>
      <c r="Q161" s="84"/>
      <c r="R161" s="84"/>
      <c r="S161" s="84"/>
      <c r="T161" s="84"/>
      <c r="U161" s="84"/>
      <c r="V161" s="84"/>
      <c r="W161" s="84"/>
      <c r="X161" s="84"/>
      <c r="Y161" s="84"/>
    </row>
    <row r="162" spans="1:25" ht="15.75" customHeight="1" x14ac:dyDescent="0.2">
      <c r="A162" s="90"/>
      <c r="B162" s="86"/>
      <c r="C162" s="86"/>
      <c r="D162" s="86"/>
      <c r="E162" s="151">
        <f>AV!O12</f>
        <v>80</v>
      </c>
      <c r="F162" s="34">
        <v>990</v>
      </c>
      <c r="G162" s="88">
        <f>IF(F162&lt;=AV!$T$6,AV!$C$5,IF(RASANTE!F162&lt;=AV!$T$8,AV!$C$7,IF(RASANTE!F162&lt;=AV!$T$10,AV!$C$9,IF(RASANTE!F162&lt;=AV!$T$12,AV!$C$11,IF(RASANTE!F162&lt;=AV!$T$14,AV!$C$13,IF(RASANTE!F162&lt;=AV!$T$16,AV!$C$15, IF(RASANTE!F162&lt;=AV!$T$18,AV!$C$17,IF(RASANTE!F162&lt;=AV!$T$20,AV!$C$19,IF(RASANTE!F162&lt;=AV!$T$22,AV!$C$21,IF(RASANTE!F162&lt;=AV!$T$24,AV!$C$23,AV!$C$25))))))))))</f>
        <v>-7.2409999999999997</v>
      </c>
      <c r="H162" s="28">
        <f>+IF(AND(AH!$H$8="Izquierda",RASANTE!F162&lt;=PERALTE!$AB$6),IF(RASANTE!F162&lt;=PERALTE!$S$6,-2,IF(RASANTE!F162&lt;=PERALTE!$U$6,(-6/(PERALTE!$U$6-PERALTE!$S$6)*(RASANTE!F162-PERALTE!$S$6)-2),IF(RASANTE!F162&lt;=PERALTE!$X$6,-8,IF(RASANTE!F162&lt;=PERALTE!$Z$6,(-6/(PERALTE!$X$6-PERALTE!$Z$6)*(RASANTE!F162-PERALTE!$Z$6)-2),IF(RASANTE!F162&lt;=PERALTE!$AB$6,-2))))),IF(AND(AH!$H$8="Derecha",RASANTE!F162&lt;=PERALTE!$AB$6),IF(RASANTE!F162&lt;=PERALTE!$Q$6,-2,IF(RASANTE!F162&lt;=PERALTE!$U$6,(10/(PERALTE!$U$6-PERALTE!$Q$6)*(RASANTE!F162-PERALTE!$Q$6)-2),IF(RASANTE!F162&lt;=PERALTE!$X$6,8,IF(RASANTE!F162&lt;=PERALTE!$AB$6,(10/(PERALTE!$X$6-PERALTE!$AB$6)*(RASANTE!F162-PERALTE!$AB$6)-2))))),IF(AND(AH!$H$10="Izquierda",RASANTE!F162&lt;=PERALTE!$AB$8),IF(RASANTE!F162&lt;=PERALTE!$S$8,-2,IF(RASANTE!F162&lt;=PERALTE!$U$8,(-6/(PERALTE!$U$8-PERALTE!$S$8)*(RASANTE!F162-PERALTE!$S$8)-2),IF(RASANTE!F162&lt;=PERALTE!$X$8,-8,IF(RASANTE!F162&lt;=PERALTE!$Z$8,(-6/(PERALTE!$X$8-PERALTE!$Z$8)*(RASANTE!F162-PERALTE!$Z$8)-2),IF(RASANTE!F162&lt;=PERALTE!$AB$8,-2))))),IF(AND(AH!$H$10="Derecha",RASANTE!F162&lt;=PERALTE!$AB$8),IF(RASANTE!F162&lt;=PERALTE!$Q$8,-2,IF(RASANTE!F162&lt;=PERALTE!$U$8,(10/(PERALTE!$U$8-PERALTE!$Q$8)*(RASANTE!F162-PERALTE!$Q$8)-2),IF(RASANTE!F162&lt;=PERALTE!$X$8,8,IF(RASANTE!F162&lt;=PERALTE!$AB$8,(10/(PERALTE!$X$8-PERALTE!$AB$8)*(RASANTE!F162-PERALTE!$AB$8)-2))))),IF(AND(AH!$H$12="Izquierda",RASANTE!F162&lt;=PERALTE!$AB$10),IF(RASANTE!F162&lt;=PERALTE!$S$10,-2,IF(RASANTE!F162&lt;=PERALTE!$U$10,(-6/(PERALTE!$U$10-PERALTE!$S$10)*(RASANTE!F162-PERALTE!$S$10)-2),IF(RASANTE!F162&lt;=PERALTE!$X$10,-8,IF(RASANTE!F162&lt;=PERALTE!$Z$10,(-6/(PERALTE!$X$10-PERALTE!$Z$10)*(RASANTE!F162-PERALTE!$Z$10)-2),IF(RASANTE!F162&lt;=PERALTE!$AB$10,-2))))),IF(AND(AH!$H$12="Derecha",RASANTE!F162&lt;=PERALTE!$AB$10),IF(RASANTE!F162&lt;=PERALTE!$Q$10,-2,IF(RASANTE!F162&lt;=PERALTE!$U$10,(10/(PERALTE!$U$10-PERALTE!$Q$10)*(RASANTE!F162-PERALTE!$Q$10)-2),IF(RASANTE!F162&lt;=PERALTE!$X$10,8,IF(RASANTE!F162&lt;=PERALTE!$AB$10,(10/(PERALTE!$X$10-PERALTE!$AB$10)*(RASANTE!F162-PERALTE!$AB$10)-2))))),IF(AND(AH!$H$14="Izquierda",RASANTE!F162&lt;=PERALTE!$AB$12),IF(RASANTE!F162&lt;=PERALTE!$S$12,-2,IF(RASANTE!F162&lt;=PERALTE!$U$12,(-6/(PERALTE!$U$12-PERALTE!$S$12)*(RASANTE!F162-PERALTE!$S$12)-2),IF(RASANTE!F162&lt;=PERALTE!$X$12,-8,IF(RASANTE!F162&lt;=PERALTE!$Z$12,(-6/(PERALTE!$X$12-PERALTE!$Z$12)*(RASANTE!F162-PERALTE!$Z$12)-2),IF(RASANTE!F162&lt;=PERALTE!$AB$12,-2))))),IF(AND(AH!$H$14="Derecha",RASANTE!F162&lt;=PERALTE!$AB$12),IF(RASANTE!F162&lt;=PERALTE!$Q$12,-2,IF(RASANTE!F162&lt;=PERALTE!$U$12,(10/(PERALTE!$U$12-PERALTE!$Q$12)*(RASANTE!F162-PERALTE!$Q$12)-2),IF(RASANTE!F162&lt;=PERALTE!$X$12,8,IF(RASANTE!F162&lt;=PERALTE!$AB$12,(10/(PERALTE!$X$12-PERALTE!$AB$12)*(RASANTE!F162-PERALTE!$AB$12)-2))))),IF(AND(AH!$H$16="Izquierda",RASANTE!F162&lt;=PERALTE!$AB$14),IF(RASANTE!F162&lt;=PERALTE!$S$14,-2,IF(RASANTE!F162&lt;=PERALTE!$U$14,(-6/(PERALTE!$U$14-PERALTE!$S$14)*(RASANTE!F162-PERALTE!$S$14)-2),IF(RASANTE!F162&lt;=PERALTE!$X$14,-8,IF(RASANTE!F162&lt;=PERALTE!$Z$14,(-6/(PERALTE!$X$14-PERALTE!$Z$14)*(RASANTE!F162-PERALTE!$Z$14)-2),IF(RASANTE!F162&lt;=PERALTE!$AB$14,-2))))),IF(AND(AH!$H$16="Derecha",RASANTE!F162&lt;=PERALTE!$AB$14),IF(RASANTE!F162&lt;=PERALTE!$Q$14,-2,IF(RASANTE!F162&lt;=PERALTE!$U$14,(10/(PERALTE!$U$14-PERALTE!$Q$14)*(RASANTE!F162-PERALTE!$Q$14)-2),IF(RASANTE!F162&lt;=PERALTE!$X$14,8,IF(RASANTE!F162&lt;=PERALTE!$AB$14,(10/(PERALTE!$X$14-PERALTE!$AB$14)*(RASANTE!F162-PERALTE!$AB$14)-2))))),IF(AND(AH!$H$18="Izquierda",RASANTE!F162&lt;=PERALTE!$AB$16),IF(RASANTE!F162&lt;=PERALTE!$S$16,-2,IF(RASANTE!F162&lt;=PERALTE!$U$16,(-6/(PERALTE!$U$16-PERALTE!$S$16)*(RASANTE!F162-PERALTE!$S$16)-2),IF(RASANTE!F162&lt;=PERALTE!$X$16,-8,IF(RASANTE!F162&lt;=PERALTE!$Z$16,(-6/(PERALTE!$X$16-PERALTE!$Z$16)*(RASANTE!F162-PERALTE!$Z$16)-2),IF(RASANTE!F162&lt;=PERALTE!$AB$16,-2))))),IF(AND(AH!$H$18="Derecha",RASANTE!F162&lt;=PERALTE!$AB$16),IF(RASANTE!F162&lt;=PERALTE!$Q$16,-2,IF(RASANTE!F162&lt;=PERALTE!$U$16,(10/(PERALTE!$U$16-PERALTE!$Q$16)*(RASANTE!F162-PERALTE!$Q$16)-2),IF(RASANTE!F162&lt;=PERALTE!$X$16,8,IF(RASANTE!F162&lt;=PERALTE!$AB$16,(10/(PERALTE!$X$16-PERALTE!$AB$16)*(RASANTE!F162-PERALTE!$AB$16)-2))))),IF(AND(AH!$H$20="Izquierda",RASANTE!F162&lt;=PERALTE!$AB$18),IF(RASANTE!F162&lt;=PERALTE!$S$18,-2,IF(RASANTE!F162&lt;=PERALTE!$U$18,(-6/(PERALTE!$U$18-PERALTE!$S$18)*(RASANTE!F162-PERALTE!$S$18)-2),IF(RASANTE!F162&lt;=PERALTE!$X$18,-8,IF(RASANTE!F162&lt;=PERALTE!$Z$18,(-6/(PERALTE!$X$18-PERALTE!$Z$18)*(RASANTE!F162-PERALTE!$Z$18)-2),IF(RASANTE!F162&lt;=PERALTE!$AB$18,-2))))),IF(AND(AH!$H$20="Derecha",RASANTE!F162&lt;=PERALTE!$AB$18),IF(RASANTE!F162&lt;=PERALTE!$Q$18,-2,IF(RASANTE!F162&lt;=PERALTE!$U$18,(10/(PERALTE!$U$18-PERALTE!$Q$18)*(RASANTE!F162-PERALTE!$Q$18)-2),IF(RASANTE!F162&lt;=PERALTE!$X$18,8,IF(RASANTE!F162&lt;=PERALTE!$AB$18,(10/(PERALTE!$X$18-PERALTE!$AB$18)*(RASANTE!F162-PERALTE!$AB$18)-2))))),IF(AND(AH!$H$24="Izquierda",RASANTE!F162&lt;=PERALTE!$AB$22),IF(RASANTE!F162&lt;=PERALTE!$S$22,-2,IF(RASANTE!F162&lt;=PERALTE!$U$22,(-6/(PERALTE!$U$22-PERALTE!$S$22)*(RASANTE!F162-PERALTE!$S$22)-2),IF(RASANTE!F162&lt;=PERALTE!$X$22,-8,IF(RASANTE!F162&lt;=PERALTE!$Z$22,(-6/(PERALTE!$X$22-PERALTE!$Z$22)*(RASANTE!F162-PERALTE!$Z$22)-2),IF(RASANTE!F162&lt;=PERALTE!$AB$22,-2))))),IF(AND(AH!$H$24="Derecha",RASANTE!F162&lt;=PERALTE!$AB$22),IF(RASANTE!F162&lt;=PERALTE!$Q$22,-2,IF(RASANTE!F162&lt;=PERALTE!$U$22,(10/(PERALTE!$U$22-PERALTE!$Q$22)*(RASANTE!F162-PERALTE!$Q$22)-2),IF(RASANTE!F162&lt;=PERALTE!$X$22,8,IF(RASANTE!F162&lt;=PERALTE!$AB$22,(10/(PERALTE!$X$22-PERALTE!$AB$22)*(RASANTE!F162-PERALTE!$AB$22)-2))))),IF(AND(AH!#REF!="Izquierda",RASANTE!F162&lt;=PERALTE!#REF!),IF(RASANTE!F162&lt;=PERALTE!#REF!,-2,IF(RASANTE!F162&lt;=PERALTE!#REF!,(-6/(PERALTE!#REF!-PERALTE!#REF!)*(RASANTE!F162-PERALTE!#REF!)-2),IF(RASANTE!F162&lt;=PERALTE!#REF!,-8,IF(RASANTE!F162&lt;=PERALTE!#REF!,(-6/(PERALTE!#REF!-PERALTE!#REF!)*(RASANTE!F162-PERALTE!#REF!)-2),IF(RASANTE!F162&lt;=PERALTE!#REF!,-2))))),IF(AND(AH!#REF!="Derecha",RASANTE!F162&lt;=PERALTE!#REF!),IF(RASANTE!F162&lt;=PERALTE!#REF!,-2,IF(RASANTE!F162&lt;=PERALTE!#REF!,(10/(PERALTE!#REF!-PERALTE!#REF!)*(RASANTE!F162-PERALTE!#REF!)-2),IF(RASANTE!F162&lt;=PERALTE!#REF!,8,IF(RASANTE!F162&lt;=PERALTE!#REF!,(10/(PERALTE!#REF!-PERALTE!#REF!)*(RASANTE!F162-PERALTE!#REF!)-2))))),IF(AND(AH!#REF!="Izquierda",RASANTE!F162&lt;=PERALTE!$AB$26),IF(RASANTE!F162&lt;=PERALTE!$S$26,-2,IF(RASANTE!F162&lt;=PERALTE!$U$26,(-6/(PERALTE!$U$26-PERALTE!$S$26)*(RASANTE!F162-PERALTE!$S$26)-2),IF(RASANTE!F162&lt;=PERALTE!$X$26,-8,IF(RASANTE!F162&lt;=PERALTE!$Z$26,(-6/(PERALTE!$X$26-PERALTE!$Z$26)*(RASANTE!F162-PERALTE!$Z$26)-2),IF(RASANTE!F162&lt;=PERALTE!$AB$26,-2))))),IF(AND(AH!#REF!="Derecha",RASANTE!F162&lt;=PERALTE!$AB$26),IF(RASANTE!F162&lt;=PERALTE!$Q$26,-2,IF(RASANTE!F162&lt;=PERALTE!$U$26,(10/(PERALTE!$U$26-PERALTE!$Q$26)*(RASANTE!F162-PERALTE!$Q$26)-2),IF(RASANTE!F162&lt;=PERALTE!$X$26,8,IF(RASANTE!F162&lt;=PERALTE!$AB$26,(10/(PERALTE!$X$26-PERALTE!$AB$26)*(RASANTE!F162-PERALTE!$AB$26)-2))))),IF(F162&lt;=PERALTE!#REF!,-2,"Abscisa fuera de la vía")))))))))))))))))))))</f>
        <v>-2</v>
      </c>
      <c r="I162" s="28">
        <f>+IF(AND(AH!$H$8="Derecha",RASANTE!F162&lt;=PERALTE!$AB$6),IF(RASANTE!F162&lt;=PERALTE!$S$6,-2,IF(RASANTE!F162&lt;=PERALTE!$U$6,(-6/(PERALTE!$U$6-PERALTE!$S$6)*(RASANTE!F162-PERALTE!$S$6)-2),IF(RASANTE!F162&lt;=PERALTE!$X$6,-8,IF(RASANTE!F162&lt;=PERALTE!$Z$6,(-6/(PERALTE!$X$6-PERALTE!$Z$6)*(RASANTE!F162-PERALTE!$Z$6)-2),IF(RASANTE!F162&lt;=PERALTE!$AB$6,-2))))),IF(AND(AH!$H$8="Izquierda",RASANTE!F162&lt;=PERALTE!$AB$6),IF(RASANTE!F162&lt;=PERALTE!$Q$6,-2,IF(RASANTE!F162&lt;=PERALTE!$U$6,(10/(PERALTE!$U$6-PERALTE!$Q$6)*(RASANTE!F162-PERALTE!$Q$6)-2),IF(RASANTE!F162&lt;=PERALTE!$X$6,8,IF(RASANTE!F162&lt;=PERALTE!$AB$6,(10/(PERALTE!$X$6-PERALTE!$AB$6)*(RASANTE!F162-PERALTE!$AB$6)-2))))),IF(AND(AH!$H$10="Derecha",RASANTE!F162&lt;=PERALTE!$AB$8),IF(RASANTE!F162&lt;=PERALTE!$S$8,-2,IF(RASANTE!F162&lt;=PERALTE!$U$8,(-6/(PERALTE!$U$8-PERALTE!$S$8)*(RASANTE!F162-PERALTE!$S$8)-2),IF(RASANTE!F162&lt;=PERALTE!$X$8,-8,IF(RASANTE!F162&lt;=PERALTE!$Z$8,(-6/(PERALTE!$X$8-PERALTE!$Z$8)*(RASANTE!F162-PERALTE!$Z$8)-2),IF(RASANTE!F162&lt;=PERALTE!$AB$8,-2))))),IF(AND(AH!$H$10="Izquierda",RASANTE!F162&lt;=PERALTE!$AB$8),IF(RASANTE!F162&lt;=PERALTE!$Q$8,-2,IF(RASANTE!F162&lt;=PERALTE!$U$8,(10/(PERALTE!$U$8-PERALTE!$Q$8)*(RASANTE!F162-PERALTE!$Q$8)-2),IF(RASANTE!F162&lt;=PERALTE!$X$8,8,IF(RASANTE!F162&lt;=PERALTE!$AB$8,(10/(PERALTE!$X$8-PERALTE!$AB$8)*(RASANTE!F162-PERALTE!$AB$8)-2))))),IF(AND(AH!$H$12="Derecha",RASANTE!F162&lt;=PERALTE!$AB$10),IF(RASANTE!F162&lt;=PERALTE!$S$10,-2,IF(RASANTE!F162&lt;=PERALTE!$U$10,(-6/(PERALTE!$U$10-PERALTE!$S$10)*(RASANTE!F162-PERALTE!$S$10)-2),IF(RASANTE!F162&lt;=PERALTE!$X$10,-8,IF(RASANTE!F162&lt;=PERALTE!$Z$10,(-6/(PERALTE!$X$10-PERALTE!$Z$10)*(RASANTE!F162-PERALTE!$Z$10)-2),IF(RASANTE!F162&lt;=PERALTE!$AB$10,-2))))),IF(AND(AH!$H$12="Izquierda",RASANTE!F162&lt;=PERALTE!$AB$10),IF(RASANTE!F162&lt;=PERALTE!$Q$10,-2,IF(RASANTE!F162&lt;=PERALTE!$U$10,(10/(PERALTE!$U$10-PERALTE!$Q$10)*(RASANTE!F162-PERALTE!$Q$10)-2),IF(RASANTE!F162&lt;=PERALTE!$X$10,8,IF(RASANTE!F162&lt;=PERALTE!$AB$10,(10/(PERALTE!$X$10-PERALTE!$AB$10)*(RASANTE!F162-PERALTE!$AB$10)-2))))),IF(AND(AH!$H$14="Derecha",RASANTE!F162&lt;=PERALTE!$AB$12),IF(RASANTE!F162&lt;=PERALTE!$S$12,-2,IF(RASANTE!F162&lt;=PERALTE!$U$12,(-6/(PERALTE!$U$12-PERALTE!$S$12)*(RASANTE!F162-PERALTE!$S$12)-2),IF(RASANTE!F162&lt;=PERALTE!$X$12,-8,IF(RASANTE!F162&lt;=PERALTE!$Z$12,(-6/(PERALTE!$X$12-PERALTE!$Z$12)*(RASANTE!F162-PERALTE!$Z$12)-2),IF(RASANTE!F162&lt;=PERALTE!$AB$12,-2))))),IF(AND(AH!$H$14="Izquierda",RASANTE!F162&lt;=PERALTE!$AB$12),IF(RASANTE!F162&lt;=PERALTE!$Q$12,-2,IF(RASANTE!F162&lt;=PERALTE!$U$12,(10/(PERALTE!$U$12-PERALTE!$Q$12)*(RASANTE!F162-PERALTE!$Q$12)-2),IF(RASANTE!F162&lt;=PERALTE!$X$12,8,IF(RASANTE!F162&lt;=PERALTE!$AB$12,(10/(PERALTE!$X$12-PERALTE!$AB$12)*(RASANTE!F162-PERALTE!$AB$12)-2))))),IF(AND(AH!$H$16="Derecha",RASANTE!F162&lt;=PERALTE!$AB$14),IF(RASANTE!F162&lt;=PERALTE!$S$14,-2,IF(RASANTE!F162&lt;=PERALTE!$U$14,(-6/(PERALTE!$U$14-PERALTE!$S$14)*(RASANTE!F162-PERALTE!$S$14)-2),IF(RASANTE!F162&lt;=PERALTE!$X$14,-8,IF(RASANTE!F162&lt;=PERALTE!$Z$14,(-6/(PERALTE!$X$14-PERALTE!$Z$14)*(RASANTE!F162-PERALTE!$Z$14)-2),IF(RASANTE!F162&lt;=PERALTE!$AB$14,-2))))),IF(AND(AH!$H$16="Izquierda",RASANTE!F162&lt;=PERALTE!$AB$14),IF(RASANTE!F162&lt;=PERALTE!$Q$14,-2,IF(RASANTE!F162&lt;=PERALTE!$U$14,(10/(PERALTE!$U$14-PERALTE!$Q$14)*(RASANTE!F162-PERALTE!$Q$14)-2),IF(RASANTE!F162&lt;=PERALTE!$X$14,8,IF(RASANTE!F162&lt;=PERALTE!$AB$14,(10/(PERALTE!$X$14-PERALTE!$AB$14)*(RASANTE!F162-PERALTE!$AB$14)-2))))),IF(AND(AH!$H$18="Derecha",RASANTE!F162&lt;=PERALTE!$AB$16),IF(RASANTE!F162&lt;=PERALTE!$S$16,-2,IF(RASANTE!F162&lt;=PERALTE!$U$16,(-6/(PERALTE!$U$16-PERALTE!$S$16)*(RASANTE!F162-PERALTE!$S$16)-2),IF(RASANTE!F162&lt;=PERALTE!$X$16,-8,IF(RASANTE!F162&lt;=PERALTE!$Z$16,(-6/(PERALTE!$X$16-PERALTE!$Z$16)*(RASANTE!F162-PERALTE!$Z$16)-2),IF(RASANTE!F162&lt;=PERALTE!$AB$16,-2))))),IF(AND(AH!$H$18="Izquierda",RASANTE!F162&lt;=PERALTE!$AB$16),IF(RASANTE!F162&lt;=PERALTE!$Q$16,-2,IF(RASANTE!F162&lt;=PERALTE!$U$16,(10/(PERALTE!$U$16-PERALTE!$Q$16)*(RASANTE!F162-PERALTE!$Q$16)-2),IF(RASANTE!F162&lt;=PERALTE!$X$16,8,IF(RASANTE!F162&lt;=PERALTE!$AB$16,(10/(PERALTE!$X$16-PERALTE!$AB$16)*(RASANTE!F162-PERALTE!$AB$16)-2))))),IF(AND(AH!$H$20="Derecha",RASANTE!F162&lt;=PERALTE!$AB$18),IF(RASANTE!F162&lt;=PERALTE!$S$18,-2,IF(RASANTE!F162&lt;=PERALTE!$U$18,(-6/(PERALTE!$U$18-PERALTE!$S$18)*(RASANTE!F162-PERALTE!$S$18)-2),IF(RASANTE!F162&lt;=PERALTE!$X$18,-8,IF(RASANTE!F162&lt;=PERALTE!$Z$18,(-6/(PERALTE!$X$18-PERALTE!$Z$18)*(RASANTE!F162-PERALTE!$Z$18)-2),IF(RASANTE!F162&lt;=PERALTE!$AB$18,-2))))),IF(AND(AH!$H$20="Izquierda",RASANTE!F162&lt;=PERALTE!$AB$18),IF(RASANTE!F162&lt;=PERALTE!$Q$18,-2,IF(RASANTE!F162&lt;=PERALTE!$U$18,(10/(PERALTE!$U$18-PERALTE!$Q$18)*(RASANTE!F162-PERALTE!$Q$18)-2),IF(RASANTE!F162&lt;=PERALTE!$X$18,8,IF(RASANTE!F162&lt;=PERALTE!$AB$18,(10/(PERALTE!$X$18-PERALTE!$AB$18)*(RASANTE!F162-PERALTE!$AB$18)-2))))),IF(AND(AH!$H$24="Derecha",RASANTE!F162&lt;=PERALTE!$AB$22),IF(RASANTE!F162&lt;=PERALTE!$S$22,-2,IF(RASANTE!F162&lt;=PERALTE!$U$22,(-6/(PERALTE!$U$22-PERALTE!$S$22)*(RASANTE!F162-PERALTE!$S$22)-2),IF(RASANTE!F162&lt;=PERALTE!$X$22,-8,IF(RASANTE!F162&lt;=PERALTE!$Z$22,(-6/(PERALTE!$X$22-PERALTE!$Z$22)*(RASANTE!F162-PERALTE!$Z$22)-2),IF(RASANTE!F162&lt;=PERALTE!$AB$22,-2))))),IF(AND(AH!$H$24="Izquierda",RASANTE!F162&lt;=PERALTE!$AB$22),IF(RASANTE!F162&lt;=PERALTE!$Q$22,-2,IF(RASANTE!F162&lt;=PERALTE!$U$22,(10/(PERALTE!$U$22-PERALTE!$Q$22)*(RASANTE!F162-PERALTE!$Q$22)-2),IF(RASANTE!F162&lt;=PERALTE!$X$22,8,IF(RASANTE!F162&lt;=PERALTE!$AB$22,(10/(PERALTE!$X$22-PERALTE!$AB$22)*(RASANTE!F162-PERALTE!$AB$22)-2))))),IF(AND(AH!#REF!="Derecha",RASANTE!F162&lt;=PERALTE!#REF!),IF(RASANTE!F162&lt;=PERALTE!#REF!,-2,IF(RASANTE!F162&lt;=PERALTE!#REF!,(-6/(PERALTE!#REF!-PERALTE!#REF!)*(RASANTE!F162-PERALTE!#REF!)-2),IF(RASANTE!F162&lt;=PERALTE!#REF!,-8,IF(RASANTE!F162&lt;=PERALTE!#REF!,(-6/(PERALTE!#REF!-PERALTE!#REF!)*(RASANTE!F162-PERALTE!#REF!)-2),IF(RASANTE!F162&lt;=PERALTE!#REF!,-2))))),IF(AND(AH!#REF!="Izquierda",RASANTE!F162&lt;=PERALTE!#REF!),IF(RASANTE!F162&lt;=PERALTE!#REF!,-2,IF(RASANTE!F162&lt;=PERALTE!#REF!,(10/(PERALTE!#REF!-PERALTE!#REF!)*(RASANTE!F162-PERALTE!#REF!)-2),IF(RASANTE!F162&lt;=PERALTE!#REF!,8,IF(RASANTE!F162&lt;=PERALTE!#REF!,(10/(PERALTE!#REF!-PERALTE!#REF!)*(RASANTE!F162-PERALTE!#REF!)-2))))),IF(AND(AH!#REF!="Derecha",RASANTE!F162&lt;=PERALTE!$AB$26),IF(RASANTE!F162&lt;=PERALTE!$S$26,-2,IF(RASANTE!F162&lt;=PERALTE!$U$26,(-6/(PERALTE!$U$26-PERALTE!$S$26)*(RASANTE!F162-PERALTE!$S$26)-2),IF(RASANTE!F162&lt;=PERALTE!$X$26,-8,IF(RASANTE!F162&lt;=PERALTE!$Z$26,(-6/(PERALTE!$X$26-PERALTE!$Z$26)*(RASANTE!F162-PERALTE!$Z$26)-2),IF(RASANTE!F162&lt;=PERALTE!$AB$26,-2))))),IF(AND(AH!#REF!="Izquierda",RASANTE!F162&lt;=PERALTE!$AB$26),IF(RASANTE!F162&lt;=PERALTE!$Q$26,-2,IF(RASANTE!F162&lt;=PERALTE!$U$26,(10/(PERALTE!$U$26-PERALTE!$Q$26)*(RASANTE!F162-PERALTE!$Q$26)-2),IF(RASANTE!F162&lt;=PERALTE!$X$26,8,IF(RASANTE!F162&lt;=PERALTE!$AB$26,(10/(PERALTE!$X$26-PERALTE!$AB$26)*(RASANTE!F162-PERALTE!$AB$26)-2))))),IF(F162&lt;=PERALTE!#REF!,-2,"Abscisa fuera de la vía")))))))))))))))))))))</f>
        <v>-2</v>
      </c>
      <c r="J162" s="28">
        <f t="shared" si="6"/>
        <v>1613.4657380375925</v>
      </c>
      <c r="K162" s="28">
        <f>+IF(AND(AV!$S$6&lt;F162,F162&lt;=AV!$T$6),AV!$P$6*((AV!$S$6-RASANTE!F162)/(AV!$N$6))^2,IF(AND(AV!$T$6&lt;RASANTE!F162,F162&lt;AV!$U$6),AV!$P$6*((AV!$U$6-RASANTE!F162)/(AV!$O$6))^2,IF(AND(AV!$S$8&lt;F162,F162&lt;=AV!$T$8),AV!$P$8*((AV!$S$8-RASANTE!F162)/(AV!$N$8))^2,IF(AND(AV!$T$8&lt;RASANTE!F162,F162&lt;AV!$U$8),AV!$P$8*((AV!$U$8-RASANTE!F162)/(AV!$O$8))^2,IF(AND(AV!$S$10&lt;F162,F162&lt;=AV!$T$10),AV!$P$10*((AV!$S$10-RASANTE!F162)/(AV!$N$10))^2,IF(AND(AV!$T$10&lt;RASANTE!F162,F162&lt;AV!$U$10),AV!$P$10*((AV!$U$10-RASANTE!F162)/(AV!$O$10))^2,IF(AND(AV!$S$12&lt;F162,F162&lt;=AV!$T$12),AV!$P$12*((AV!$S$12-RASANTE!F162)/(AV!$N$12))^2,IF(AND(AV!$T$12&lt;RASANTE!F162,F162&lt;AV!$U$12),AV!$P$12*((AV!$U$12-RASANTE!F162)/(AV!$O$12))^2,IF(AND(AV!$S$14&lt;F162,F162&lt;=AV!$T$14),AV!$P$14*((AV!$S$14-RASANTE!F162)/(AV!$N$14))^2,IF(AND(AV!$T$14&lt;RASANTE!F162,F162&lt;AV!$U$14),AV!$P$14*((AV!$U$14-RASANTE!F162)/(AV!$O$14))^2,IF(AND(AV!$S$16&lt;F162,F162&lt;=AV!$T$16),AV!$P$16*((AV!$S$16-RASANTE!F162)/(AV!$N$16))^2,IF(AND(AV!$T$16&lt;RASANTE!F162,F162&lt;AV!$U$16),AV!$P$16*((AV!$U$16-RASANTE!F162)/(AV!$O$16))^2,IF(AND(AV!$S$18&lt;F162,F162&lt;=AV!$T$18),AV!$P$18*((AV!$S$18-RASANTE!F162)/(AV!$N$18))^2,IF(AND(AV!$T$18&lt;RASANTE!F162,F162&lt;AV!$U$18),AV!$P$18*((AV!$U$18-RASANTE!F162)/(AV!$O$18))^2,IF(AND(AV!$S$20&lt;F162,F162&lt;=AV!$T$20),AV!$P$20*((AV!$S$20-RASANTE!F162)/(AV!$N$20))^2,IF(AND(AV!$T$20&lt;RASANTE!F162,F162&lt;AV!$U$20),AV!$P$20*((AV!$U$20-RASANTE!F162)/(AV!$O$20))^2,IF(AND(AV!$S$22&lt;F162,F162&lt;=AV!$T$22),AV!$P$22*((AV!$S$22-RASANTE!F162)/(AV!$N$22))^2,IF(AND(AV!$T$22&lt;RASANTE!F162,F162&lt;AV!$U$22),AV!$P$22*((AV!$U$22-RASANTE!F162)/(AV!$O$22))^2,IF(AND(AV!$S$24&lt;F162,F162&lt;=AV!$T$24),AV!$P$24*((AV!$S$24-RASANTE!F162)/(AV!$N$24))^2,IF(AND(AV!$T$24&lt;RASANTE!F162,F162&lt;AV!$U$24),AV!$P$24*((AV!$U$24-RASANTE!F162)/(AV!$O$24))^2,0))))))))))))))))))))</f>
        <v>0.35176528125000001</v>
      </c>
      <c r="L162" s="28">
        <f>+M162+H162%*PERALTE!$C$32</f>
        <v>1613.7475033188425</v>
      </c>
      <c r="M162" s="28">
        <f t="shared" si="5"/>
        <v>1613.8175033188425</v>
      </c>
      <c r="N162" s="28">
        <f>+M162+I162%*PERALTE!$C$32</f>
        <v>1613.7475033188425</v>
      </c>
      <c r="O162" s="92"/>
      <c r="P162" s="84"/>
      <c r="Q162" s="84"/>
      <c r="R162" s="84"/>
      <c r="S162" s="84"/>
      <c r="T162" s="84"/>
      <c r="U162" s="84"/>
      <c r="V162" s="84"/>
      <c r="W162" s="84"/>
      <c r="X162" s="84"/>
      <c r="Y162" s="84"/>
    </row>
    <row r="163" spans="1:25" ht="15.75" customHeight="1" x14ac:dyDescent="0.2">
      <c r="A163" s="90"/>
      <c r="B163" s="86"/>
      <c r="C163" s="86"/>
      <c r="D163" s="86"/>
      <c r="E163" s="152">
        <f>AV!P12</f>
        <v>3.0881999999999996</v>
      </c>
      <c r="F163" s="34">
        <v>1000</v>
      </c>
      <c r="G163" s="88">
        <f>IF(F163&lt;=AV!$T$6,AV!$C$5,IF(RASANTE!F163&lt;=AV!$T$8,AV!$C$7,IF(RASANTE!F163&lt;=AV!$T$10,AV!$C$9,IF(RASANTE!F163&lt;=AV!$T$12,AV!$C$11,IF(RASANTE!F163&lt;=AV!$T$14,AV!$C$13,IF(RASANTE!F163&lt;=AV!$T$16,AV!$C$15, IF(RASANTE!F163&lt;=AV!$T$18,AV!$C$17,IF(RASANTE!F163&lt;=AV!$T$20,AV!$C$19,IF(RASANTE!F163&lt;=AV!$T$22,AV!$C$21,IF(RASANTE!F163&lt;=AV!$T$24,AV!$C$23,AV!$C$25))))))))))</f>
        <v>-7.2409999999999997</v>
      </c>
      <c r="H163" s="28">
        <f>+IF(AND(AH!$H$8="Izquierda",RASANTE!F163&lt;=PERALTE!$AB$6),IF(RASANTE!F163&lt;=PERALTE!$S$6,-2,IF(RASANTE!F163&lt;=PERALTE!$U$6,(-6/(PERALTE!$U$6-PERALTE!$S$6)*(RASANTE!F163-PERALTE!$S$6)-2),IF(RASANTE!F163&lt;=PERALTE!$X$6,-8,IF(RASANTE!F163&lt;=PERALTE!$Z$6,(-6/(PERALTE!$X$6-PERALTE!$Z$6)*(RASANTE!F163-PERALTE!$Z$6)-2),IF(RASANTE!F163&lt;=PERALTE!$AB$6,-2))))),IF(AND(AH!$H$8="Derecha",RASANTE!F163&lt;=PERALTE!$AB$6),IF(RASANTE!F163&lt;=PERALTE!$Q$6,-2,IF(RASANTE!F163&lt;=PERALTE!$U$6,(10/(PERALTE!$U$6-PERALTE!$Q$6)*(RASANTE!F163-PERALTE!$Q$6)-2),IF(RASANTE!F163&lt;=PERALTE!$X$6,8,IF(RASANTE!F163&lt;=PERALTE!$AB$6,(10/(PERALTE!$X$6-PERALTE!$AB$6)*(RASANTE!F163-PERALTE!$AB$6)-2))))),IF(AND(AH!$H$10="Izquierda",RASANTE!F163&lt;=PERALTE!$AB$8),IF(RASANTE!F163&lt;=PERALTE!$S$8,-2,IF(RASANTE!F163&lt;=PERALTE!$U$8,(-6/(PERALTE!$U$8-PERALTE!$S$8)*(RASANTE!F163-PERALTE!$S$8)-2),IF(RASANTE!F163&lt;=PERALTE!$X$8,-8,IF(RASANTE!F163&lt;=PERALTE!$Z$8,(-6/(PERALTE!$X$8-PERALTE!$Z$8)*(RASANTE!F163-PERALTE!$Z$8)-2),IF(RASANTE!F163&lt;=PERALTE!$AB$8,-2))))),IF(AND(AH!$H$10="Derecha",RASANTE!F163&lt;=PERALTE!$AB$8),IF(RASANTE!F163&lt;=PERALTE!$Q$8,-2,IF(RASANTE!F163&lt;=PERALTE!$U$8,(10/(PERALTE!$U$8-PERALTE!$Q$8)*(RASANTE!F163-PERALTE!$Q$8)-2),IF(RASANTE!F163&lt;=PERALTE!$X$8,8,IF(RASANTE!F163&lt;=PERALTE!$AB$8,(10/(PERALTE!$X$8-PERALTE!$AB$8)*(RASANTE!F163-PERALTE!$AB$8)-2))))),IF(AND(AH!$H$12="Izquierda",RASANTE!F163&lt;=PERALTE!$AB$10),IF(RASANTE!F163&lt;=PERALTE!$S$10,-2,IF(RASANTE!F163&lt;=PERALTE!$U$10,(-6/(PERALTE!$U$10-PERALTE!$S$10)*(RASANTE!F163-PERALTE!$S$10)-2),IF(RASANTE!F163&lt;=PERALTE!$X$10,-8,IF(RASANTE!F163&lt;=PERALTE!$Z$10,(-6/(PERALTE!$X$10-PERALTE!$Z$10)*(RASANTE!F163-PERALTE!$Z$10)-2),IF(RASANTE!F163&lt;=PERALTE!$AB$10,-2))))),IF(AND(AH!$H$12="Derecha",RASANTE!F163&lt;=PERALTE!$AB$10),IF(RASANTE!F163&lt;=PERALTE!$Q$10,-2,IF(RASANTE!F163&lt;=PERALTE!$U$10,(10/(PERALTE!$U$10-PERALTE!$Q$10)*(RASANTE!F163-PERALTE!$Q$10)-2),IF(RASANTE!F163&lt;=PERALTE!$X$10,8,IF(RASANTE!F163&lt;=PERALTE!$AB$10,(10/(PERALTE!$X$10-PERALTE!$AB$10)*(RASANTE!F163-PERALTE!$AB$10)-2))))),IF(AND(AH!$H$14="Izquierda",RASANTE!F163&lt;=PERALTE!$AB$12),IF(RASANTE!F163&lt;=PERALTE!$S$12,-2,IF(RASANTE!F163&lt;=PERALTE!$U$12,(-6/(PERALTE!$U$12-PERALTE!$S$12)*(RASANTE!F163-PERALTE!$S$12)-2),IF(RASANTE!F163&lt;=PERALTE!$X$12,-8,IF(RASANTE!F163&lt;=PERALTE!$Z$12,(-6/(PERALTE!$X$12-PERALTE!$Z$12)*(RASANTE!F163-PERALTE!$Z$12)-2),IF(RASANTE!F163&lt;=PERALTE!$AB$12,-2))))),IF(AND(AH!$H$14="Derecha",RASANTE!F163&lt;=PERALTE!$AB$12),IF(RASANTE!F163&lt;=PERALTE!$Q$12,-2,IF(RASANTE!F163&lt;=PERALTE!$U$12,(10/(PERALTE!$U$12-PERALTE!$Q$12)*(RASANTE!F163-PERALTE!$Q$12)-2),IF(RASANTE!F163&lt;=PERALTE!$X$12,8,IF(RASANTE!F163&lt;=PERALTE!$AB$12,(10/(PERALTE!$X$12-PERALTE!$AB$12)*(RASANTE!F163-PERALTE!$AB$12)-2))))),IF(AND(AH!$H$16="Izquierda",RASANTE!F163&lt;=PERALTE!$AB$14),IF(RASANTE!F163&lt;=PERALTE!$S$14,-2,IF(RASANTE!F163&lt;=PERALTE!$U$14,(-6/(PERALTE!$U$14-PERALTE!$S$14)*(RASANTE!F163-PERALTE!$S$14)-2),IF(RASANTE!F163&lt;=PERALTE!$X$14,-8,IF(RASANTE!F163&lt;=PERALTE!$Z$14,(-6/(PERALTE!$X$14-PERALTE!$Z$14)*(RASANTE!F163-PERALTE!$Z$14)-2),IF(RASANTE!F163&lt;=PERALTE!$AB$14,-2))))),IF(AND(AH!$H$16="Derecha",RASANTE!F163&lt;=PERALTE!$AB$14),IF(RASANTE!F163&lt;=PERALTE!$Q$14,-2,IF(RASANTE!F163&lt;=PERALTE!$U$14,(10/(PERALTE!$U$14-PERALTE!$Q$14)*(RASANTE!F163-PERALTE!$Q$14)-2),IF(RASANTE!F163&lt;=PERALTE!$X$14,8,IF(RASANTE!F163&lt;=PERALTE!$AB$14,(10/(PERALTE!$X$14-PERALTE!$AB$14)*(RASANTE!F163-PERALTE!$AB$14)-2))))),IF(AND(AH!$H$18="Izquierda",RASANTE!F163&lt;=PERALTE!$AB$16),IF(RASANTE!F163&lt;=PERALTE!$S$16,-2,IF(RASANTE!F163&lt;=PERALTE!$U$16,(-6/(PERALTE!$U$16-PERALTE!$S$16)*(RASANTE!F163-PERALTE!$S$16)-2),IF(RASANTE!F163&lt;=PERALTE!$X$16,-8,IF(RASANTE!F163&lt;=PERALTE!$Z$16,(-6/(PERALTE!$X$16-PERALTE!$Z$16)*(RASANTE!F163-PERALTE!$Z$16)-2),IF(RASANTE!F163&lt;=PERALTE!$AB$16,-2))))),IF(AND(AH!$H$18="Derecha",RASANTE!F163&lt;=PERALTE!$AB$16),IF(RASANTE!F163&lt;=PERALTE!$Q$16,-2,IF(RASANTE!F163&lt;=PERALTE!$U$16,(10/(PERALTE!$U$16-PERALTE!$Q$16)*(RASANTE!F163-PERALTE!$Q$16)-2),IF(RASANTE!F163&lt;=PERALTE!$X$16,8,IF(RASANTE!F163&lt;=PERALTE!$AB$16,(10/(PERALTE!$X$16-PERALTE!$AB$16)*(RASANTE!F163-PERALTE!$AB$16)-2))))),IF(AND(AH!$H$20="Izquierda",RASANTE!F163&lt;=PERALTE!$AB$18),IF(RASANTE!F163&lt;=PERALTE!$S$18,-2,IF(RASANTE!F163&lt;=PERALTE!$U$18,(-6/(PERALTE!$U$18-PERALTE!$S$18)*(RASANTE!F163-PERALTE!$S$18)-2),IF(RASANTE!F163&lt;=PERALTE!$X$18,-8,IF(RASANTE!F163&lt;=PERALTE!$Z$18,(-6/(PERALTE!$X$18-PERALTE!$Z$18)*(RASANTE!F163-PERALTE!$Z$18)-2),IF(RASANTE!F163&lt;=PERALTE!$AB$18,-2))))),IF(AND(AH!$H$20="Derecha",RASANTE!F163&lt;=PERALTE!$AB$18),IF(RASANTE!F163&lt;=PERALTE!$Q$18,-2,IF(RASANTE!F163&lt;=PERALTE!$U$18,(10/(PERALTE!$U$18-PERALTE!$Q$18)*(RASANTE!F163-PERALTE!$Q$18)-2),IF(RASANTE!F163&lt;=PERALTE!$X$18,8,IF(RASANTE!F163&lt;=PERALTE!$AB$18,(10/(PERALTE!$X$18-PERALTE!$AB$18)*(RASANTE!F163-PERALTE!$AB$18)-2))))),IF(AND(AH!$H$24="Izquierda",RASANTE!F163&lt;=PERALTE!$AB$22),IF(RASANTE!F163&lt;=PERALTE!$S$22,-2,IF(RASANTE!F163&lt;=PERALTE!$U$22,(-6/(PERALTE!$U$22-PERALTE!$S$22)*(RASANTE!F163-PERALTE!$S$22)-2),IF(RASANTE!F163&lt;=PERALTE!$X$22,-8,IF(RASANTE!F163&lt;=PERALTE!$Z$22,(-6/(PERALTE!$X$22-PERALTE!$Z$22)*(RASANTE!F163-PERALTE!$Z$22)-2),IF(RASANTE!F163&lt;=PERALTE!$AB$22,-2))))),IF(AND(AH!$H$24="Derecha",RASANTE!F163&lt;=PERALTE!$AB$22),IF(RASANTE!F163&lt;=PERALTE!$Q$22,-2,IF(RASANTE!F163&lt;=PERALTE!$U$22,(10/(PERALTE!$U$22-PERALTE!$Q$22)*(RASANTE!F163-PERALTE!$Q$22)-2),IF(RASANTE!F163&lt;=PERALTE!$X$22,8,IF(RASANTE!F163&lt;=PERALTE!$AB$22,(10/(PERALTE!$X$22-PERALTE!$AB$22)*(RASANTE!F163-PERALTE!$AB$22)-2))))),IF(AND(AH!#REF!="Izquierda",RASANTE!F163&lt;=PERALTE!#REF!),IF(RASANTE!F163&lt;=PERALTE!#REF!,-2,IF(RASANTE!F163&lt;=PERALTE!#REF!,(-6/(PERALTE!#REF!-PERALTE!#REF!)*(RASANTE!F163-PERALTE!#REF!)-2),IF(RASANTE!F163&lt;=PERALTE!#REF!,-8,IF(RASANTE!F163&lt;=PERALTE!#REF!,(-6/(PERALTE!#REF!-PERALTE!#REF!)*(RASANTE!F163-PERALTE!#REF!)-2),IF(RASANTE!F163&lt;=PERALTE!#REF!,-2))))),IF(AND(AH!#REF!="Derecha",RASANTE!F163&lt;=PERALTE!#REF!),IF(RASANTE!F163&lt;=PERALTE!#REF!,-2,IF(RASANTE!F163&lt;=PERALTE!#REF!,(10/(PERALTE!#REF!-PERALTE!#REF!)*(RASANTE!F163-PERALTE!#REF!)-2),IF(RASANTE!F163&lt;=PERALTE!#REF!,8,IF(RASANTE!F163&lt;=PERALTE!#REF!,(10/(PERALTE!#REF!-PERALTE!#REF!)*(RASANTE!F163-PERALTE!#REF!)-2))))),IF(AND(AH!#REF!="Izquierda",RASANTE!F163&lt;=PERALTE!$AB$26),IF(RASANTE!F163&lt;=PERALTE!$S$26,-2,IF(RASANTE!F163&lt;=PERALTE!$U$26,(-6/(PERALTE!$U$26-PERALTE!$S$26)*(RASANTE!F163-PERALTE!$S$26)-2),IF(RASANTE!F163&lt;=PERALTE!$X$26,-8,IF(RASANTE!F163&lt;=PERALTE!$Z$26,(-6/(PERALTE!$X$26-PERALTE!$Z$26)*(RASANTE!F163-PERALTE!$Z$26)-2),IF(RASANTE!F163&lt;=PERALTE!$AB$26,-2))))),IF(AND(AH!#REF!="Derecha",RASANTE!F163&lt;=PERALTE!$AB$26),IF(RASANTE!F163&lt;=PERALTE!$Q$26,-2,IF(RASANTE!F163&lt;=PERALTE!$U$26,(10/(PERALTE!$U$26-PERALTE!$Q$26)*(RASANTE!F163-PERALTE!$Q$26)-2),IF(RASANTE!F163&lt;=PERALTE!$X$26,8,IF(RASANTE!F163&lt;=PERALTE!$AB$26,(10/(PERALTE!$X$26-PERALTE!$AB$26)*(RASANTE!F163-PERALTE!$AB$26)-2))))),IF(F163&lt;=PERALTE!#REF!,-2,"Abscisa fuera de la vía")))))))))))))))))))))</f>
        <v>-2</v>
      </c>
      <c r="I163" s="28">
        <f>+IF(AND(AH!$H$8="Derecha",RASANTE!F163&lt;=PERALTE!$AB$6),IF(RASANTE!F163&lt;=PERALTE!$S$6,-2,IF(RASANTE!F163&lt;=PERALTE!$U$6,(-6/(PERALTE!$U$6-PERALTE!$S$6)*(RASANTE!F163-PERALTE!$S$6)-2),IF(RASANTE!F163&lt;=PERALTE!$X$6,-8,IF(RASANTE!F163&lt;=PERALTE!$Z$6,(-6/(PERALTE!$X$6-PERALTE!$Z$6)*(RASANTE!F163-PERALTE!$Z$6)-2),IF(RASANTE!F163&lt;=PERALTE!$AB$6,-2))))),IF(AND(AH!$H$8="Izquierda",RASANTE!F163&lt;=PERALTE!$AB$6),IF(RASANTE!F163&lt;=PERALTE!$Q$6,-2,IF(RASANTE!F163&lt;=PERALTE!$U$6,(10/(PERALTE!$U$6-PERALTE!$Q$6)*(RASANTE!F163-PERALTE!$Q$6)-2),IF(RASANTE!F163&lt;=PERALTE!$X$6,8,IF(RASANTE!F163&lt;=PERALTE!$AB$6,(10/(PERALTE!$X$6-PERALTE!$AB$6)*(RASANTE!F163-PERALTE!$AB$6)-2))))),IF(AND(AH!$H$10="Derecha",RASANTE!F163&lt;=PERALTE!$AB$8),IF(RASANTE!F163&lt;=PERALTE!$S$8,-2,IF(RASANTE!F163&lt;=PERALTE!$U$8,(-6/(PERALTE!$U$8-PERALTE!$S$8)*(RASANTE!F163-PERALTE!$S$8)-2),IF(RASANTE!F163&lt;=PERALTE!$X$8,-8,IF(RASANTE!F163&lt;=PERALTE!$Z$8,(-6/(PERALTE!$X$8-PERALTE!$Z$8)*(RASANTE!F163-PERALTE!$Z$8)-2),IF(RASANTE!F163&lt;=PERALTE!$AB$8,-2))))),IF(AND(AH!$H$10="Izquierda",RASANTE!F163&lt;=PERALTE!$AB$8),IF(RASANTE!F163&lt;=PERALTE!$Q$8,-2,IF(RASANTE!F163&lt;=PERALTE!$U$8,(10/(PERALTE!$U$8-PERALTE!$Q$8)*(RASANTE!F163-PERALTE!$Q$8)-2),IF(RASANTE!F163&lt;=PERALTE!$X$8,8,IF(RASANTE!F163&lt;=PERALTE!$AB$8,(10/(PERALTE!$X$8-PERALTE!$AB$8)*(RASANTE!F163-PERALTE!$AB$8)-2))))),IF(AND(AH!$H$12="Derecha",RASANTE!F163&lt;=PERALTE!$AB$10),IF(RASANTE!F163&lt;=PERALTE!$S$10,-2,IF(RASANTE!F163&lt;=PERALTE!$U$10,(-6/(PERALTE!$U$10-PERALTE!$S$10)*(RASANTE!F163-PERALTE!$S$10)-2),IF(RASANTE!F163&lt;=PERALTE!$X$10,-8,IF(RASANTE!F163&lt;=PERALTE!$Z$10,(-6/(PERALTE!$X$10-PERALTE!$Z$10)*(RASANTE!F163-PERALTE!$Z$10)-2),IF(RASANTE!F163&lt;=PERALTE!$AB$10,-2))))),IF(AND(AH!$H$12="Izquierda",RASANTE!F163&lt;=PERALTE!$AB$10),IF(RASANTE!F163&lt;=PERALTE!$Q$10,-2,IF(RASANTE!F163&lt;=PERALTE!$U$10,(10/(PERALTE!$U$10-PERALTE!$Q$10)*(RASANTE!F163-PERALTE!$Q$10)-2),IF(RASANTE!F163&lt;=PERALTE!$X$10,8,IF(RASANTE!F163&lt;=PERALTE!$AB$10,(10/(PERALTE!$X$10-PERALTE!$AB$10)*(RASANTE!F163-PERALTE!$AB$10)-2))))),IF(AND(AH!$H$14="Derecha",RASANTE!F163&lt;=PERALTE!$AB$12),IF(RASANTE!F163&lt;=PERALTE!$S$12,-2,IF(RASANTE!F163&lt;=PERALTE!$U$12,(-6/(PERALTE!$U$12-PERALTE!$S$12)*(RASANTE!F163-PERALTE!$S$12)-2),IF(RASANTE!F163&lt;=PERALTE!$X$12,-8,IF(RASANTE!F163&lt;=PERALTE!$Z$12,(-6/(PERALTE!$X$12-PERALTE!$Z$12)*(RASANTE!F163-PERALTE!$Z$12)-2),IF(RASANTE!F163&lt;=PERALTE!$AB$12,-2))))),IF(AND(AH!$H$14="Izquierda",RASANTE!F163&lt;=PERALTE!$AB$12),IF(RASANTE!F163&lt;=PERALTE!$Q$12,-2,IF(RASANTE!F163&lt;=PERALTE!$U$12,(10/(PERALTE!$U$12-PERALTE!$Q$12)*(RASANTE!F163-PERALTE!$Q$12)-2),IF(RASANTE!F163&lt;=PERALTE!$X$12,8,IF(RASANTE!F163&lt;=PERALTE!$AB$12,(10/(PERALTE!$X$12-PERALTE!$AB$12)*(RASANTE!F163-PERALTE!$AB$12)-2))))),IF(AND(AH!$H$16="Derecha",RASANTE!F163&lt;=PERALTE!$AB$14),IF(RASANTE!F163&lt;=PERALTE!$S$14,-2,IF(RASANTE!F163&lt;=PERALTE!$U$14,(-6/(PERALTE!$U$14-PERALTE!$S$14)*(RASANTE!F163-PERALTE!$S$14)-2),IF(RASANTE!F163&lt;=PERALTE!$X$14,-8,IF(RASANTE!F163&lt;=PERALTE!$Z$14,(-6/(PERALTE!$X$14-PERALTE!$Z$14)*(RASANTE!F163-PERALTE!$Z$14)-2),IF(RASANTE!F163&lt;=PERALTE!$AB$14,-2))))),IF(AND(AH!$H$16="Izquierda",RASANTE!F163&lt;=PERALTE!$AB$14),IF(RASANTE!F163&lt;=PERALTE!$Q$14,-2,IF(RASANTE!F163&lt;=PERALTE!$U$14,(10/(PERALTE!$U$14-PERALTE!$Q$14)*(RASANTE!F163-PERALTE!$Q$14)-2),IF(RASANTE!F163&lt;=PERALTE!$X$14,8,IF(RASANTE!F163&lt;=PERALTE!$AB$14,(10/(PERALTE!$X$14-PERALTE!$AB$14)*(RASANTE!F163-PERALTE!$AB$14)-2))))),IF(AND(AH!$H$18="Derecha",RASANTE!F163&lt;=PERALTE!$AB$16),IF(RASANTE!F163&lt;=PERALTE!$S$16,-2,IF(RASANTE!F163&lt;=PERALTE!$U$16,(-6/(PERALTE!$U$16-PERALTE!$S$16)*(RASANTE!F163-PERALTE!$S$16)-2),IF(RASANTE!F163&lt;=PERALTE!$X$16,-8,IF(RASANTE!F163&lt;=PERALTE!$Z$16,(-6/(PERALTE!$X$16-PERALTE!$Z$16)*(RASANTE!F163-PERALTE!$Z$16)-2),IF(RASANTE!F163&lt;=PERALTE!$AB$16,-2))))),IF(AND(AH!$H$18="Izquierda",RASANTE!F163&lt;=PERALTE!$AB$16),IF(RASANTE!F163&lt;=PERALTE!$Q$16,-2,IF(RASANTE!F163&lt;=PERALTE!$U$16,(10/(PERALTE!$U$16-PERALTE!$Q$16)*(RASANTE!F163-PERALTE!$Q$16)-2),IF(RASANTE!F163&lt;=PERALTE!$X$16,8,IF(RASANTE!F163&lt;=PERALTE!$AB$16,(10/(PERALTE!$X$16-PERALTE!$AB$16)*(RASANTE!F163-PERALTE!$AB$16)-2))))),IF(AND(AH!$H$20="Derecha",RASANTE!F163&lt;=PERALTE!$AB$18),IF(RASANTE!F163&lt;=PERALTE!$S$18,-2,IF(RASANTE!F163&lt;=PERALTE!$U$18,(-6/(PERALTE!$U$18-PERALTE!$S$18)*(RASANTE!F163-PERALTE!$S$18)-2),IF(RASANTE!F163&lt;=PERALTE!$X$18,-8,IF(RASANTE!F163&lt;=PERALTE!$Z$18,(-6/(PERALTE!$X$18-PERALTE!$Z$18)*(RASANTE!F163-PERALTE!$Z$18)-2),IF(RASANTE!F163&lt;=PERALTE!$AB$18,-2))))),IF(AND(AH!$H$20="Izquierda",RASANTE!F163&lt;=PERALTE!$AB$18),IF(RASANTE!F163&lt;=PERALTE!$Q$18,-2,IF(RASANTE!F163&lt;=PERALTE!$U$18,(10/(PERALTE!$U$18-PERALTE!$Q$18)*(RASANTE!F163-PERALTE!$Q$18)-2),IF(RASANTE!F163&lt;=PERALTE!$X$18,8,IF(RASANTE!F163&lt;=PERALTE!$AB$18,(10/(PERALTE!$X$18-PERALTE!$AB$18)*(RASANTE!F163-PERALTE!$AB$18)-2))))),IF(AND(AH!$H$24="Derecha",RASANTE!F163&lt;=PERALTE!$AB$22),IF(RASANTE!F163&lt;=PERALTE!$S$22,-2,IF(RASANTE!F163&lt;=PERALTE!$U$22,(-6/(PERALTE!$U$22-PERALTE!$S$22)*(RASANTE!F163-PERALTE!$S$22)-2),IF(RASANTE!F163&lt;=PERALTE!$X$22,-8,IF(RASANTE!F163&lt;=PERALTE!$Z$22,(-6/(PERALTE!$X$22-PERALTE!$Z$22)*(RASANTE!F163-PERALTE!$Z$22)-2),IF(RASANTE!F163&lt;=PERALTE!$AB$22,-2))))),IF(AND(AH!$H$24="Izquierda",RASANTE!F163&lt;=PERALTE!$AB$22),IF(RASANTE!F163&lt;=PERALTE!$Q$22,-2,IF(RASANTE!F163&lt;=PERALTE!$U$22,(10/(PERALTE!$U$22-PERALTE!$Q$22)*(RASANTE!F163-PERALTE!$Q$22)-2),IF(RASANTE!F163&lt;=PERALTE!$X$22,8,IF(RASANTE!F163&lt;=PERALTE!$AB$22,(10/(PERALTE!$X$22-PERALTE!$AB$22)*(RASANTE!F163-PERALTE!$AB$22)-2))))),IF(AND(AH!#REF!="Derecha",RASANTE!F163&lt;=PERALTE!#REF!),IF(RASANTE!F163&lt;=PERALTE!#REF!,-2,IF(RASANTE!F163&lt;=PERALTE!#REF!,(-6/(PERALTE!#REF!-PERALTE!#REF!)*(RASANTE!F163-PERALTE!#REF!)-2),IF(RASANTE!F163&lt;=PERALTE!#REF!,-8,IF(RASANTE!F163&lt;=PERALTE!#REF!,(-6/(PERALTE!#REF!-PERALTE!#REF!)*(RASANTE!F163-PERALTE!#REF!)-2),IF(RASANTE!F163&lt;=PERALTE!#REF!,-2))))),IF(AND(AH!#REF!="Izquierda",RASANTE!F163&lt;=PERALTE!#REF!),IF(RASANTE!F163&lt;=PERALTE!#REF!,-2,IF(RASANTE!F163&lt;=PERALTE!#REF!,(10/(PERALTE!#REF!-PERALTE!#REF!)*(RASANTE!F163-PERALTE!#REF!)-2),IF(RASANTE!F163&lt;=PERALTE!#REF!,8,IF(RASANTE!F163&lt;=PERALTE!#REF!,(10/(PERALTE!#REF!-PERALTE!#REF!)*(RASANTE!F163-PERALTE!#REF!)-2))))),IF(AND(AH!#REF!="Derecha",RASANTE!F163&lt;=PERALTE!$AB$26),IF(RASANTE!F163&lt;=PERALTE!$S$26,-2,IF(RASANTE!F163&lt;=PERALTE!$U$26,(-6/(PERALTE!$U$26-PERALTE!$S$26)*(RASANTE!F163-PERALTE!$S$26)-2),IF(RASANTE!F163&lt;=PERALTE!$X$26,-8,IF(RASANTE!F163&lt;=PERALTE!$Z$26,(-6/(PERALTE!$X$26-PERALTE!$Z$26)*(RASANTE!F163-PERALTE!$Z$26)-2),IF(RASANTE!F163&lt;=PERALTE!$AB$26,-2))))),IF(AND(AH!#REF!="Izquierda",RASANTE!F163&lt;=PERALTE!$AB$26),IF(RASANTE!F163&lt;=PERALTE!$Q$26,-2,IF(RASANTE!F163&lt;=PERALTE!$U$26,(10/(PERALTE!$U$26-PERALTE!$Q$26)*(RASANTE!F163-PERALTE!$Q$26)-2),IF(RASANTE!F163&lt;=PERALTE!$X$26,8,IF(RASANTE!F163&lt;=PERALTE!$AB$26,(10/(PERALTE!$X$26-PERALTE!$AB$26)*(RASANTE!F163-PERALTE!$AB$26)-2))))),IF(F163&lt;=PERALTE!#REF!,-2,"Abscisa fuera de la vía")))))))))))))))))))))</f>
        <v>-2</v>
      </c>
      <c r="J163" s="28">
        <f t="shared" si="6"/>
        <v>1612.7416380375926</v>
      </c>
      <c r="K163" s="28">
        <f>+IF(AND(AV!$S$6&lt;F163,F163&lt;=AV!$T$6),AV!$P$6*((AV!$S$6-RASANTE!F163)/(AV!$N$6))^2,IF(AND(AV!$T$6&lt;RASANTE!F163,F163&lt;AV!$U$6),AV!$P$6*((AV!$U$6-RASANTE!F163)/(AV!$O$6))^2,IF(AND(AV!$S$8&lt;F163,F163&lt;=AV!$T$8),AV!$P$8*((AV!$S$8-RASANTE!F163)/(AV!$N$8))^2,IF(AND(AV!$T$8&lt;RASANTE!F163,F163&lt;AV!$U$8),AV!$P$8*((AV!$U$8-RASANTE!F163)/(AV!$O$8))^2,IF(AND(AV!$S$10&lt;F163,F163&lt;=AV!$T$10),AV!$P$10*((AV!$S$10-RASANTE!F163)/(AV!$N$10))^2,IF(AND(AV!$T$10&lt;RASANTE!F163,F163&lt;AV!$U$10),AV!$P$10*((AV!$U$10-RASANTE!F163)/(AV!$O$10))^2,IF(AND(AV!$S$12&lt;F163,F163&lt;=AV!$T$12),AV!$P$12*((AV!$S$12-RASANTE!F163)/(AV!$N$12))^2,IF(AND(AV!$T$12&lt;RASANTE!F163,F163&lt;AV!$U$12),AV!$P$12*((AV!$U$12-RASANTE!F163)/(AV!$O$12))^2,IF(AND(AV!$S$14&lt;F163,F163&lt;=AV!$T$14),AV!$P$14*((AV!$S$14-RASANTE!F163)/(AV!$N$14))^2,IF(AND(AV!$T$14&lt;RASANTE!F163,F163&lt;AV!$U$14),AV!$P$14*((AV!$U$14-RASANTE!F163)/(AV!$O$14))^2,IF(AND(AV!$S$16&lt;F163,F163&lt;=AV!$T$16),AV!$P$16*((AV!$S$16-RASANTE!F163)/(AV!$N$16))^2,IF(AND(AV!$T$16&lt;RASANTE!F163,F163&lt;AV!$U$16),AV!$P$16*((AV!$U$16-RASANTE!F163)/(AV!$O$16))^2,IF(AND(AV!$S$18&lt;F163,F163&lt;=AV!$T$18),AV!$P$18*((AV!$S$18-RASANTE!F163)/(AV!$N$18))^2,IF(AND(AV!$T$18&lt;RASANTE!F163,F163&lt;AV!$U$18),AV!$P$18*((AV!$U$18-RASANTE!F163)/(AV!$O$18))^2,IF(AND(AV!$S$20&lt;F163,F163&lt;=AV!$T$20),AV!$P$20*((AV!$S$20-RASANTE!F163)/(AV!$N$20))^2,IF(AND(AV!$T$20&lt;RASANTE!F163,F163&lt;AV!$U$20),AV!$P$20*((AV!$U$20-RASANTE!F163)/(AV!$O$20))^2,IF(AND(AV!$S$22&lt;F163,F163&lt;=AV!$T$22),AV!$P$22*((AV!$S$22-RASANTE!F163)/(AV!$N$22))^2,IF(AND(AV!$T$22&lt;RASANTE!F163,F163&lt;AV!$U$22),AV!$P$22*((AV!$U$22-RASANTE!F163)/(AV!$O$22))^2,IF(AND(AV!$S$24&lt;F163,F163&lt;=AV!$T$24),AV!$P$24*((AV!$S$24-RASANTE!F163)/(AV!$N$24))^2,IF(AND(AV!$T$24&lt;RASANTE!F163,F163&lt;AV!$U$24),AV!$P$24*((AV!$U$24-RASANTE!F163)/(AV!$O$24))^2,0))))))))))))))))))))</f>
        <v>0.66058528124999993</v>
      </c>
      <c r="L163" s="28">
        <f>+M163+H163%*PERALTE!$C$32</f>
        <v>1613.3322233188426</v>
      </c>
      <c r="M163" s="28">
        <f t="shared" si="5"/>
        <v>1613.4022233188425</v>
      </c>
      <c r="N163" s="28">
        <f>+M163+I163%*PERALTE!$C$32</f>
        <v>1613.3322233188426</v>
      </c>
      <c r="O163" s="92"/>
      <c r="P163" s="84"/>
      <c r="Q163" s="84"/>
      <c r="R163" s="84"/>
      <c r="S163" s="84"/>
      <c r="T163" s="84"/>
      <c r="U163" s="84"/>
      <c r="V163" s="84"/>
      <c r="W163" s="84"/>
      <c r="X163" s="84"/>
      <c r="Y163" s="84"/>
    </row>
    <row r="164" spans="1:25" ht="15.75" customHeight="1" x14ac:dyDescent="0.2">
      <c r="A164" s="90"/>
      <c r="B164" s="86"/>
      <c r="C164" s="86"/>
      <c r="D164" s="86"/>
      <c r="E164" s="154">
        <f>AV!C13</f>
        <v>8.1999999999999993</v>
      </c>
      <c r="F164" s="34">
        <v>1010</v>
      </c>
      <c r="G164" s="88">
        <f>IF(F164&lt;=AV!$T$6,AV!$C$5,IF(RASANTE!F164&lt;=AV!$T$8,AV!$C$7,IF(RASANTE!F164&lt;=AV!$T$10,AV!$C$9,IF(RASANTE!F164&lt;=AV!$T$12,AV!$C$11,IF(RASANTE!F164&lt;=AV!$T$14,AV!$C$13,IF(RASANTE!F164&lt;=AV!$T$16,AV!$C$15, IF(RASANTE!F164&lt;=AV!$T$18,AV!$C$17,IF(RASANTE!F164&lt;=AV!$T$20,AV!$C$19,IF(RASANTE!F164&lt;=AV!$T$22,AV!$C$21,IF(RASANTE!F164&lt;=AV!$T$24,AV!$C$23,AV!$C$25))))))))))</f>
        <v>-7.2409999999999997</v>
      </c>
      <c r="H164" s="357">
        <v>-2</v>
      </c>
      <c r="I164" s="357">
        <v>-2</v>
      </c>
      <c r="J164" s="28">
        <f t="shared" si="6"/>
        <v>1612.0175380375927</v>
      </c>
      <c r="K164" s="28">
        <f>+IF(AND(AV!$S$6&lt;F164,F164&lt;=AV!$T$6),AV!$P$6*((AV!$S$6-RASANTE!F164)/(AV!$N$6))^2,IF(AND(AV!$T$6&lt;RASANTE!F164,F164&lt;AV!$U$6),AV!$P$6*((AV!$U$6-RASANTE!F164)/(AV!$O$6))^2,IF(AND(AV!$S$8&lt;F164,F164&lt;=AV!$T$8),AV!$P$8*((AV!$S$8-RASANTE!F164)/(AV!$N$8))^2,IF(AND(AV!$T$8&lt;RASANTE!F164,F164&lt;AV!$U$8),AV!$P$8*((AV!$U$8-RASANTE!F164)/(AV!$O$8))^2,IF(AND(AV!$S$10&lt;F164,F164&lt;=AV!$T$10),AV!$P$10*((AV!$S$10-RASANTE!F164)/(AV!$N$10))^2,IF(AND(AV!$T$10&lt;RASANTE!F164,F164&lt;AV!$U$10),AV!$P$10*((AV!$U$10-RASANTE!F164)/(AV!$O$10))^2,IF(AND(AV!$S$12&lt;F164,F164&lt;=AV!$T$12),AV!$P$12*((AV!$S$12-RASANTE!F164)/(AV!$N$12))^2,IF(AND(AV!$T$12&lt;RASANTE!F164,F164&lt;AV!$U$12),AV!$P$12*((AV!$U$12-RASANTE!F164)/(AV!$O$12))^2,IF(AND(AV!$S$14&lt;F164,F164&lt;=AV!$T$14),AV!$P$14*((AV!$S$14-RASANTE!F164)/(AV!$N$14))^2,IF(AND(AV!$T$14&lt;RASANTE!F164,F164&lt;AV!$U$14),AV!$P$14*((AV!$U$14-RASANTE!F164)/(AV!$O$14))^2,IF(AND(AV!$S$16&lt;F164,F164&lt;=AV!$T$16),AV!$P$16*((AV!$S$16-RASANTE!F164)/(AV!$N$16))^2,IF(AND(AV!$T$16&lt;RASANTE!F164,F164&lt;AV!$U$16),AV!$P$16*((AV!$U$16-RASANTE!F164)/(AV!$O$16))^2,IF(AND(AV!$S$18&lt;F164,F164&lt;=AV!$T$18),AV!$P$18*((AV!$S$18-RASANTE!F164)/(AV!$N$18))^2,IF(AND(AV!$T$18&lt;RASANTE!F164,F164&lt;AV!$U$18),AV!$P$18*((AV!$U$18-RASANTE!F164)/(AV!$O$18))^2,IF(AND(AV!$S$20&lt;F164,F164&lt;=AV!$T$20),AV!$P$20*((AV!$S$20-RASANTE!F164)/(AV!$N$20))^2,IF(AND(AV!$T$20&lt;RASANTE!F164,F164&lt;AV!$U$20),AV!$P$20*((AV!$U$20-RASANTE!F164)/(AV!$O$20))^2,IF(AND(AV!$S$22&lt;F164,F164&lt;=AV!$T$22),AV!$P$22*((AV!$S$22-RASANTE!F164)/(AV!$N$22))^2,IF(AND(AV!$T$22&lt;RASANTE!F164,F164&lt;AV!$U$22),AV!$P$22*((AV!$U$22-RASANTE!F164)/(AV!$O$22))^2,IF(AND(AV!$S$24&lt;F164,F164&lt;=AV!$T$24),AV!$P$24*((AV!$S$24-RASANTE!F164)/(AV!$N$24))^2,IF(AND(AV!$T$24&lt;RASANTE!F164,F164&lt;AV!$U$24),AV!$P$24*((AV!$U$24-RASANTE!F164)/(AV!$O$24))^2,0))))))))))))))))))))</f>
        <v>1.06591153125</v>
      </c>
      <c r="L164" s="28">
        <f>+M164+H164%*PERALTE!$C$32</f>
        <v>1613.0134495688428</v>
      </c>
      <c r="M164" s="28">
        <f t="shared" si="5"/>
        <v>1613.0834495688428</v>
      </c>
      <c r="N164" s="28">
        <f>+M164+I164%*PERALTE!$C$32</f>
        <v>1613.0134495688428</v>
      </c>
      <c r="O164" s="92"/>
      <c r="P164" s="84"/>
      <c r="Q164" s="84"/>
      <c r="R164" s="84"/>
      <c r="S164" s="84"/>
      <c r="T164" s="84"/>
      <c r="U164" s="84"/>
      <c r="V164" s="84"/>
      <c r="W164" s="84"/>
      <c r="X164" s="84"/>
      <c r="Y164" s="84"/>
    </row>
    <row r="165" spans="1:25" ht="15.75" customHeight="1" x14ac:dyDescent="0.2">
      <c r="A165" s="90"/>
      <c r="B165" s="86"/>
      <c r="C165" s="86"/>
      <c r="D165" s="86"/>
      <c r="E165" s="198" t="str">
        <f>AV!Q12</f>
        <v>CONCAVA</v>
      </c>
      <c r="F165" s="34">
        <v>1020</v>
      </c>
      <c r="G165" s="88">
        <f>IF(F165&lt;=AV!$T$6,AV!$C$5,IF(RASANTE!F165&lt;=AV!$T$8,AV!$C$7,IF(RASANTE!F165&lt;=AV!$T$10,AV!$C$9,IF(RASANTE!F165&lt;=AV!$T$12,AV!$C$11,IF(RASANTE!F165&lt;=AV!$T$14,AV!$C$13,IF(RASANTE!F165&lt;=AV!$T$16,AV!$C$15, IF(RASANTE!F165&lt;=AV!$T$18,AV!$C$17,IF(RASANTE!F165&lt;=AV!$T$20,AV!$C$19,IF(RASANTE!F165&lt;=AV!$T$22,AV!$C$21,IF(RASANTE!F165&lt;=AV!$T$24,AV!$C$23,AV!$C$25))))))))))</f>
        <v>-7.2409999999999997</v>
      </c>
      <c r="H165" s="28">
        <f>+IF(AND(AH!$H$8="Izquierda",RASANTE!F165&lt;=PERALTE!$AB$6),IF(RASANTE!F165&lt;=PERALTE!$S$6,-2,IF(RASANTE!F165&lt;=PERALTE!$U$6,(-6/(PERALTE!$U$6-PERALTE!$S$6)*(RASANTE!F165-PERALTE!$S$6)-2),IF(RASANTE!F165&lt;=PERALTE!$X$6,-8,IF(RASANTE!F165&lt;=PERALTE!$Z$6,(-6/(PERALTE!$X$6-PERALTE!$Z$6)*(RASANTE!F165-PERALTE!$Z$6)-2),IF(RASANTE!F165&lt;=PERALTE!$AB$6,-2))))),IF(AND(AH!$H$8="Derecha",RASANTE!F165&lt;=PERALTE!$AB$6),IF(RASANTE!F165&lt;=PERALTE!$Q$6,-2,IF(RASANTE!F165&lt;=PERALTE!$U$6,(10/(PERALTE!$U$6-PERALTE!$Q$6)*(RASANTE!F165-PERALTE!$Q$6)-2),IF(RASANTE!F165&lt;=PERALTE!$X$6,8,IF(RASANTE!F165&lt;=PERALTE!$AB$6,(10/(PERALTE!$X$6-PERALTE!$AB$6)*(RASANTE!F165-PERALTE!$AB$6)-2))))),IF(AND(AH!$H$10="Izquierda",RASANTE!F165&lt;=PERALTE!$AB$8),IF(RASANTE!F165&lt;=PERALTE!$S$8,-2,IF(RASANTE!F165&lt;=PERALTE!$U$8,(-6/(PERALTE!$U$8-PERALTE!$S$8)*(RASANTE!F165-PERALTE!$S$8)-2),IF(RASANTE!F165&lt;=PERALTE!$X$8,-8,IF(RASANTE!F165&lt;=PERALTE!$Z$8,(-6/(PERALTE!$X$8-PERALTE!$Z$8)*(RASANTE!F165-PERALTE!$Z$8)-2),IF(RASANTE!F165&lt;=PERALTE!$AB$8,-2))))),IF(AND(AH!$H$10="Derecha",RASANTE!F165&lt;=PERALTE!$AB$8),IF(RASANTE!F165&lt;=PERALTE!$Q$8,-2,IF(RASANTE!F165&lt;=PERALTE!$U$8,(10/(PERALTE!$U$8-PERALTE!$Q$8)*(RASANTE!F165-PERALTE!$Q$8)-2),IF(RASANTE!F165&lt;=PERALTE!$X$8,8,IF(RASANTE!F165&lt;=PERALTE!$AB$8,(10/(PERALTE!$X$8-PERALTE!$AB$8)*(RASANTE!F165-PERALTE!$AB$8)-2))))),IF(AND(AH!$H$12="Izquierda",RASANTE!F165&lt;=PERALTE!$AB$10),IF(RASANTE!F165&lt;=PERALTE!$S$10,-2,IF(RASANTE!F165&lt;=PERALTE!$U$10,(-6/(PERALTE!$U$10-PERALTE!$S$10)*(RASANTE!F165-PERALTE!$S$10)-2),IF(RASANTE!F165&lt;=PERALTE!$X$10,-8,IF(RASANTE!F165&lt;=PERALTE!$Z$10,(-6/(PERALTE!$X$10-PERALTE!$Z$10)*(RASANTE!F165-PERALTE!$Z$10)-2),IF(RASANTE!F165&lt;=PERALTE!$AB$10,-2))))),IF(AND(AH!$H$12="Derecha",RASANTE!F165&lt;=PERALTE!$AB$10),IF(RASANTE!F165&lt;=PERALTE!$Q$10,-2,IF(RASANTE!F165&lt;=PERALTE!$U$10,(10/(PERALTE!$U$10-PERALTE!$Q$10)*(RASANTE!F165-PERALTE!$Q$10)-2),IF(RASANTE!F165&lt;=PERALTE!$X$10,8,IF(RASANTE!F165&lt;=PERALTE!$AB$10,(10/(PERALTE!$X$10-PERALTE!$AB$10)*(RASANTE!F165-PERALTE!$AB$10)-2))))),IF(AND(AH!$H$14="Izquierda",RASANTE!F165&lt;=PERALTE!$AB$12),IF(RASANTE!F165&lt;=PERALTE!$S$12,-2,IF(RASANTE!F165&lt;=PERALTE!$U$12,(-6/(PERALTE!$U$12-PERALTE!$S$12)*(RASANTE!F165-PERALTE!$S$12)-2),IF(RASANTE!F165&lt;=PERALTE!$X$12,-8,IF(RASANTE!F165&lt;=PERALTE!$Z$12,(-6/(PERALTE!$X$12-PERALTE!$Z$12)*(RASANTE!F165-PERALTE!$Z$12)-2),IF(RASANTE!F165&lt;=PERALTE!$AB$12,-2))))),IF(AND(AH!$H$14="Derecha",RASANTE!F165&lt;=PERALTE!$AB$12),IF(RASANTE!F165&lt;=PERALTE!$Q$12,-2,IF(RASANTE!F165&lt;=PERALTE!$U$12,(10/(PERALTE!$U$12-PERALTE!$Q$12)*(RASANTE!F165-PERALTE!$Q$12)-2),IF(RASANTE!F165&lt;=PERALTE!$X$12,8,IF(RASANTE!F165&lt;=PERALTE!$AB$12,(10/(PERALTE!$X$12-PERALTE!$AB$12)*(RASANTE!F165-PERALTE!$AB$12)-2))))),IF(AND(AH!$H$16="Izquierda",RASANTE!F165&lt;=PERALTE!$AB$14),IF(RASANTE!F165&lt;=PERALTE!$S$14,-2,IF(RASANTE!F165&lt;=PERALTE!$U$14,(-6/(PERALTE!$U$14-PERALTE!$S$14)*(RASANTE!F165-PERALTE!$S$14)-2),IF(RASANTE!F165&lt;=PERALTE!$X$14,-8,IF(RASANTE!F165&lt;=PERALTE!$Z$14,(-6/(PERALTE!$X$14-PERALTE!$Z$14)*(RASANTE!F165-PERALTE!$Z$14)-2),IF(RASANTE!F165&lt;=PERALTE!$AB$14,-2))))),IF(AND(AH!$H$16="Derecha",RASANTE!F165&lt;=PERALTE!$AB$14),IF(RASANTE!F165&lt;=PERALTE!$Q$14,-2,IF(RASANTE!F165&lt;=PERALTE!$U$14,(10/(PERALTE!$U$14-PERALTE!$Q$14)*(RASANTE!F165-PERALTE!$Q$14)-2),IF(RASANTE!F165&lt;=PERALTE!$X$14,8,IF(RASANTE!F165&lt;=PERALTE!$AB$14,(10/(PERALTE!$X$14-PERALTE!$AB$14)*(RASANTE!F165-PERALTE!$AB$14)-2))))),IF(AND(AH!$H$18="Izquierda",RASANTE!F165&lt;=PERALTE!$AB$16),IF(RASANTE!F165&lt;=PERALTE!$S$16,-2,IF(RASANTE!F165&lt;=PERALTE!$U$16,(-6/(PERALTE!$U$16-PERALTE!$S$16)*(RASANTE!F165-PERALTE!$S$16)-2),IF(RASANTE!F165&lt;=PERALTE!$X$16,-8,IF(RASANTE!F165&lt;=PERALTE!$Z$16,(-6/(PERALTE!$X$16-PERALTE!$Z$16)*(RASANTE!F165-PERALTE!$Z$16)-2),IF(RASANTE!F165&lt;=PERALTE!$AB$16,-2))))),IF(AND(AH!$H$18="Derecha",RASANTE!F165&lt;=PERALTE!$AB$16),IF(RASANTE!F165&lt;=PERALTE!$Q$16,-2,IF(RASANTE!F165&lt;=PERALTE!$U$16,(10/(PERALTE!$U$16-PERALTE!$Q$16)*(RASANTE!F165-PERALTE!$Q$16)-2),IF(RASANTE!F165&lt;=PERALTE!$X$16,8,IF(RASANTE!F165&lt;=PERALTE!$AB$16,(10/(PERALTE!$X$16-PERALTE!$AB$16)*(RASANTE!F165-PERALTE!$AB$16)-2))))),IF(AND(AH!$H$20="Izquierda",RASANTE!F165&lt;=PERALTE!$AB$18),IF(RASANTE!F165&lt;=PERALTE!$S$18,-2,IF(RASANTE!F165&lt;=PERALTE!$U$18,(-6/(PERALTE!$U$18-PERALTE!$S$18)*(RASANTE!F165-PERALTE!$S$18)-2),IF(RASANTE!F165&lt;=PERALTE!$X$18,-8,IF(RASANTE!F165&lt;=PERALTE!$Z$18,(-6/(PERALTE!$X$18-PERALTE!$Z$18)*(RASANTE!F165-PERALTE!$Z$18)-2),IF(RASANTE!F165&lt;=PERALTE!$AB$18,-2))))),IF(AND(AH!$H$20="Derecha",RASANTE!F165&lt;=PERALTE!$AB$18),IF(RASANTE!F165&lt;=PERALTE!$Q$18,-2,IF(RASANTE!F165&lt;=PERALTE!$U$18,(10/(PERALTE!$U$18-PERALTE!$Q$18)*(RASANTE!F165-PERALTE!$Q$18)-2),IF(RASANTE!F165&lt;=PERALTE!$X$18,8,IF(RASANTE!F165&lt;=PERALTE!$AB$18,(10/(PERALTE!$X$18-PERALTE!$AB$18)*(RASANTE!F165-PERALTE!$AB$18)-2))))),IF(AND(AH!$H$24="Izquierda",RASANTE!F165&lt;=PERALTE!$AB$22),IF(RASANTE!F165&lt;=PERALTE!$S$22,-2,IF(RASANTE!F165&lt;=PERALTE!$U$22,(-6/(PERALTE!$U$22-PERALTE!$S$22)*(RASANTE!F165-PERALTE!$S$22)-2),IF(RASANTE!F165&lt;=PERALTE!$X$22,-8,IF(RASANTE!F165&lt;=PERALTE!$Z$22,(-6/(PERALTE!$X$22-PERALTE!$Z$22)*(RASANTE!F165-PERALTE!$Z$22)-2),IF(RASANTE!F165&lt;=PERALTE!$AB$22,-2))))),IF(AND(AH!$H$24="Derecha",RASANTE!F165&lt;=PERALTE!$AB$22),IF(RASANTE!F165&lt;=PERALTE!$Q$22,-2,IF(RASANTE!F165&lt;=PERALTE!$U$22,(10/(PERALTE!$U$22-PERALTE!$Q$22)*(RASANTE!F165-PERALTE!$Q$22)-2),IF(RASANTE!F165&lt;=PERALTE!$X$22,8,IF(RASANTE!F165&lt;=PERALTE!$AB$22,(10/(PERALTE!$X$22-PERALTE!$AB$22)*(RASANTE!F165-PERALTE!$AB$22)-2))))),IF(AND(AH!#REF!="Izquierda",RASANTE!F165&lt;=PERALTE!#REF!),IF(RASANTE!F165&lt;=PERALTE!#REF!,-2,IF(RASANTE!F165&lt;=PERALTE!#REF!,(-6/(PERALTE!#REF!-PERALTE!#REF!)*(RASANTE!F165-PERALTE!#REF!)-2),IF(RASANTE!F165&lt;=PERALTE!#REF!,-8,IF(RASANTE!F165&lt;=PERALTE!#REF!,(-6/(PERALTE!#REF!-PERALTE!#REF!)*(RASANTE!F165-PERALTE!#REF!)-2),IF(RASANTE!F165&lt;=PERALTE!#REF!,-2))))),IF(AND(AH!#REF!="Derecha",RASANTE!F165&lt;=PERALTE!#REF!),IF(RASANTE!F165&lt;=PERALTE!#REF!,-2,IF(RASANTE!F165&lt;=PERALTE!#REF!,(10/(PERALTE!#REF!-PERALTE!#REF!)*(RASANTE!F165-PERALTE!#REF!)-2),IF(RASANTE!F165&lt;=PERALTE!#REF!,8,IF(RASANTE!F165&lt;=PERALTE!#REF!,(10/(PERALTE!#REF!-PERALTE!#REF!)*(RASANTE!F165-PERALTE!#REF!)-2))))),IF(AND(AH!#REF!="Izquierda",RASANTE!F165&lt;=PERALTE!$AB$26),IF(RASANTE!F165&lt;=PERALTE!$S$26,-2,IF(RASANTE!F165&lt;=PERALTE!$U$26,(-6/(PERALTE!$U$26-PERALTE!$S$26)*(RASANTE!F165-PERALTE!$S$26)-2),IF(RASANTE!F165&lt;=PERALTE!$X$26,-8,IF(RASANTE!F165&lt;=PERALTE!$Z$26,(-6/(PERALTE!$X$26-PERALTE!$Z$26)*(RASANTE!F165-PERALTE!$Z$26)-2),IF(RASANTE!F165&lt;=PERALTE!$AB$26,-2))))),IF(AND(AH!#REF!="Derecha",RASANTE!F165&lt;=PERALTE!$AB$26),IF(RASANTE!F165&lt;=PERALTE!$Q$26,-2,IF(RASANTE!F165&lt;=PERALTE!$U$26,(10/(PERALTE!$U$26-PERALTE!$Q$26)*(RASANTE!F165-PERALTE!$Q$26)-2),IF(RASANTE!F165&lt;=PERALTE!$X$26,8,IF(RASANTE!F165&lt;=PERALTE!$AB$26,(10/(PERALTE!$X$26-PERALTE!$AB$26)*(RASANTE!F165-PERALTE!$AB$26)-2))))),IF(F165&lt;=PERALTE!#REF!,-2,"Abscisa fuera de la vía")))))))))))))))))))))</f>
        <v>-2</v>
      </c>
      <c r="I165" s="28">
        <f>+IF(AND(AH!$H$8="Derecha",RASANTE!F165&lt;=PERALTE!$AB$6),IF(RASANTE!F165&lt;=PERALTE!$S$6,-2,IF(RASANTE!F165&lt;=PERALTE!$U$6,(-6/(PERALTE!$U$6-PERALTE!$S$6)*(RASANTE!F165-PERALTE!$S$6)-2),IF(RASANTE!F165&lt;=PERALTE!$X$6,-8,IF(RASANTE!F165&lt;=PERALTE!$Z$6,(-6/(PERALTE!$X$6-PERALTE!$Z$6)*(RASANTE!F165-PERALTE!$Z$6)-2),IF(RASANTE!F165&lt;=PERALTE!$AB$6,-2))))),IF(AND(AH!$H$8="Izquierda",RASANTE!F165&lt;=PERALTE!$AB$6),IF(RASANTE!F165&lt;=PERALTE!$Q$6,-2,IF(RASANTE!F165&lt;=PERALTE!$U$6,(10/(PERALTE!$U$6-PERALTE!$Q$6)*(RASANTE!F165-PERALTE!$Q$6)-2),IF(RASANTE!F165&lt;=PERALTE!$X$6,8,IF(RASANTE!F165&lt;=PERALTE!$AB$6,(10/(PERALTE!$X$6-PERALTE!$AB$6)*(RASANTE!F165-PERALTE!$AB$6)-2))))),IF(AND(AH!$H$10="Derecha",RASANTE!F165&lt;=PERALTE!$AB$8),IF(RASANTE!F165&lt;=PERALTE!$S$8,-2,IF(RASANTE!F165&lt;=PERALTE!$U$8,(-6/(PERALTE!$U$8-PERALTE!$S$8)*(RASANTE!F165-PERALTE!$S$8)-2),IF(RASANTE!F165&lt;=PERALTE!$X$8,-8,IF(RASANTE!F165&lt;=PERALTE!$Z$8,(-6/(PERALTE!$X$8-PERALTE!$Z$8)*(RASANTE!F165-PERALTE!$Z$8)-2),IF(RASANTE!F165&lt;=PERALTE!$AB$8,-2))))),IF(AND(AH!$H$10="Izquierda",RASANTE!F165&lt;=PERALTE!$AB$8),IF(RASANTE!F165&lt;=PERALTE!$Q$8,-2,IF(RASANTE!F165&lt;=PERALTE!$U$8,(10/(PERALTE!$U$8-PERALTE!$Q$8)*(RASANTE!F165-PERALTE!$Q$8)-2),IF(RASANTE!F165&lt;=PERALTE!$X$8,8,IF(RASANTE!F165&lt;=PERALTE!$AB$8,(10/(PERALTE!$X$8-PERALTE!$AB$8)*(RASANTE!F165-PERALTE!$AB$8)-2))))),IF(AND(AH!$H$12="Derecha",RASANTE!F165&lt;=PERALTE!$AB$10),IF(RASANTE!F165&lt;=PERALTE!$S$10,-2,IF(RASANTE!F165&lt;=PERALTE!$U$10,(-6/(PERALTE!$U$10-PERALTE!$S$10)*(RASANTE!F165-PERALTE!$S$10)-2),IF(RASANTE!F165&lt;=PERALTE!$X$10,-8,IF(RASANTE!F165&lt;=PERALTE!$Z$10,(-6/(PERALTE!$X$10-PERALTE!$Z$10)*(RASANTE!F165-PERALTE!$Z$10)-2),IF(RASANTE!F165&lt;=PERALTE!$AB$10,-2))))),IF(AND(AH!$H$12="Izquierda",RASANTE!F165&lt;=PERALTE!$AB$10),IF(RASANTE!F165&lt;=PERALTE!$Q$10,-2,IF(RASANTE!F165&lt;=PERALTE!$U$10,(10/(PERALTE!$U$10-PERALTE!$Q$10)*(RASANTE!F165-PERALTE!$Q$10)-2),IF(RASANTE!F165&lt;=PERALTE!$X$10,8,IF(RASANTE!F165&lt;=PERALTE!$AB$10,(10/(PERALTE!$X$10-PERALTE!$AB$10)*(RASANTE!F165-PERALTE!$AB$10)-2))))),IF(AND(AH!$H$14="Derecha",RASANTE!F165&lt;=PERALTE!$AB$12),IF(RASANTE!F165&lt;=PERALTE!$S$12,-2,IF(RASANTE!F165&lt;=PERALTE!$U$12,(-6/(PERALTE!$U$12-PERALTE!$S$12)*(RASANTE!F165-PERALTE!$S$12)-2),IF(RASANTE!F165&lt;=PERALTE!$X$12,-8,IF(RASANTE!F165&lt;=PERALTE!$Z$12,(-6/(PERALTE!$X$12-PERALTE!$Z$12)*(RASANTE!F165-PERALTE!$Z$12)-2),IF(RASANTE!F165&lt;=PERALTE!$AB$12,-2))))),IF(AND(AH!$H$14="Izquierda",RASANTE!F165&lt;=PERALTE!$AB$12),IF(RASANTE!F165&lt;=PERALTE!$Q$12,-2,IF(RASANTE!F165&lt;=PERALTE!$U$12,(10/(PERALTE!$U$12-PERALTE!$Q$12)*(RASANTE!F165-PERALTE!$Q$12)-2),IF(RASANTE!F165&lt;=PERALTE!$X$12,8,IF(RASANTE!F165&lt;=PERALTE!$AB$12,(10/(PERALTE!$X$12-PERALTE!$AB$12)*(RASANTE!F165-PERALTE!$AB$12)-2))))),IF(AND(AH!$H$16="Derecha",RASANTE!F165&lt;=PERALTE!$AB$14),IF(RASANTE!F165&lt;=PERALTE!$S$14,-2,IF(RASANTE!F165&lt;=PERALTE!$U$14,(-6/(PERALTE!$U$14-PERALTE!$S$14)*(RASANTE!F165-PERALTE!$S$14)-2),IF(RASANTE!F165&lt;=PERALTE!$X$14,-8,IF(RASANTE!F165&lt;=PERALTE!$Z$14,(-6/(PERALTE!$X$14-PERALTE!$Z$14)*(RASANTE!F165-PERALTE!$Z$14)-2),IF(RASANTE!F165&lt;=PERALTE!$AB$14,-2))))),IF(AND(AH!$H$16="Izquierda",RASANTE!F165&lt;=PERALTE!$AB$14),IF(RASANTE!F165&lt;=PERALTE!$Q$14,-2,IF(RASANTE!F165&lt;=PERALTE!$U$14,(10/(PERALTE!$U$14-PERALTE!$Q$14)*(RASANTE!F165-PERALTE!$Q$14)-2),IF(RASANTE!F165&lt;=PERALTE!$X$14,8,IF(RASANTE!F165&lt;=PERALTE!$AB$14,(10/(PERALTE!$X$14-PERALTE!$AB$14)*(RASANTE!F165-PERALTE!$AB$14)-2))))),IF(AND(AH!$H$18="Derecha",RASANTE!F165&lt;=PERALTE!$AB$16),IF(RASANTE!F165&lt;=PERALTE!$S$16,-2,IF(RASANTE!F165&lt;=PERALTE!$U$16,(-6/(PERALTE!$U$16-PERALTE!$S$16)*(RASANTE!F165-PERALTE!$S$16)-2),IF(RASANTE!F165&lt;=PERALTE!$X$16,-8,IF(RASANTE!F165&lt;=PERALTE!$Z$16,(-6/(PERALTE!$X$16-PERALTE!$Z$16)*(RASANTE!F165-PERALTE!$Z$16)-2),IF(RASANTE!F165&lt;=PERALTE!$AB$16,-2))))),IF(AND(AH!$H$18="Izquierda",RASANTE!F165&lt;=PERALTE!$AB$16),IF(RASANTE!F165&lt;=PERALTE!$Q$16,-2,IF(RASANTE!F165&lt;=PERALTE!$U$16,(10/(PERALTE!$U$16-PERALTE!$Q$16)*(RASANTE!F165-PERALTE!$Q$16)-2),IF(RASANTE!F165&lt;=PERALTE!$X$16,8,IF(RASANTE!F165&lt;=PERALTE!$AB$16,(10/(PERALTE!$X$16-PERALTE!$AB$16)*(RASANTE!F165-PERALTE!$AB$16)-2))))),IF(AND(AH!$H$20="Derecha",RASANTE!F165&lt;=PERALTE!$AB$18),IF(RASANTE!F165&lt;=PERALTE!$S$18,-2,IF(RASANTE!F165&lt;=PERALTE!$U$18,(-6/(PERALTE!$U$18-PERALTE!$S$18)*(RASANTE!F165-PERALTE!$S$18)-2),IF(RASANTE!F165&lt;=PERALTE!$X$18,-8,IF(RASANTE!F165&lt;=PERALTE!$Z$18,(-6/(PERALTE!$X$18-PERALTE!$Z$18)*(RASANTE!F165-PERALTE!$Z$18)-2),IF(RASANTE!F165&lt;=PERALTE!$AB$18,-2))))),IF(AND(AH!$H$20="Izquierda",RASANTE!F165&lt;=PERALTE!$AB$18),IF(RASANTE!F165&lt;=PERALTE!$Q$18,-2,IF(RASANTE!F165&lt;=PERALTE!$U$18,(10/(PERALTE!$U$18-PERALTE!$Q$18)*(RASANTE!F165-PERALTE!$Q$18)-2),IF(RASANTE!F165&lt;=PERALTE!$X$18,8,IF(RASANTE!F165&lt;=PERALTE!$AB$18,(10/(PERALTE!$X$18-PERALTE!$AB$18)*(RASANTE!F165-PERALTE!$AB$18)-2))))),IF(AND(AH!$H$24="Derecha",RASANTE!F165&lt;=PERALTE!$AB$22),IF(RASANTE!F165&lt;=PERALTE!$S$22,-2,IF(RASANTE!F165&lt;=PERALTE!$U$22,(-6/(PERALTE!$U$22-PERALTE!$S$22)*(RASANTE!F165-PERALTE!$S$22)-2),IF(RASANTE!F165&lt;=PERALTE!$X$22,-8,IF(RASANTE!F165&lt;=PERALTE!$Z$22,(-6/(PERALTE!$X$22-PERALTE!$Z$22)*(RASANTE!F165-PERALTE!$Z$22)-2),IF(RASANTE!F165&lt;=PERALTE!$AB$22,-2))))),IF(AND(AH!$H$24="Izquierda",RASANTE!F165&lt;=PERALTE!$AB$22),IF(RASANTE!F165&lt;=PERALTE!$Q$22,-2,IF(RASANTE!F165&lt;=PERALTE!$U$22,(10/(PERALTE!$U$22-PERALTE!$Q$22)*(RASANTE!F165-PERALTE!$Q$22)-2),IF(RASANTE!F165&lt;=PERALTE!$X$22,8,IF(RASANTE!F165&lt;=PERALTE!$AB$22,(10/(PERALTE!$X$22-PERALTE!$AB$22)*(RASANTE!F165-PERALTE!$AB$22)-2))))),IF(AND(AH!#REF!="Derecha",RASANTE!F165&lt;=PERALTE!#REF!),IF(RASANTE!F165&lt;=PERALTE!#REF!,-2,IF(RASANTE!F165&lt;=PERALTE!#REF!,(-6/(PERALTE!#REF!-PERALTE!#REF!)*(RASANTE!F165-PERALTE!#REF!)-2),IF(RASANTE!F165&lt;=PERALTE!#REF!,-8,IF(RASANTE!F165&lt;=PERALTE!#REF!,(-6/(PERALTE!#REF!-PERALTE!#REF!)*(RASANTE!F165-PERALTE!#REF!)-2),IF(RASANTE!F165&lt;=PERALTE!#REF!,-2))))),IF(AND(AH!#REF!="Izquierda",RASANTE!F165&lt;=PERALTE!#REF!),IF(RASANTE!F165&lt;=PERALTE!#REF!,-2,IF(RASANTE!F165&lt;=PERALTE!#REF!,(10/(PERALTE!#REF!-PERALTE!#REF!)*(RASANTE!F165-PERALTE!#REF!)-2),IF(RASANTE!F165&lt;=PERALTE!#REF!,8,IF(RASANTE!F165&lt;=PERALTE!#REF!,(10/(PERALTE!#REF!-PERALTE!#REF!)*(RASANTE!F165-PERALTE!#REF!)-2))))),IF(AND(AH!#REF!="Derecha",RASANTE!F165&lt;=PERALTE!$AB$26),IF(RASANTE!F165&lt;=PERALTE!$S$26,-2,IF(RASANTE!F165&lt;=PERALTE!$U$26,(-6/(PERALTE!$U$26-PERALTE!$S$26)*(RASANTE!F165-PERALTE!$S$26)-2),IF(RASANTE!F165&lt;=PERALTE!$X$26,-8,IF(RASANTE!F165&lt;=PERALTE!$Z$26,(-6/(PERALTE!$X$26-PERALTE!$Z$26)*(RASANTE!F165-PERALTE!$Z$26)-2),IF(RASANTE!F165&lt;=PERALTE!$AB$26,-2))))),IF(AND(AH!#REF!="Izquierda",RASANTE!F165&lt;=PERALTE!$AB$26),IF(RASANTE!F165&lt;=PERALTE!$Q$26,-2,IF(RASANTE!F165&lt;=PERALTE!$U$26,(10/(PERALTE!$U$26-PERALTE!$Q$26)*(RASANTE!F165-PERALTE!$Q$26)-2),IF(RASANTE!F165&lt;=PERALTE!$X$26,8,IF(RASANTE!F165&lt;=PERALTE!$AB$26,(10/(PERALTE!$X$26-PERALTE!$AB$26)*(RASANTE!F165-PERALTE!$AB$26)-2))))),IF(F165&lt;=PERALTE!#REF!,-2,"Abscisa fuera de la vía")))))))))))))))))))))</f>
        <v>-2</v>
      </c>
      <c r="J165" s="28">
        <f t="shared" si="6"/>
        <v>1611.2934380375928</v>
      </c>
      <c r="K165" s="28">
        <f>+IF(AND(AV!$S$6&lt;F165,F165&lt;=AV!$T$6),AV!$P$6*((AV!$S$6-RASANTE!F165)/(AV!$N$6))^2,IF(AND(AV!$T$6&lt;RASANTE!F165,F165&lt;AV!$U$6),AV!$P$6*((AV!$U$6-RASANTE!F165)/(AV!$O$6))^2,IF(AND(AV!$S$8&lt;F165,F165&lt;=AV!$T$8),AV!$P$8*((AV!$S$8-RASANTE!F165)/(AV!$N$8))^2,IF(AND(AV!$T$8&lt;RASANTE!F165,F165&lt;AV!$U$8),AV!$P$8*((AV!$U$8-RASANTE!F165)/(AV!$O$8))^2,IF(AND(AV!$S$10&lt;F165,F165&lt;=AV!$T$10),AV!$P$10*((AV!$S$10-RASANTE!F165)/(AV!$N$10))^2,IF(AND(AV!$T$10&lt;RASANTE!F165,F165&lt;AV!$U$10),AV!$P$10*((AV!$U$10-RASANTE!F165)/(AV!$O$10))^2,IF(AND(AV!$S$12&lt;F165,F165&lt;=AV!$T$12),AV!$P$12*((AV!$S$12-RASANTE!F165)/(AV!$N$12))^2,IF(AND(AV!$T$12&lt;RASANTE!F165,F165&lt;AV!$U$12),AV!$P$12*((AV!$U$12-RASANTE!F165)/(AV!$O$12))^2,IF(AND(AV!$S$14&lt;F165,F165&lt;=AV!$T$14),AV!$P$14*((AV!$S$14-RASANTE!F165)/(AV!$N$14))^2,IF(AND(AV!$T$14&lt;RASANTE!F165,F165&lt;AV!$U$14),AV!$P$14*((AV!$U$14-RASANTE!F165)/(AV!$O$14))^2,IF(AND(AV!$S$16&lt;F165,F165&lt;=AV!$T$16),AV!$P$16*((AV!$S$16-RASANTE!F165)/(AV!$N$16))^2,IF(AND(AV!$T$16&lt;RASANTE!F165,F165&lt;AV!$U$16),AV!$P$16*((AV!$U$16-RASANTE!F165)/(AV!$O$16))^2,IF(AND(AV!$S$18&lt;F165,F165&lt;=AV!$T$18),AV!$P$18*((AV!$S$18-RASANTE!F165)/(AV!$N$18))^2,IF(AND(AV!$T$18&lt;RASANTE!F165,F165&lt;AV!$U$18),AV!$P$18*((AV!$U$18-RASANTE!F165)/(AV!$O$18))^2,IF(AND(AV!$S$20&lt;F165,F165&lt;=AV!$T$20),AV!$P$20*((AV!$S$20-RASANTE!F165)/(AV!$N$20))^2,IF(AND(AV!$T$20&lt;RASANTE!F165,F165&lt;AV!$U$20),AV!$P$20*((AV!$U$20-RASANTE!F165)/(AV!$O$20))^2,IF(AND(AV!$S$22&lt;F165,F165&lt;=AV!$T$22),AV!$P$22*((AV!$S$22-RASANTE!F165)/(AV!$N$22))^2,IF(AND(AV!$T$22&lt;RASANTE!F165,F165&lt;AV!$U$22),AV!$P$22*((AV!$U$22-RASANTE!F165)/(AV!$O$22))^2,IF(AND(AV!$S$24&lt;F165,F165&lt;=AV!$T$24),AV!$P$24*((AV!$S$24-RASANTE!F165)/(AV!$N$24))^2,IF(AND(AV!$T$24&lt;RASANTE!F165,F165&lt;AV!$U$24),AV!$P$24*((AV!$U$24-RASANTE!F165)/(AV!$O$24))^2,0))))))))))))))))))))</f>
        <v>1.5677440312499999</v>
      </c>
      <c r="L165" s="28">
        <f>+M165+H165%*PERALTE!$C$32</f>
        <v>1612.7911820688428</v>
      </c>
      <c r="M165" s="28">
        <f t="shared" si="5"/>
        <v>1612.8611820688427</v>
      </c>
      <c r="N165" s="28">
        <f>+M165+I165%*PERALTE!$C$32</f>
        <v>1612.7911820688428</v>
      </c>
      <c r="O165" s="92"/>
      <c r="P165" s="84"/>
      <c r="Q165" s="84"/>
      <c r="R165" s="84"/>
      <c r="S165" s="84"/>
      <c r="T165" s="84"/>
      <c r="U165" s="84"/>
      <c r="V165" s="84"/>
      <c r="W165" s="84"/>
      <c r="X165" s="84"/>
      <c r="Y165" s="84"/>
    </row>
    <row r="166" spans="1:25" ht="15.75" customHeight="1" x14ac:dyDescent="0.2">
      <c r="A166" s="90"/>
      <c r="B166" s="86"/>
      <c r="C166" s="86"/>
      <c r="D166" s="86"/>
      <c r="E166" s="153">
        <f>AV!C11</f>
        <v>-7.2409999999999997</v>
      </c>
      <c r="F166" s="34">
        <v>1030</v>
      </c>
      <c r="G166" s="88">
        <f>IF(F166&lt;=AV!$T$6,AV!$C$5,IF(RASANTE!F166&lt;=AV!$T$8,AV!$C$7,IF(RASANTE!F166&lt;=AV!$T$10,AV!$C$9,IF(RASANTE!F166&lt;=AV!$T$12,AV!$C$11,IF(RASANTE!F166&lt;=AV!$T$14,AV!$C$13,IF(RASANTE!F166&lt;=AV!$T$16,AV!$C$15, IF(RASANTE!F166&lt;=AV!$T$18,AV!$C$17,IF(RASANTE!F166&lt;=AV!$T$20,AV!$C$19,IF(RASANTE!F166&lt;=AV!$T$22,AV!$C$21,IF(RASANTE!F166&lt;=AV!$T$24,AV!$C$23,AV!$C$25))))))))))</f>
        <v>-7.2409999999999997</v>
      </c>
      <c r="H166" s="28">
        <f>+IF(AND(AH!$H$8="Izquierda",RASANTE!F166&lt;=PERALTE!$AB$6),IF(RASANTE!F166&lt;=PERALTE!$S$6,-2,IF(RASANTE!F166&lt;=PERALTE!$U$6,(-6/(PERALTE!$U$6-PERALTE!$S$6)*(RASANTE!F166-PERALTE!$S$6)-2),IF(RASANTE!F166&lt;=PERALTE!$X$6,-8,IF(RASANTE!F166&lt;=PERALTE!$Z$6,(-6/(PERALTE!$X$6-PERALTE!$Z$6)*(RASANTE!F166-PERALTE!$Z$6)-2),IF(RASANTE!F166&lt;=PERALTE!$AB$6,-2))))),IF(AND(AH!$H$8="Derecha",RASANTE!F166&lt;=PERALTE!$AB$6),IF(RASANTE!F166&lt;=PERALTE!$Q$6,-2,IF(RASANTE!F166&lt;=PERALTE!$U$6,(10/(PERALTE!$U$6-PERALTE!$Q$6)*(RASANTE!F166-PERALTE!$Q$6)-2),IF(RASANTE!F166&lt;=PERALTE!$X$6,8,IF(RASANTE!F166&lt;=PERALTE!$AB$6,(10/(PERALTE!$X$6-PERALTE!$AB$6)*(RASANTE!F166-PERALTE!$AB$6)-2))))),IF(AND(AH!$H$10="Izquierda",RASANTE!F166&lt;=PERALTE!$AB$8),IF(RASANTE!F166&lt;=PERALTE!$S$8,-2,IF(RASANTE!F166&lt;=PERALTE!$U$8,(-6/(PERALTE!$U$8-PERALTE!$S$8)*(RASANTE!F166-PERALTE!$S$8)-2),IF(RASANTE!F166&lt;=PERALTE!$X$8,-8,IF(RASANTE!F166&lt;=PERALTE!$Z$8,(-6/(PERALTE!$X$8-PERALTE!$Z$8)*(RASANTE!F166-PERALTE!$Z$8)-2),IF(RASANTE!F166&lt;=PERALTE!$AB$8,-2))))),IF(AND(AH!$H$10="Derecha",RASANTE!F166&lt;=PERALTE!$AB$8),IF(RASANTE!F166&lt;=PERALTE!$Q$8,-2,IF(RASANTE!F166&lt;=PERALTE!$U$8,(10/(PERALTE!$U$8-PERALTE!$Q$8)*(RASANTE!F166-PERALTE!$Q$8)-2),IF(RASANTE!F166&lt;=PERALTE!$X$8,8,IF(RASANTE!F166&lt;=PERALTE!$AB$8,(10/(PERALTE!$X$8-PERALTE!$AB$8)*(RASANTE!F166-PERALTE!$AB$8)-2))))),IF(AND(AH!$H$12="Izquierda",RASANTE!F166&lt;=PERALTE!$AB$10),IF(RASANTE!F166&lt;=PERALTE!$S$10,-2,IF(RASANTE!F166&lt;=PERALTE!$U$10,(-6/(PERALTE!$U$10-PERALTE!$S$10)*(RASANTE!F166-PERALTE!$S$10)-2),IF(RASANTE!F166&lt;=PERALTE!$X$10,-8,IF(RASANTE!F166&lt;=PERALTE!$Z$10,(-6/(PERALTE!$X$10-PERALTE!$Z$10)*(RASANTE!F166-PERALTE!$Z$10)-2),IF(RASANTE!F166&lt;=PERALTE!$AB$10,-2))))),IF(AND(AH!$H$12="Derecha",RASANTE!F166&lt;=PERALTE!$AB$10),IF(RASANTE!F166&lt;=PERALTE!$Q$10,-2,IF(RASANTE!F166&lt;=PERALTE!$U$10,(10/(PERALTE!$U$10-PERALTE!$Q$10)*(RASANTE!F166-PERALTE!$Q$10)-2),IF(RASANTE!F166&lt;=PERALTE!$X$10,8,IF(RASANTE!F166&lt;=PERALTE!$AB$10,(10/(PERALTE!$X$10-PERALTE!$AB$10)*(RASANTE!F166-PERALTE!$AB$10)-2))))),IF(AND(AH!$H$14="Izquierda",RASANTE!F166&lt;=PERALTE!$AB$12),IF(RASANTE!F166&lt;=PERALTE!$S$12,-2,IF(RASANTE!F166&lt;=PERALTE!$U$12,(-6/(PERALTE!$U$12-PERALTE!$S$12)*(RASANTE!F166-PERALTE!$S$12)-2),IF(RASANTE!F166&lt;=PERALTE!$X$12,-8,IF(RASANTE!F166&lt;=PERALTE!$Z$12,(-6/(PERALTE!$X$12-PERALTE!$Z$12)*(RASANTE!F166-PERALTE!$Z$12)-2),IF(RASANTE!F166&lt;=PERALTE!$AB$12,-2))))),IF(AND(AH!$H$14="Derecha",RASANTE!F166&lt;=PERALTE!$AB$12),IF(RASANTE!F166&lt;=PERALTE!$Q$12,-2,IF(RASANTE!F166&lt;=PERALTE!$U$12,(10/(PERALTE!$U$12-PERALTE!$Q$12)*(RASANTE!F166-PERALTE!$Q$12)-2),IF(RASANTE!F166&lt;=PERALTE!$X$12,8,IF(RASANTE!F166&lt;=PERALTE!$AB$12,(10/(PERALTE!$X$12-PERALTE!$AB$12)*(RASANTE!F166-PERALTE!$AB$12)-2))))),IF(AND(AH!$H$16="Izquierda",RASANTE!F166&lt;=PERALTE!$AB$14),IF(RASANTE!F166&lt;=PERALTE!$S$14,-2,IF(RASANTE!F166&lt;=PERALTE!$U$14,(-6/(PERALTE!$U$14-PERALTE!$S$14)*(RASANTE!F166-PERALTE!$S$14)-2),IF(RASANTE!F166&lt;=PERALTE!$X$14,-8,IF(RASANTE!F166&lt;=PERALTE!$Z$14,(-6/(PERALTE!$X$14-PERALTE!$Z$14)*(RASANTE!F166-PERALTE!$Z$14)-2),IF(RASANTE!F166&lt;=PERALTE!$AB$14,-2))))),IF(AND(AH!$H$16="Derecha",RASANTE!F166&lt;=PERALTE!$AB$14),IF(RASANTE!F166&lt;=PERALTE!$Q$14,-2,IF(RASANTE!F166&lt;=PERALTE!$U$14,(10/(PERALTE!$U$14-PERALTE!$Q$14)*(RASANTE!F166-PERALTE!$Q$14)-2),IF(RASANTE!F166&lt;=PERALTE!$X$14,8,IF(RASANTE!F166&lt;=PERALTE!$AB$14,(10/(PERALTE!$X$14-PERALTE!$AB$14)*(RASANTE!F166-PERALTE!$AB$14)-2))))),IF(AND(AH!$H$18="Izquierda",RASANTE!F166&lt;=PERALTE!$AB$16),IF(RASANTE!F166&lt;=PERALTE!$S$16,-2,IF(RASANTE!F166&lt;=PERALTE!$U$16,(-6/(PERALTE!$U$16-PERALTE!$S$16)*(RASANTE!F166-PERALTE!$S$16)-2),IF(RASANTE!F166&lt;=PERALTE!$X$16,-8,IF(RASANTE!F166&lt;=PERALTE!$Z$16,(-6/(PERALTE!$X$16-PERALTE!$Z$16)*(RASANTE!F166-PERALTE!$Z$16)-2),IF(RASANTE!F166&lt;=PERALTE!$AB$16,-2))))),IF(AND(AH!$H$18="Derecha",RASANTE!F166&lt;=PERALTE!$AB$16),IF(RASANTE!F166&lt;=PERALTE!$Q$16,-2,IF(RASANTE!F166&lt;=PERALTE!$U$16,(10/(PERALTE!$U$16-PERALTE!$Q$16)*(RASANTE!F166-PERALTE!$Q$16)-2),IF(RASANTE!F166&lt;=PERALTE!$X$16,8,IF(RASANTE!F166&lt;=PERALTE!$AB$16,(10/(PERALTE!$X$16-PERALTE!$AB$16)*(RASANTE!F166-PERALTE!$AB$16)-2))))),IF(AND(AH!$H$20="Izquierda",RASANTE!F166&lt;=PERALTE!$AB$18),IF(RASANTE!F166&lt;=PERALTE!$S$18,-2,IF(RASANTE!F166&lt;=PERALTE!$U$18,(-6/(PERALTE!$U$18-PERALTE!$S$18)*(RASANTE!F166-PERALTE!$S$18)-2),IF(RASANTE!F166&lt;=PERALTE!$X$18,-8,IF(RASANTE!F166&lt;=PERALTE!$Z$18,(-6/(PERALTE!$X$18-PERALTE!$Z$18)*(RASANTE!F166-PERALTE!$Z$18)-2),IF(RASANTE!F166&lt;=PERALTE!$AB$18,-2))))),IF(AND(AH!$H$20="Derecha",RASANTE!F166&lt;=PERALTE!$AB$18),IF(RASANTE!F166&lt;=PERALTE!$Q$18,-2,IF(RASANTE!F166&lt;=PERALTE!$U$18,(10/(PERALTE!$U$18-PERALTE!$Q$18)*(RASANTE!F166-PERALTE!$Q$18)-2),IF(RASANTE!F166&lt;=PERALTE!$X$18,8,IF(RASANTE!F166&lt;=PERALTE!$AB$18,(10/(PERALTE!$X$18-PERALTE!$AB$18)*(RASANTE!F166-PERALTE!$AB$18)-2))))),IF(AND(AH!$H$24="Izquierda",RASANTE!F166&lt;=PERALTE!$AB$22),IF(RASANTE!F166&lt;=PERALTE!$S$22,-2,IF(RASANTE!F166&lt;=PERALTE!$U$22,(-6/(PERALTE!$U$22-PERALTE!$S$22)*(RASANTE!F166-PERALTE!$S$22)-2),IF(RASANTE!F166&lt;=PERALTE!$X$22,-8,IF(RASANTE!F166&lt;=PERALTE!$Z$22,(-6/(PERALTE!$X$22-PERALTE!$Z$22)*(RASANTE!F166-PERALTE!$Z$22)-2),IF(RASANTE!F166&lt;=PERALTE!$AB$22,-2))))),IF(AND(AH!$H$24="Derecha",RASANTE!F166&lt;=PERALTE!$AB$22),IF(RASANTE!F166&lt;=PERALTE!$Q$22,-2,IF(RASANTE!F166&lt;=PERALTE!$U$22,(10/(PERALTE!$U$22-PERALTE!$Q$22)*(RASANTE!F166-PERALTE!$Q$22)-2),IF(RASANTE!F166&lt;=PERALTE!$X$22,8,IF(RASANTE!F166&lt;=PERALTE!$AB$22,(10/(PERALTE!$X$22-PERALTE!$AB$22)*(RASANTE!F166-PERALTE!$AB$22)-2))))),IF(AND(AH!#REF!="Izquierda",RASANTE!F166&lt;=PERALTE!#REF!),IF(RASANTE!F166&lt;=PERALTE!#REF!,-2,IF(RASANTE!F166&lt;=PERALTE!#REF!,(-6/(PERALTE!#REF!-PERALTE!#REF!)*(RASANTE!F166-PERALTE!#REF!)-2),IF(RASANTE!F166&lt;=PERALTE!#REF!,-8,IF(RASANTE!F166&lt;=PERALTE!#REF!,(-6/(PERALTE!#REF!-PERALTE!#REF!)*(RASANTE!F166-PERALTE!#REF!)-2),IF(RASANTE!F166&lt;=PERALTE!#REF!,-2))))),IF(AND(AH!#REF!="Derecha",RASANTE!F166&lt;=PERALTE!#REF!),IF(RASANTE!F166&lt;=PERALTE!#REF!,-2,IF(RASANTE!F166&lt;=PERALTE!#REF!,(10/(PERALTE!#REF!-PERALTE!#REF!)*(RASANTE!F166-PERALTE!#REF!)-2),IF(RASANTE!F166&lt;=PERALTE!#REF!,8,IF(RASANTE!F166&lt;=PERALTE!#REF!,(10/(PERALTE!#REF!-PERALTE!#REF!)*(RASANTE!F166-PERALTE!#REF!)-2))))),IF(AND(AH!#REF!="Izquierda",RASANTE!F166&lt;=PERALTE!$AB$26),IF(RASANTE!F166&lt;=PERALTE!$S$26,-2,IF(RASANTE!F166&lt;=PERALTE!$U$26,(-6/(PERALTE!$U$26-PERALTE!$S$26)*(RASANTE!F166-PERALTE!$S$26)-2),IF(RASANTE!F166&lt;=PERALTE!$X$26,-8,IF(RASANTE!F166&lt;=PERALTE!$Z$26,(-6/(PERALTE!$X$26-PERALTE!$Z$26)*(RASANTE!F166-PERALTE!$Z$26)-2),IF(RASANTE!F166&lt;=PERALTE!$AB$26,-2))))),IF(AND(AH!#REF!="Derecha",RASANTE!F166&lt;=PERALTE!$AB$26),IF(RASANTE!F166&lt;=PERALTE!$Q$26,-2,IF(RASANTE!F166&lt;=PERALTE!$U$26,(10/(PERALTE!$U$26-PERALTE!$Q$26)*(RASANTE!F166-PERALTE!$Q$26)-2),IF(RASANTE!F166&lt;=PERALTE!$X$26,8,IF(RASANTE!F166&lt;=PERALTE!$AB$26,(10/(PERALTE!$X$26-PERALTE!$AB$26)*(RASANTE!F166-PERALTE!$AB$26)-2))))),IF(F166&lt;=PERALTE!#REF!,-2,"Abscisa fuera de la vía")))))))))))))))))))))</f>
        <v>-2</v>
      </c>
      <c r="I166" s="28">
        <f>+IF(AND(AH!$H$8="Derecha",RASANTE!F166&lt;=PERALTE!$AB$6),IF(RASANTE!F166&lt;=PERALTE!$S$6,-2,IF(RASANTE!F166&lt;=PERALTE!$U$6,(-6/(PERALTE!$U$6-PERALTE!$S$6)*(RASANTE!F166-PERALTE!$S$6)-2),IF(RASANTE!F166&lt;=PERALTE!$X$6,-8,IF(RASANTE!F166&lt;=PERALTE!$Z$6,(-6/(PERALTE!$X$6-PERALTE!$Z$6)*(RASANTE!F166-PERALTE!$Z$6)-2),IF(RASANTE!F166&lt;=PERALTE!$AB$6,-2))))),IF(AND(AH!$H$8="Izquierda",RASANTE!F166&lt;=PERALTE!$AB$6),IF(RASANTE!F166&lt;=PERALTE!$Q$6,-2,IF(RASANTE!F166&lt;=PERALTE!$U$6,(10/(PERALTE!$U$6-PERALTE!$Q$6)*(RASANTE!F166-PERALTE!$Q$6)-2),IF(RASANTE!F166&lt;=PERALTE!$X$6,8,IF(RASANTE!F166&lt;=PERALTE!$AB$6,(10/(PERALTE!$X$6-PERALTE!$AB$6)*(RASANTE!F166-PERALTE!$AB$6)-2))))),IF(AND(AH!$H$10="Derecha",RASANTE!F166&lt;=PERALTE!$AB$8),IF(RASANTE!F166&lt;=PERALTE!$S$8,-2,IF(RASANTE!F166&lt;=PERALTE!$U$8,(-6/(PERALTE!$U$8-PERALTE!$S$8)*(RASANTE!F166-PERALTE!$S$8)-2),IF(RASANTE!F166&lt;=PERALTE!$X$8,-8,IF(RASANTE!F166&lt;=PERALTE!$Z$8,(-6/(PERALTE!$X$8-PERALTE!$Z$8)*(RASANTE!F166-PERALTE!$Z$8)-2),IF(RASANTE!F166&lt;=PERALTE!$AB$8,-2))))),IF(AND(AH!$H$10="Izquierda",RASANTE!F166&lt;=PERALTE!$AB$8),IF(RASANTE!F166&lt;=PERALTE!$Q$8,-2,IF(RASANTE!F166&lt;=PERALTE!$U$8,(10/(PERALTE!$U$8-PERALTE!$Q$8)*(RASANTE!F166-PERALTE!$Q$8)-2),IF(RASANTE!F166&lt;=PERALTE!$X$8,8,IF(RASANTE!F166&lt;=PERALTE!$AB$8,(10/(PERALTE!$X$8-PERALTE!$AB$8)*(RASANTE!F166-PERALTE!$AB$8)-2))))),IF(AND(AH!$H$12="Derecha",RASANTE!F166&lt;=PERALTE!$AB$10),IF(RASANTE!F166&lt;=PERALTE!$S$10,-2,IF(RASANTE!F166&lt;=PERALTE!$U$10,(-6/(PERALTE!$U$10-PERALTE!$S$10)*(RASANTE!F166-PERALTE!$S$10)-2),IF(RASANTE!F166&lt;=PERALTE!$X$10,-8,IF(RASANTE!F166&lt;=PERALTE!$Z$10,(-6/(PERALTE!$X$10-PERALTE!$Z$10)*(RASANTE!F166-PERALTE!$Z$10)-2),IF(RASANTE!F166&lt;=PERALTE!$AB$10,-2))))),IF(AND(AH!$H$12="Izquierda",RASANTE!F166&lt;=PERALTE!$AB$10),IF(RASANTE!F166&lt;=PERALTE!$Q$10,-2,IF(RASANTE!F166&lt;=PERALTE!$U$10,(10/(PERALTE!$U$10-PERALTE!$Q$10)*(RASANTE!F166-PERALTE!$Q$10)-2),IF(RASANTE!F166&lt;=PERALTE!$X$10,8,IF(RASANTE!F166&lt;=PERALTE!$AB$10,(10/(PERALTE!$X$10-PERALTE!$AB$10)*(RASANTE!F166-PERALTE!$AB$10)-2))))),IF(AND(AH!$H$14="Derecha",RASANTE!F166&lt;=PERALTE!$AB$12),IF(RASANTE!F166&lt;=PERALTE!$S$12,-2,IF(RASANTE!F166&lt;=PERALTE!$U$12,(-6/(PERALTE!$U$12-PERALTE!$S$12)*(RASANTE!F166-PERALTE!$S$12)-2),IF(RASANTE!F166&lt;=PERALTE!$X$12,-8,IF(RASANTE!F166&lt;=PERALTE!$Z$12,(-6/(PERALTE!$X$12-PERALTE!$Z$12)*(RASANTE!F166-PERALTE!$Z$12)-2),IF(RASANTE!F166&lt;=PERALTE!$AB$12,-2))))),IF(AND(AH!$H$14="Izquierda",RASANTE!F166&lt;=PERALTE!$AB$12),IF(RASANTE!F166&lt;=PERALTE!$Q$12,-2,IF(RASANTE!F166&lt;=PERALTE!$U$12,(10/(PERALTE!$U$12-PERALTE!$Q$12)*(RASANTE!F166-PERALTE!$Q$12)-2),IF(RASANTE!F166&lt;=PERALTE!$X$12,8,IF(RASANTE!F166&lt;=PERALTE!$AB$12,(10/(PERALTE!$X$12-PERALTE!$AB$12)*(RASANTE!F166-PERALTE!$AB$12)-2))))),IF(AND(AH!$H$16="Derecha",RASANTE!F166&lt;=PERALTE!$AB$14),IF(RASANTE!F166&lt;=PERALTE!$S$14,-2,IF(RASANTE!F166&lt;=PERALTE!$U$14,(-6/(PERALTE!$U$14-PERALTE!$S$14)*(RASANTE!F166-PERALTE!$S$14)-2),IF(RASANTE!F166&lt;=PERALTE!$X$14,-8,IF(RASANTE!F166&lt;=PERALTE!$Z$14,(-6/(PERALTE!$X$14-PERALTE!$Z$14)*(RASANTE!F166-PERALTE!$Z$14)-2),IF(RASANTE!F166&lt;=PERALTE!$AB$14,-2))))),IF(AND(AH!$H$16="Izquierda",RASANTE!F166&lt;=PERALTE!$AB$14),IF(RASANTE!F166&lt;=PERALTE!$Q$14,-2,IF(RASANTE!F166&lt;=PERALTE!$U$14,(10/(PERALTE!$U$14-PERALTE!$Q$14)*(RASANTE!F166-PERALTE!$Q$14)-2),IF(RASANTE!F166&lt;=PERALTE!$X$14,8,IF(RASANTE!F166&lt;=PERALTE!$AB$14,(10/(PERALTE!$X$14-PERALTE!$AB$14)*(RASANTE!F166-PERALTE!$AB$14)-2))))),IF(AND(AH!$H$18="Derecha",RASANTE!F166&lt;=PERALTE!$AB$16),IF(RASANTE!F166&lt;=PERALTE!$S$16,-2,IF(RASANTE!F166&lt;=PERALTE!$U$16,(-6/(PERALTE!$U$16-PERALTE!$S$16)*(RASANTE!F166-PERALTE!$S$16)-2),IF(RASANTE!F166&lt;=PERALTE!$X$16,-8,IF(RASANTE!F166&lt;=PERALTE!$Z$16,(-6/(PERALTE!$X$16-PERALTE!$Z$16)*(RASANTE!F166-PERALTE!$Z$16)-2),IF(RASANTE!F166&lt;=PERALTE!$AB$16,-2))))),IF(AND(AH!$H$18="Izquierda",RASANTE!F166&lt;=PERALTE!$AB$16),IF(RASANTE!F166&lt;=PERALTE!$Q$16,-2,IF(RASANTE!F166&lt;=PERALTE!$U$16,(10/(PERALTE!$U$16-PERALTE!$Q$16)*(RASANTE!F166-PERALTE!$Q$16)-2),IF(RASANTE!F166&lt;=PERALTE!$X$16,8,IF(RASANTE!F166&lt;=PERALTE!$AB$16,(10/(PERALTE!$X$16-PERALTE!$AB$16)*(RASANTE!F166-PERALTE!$AB$16)-2))))),IF(AND(AH!$H$20="Derecha",RASANTE!F166&lt;=PERALTE!$AB$18),IF(RASANTE!F166&lt;=PERALTE!$S$18,-2,IF(RASANTE!F166&lt;=PERALTE!$U$18,(-6/(PERALTE!$U$18-PERALTE!$S$18)*(RASANTE!F166-PERALTE!$S$18)-2),IF(RASANTE!F166&lt;=PERALTE!$X$18,-8,IF(RASANTE!F166&lt;=PERALTE!$Z$18,(-6/(PERALTE!$X$18-PERALTE!$Z$18)*(RASANTE!F166-PERALTE!$Z$18)-2),IF(RASANTE!F166&lt;=PERALTE!$AB$18,-2))))),IF(AND(AH!$H$20="Izquierda",RASANTE!F166&lt;=PERALTE!$AB$18),IF(RASANTE!F166&lt;=PERALTE!$Q$18,-2,IF(RASANTE!F166&lt;=PERALTE!$U$18,(10/(PERALTE!$U$18-PERALTE!$Q$18)*(RASANTE!F166-PERALTE!$Q$18)-2),IF(RASANTE!F166&lt;=PERALTE!$X$18,8,IF(RASANTE!F166&lt;=PERALTE!$AB$18,(10/(PERALTE!$X$18-PERALTE!$AB$18)*(RASANTE!F166-PERALTE!$AB$18)-2))))),IF(AND(AH!$H$24="Derecha",RASANTE!F166&lt;=PERALTE!$AB$22),IF(RASANTE!F166&lt;=PERALTE!$S$22,-2,IF(RASANTE!F166&lt;=PERALTE!$U$22,(-6/(PERALTE!$U$22-PERALTE!$S$22)*(RASANTE!F166-PERALTE!$S$22)-2),IF(RASANTE!F166&lt;=PERALTE!$X$22,-8,IF(RASANTE!F166&lt;=PERALTE!$Z$22,(-6/(PERALTE!$X$22-PERALTE!$Z$22)*(RASANTE!F166-PERALTE!$Z$22)-2),IF(RASANTE!F166&lt;=PERALTE!$AB$22,-2))))),IF(AND(AH!$H$24="Izquierda",RASANTE!F166&lt;=PERALTE!$AB$22),IF(RASANTE!F166&lt;=PERALTE!$Q$22,-2,IF(RASANTE!F166&lt;=PERALTE!$U$22,(10/(PERALTE!$U$22-PERALTE!$Q$22)*(RASANTE!F166-PERALTE!$Q$22)-2),IF(RASANTE!F166&lt;=PERALTE!$X$22,8,IF(RASANTE!F166&lt;=PERALTE!$AB$22,(10/(PERALTE!$X$22-PERALTE!$AB$22)*(RASANTE!F166-PERALTE!$AB$22)-2))))),IF(AND(AH!#REF!="Derecha",RASANTE!F166&lt;=PERALTE!#REF!),IF(RASANTE!F166&lt;=PERALTE!#REF!,-2,IF(RASANTE!F166&lt;=PERALTE!#REF!,(-6/(PERALTE!#REF!-PERALTE!#REF!)*(RASANTE!F166-PERALTE!#REF!)-2),IF(RASANTE!F166&lt;=PERALTE!#REF!,-8,IF(RASANTE!F166&lt;=PERALTE!#REF!,(-6/(PERALTE!#REF!-PERALTE!#REF!)*(RASANTE!F166-PERALTE!#REF!)-2),IF(RASANTE!F166&lt;=PERALTE!#REF!,-2))))),IF(AND(AH!#REF!="Izquierda",RASANTE!F166&lt;=PERALTE!#REF!),IF(RASANTE!F166&lt;=PERALTE!#REF!,-2,IF(RASANTE!F166&lt;=PERALTE!#REF!,(10/(PERALTE!#REF!-PERALTE!#REF!)*(RASANTE!F166-PERALTE!#REF!)-2),IF(RASANTE!F166&lt;=PERALTE!#REF!,8,IF(RASANTE!F166&lt;=PERALTE!#REF!,(10/(PERALTE!#REF!-PERALTE!#REF!)*(RASANTE!F166-PERALTE!#REF!)-2))))),IF(AND(AH!#REF!="Derecha",RASANTE!F166&lt;=PERALTE!$AB$26),IF(RASANTE!F166&lt;=PERALTE!$S$26,-2,IF(RASANTE!F166&lt;=PERALTE!$U$26,(-6/(PERALTE!$U$26-PERALTE!$S$26)*(RASANTE!F166-PERALTE!$S$26)-2),IF(RASANTE!F166&lt;=PERALTE!$X$26,-8,IF(RASANTE!F166&lt;=PERALTE!$Z$26,(-6/(PERALTE!$X$26-PERALTE!$Z$26)*(RASANTE!F166-PERALTE!$Z$26)-2),IF(RASANTE!F166&lt;=PERALTE!$AB$26,-2))))),IF(AND(AH!#REF!="Izquierda",RASANTE!F166&lt;=PERALTE!$AB$26),IF(RASANTE!F166&lt;=PERALTE!$Q$26,-2,IF(RASANTE!F166&lt;=PERALTE!$U$26,(10/(PERALTE!$U$26-PERALTE!$Q$26)*(RASANTE!F166-PERALTE!$Q$26)-2),IF(RASANTE!F166&lt;=PERALTE!$X$26,8,IF(RASANTE!F166&lt;=PERALTE!$AB$26,(10/(PERALTE!$X$26-PERALTE!$AB$26)*(RASANTE!F166-PERALTE!$AB$26)-2))))),IF(F166&lt;=PERALTE!#REF!,-2,"Abscisa fuera de la vía")))))))))))))))))))))</f>
        <v>-2</v>
      </c>
      <c r="J166" s="28">
        <f t="shared" si="6"/>
        <v>1610.5693380375928</v>
      </c>
      <c r="K166" s="28">
        <f>+IF(AND(AV!$S$6&lt;F166,F166&lt;=AV!$T$6),AV!$P$6*((AV!$S$6-RASANTE!F166)/(AV!$N$6))^2,IF(AND(AV!$T$6&lt;RASANTE!F166,F166&lt;AV!$U$6),AV!$P$6*((AV!$U$6-RASANTE!F166)/(AV!$O$6))^2,IF(AND(AV!$S$8&lt;F166,F166&lt;=AV!$T$8),AV!$P$8*((AV!$S$8-RASANTE!F166)/(AV!$N$8))^2,IF(AND(AV!$T$8&lt;RASANTE!F166,F166&lt;AV!$U$8),AV!$P$8*((AV!$U$8-RASANTE!F166)/(AV!$O$8))^2,IF(AND(AV!$S$10&lt;F166,F166&lt;=AV!$T$10),AV!$P$10*((AV!$S$10-RASANTE!F166)/(AV!$N$10))^2,IF(AND(AV!$T$10&lt;RASANTE!F166,F166&lt;AV!$U$10),AV!$P$10*((AV!$U$10-RASANTE!F166)/(AV!$O$10))^2,IF(AND(AV!$S$12&lt;F166,F166&lt;=AV!$T$12),AV!$P$12*((AV!$S$12-RASANTE!F166)/(AV!$N$12))^2,IF(AND(AV!$T$12&lt;RASANTE!F166,F166&lt;AV!$U$12),AV!$P$12*((AV!$U$12-RASANTE!F166)/(AV!$O$12))^2,IF(AND(AV!$S$14&lt;F166,F166&lt;=AV!$T$14),AV!$P$14*((AV!$S$14-RASANTE!F166)/(AV!$N$14))^2,IF(AND(AV!$T$14&lt;RASANTE!F166,F166&lt;AV!$U$14),AV!$P$14*((AV!$U$14-RASANTE!F166)/(AV!$O$14))^2,IF(AND(AV!$S$16&lt;F166,F166&lt;=AV!$T$16),AV!$P$16*((AV!$S$16-RASANTE!F166)/(AV!$N$16))^2,IF(AND(AV!$T$16&lt;RASANTE!F166,F166&lt;AV!$U$16),AV!$P$16*((AV!$U$16-RASANTE!F166)/(AV!$O$16))^2,IF(AND(AV!$S$18&lt;F166,F166&lt;=AV!$T$18),AV!$P$18*((AV!$S$18-RASANTE!F166)/(AV!$N$18))^2,IF(AND(AV!$T$18&lt;RASANTE!F166,F166&lt;AV!$U$18),AV!$P$18*((AV!$U$18-RASANTE!F166)/(AV!$O$18))^2,IF(AND(AV!$S$20&lt;F166,F166&lt;=AV!$T$20),AV!$P$20*((AV!$S$20-RASANTE!F166)/(AV!$N$20))^2,IF(AND(AV!$T$20&lt;RASANTE!F166,F166&lt;AV!$U$20),AV!$P$20*((AV!$U$20-RASANTE!F166)/(AV!$O$20))^2,IF(AND(AV!$S$22&lt;F166,F166&lt;=AV!$T$22),AV!$P$22*((AV!$S$22-RASANTE!F166)/(AV!$N$22))^2,IF(AND(AV!$T$22&lt;RASANTE!F166,F166&lt;AV!$U$22),AV!$P$22*((AV!$U$22-RASANTE!F166)/(AV!$O$22))^2,IF(AND(AV!$S$24&lt;F166,F166&lt;=AV!$T$24),AV!$P$24*((AV!$S$24-RASANTE!F166)/(AV!$N$24))^2,IF(AND(AV!$T$24&lt;RASANTE!F166,F166&lt;AV!$U$24),AV!$P$24*((AV!$U$24-RASANTE!F166)/(AV!$O$24))^2,0))))))))))))))))))))</f>
        <v>2.1660827812499996</v>
      </c>
      <c r="L166" s="28">
        <f>+M166+H166%*PERALTE!$C$32</f>
        <v>1612.6654208188429</v>
      </c>
      <c r="M166" s="28">
        <f t="shared" si="5"/>
        <v>1612.7354208188428</v>
      </c>
      <c r="N166" s="28">
        <f>+M166+I166%*PERALTE!$C$32</f>
        <v>1612.6654208188429</v>
      </c>
      <c r="O166" s="92"/>
      <c r="P166" s="84"/>
      <c r="Q166" s="84"/>
      <c r="R166" s="84"/>
      <c r="S166" s="84"/>
      <c r="T166" s="84"/>
      <c r="U166" s="84"/>
      <c r="V166" s="84"/>
      <c r="W166" s="84"/>
      <c r="X166" s="84"/>
      <c r="Y166" s="84"/>
    </row>
    <row r="167" spans="1:25" ht="15.75" customHeight="1" x14ac:dyDescent="0.2">
      <c r="A167" s="90"/>
      <c r="B167" s="86"/>
      <c r="C167" s="86"/>
      <c r="D167" s="86"/>
      <c r="F167" s="34">
        <v>1040</v>
      </c>
      <c r="G167" s="88">
        <f>IF(F167&lt;=AV!$T$6,AV!$C$5,IF(RASANTE!F167&lt;=AV!$T$8,AV!$C$7,IF(RASANTE!F167&lt;=AV!$T$10,AV!$C$9,IF(RASANTE!F167&lt;=AV!$T$12,AV!$C$11,IF(RASANTE!F167&lt;=AV!$T$14,AV!$C$13,IF(RASANTE!F167&lt;=AV!$T$16,AV!$C$15, IF(RASANTE!F167&lt;=AV!$T$18,AV!$C$17,IF(RASANTE!F167&lt;=AV!$T$20,AV!$C$19,IF(RASANTE!F167&lt;=AV!$T$22,AV!$C$21,IF(RASANTE!F167&lt;=AV!$T$24,AV!$C$23,AV!$C$25))))))))))</f>
        <v>-7.2409999999999997</v>
      </c>
      <c r="H167" s="28">
        <f>+IF(AND(AH!$H$8="Izquierda",RASANTE!F167&lt;=PERALTE!$AB$6),IF(RASANTE!F167&lt;=PERALTE!$S$6,-2,IF(RASANTE!F167&lt;=PERALTE!$U$6,(-6/(PERALTE!$U$6-PERALTE!$S$6)*(RASANTE!F167-PERALTE!$S$6)-2),IF(RASANTE!F167&lt;=PERALTE!$X$6,-8,IF(RASANTE!F167&lt;=PERALTE!$Z$6,(-6/(PERALTE!$X$6-PERALTE!$Z$6)*(RASANTE!F167-PERALTE!$Z$6)-2),IF(RASANTE!F167&lt;=PERALTE!$AB$6,-2))))),IF(AND(AH!$H$8="Derecha",RASANTE!F167&lt;=PERALTE!$AB$6),IF(RASANTE!F167&lt;=PERALTE!$Q$6,-2,IF(RASANTE!F167&lt;=PERALTE!$U$6,(10/(PERALTE!$U$6-PERALTE!$Q$6)*(RASANTE!F167-PERALTE!$Q$6)-2),IF(RASANTE!F167&lt;=PERALTE!$X$6,8,IF(RASANTE!F167&lt;=PERALTE!$AB$6,(10/(PERALTE!$X$6-PERALTE!$AB$6)*(RASANTE!F167-PERALTE!$AB$6)-2))))),IF(AND(AH!$H$10="Izquierda",RASANTE!F167&lt;=PERALTE!$AB$8),IF(RASANTE!F167&lt;=PERALTE!$S$8,-2,IF(RASANTE!F167&lt;=PERALTE!$U$8,(-6/(PERALTE!$U$8-PERALTE!$S$8)*(RASANTE!F167-PERALTE!$S$8)-2),IF(RASANTE!F167&lt;=PERALTE!$X$8,-8,IF(RASANTE!F167&lt;=PERALTE!$Z$8,(-6/(PERALTE!$X$8-PERALTE!$Z$8)*(RASANTE!F167-PERALTE!$Z$8)-2),IF(RASANTE!F167&lt;=PERALTE!$AB$8,-2))))),IF(AND(AH!$H$10="Derecha",RASANTE!F167&lt;=PERALTE!$AB$8),IF(RASANTE!F167&lt;=PERALTE!$Q$8,-2,IF(RASANTE!F167&lt;=PERALTE!$U$8,(10/(PERALTE!$U$8-PERALTE!$Q$8)*(RASANTE!F167-PERALTE!$Q$8)-2),IF(RASANTE!F167&lt;=PERALTE!$X$8,8,IF(RASANTE!F167&lt;=PERALTE!$AB$8,(10/(PERALTE!$X$8-PERALTE!$AB$8)*(RASANTE!F167-PERALTE!$AB$8)-2))))),IF(AND(AH!$H$12="Izquierda",RASANTE!F167&lt;=PERALTE!$AB$10),IF(RASANTE!F167&lt;=PERALTE!$S$10,-2,IF(RASANTE!F167&lt;=PERALTE!$U$10,(-6/(PERALTE!$U$10-PERALTE!$S$10)*(RASANTE!F167-PERALTE!$S$10)-2),IF(RASANTE!F167&lt;=PERALTE!$X$10,-8,IF(RASANTE!F167&lt;=PERALTE!$Z$10,(-6/(PERALTE!$X$10-PERALTE!$Z$10)*(RASANTE!F167-PERALTE!$Z$10)-2),IF(RASANTE!F167&lt;=PERALTE!$AB$10,-2))))),IF(AND(AH!$H$12="Derecha",RASANTE!F167&lt;=PERALTE!$AB$10),IF(RASANTE!F167&lt;=PERALTE!$Q$10,-2,IF(RASANTE!F167&lt;=PERALTE!$U$10,(10/(PERALTE!$U$10-PERALTE!$Q$10)*(RASANTE!F167-PERALTE!$Q$10)-2),IF(RASANTE!F167&lt;=PERALTE!$X$10,8,IF(RASANTE!F167&lt;=PERALTE!$AB$10,(10/(PERALTE!$X$10-PERALTE!$AB$10)*(RASANTE!F167-PERALTE!$AB$10)-2))))),IF(AND(AH!$H$14="Izquierda",RASANTE!F167&lt;=PERALTE!$AB$12),IF(RASANTE!F167&lt;=PERALTE!$S$12,-2,IF(RASANTE!F167&lt;=PERALTE!$U$12,(-6/(PERALTE!$U$12-PERALTE!$S$12)*(RASANTE!F167-PERALTE!$S$12)-2),IF(RASANTE!F167&lt;=PERALTE!$X$12,-8,IF(RASANTE!F167&lt;=PERALTE!$Z$12,(-6/(PERALTE!$X$12-PERALTE!$Z$12)*(RASANTE!F167-PERALTE!$Z$12)-2),IF(RASANTE!F167&lt;=PERALTE!$AB$12,-2))))),IF(AND(AH!$H$14="Derecha",RASANTE!F167&lt;=PERALTE!$AB$12),IF(RASANTE!F167&lt;=PERALTE!$Q$12,-2,IF(RASANTE!F167&lt;=PERALTE!$U$12,(10/(PERALTE!$U$12-PERALTE!$Q$12)*(RASANTE!F167-PERALTE!$Q$12)-2),IF(RASANTE!F167&lt;=PERALTE!$X$12,8,IF(RASANTE!F167&lt;=PERALTE!$AB$12,(10/(PERALTE!$X$12-PERALTE!$AB$12)*(RASANTE!F167-PERALTE!$AB$12)-2))))),IF(AND(AH!$H$16="Izquierda",RASANTE!F167&lt;=PERALTE!$AB$14),IF(RASANTE!F167&lt;=PERALTE!$S$14,-2,IF(RASANTE!F167&lt;=PERALTE!$U$14,(-6/(PERALTE!$U$14-PERALTE!$S$14)*(RASANTE!F167-PERALTE!$S$14)-2),IF(RASANTE!F167&lt;=PERALTE!$X$14,-8,IF(RASANTE!F167&lt;=PERALTE!$Z$14,(-6/(PERALTE!$X$14-PERALTE!$Z$14)*(RASANTE!F167-PERALTE!$Z$14)-2),IF(RASANTE!F167&lt;=PERALTE!$AB$14,-2))))),IF(AND(AH!$H$16="Derecha",RASANTE!F167&lt;=PERALTE!$AB$14),IF(RASANTE!F167&lt;=PERALTE!$Q$14,-2,IF(RASANTE!F167&lt;=PERALTE!$U$14,(10/(PERALTE!$U$14-PERALTE!$Q$14)*(RASANTE!F167-PERALTE!$Q$14)-2),IF(RASANTE!F167&lt;=PERALTE!$X$14,8,IF(RASANTE!F167&lt;=PERALTE!$AB$14,(10/(PERALTE!$X$14-PERALTE!$AB$14)*(RASANTE!F167-PERALTE!$AB$14)-2))))),IF(AND(AH!$H$18="Izquierda",RASANTE!F167&lt;=PERALTE!$AB$16),IF(RASANTE!F167&lt;=PERALTE!$S$16,-2,IF(RASANTE!F167&lt;=PERALTE!$U$16,(-6/(PERALTE!$U$16-PERALTE!$S$16)*(RASANTE!F167-PERALTE!$S$16)-2),IF(RASANTE!F167&lt;=PERALTE!$X$16,-8,IF(RASANTE!F167&lt;=PERALTE!$Z$16,(-6/(PERALTE!$X$16-PERALTE!$Z$16)*(RASANTE!F167-PERALTE!$Z$16)-2),IF(RASANTE!F167&lt;=PERALTE!$AB$16,-2))))),IF(AND(AH!$H$18="Derecha",RASANTE!F167&lt;=PERALTE!$AB$16),IF(RASANTE!F167&lt;=PERALTE!$Q$16,-2,IF(RASANTE!F167&lt;=PERALTE!$U$16,(10/(PERALTE!$U$16-PERALTE!$Q$16)*(RASANTE!F167-PERALTE!$Q$16)-2),IF(RASANTE!F167&lt;=PERALTE!$X$16,8,IF(RASANTE!F167&lt;=PERALTE!$AB$16,(10/(PERALTE!$X$16-PERALTE!$AB$16)*(RASANTE!F167-PERALTE!$AB$16)-2))))),IF(AND(AH!$H$20="Izquierda",RASANTE!F167&lt;=PERALTE!$AB$18),IF(RASANTE!F167&lt;=PERALTE!$S$18,-2,IF(RASANTE!F167&lt;=PERALTE!$U$18,(-6/(PERALTE!$U$18-PERALTE!$S$18)*(RASANTE!F167-PERALTE!$S$18)-2),IF(RASANTE!F167&lt;=PERALTE!$X$18,-8,IF(RASANTE!F167&lt;=PERALTE!$Z$18,(-6/(PERALTE!$X$18-PERALTE!$Z$18)*(RASANTE!F167-PERALTE!$Z$18)-2),IF(RASANTE!F167&lt;=PERALTE!$AB$18,-2))))),IF(AND(AH!$H$20="Derecha",RASANTE!F167&lt;=PERALTE!$AB$18),IF(RASANTE!F167&lt;=PERALTE!$Q$18,-2,IF(RASANTE!F167&lt;=PERALTE!$U$18,(10/(PERALTE!$U$18-PERALTE!$Q$18)*(RASANTE!F167-PERALTE!$Q$18)-2),IF(RASANTE!F167&lt;=PERALTE!$X$18,8,IF(RASANTE!F167&lt;=PERALTE!$AB$18,(10/(PERALTE!$X$18-PERALTE!$AB$18)*(RASANTE!F167-PERALTE!$AB$18)-2))))),IF(AND(AH!$H$24="Izquierda",RASANTE!F167&lt;=PERALTE!$AB$22),IF(RASANTE!F167&lt;=PERALTE!$S$22,-2,IF(RASANTE!F167&lt;=PERALTE!$U$22,(-6/(PERALTE!$U$22-PERALTE!$S$22)*(RASANTE!F167-PERALTE!$S$22)-2),IF(RASANTE!F167&lt;=PERALTE!$X$22,-8,IF(RASANTE!F167&lt;=PERALTE!$Z$22,(-6/(PERALTE!$X$22-PERALTE!$Z$22)*(RASANTE!F167-PERALTE!$Z$22)-2),IF(RASANTE!F167&lt;=PERALTE!$AB$22,-2))))),IF(AND(AH!$H$24="Derecha",RASANTE!F167&lt;=PERALTE!$AB$22),IF(RASANTE!F167&lt;=PERALTE!$Q$22,-2,IF(RASANTE!F167&lt;=PERALTE!$U$22,(10/(PERALTE!$U$22-PERALTE!$Q$22)*(RASANTE!F167-PERALTE!$Q$22)-2),IF(RASANTE!F167&lt;=PERALTE!$X$22,8,IF(RASANTE!F167&lt;=PERALTE!$AB$22,(10/(PERALTE!$X$22-PERALTE!$AB$22)*(RASANTE!F167-PERALTE!$AB$22)-2))))),IF(AND(AH!#REF!="Izquierda",RASANTE!F167&lt;=PERALTE!#REF!),IF(RASANTE!F167&lt;=PERALTE!#REF!,-2,IF(RASANTE!F167&lt;=PERALTE!#REF!,(-6/(PERALTE!#REF!-PERALTE!#REF!)*(RASANTE!F167-PERALTE!#REF!)-2),IF(RASANTE!F167&lt;=PERALTE!#REF!,-8,IF(RASANTE!F167&lt;=PERALTE!#REF!,(-6/(PERALTE!#REF!-PERALTE!#REF!)*(RASANTE!F167-PERALTE!#REF!)-2),IF(RASANTE!F167&lt;=PERALTE!#REF!,-2))))),IF(AND(AH!#REF!="Derecha",RASANTE!F167&lt;=PERALTE!#REF!),IF(RASANTE!F167&lt;=PERALTE!#REF!,-2,IF(RASANTE!F167&lt;=PERALTE!#REF!,(10/(PERALTE!#REF!-PERALTE!#REF!)*(RASANTE!F167-PERALTE!#REF!)-2),IF(RASANTE!F167&lt;=PERALTE!#REF!,8,IF(RASANTE!F167&lt;=PERALTE!#REF!,(10/(PERALTE!#REF!-PERALTE!#REF!)*(RASANTE!F167-PERALTE!#REF!)-2))))),IF(AND(AH!#REF!="Izquierda",RASANTE!F167&lt;=PERALTE!$AB$26),IF(RASANTE!F167&lt;=PERALTE!$S$26,-2,IF(RASANTE!F167&lt;=PERALTE!$U$26,(-6/(PERALTE!$U$26-PERALTE!$S$26)*(RASANTE!F167-PERALTE!$S$26)-2),IF(RASANTE!F167&lt;=PERALTE!$X$26,-8,IF(RASANTE!F167&lt;=PERALTE!$Z$26,(-6/(PERALTE!$X$26-PERALTE!$Z$26)*(RASANTE!F167-PERALTE!$Z$26)-2),IF(RASANTE!F167&lt;=PERALTE!$AB$26,-2))))),IF(AND(AH!#REF!="Derecha",RASANTE!F167&lt;=PERALTE!$AB$26),IF(RASANTE!F167&lt;=PERALTE!$Q$26,-2,IF(RASANTE!F167&lt;=PERALTE!$U$26,(10/(PERALTE!$U$26-PERALTE!$Q$26)*(RASANTE!F167-PERALTE!$Q$26)-2),IF(RASANTE!F167&lt;=PERALTE!$X$26,8,IF(RASANTE!F167&lt;=PERALTE!$AB$26,(10/(PERALTE!$X$26-PERALTE!$AB$26)*(RASANTE!F167-PERALTE!$AB$26)-2))))),IF(F167&lt;=PERALTE!#REF!,-2,"Abscisa fuera de la vía")))))))))))))))))))))</f>
        <v>-2</v>
      </c>
      <c r="I167" s="28">
        <f>+IF(AND(AH!$H$8="Derecha",RASANTE!F167&lt;=PERALTE!$AB$6),IF(RASANTE!F167&lt;=PERALTE!$S$6,-2,IF(RASANTE!F167&lt;=PERALTE!$U$6,(-6/(PERALTE!$U$6-PERALTE!$S$6)*(RASANTE!F167-PERALTE!$S$6)-2),IF(RASANTE!F167&lt;=PERALTE!$X$6,-8,IF(RASANTE!F167&lt;=PERALTE!$Z$6,(-6/(PERALTE!$X$6-PERALTE!$Z$6)*(RASANTE!F167-PERALTE!$Z$6)-2),IF(RASANTE!F167&lt;=PERALTE!$AB$6,-2))))),IF(AND(AH!$H$8="Izquierda",RASANTE!F167&lt;=PERALTE!$AB$6),IF(RASANTE!F167&lt;=PERALTE!$Q$6,-2,IF(RASANTE!F167&lt;=PERALTE!$U$6,(10/(PERALTE!$U$6-PERALTE!$Q$6)*(RASANTE!F167-PERALTE!$Q$6)-2),IF(RASANTE!F167&lt;=PERALTE!$X$6,8,IF(RASANTE!F167&lt;=PERALTE!$AB$6,(10/(PERALTE!$X$6-PERALTE!$AB$6)*(RASANTE!F167-PERALTE!$AB$6)-2))))),IF(AND(AH!$H$10="Derecha",RASANTE!F167&lt;=PERALTE!$AB$8),IF(RASANTE!F167&lt;=PERALTE!$S$8,-2,IF(RASANTE!F167&lt;=PERALTE!$U$8,(-6/(PERALTE!$U$8-PERALTE!$S$8)*(RASANTE!F167-PERALTE!$S$8)-2),IF(RASANTE!F167&lt;=PERALTE!$X$8,-8,IF(RASANTE!F167&lt;=PERALTE!$Z$8,(-6/(PERALTE!$X$8-PERALTE!$Z$8)*(RASANTE!F167-PERALTE!$Z$8)-2),IF(RASANTE!F167&lt;=PERALTE!$AB$8,-2))))),IF(AND(AH!$H$10="Izquierda",RASANTE!F167&lt;=PERALTE!$AB$8),IF(RASANTE!F167&lt;=PERALTE!$Q$8,-2,IF(RASANTE!F167&lt;=PERALTE!$U$8,(10/(PERALTE!$U$8-PERALTE!$Q$8)*(RASANTE!F167-PERALTE!$Q$8)-2),IF(RASANTE!F167&lt;=PERALTE!$X$8,8,IF(RASANTE!F167&lt;=PERALTE!$AB$8,(10/(PERALTE!$X$8-PERALTE!$AB$8)*(RASANTE!F167-PERALTE!$AB$8)-2))))),IF(AND(AH!$H$12="Derecha",RASANTE!F167&lt;=PERALTE!$AB$10),IF(RASANTE!F167&lt;=PERALTE!$S$10,-2,IF(RASANTE!F167&lt;=PERALTE!$U$10,(-6/(PERALTE!$U$10-PERALTE!$S$10)*(RASANTE!F167-PERALTE!$S$10)-2),IF(RASANTE!F167&lt;=PERALTE!$X$10,-8,IF(RASANTE!F167&lt;=PERALTE!$Z$10,(-6/(PERALTE!$X$10-PERALTE!$Z$10)*(RASANTE!F167-PERALTE!$Z$10)-2),IF(RASANTE!F167&lt;=PERALTE!$AB$10,-2))))),IF(AND(AH!$H$12="Izquierda",RASANTE!F167&lt;=PERALTE!$AB$10),IF(RASANTE!F167&lt;=PERALTE!$Q$10,-2,IF(RASANTE!F167&lt;=PERALTE!$U$10,(10/(PERALTE!$U$10-PERALTE!$Q$10)*(RASANTE!F167-PERALTE!$Q$10)-2),IF(RASANTE!F167&lt;=PERALTE!$X$10,8,IF(RASANTE!F167&lt;=PERALTE!$AB$10,(10/(PERALTE!$X$10-PERALTE!$AB$10)*(RASANTE!F167-PERALTE!$AB$10)-2))))),IF(AND(AH!$H$14="Derecha",RASANTE!F167&lt;=PERALTE!$AB$12),IF(RASANTE!F167&lt;=PERALTE!$S$12,-2,IF(RASANTE!F167&lt;=PERALTE!$U$12,(-6/(PERALTE!$U$12-PERALTE!$S$12)*(RASANTE!F167-PERALTE!$S$12)-2),IF(RASANTE!F167&lt;=PERALTE!$X$12,-8,IF(RASANTE!F167&lt;=PERALTE!$Z$12,(-6/(PERALTE!$X$12-PERALTE!$Z$12)*(RASANTE!F167-PERALTE!$Z$12)-2),IF(RASANTE!F167&lt;=PERALTE!$AB$12,-2))))),IF(AND(AH!$H$14="Izquierda",RASANTE!F167&lt;=PERALTE!$AB$12),IF(RASANTE!F167&lt;=PERALTE!$Q$12,-2,IF(RASANTE!F167&lt;=PERALTE!$U$12,(10/(PERALTE!$U$12-PERALTE!$Q$12)*(RASANTE!F167-PERALTE!$Q$12)-2),IF(RASANTE!F167&lt;=PERALTE!$X$12,8,IF(RASANTE!F167&lt;=PERALTE!$AB$12,(10/(PERALTE!$X$12-PERALTE!$AB$12)*(RASANTE!F167-PERALTE!$AB$12)-2))))),IF(AND(AH!$H$16="Derecha",RASANTE!F167&lt;=PERALTE!$AB$14),IF(RASANTE!F167&lt;=PERALTE!$S$14,-2,IF(RASANTE!F167&lt;=PERALTE!$U$14,(-6/(PERALTE!$U$14-PERALTE!$S$14)*(RASANTE!F167-PERALTE!$S$14)-2),IF(RASANTE!F167&lt;=PERALTE!$X$14,-8,IF(RASANTE!F167&lt;=PERALTE!$Z$14,(-6/(PERALTE!$X$14-PERALTE!$Z$14)*(RASANTE!F167-PERALTE!$Z$14)-2),IF(RASANTE!F167&lt;=PERALTE!$AB$14,-2))))),IF(AND(AH!$H$16="Izquierda",RASANTE!F167&lt;=PERALTE!$AB$14),IF(RASANTE!F167&lt;=PERALTE!$Q$14,-2,IF(RASANTE!F167&lt;=PERALTE!$U$14,(10/(PERALTE!$U$14-PERALTE!$Q$14)*(RASANTE!F167-PERALTE!$Q$14)-2),IF(RASANTE!F167&lt;=PERALTE!$X$14,8,IF(RASANTE!F167&lt;=PERALTE!$AB$14,(10/(PERALTE!$X$14-PERALTE!$AB$14)*(RASANTE!F167-PERALTE!$AB$14)-2))))),IF(AND(AH!$H$18="Derecha",RASANTE!F167&lt;=PERALTE!$AB$16),IF(RASANTE!F167&lt;=PERALTE!$S$16,-2,IF(RASANTE!F167&lt;=PERALTE!$U$16,(-6/(PERALTE!$U$16-PERALTE!$S$16)*(RASANTE!F167-PERALTE!$S$16)-2),IF(RASANTE!F167&lt;=PERALTE!$X$16,-8,IF(RASANTE!F167&lt;=PERALTE!$Z$16,(-6/(PERALTE!$X$16-PERALTE!$Z$16)*(RASANTE!F167-PERALTE!$Z$16)-2),IF(RASANTE!F167&lt;=PERALTE!$AB$16,-2))))),IF(AND(AH!$H$18="Izquierda",RASANTE!F167&lt;=PERALTE!$AB$16),IF(RASANTE!F167&lt;=PERALTE!$Q$16,-2,IF(RASANTE!F167&lt;=PERALTE!$U$16,(10/(PERALTE!$U$16-PERALTE!$Q$16)*(RASANTE!F167-PERALTE!$Q$16)-2),IF(RASANTE!F167&lt;=PERALTE!$X$16,8,IF(RASANTE!F167&lt;=PERALTE!$AB$16,(10/(PERALTE!$X$16-PERALTE!$AB$16)*(RASANTE!F167-PERALTE!$AB$16)-2))))),IF(AND(AH!$H$20="Derecha",RASANTE!F167&lt;=PERALTE!$AB$18),IF(RASANTE!F167&lt;=PERALTE!$S$18,-2,IF(RASANTE!F167&lt;=PERALTE!$U$18,(-6/(PERALTE!$U$18-PERALTE!$S$18)*(RASANTE!F167-PERALTE!$S$18)-2),IF(RASANTE!F167&lt;=PERALTE!$X$18,-8,IF(RASANTE!F167&lt;=PERALTE!$Z$18,(-6/(PERALTE!$X$18-PERALTE!$Z$18)*(RASANTE!F167-PERALTE!$Z$18)-2),IF(RASANTE!F167&lt;=PERALTE!$AB$18,-2))))),IF(AND(AH!$H$20="Izquierda",RASANTE!F167&lt;=PERALTE!$AB$18),IF(RASANTE!F167&lt;=PERALTE!$Q$18,-2,IF(RASANTE!F167&lt;=PERALTE!$U$18,(10/(PERALTE!$U$18-PERALTE!$Q$18)*(RASANTE!F167-PERALTE!$Q$18)-2),IF(RASANTE!F167&lt;=PERALTE!$X$18,8,IF(RASANTE!F167&lt;=PERALTE!$AB$18,(10/(PERALTE!$X$18-PERALTE!$AB$18)*(RASANTE!F167-PERALTE!$AB$18)-2))))),IF(AND(AH!$H$24="Derecha",RASANTE!F167&lt;=PERALTE!$AB$22),IF(RASANTE!F167&lt;=PERALTE!$S$22,-2,IF(RASANTE!F167&lt;=PERALTE!$U$22,(-6/(PERALTE!$U$22-PERALTE!$S$22)*(RASANTE!F167-PERALTE!$S$22)-2),IF(RASANTE!F167&lt;=PERALTE!$X$22,-8,IF(RASANTE!F167&lt;=PERALTE!$Z$22,(-6/(PERALTE!$X$22-PERALTE!$Z$22)*(RASANTE!F167-PERALTE!$Z$22)-2),IF(RASANTE!F167&lt;=PERALTE!$AB$22,-2))))),IF(AND(AH!$H$24="Izquierda",RASANTE!F167&lt;=PERALTE!$AB$22),IF(RASANTE!F167&lt;=PERALTE!$Q$22,-2,IF(RASANTE!F167&lt;=PERALTE!$U$22,(10/(PERALTE!$U$22-PERALTE!$Q$22)*(RASANTE!F167-PERALTE!$Q$22)-2),IF(RASANTE!F167&lt;=PERALTE!$X$22,8,IF(RASANTE!F167&lt;=PERALTE!$AB$22,(10/(PERALTE!$X$22-PERALTE!$AB$22)*(RASANTE!F167-PERALTE!$AB$22)-2))))),IF(AND(AH!#REF!="Derecha",RASANTE!F167&lt;=PERALTE!#REF!),IF(RASANTE!F167&lt;=PERALTE!#REF!,-2,IF(RASANTE!F167&lt;=PERALTE!#REF!,(-6/(PERALTE!#REF!-PERALTE!#REF!)*(RASANTE!F167-PERALTE!#REF!)-2),IF(RASANTE!F167&lt;=PERALTE!#REF!,-8,IF(RASANTE!F167&lt;=PERALTE!#REF!,(-6/(PERALTE!#REF!-PERALTE!#REF!)*(RASANTE!F167-PERALTE!#REF!)-2),IF(RASANTE!F167&lt;=PERALTE!#REF!,-2))))),IF(AND(AH!#REF!="Izquierda",RASANTE!F167&lt;=PERALTE!#REF!),IF(RASANTE!F167&lt;=PERALTE!#REF!,-2,IF(RASANTE!F167&lt;=PERALTE!#REF!,(10/(PERALTE!#REF!-PERALTE!#REF!)*(RASANTE!F167-PERALTE!#REF!)-2),IF(RASANTE!F167&lt;=PERALTE!#REF!,8,IF(RASANTE!F167&lt;=PERALTE!#REF!,(10/(PERALTE!#REF!-PERALTE!#REF!)*(RASANTE!F167-PERALTE!#REF!)-2))))),IF(AND(AH!#REF!="Derecha",RASANTE!F167&lt;=PERALTE!$AB$26),IF(RASANTE!F167&lt;=PERALTE!$S$26,-2,IF(RASANTE!F167&lt;=PERALTE!$U$26,(-6/(PERALTE!$U$26-PERALTE!$S$26)*(RASANTE!F167-PERALTE!$S$26)-2),IF(RASANTE!F167&lt;=PERALTE!$X$26,-8,IF(RASANTE!F167&lt;=PERALTE!$Z$26,(-6/(PERALTE!$X$26-PERALTE!$Z$26)*(RASANTE!F167-PERALTE!$Z$26)-2),IF(RASANTE!F167&lt;=PERALTE!$AB$26,-2))))),IF(AND(AH!#REF!="Izquierda",RASANTE!F167&lt;=PERALTE!$AB$26),IF(RASANTE!F167&lt;=PERALTE!$Q$26,-2,IF(RASANTE!F167&lt;=PERALTE!$U$26,(10/(PERALTE!$U$26-PERALTE!$Q$26)*(RASANTE!F167-PERALTE!$Q$26)-2),IF(RASANTE!F167&lt;=PERALTE!$X$26,8,IF(RASANTE!F167&lt;=PERALTE!$AB$26,(10/(PERALTE!$X$26-PERALTE!$AB$26)*(RASANTE!F167-PERALTE!$AB$26)-2))))),IF(F167&lt;=PERALTE!#REF!,-2,"Abscisa fuera de la vía")))))))))))))))))))))</f>
        <v>-2</v>
      </c>
      <c r="J167" s="28">
        <f t="shared" si="6"/>
        <v>1609.8452380375929</v>
      </c>
      <c r="K167" s="28">
        <f>+IF(AND(AV!$S$6&lt;F167,F167&lt;=AV!$T$6),AV!$P$6*((AV!$S$6-RASANTE!F167)/(AV!$N$6))^2,IF(AND(AV!$T$6&lt;RASANTE!F167,F167&lt;AV!$U$6),AV!$P$6*((AV!$U$6-RASANTE!F167)/(AV!$O$6))^2,IF(AND(AV!$S$8&lt;F167,F167&lt;=AV!$T$8),AV!$P$8*((AV!$S$8-RASANTE!F167)/(AV!$N$8))^2,IF(AND(AV!$T$8&lt;RASANTE!F167,F167&lt;AV!$U$8),AV!$P$8*((AV!$U$8-RASANTE!F167)/(AV!$O$8))^2,IF(AND(AV!$S$10&lt;F167,F167&lt;=AV!$T$10),AV!$P$10*((AV!$S$10-RASANTE!F167)/(AV!$N$10))^2,IF(AND(AV!$T$10&lt;RASANTE!F167,F167&lt;AV!$U$10),AV!$P$10*((AV!$U$10-RASANTE!F167)/(AV!$O$10))^2,IF(AND(AV!$S$12&lt;F167,F167&lt;=AV!$T$12),AV!$P$12*((AV!$S$12-RASANTE!F167)/(AV!$N$12))^2,IF(AND(AV!$T$12&lt;RASANTE!F167,F167&lt;AV!$U$12),AV!$P$12*((AV!$U$12-RASANTE!F167)/(AV!$O$12))^2,IF(AND(AV!$S$14&lt;F167,F167&lt;=AV!$T$14),AV!$P$14*((AV!$S$14-RASANTE!F167)/(AV!$N$14))^2,IF(AND(AV!$T$14&lt;RASANTE!F167,F167&lt;AV!$U$14),AV!$P$14*((AV!$U$14-RASANTE!F167)/(AV!$O$14))^2,IF(AND(AV!$S$16&lt;F167,F167&lt;=AV!$T$16),AV!$P$16*((AV!$S$16-RASANTE!F167)/(AV!$N$16))^2,IF(AND(AV!$T$16&lt;RASANTE!F167,F167&lt;AV!$U$16),AV!$P$16*((AV!$U$16-RASANTE!F167)/(AV!$O$16))^2,IF(AND(AV!$S$18&lt;F167,F167&lt;=AV!$T$18),AV!$P$18*((AV!$S$18-RASANTE!F167)/(AV!$N$18))^2,IF(AND(AV!$T$18&lt;RASANTE!F167,F167&lt;AV!$U$18),AV!$P$18*((AV!$U$18-RASANTE!F167)/(AV!$O$18))^2,IF(AND(AV!$S$20&lt;F167,F167&lt;=AV!$T$20),AV!$P$20*((AV!$S$20-RASANTE!F167)/(AV!$N$20))^2,IF(AND(AV!$T$20&lt;RASANTE!F167,F167&lt;AV!$U$20),AV!$P$20*((AV!$U$20-RASANTE!F167)/(AV!$O$20))^2,IF(AND(AV!$S$22&lt;F167,F167&lt;=AV!$T$22),AV!$P$22*((AV!$S$22-RASANTE!F167)/(AV!$N$22))^2,IF(AND(AV!$T$22&lt;RASANTE!F167,F167&lt;AV!$U$22),AV!$P$22*((AV!$U$22-RASANTE!F167)/(AV!$O$22))^2,IF(AND(AV!$S$24&lt;F167,F167&lt;=AV!$T$24),AV!$P$24*((AV!$S$24-RASANTE!F167)/(AV!$N$24))^2,IF(AND(AV!$T$24&lt;RASANTE!F167,F167&lt;AV!$U$24),AV!$P$24*((AV!$U$24-RASANTE!F167)/(AV!$O$24))^2,0))))))))))))))))))))</f>
        <v>2.86092778125</v>
      </c>
      <c r="L167" s="28">
        <f>+M167+H167%*PERALTE!$C$32</f>
        <v>1612.636165818843</v>
      </c>
      <c r="M167" s="28">
        <f t="shared" si="5"/>
        <v>1612.7061658188429</v>
      </c>
      <c r="N167" s="28">
        <f>+M167+I167%*PERALTE!$C$32</f>
        <v>1612.636165818843</v>
      </c>
      <c r="O167" s="92"/>
      <c r="P167" s="84"/>
      <c r="Q167" s="84"/>
      <c r="R167" s="84"/>
      <c r="S167" s="84"/>
      <c r="T167" s="84"/>
      <c r="U167" s="84"/>
      <c r="V167" s="84"/>
      <c r="W167" s="84"/>
      <c r="X167" s="84"/>
      <c r="Y167" s="84"/>
    </row>
    <row r="168" spans="1:25" ht="15.75" customHeight="1" x14ac:dyDescent="0.2">
      <c r="A168" s="90" t="s">
        <v>114</v>
      </c>
      <c r="B168" s="86"/>
      <c r="C168" s="86"/>
      <c r="D168" s="86"/>
      <c r="F168" s="34">
        <f>AV!T12</f>
        <v>1043</v>
      </c>
      <c r="G168" s="88">
        <f>IF(F168&lt;=AV!$T$6,AV!$C$5,IF(RASANTE!F168&lt;=AV!$T$8,AV!$C$7,IF(RASANTE!F168&lt;=AV!$T$10,AV!$C$9,IF(RASANTE!F168&lt;=AV!$T$12,AV!$C$11,IF(RASANTE!F168&lt;=AV!$T$14,AV!$C$13,IF(RASANTE!F168&lt;=AV!$T$16,AV!$C$15, IF(RASANTE!F168&lt;=AV!$T$18,AV!$C$17,IF(RASANTE!F168&lt;=AV!$T$20,AV!$C$19,IF(RASANTE!F168&lt;=AV!$T$22,AV!$C$21,IF(RASANTE!F168&lt;=AV!$T$24,AV!$C$23,AV!$C$25))))))))))</f>
        <v>-7.2409999999999997</v>
      </c>
      <c r="H168" s="28">
        <f>+IF(AND(AH!$H$8="Izquierda",RASANTE!F168&lt;=PERALTE!$AB$6),IF(RASANTE!F168&lt;=PERALTE!$S$6,-2,IF(RASANTE!F168&lt;=PERALTE!$U$6,(-6/(PERALTE!$U$6-PERALTE!$S$6)*(RASANTE!F168-PERALTE!$S$6)-2),IF(RASANTE!F168&lt;=PERALTE!$X$6,-8,IF(RASANTE!F168&lt;=PERALTE!$Z$6,(-6/(PERALTE!$X$6-PERALTE!$Z$6)*(RASANTE!F168-PERALTE!$Z$6)-2),IF(RASANTE!F168&lt;=PERALTE!$AB$6,-2))))),IF(AND(AH!$H$8="Derecha",RASANTE!F168&lt;=PERALTE!$AB$6),IF(RASANTE!F168&lt;=PERALTE!$Q$6,-2,IF(RASANTE!F168&lt;=PERALTE!$U$6,(10/(PERALTE!$U$6-PERALTE!$Q$6)*(RASANTE!F168-PERALTE!$Q$6)-2),IF(RASANTE!F168&lt;=PERALTE!$X$6,8,IF(RASANTE!F168&lt;=PERALTE!$AB$6,(10/(PERALTE!$X$6-PERALTE!$AB$6)*(RASANTE!F168-PERALTE!$AB$6)-2))))),IF(AND(AH!$H$10="Izquierda",RASANTE!F168&lt;=PERALTE!$AB$8),IF(RASANTE!F168&lt;=PERALTE!$S$8,-2,IF(RASANTE!F168&lt;=PERALTE!$U$8,(-6/(PERALTE!$U$8-PERALTE!$S$8)*(RASANTE!F168-PERALTE!$S$8)-2),IF(RASANTE!F168&lt;=PERALTE!$X$8,-8,IF(RASANTE!F168&lt;=PERALTE!$Z$8,(-6/(PERALTE!$X$8-PERALTE!$Z$8)*(RASANTE!F168-PERALTE!$Z$8)-2),IF(RASANTE!F168&lt;=PERALTE!$AB$8,-2))))),IF(AND(AH!$H$10="Derecha",RASANTE!F168&lt;=PERALTE!$AB$8),IF(RASANTE!F168&lt;=PERALTE!$Q$8,-2,IF(RASANTE!F168&lt;=PERALTE!$U$8,(10/(PERALTE!$U$8-PERALTE!$Q$8)*(RASANTE!F168-PERALTE!$Q$8)-2),IF(RASANTE!F168&lt;=PERALTE!$X$8,8,IF(RASANTE!F168&lt;=PERALTE!$AB$8,(10/(PERALTE!$X$8-PERALTE!$AB$8)*(RASANTE!F168-PERALTE!$AB$8)-2))))),IF(AND(AH!$H$12="Izquierda",RASANTE!F168&lt;=PERALTE!$AB$10),IF(RASANTE!F168&lt;=PERALTE!$S$10,-2,IF(RASANTE!F168&lt;=PERALTE!$U$10,(-6/(PERALTE!$U$10-PERALTE!$S$10)*(RASANTE!F168-PERALTE!$S$10)-2),IF(RASANTE!F168&lt;=PERALTE!$X$10,-8,IF(RASANTE!F168&lt;=PERALTE!$Z$10,(-6/(PERALTE!$X$10-PERALTE!$Z$10)*(RASANTE!F168-PERALTE!$Z$10)-2),IF(RASANTE!F168&lt;=PERALTE!$AB$10,-2))))),IF(AND(AH!$H$12="Derecha",RASANTE!F168&lt;=PERALTE!$AB$10),IF(RASANTE!F168&lt;=PERALTE!$Q$10,-2,IF(RASANTE!F168&lt;=PERALTE!$U$10,(10/(PERALTE!$U$10-PERALTE!$Q$10)*(RASANTE!F168-PERALTE!$Q$10)-2),IF(RASANTE!F168&lt;=PERALTE!$X$10,8,IF(RASANTE!F168&lt;=PERALTE!$AB$10,(10/(PERALTE!$X$10-PERALTE!$AB$10)*(RASANTE!F168-PERALTE!$AB$10)-2))))),IF(AND(AH!$H$14="Izquierda",RASANTE!F168&lt;=PERALTE!$AB$12),IF(RASANTE!F168&lt;=PERALTE!$S$12,-2,IF(RASANTE!F168&lt;=PERALTE!$U$12,(-6/(PERALTE!$U$12-PERALTE!$S$12)*(RASANTE!F168-PERALTE!$S$12)-2),IF(RASANTE!F168&lt;=PERALTE!$X$12,-8,IF(RASANTE!F168&lt;=PERALTE!$Z$12,(-6/(PERALTE!$X$12-PERALTE!$Z$12)*(RASANTE!F168-PERALTE!$Z$12)-2),IF(RASANTE!F168&lt;=PERALTE!$AB$12,-2))))),IF(AND(AH!$H$14="Derecha",RASANTE!F168&lt;=PERALTE!$AB$12),IF(RASANTE!F168&lt;=PERALTE!$Q$12,-2,IF(RASANTE!F168&lt;=PERALTE!$U$12,(10/(PERALTE!$U$12-PERALTE!$Q$12)*(RASANTE!F168-PERALTE!$Q$12)-2),IF(RASANTE!F168&lt;=PERALTE!$X$12,8,IF(RASANTE!F168&lt;=PERALTE!$AB$12,(10/(PERALTE!$X$12-PERALTE!$AB$12)*(RASANTE!F168-PERALTE!$AB$12)-2))))),IF(AND(AH!$H$16="Izquierda",RASANTE!F168&lt;=PERALTE!$AB$14),IF(RASANTE!F168&lt;=PERALTE!$S$14,-2,IF(RASANTE!F168&lt;=PERALTE!$U$14,(-6/(PERALTE!$U$14-PERALTE!$S$14)*(RASANTE!F168-PERALTE!$S$14)-2),IF(RASANTE!F168&lt;=PERALTE!$X$14,-8,IF(RASANTE!F168&lt;=PERALTE!$Z$14,(-6/(PERALTE!$X$14-PERALTE!$Z$14)*(RASANTE!F168-PERALTE!$Z$14)-2),IF(RASANTE!F168&lt;=PERALTE!$AB$14,-2))))),IF(AND(AH!$H$16="Derecha",RASANTE!F168&lt;=PERALTE!$AB$14),IF(RASANTE!F168&lt;=PERALTE!$Q$14,-2,IF(RASANTE!F168&lt;=PERALTE!$U$14,(10/(PERALTE!$U$14-PERALTE!$Q$14)*(RASANTE!F168-PERALTE!$Q$14)-2),IF(RASANTE!F168&lt;=PERALTE!$X$14,8,IF(RASANTE!F168&lt;=PERALTE!$AB$14,(10/(PERALTE!$X$14-PERALTE!$AB$14)*(RASANTE!F168-PERALTE!$AB$14)-2))))),IF(AND(AH!$H$18="Izquierda",RASANTE!F168&lt;=PERALTE!$AB$16),IF(RASANTE!F168&lt;=PERALTE!$S$16,-2,IF(RASANTE!F168&lt;=PERALTE!$U$16,(-6/(PERALTE!$U$16-PERALTE!$S$16)*(RASANTE!F168-PERALTE!$S$16)-2),IF(RASANTE!F168&lt;=PERALTE!$X$16,-8,IF(RASANTE!F168&lt;=PERALTE!$Z$16,(-6/(PERALTE!$X$16-PERALTE!$Z$16)*(RASANTE!F168-PERALTE!$Z$16)-2),IF(RASANTE!F168&lt;=PERALTE!$AB$16,-2))))),IF(AND(AH!$H$18="Derecha",RASANTE!F168&lt;=PERALTE!$AB$16),IF(RASANTE!F168&lt;=PERALTE!$Q$16,-2,IF(RASANTE!F168&lt;=PERALTE!$U$16,(10/(PERALTE!$U$16-PERALTE!$Q$16)*(RASANTE!F168-PERALTE!$Q$16)-2),IF(RASANTE!F168&lt;=PERALTE!$X$16,8,IF(RASANTE!F168&lt;=PERALTE!$AB$16,(10/(PERALTE!$X$16-PERALTE!$AB$16)*(RASANTE!F168-PERALTE!$AB$16)-2))))),IF(AND(AH!$H$20="Izquierda",RASANTE!F168&lt;=PERALTE!$AB$18),IF(RASANTE!F168&lt;=PERALTE!$S$18,-2,IF(RASANTE!F168&lt;=PERALTE!$U$18,(-6/(PERALTE!$U$18-PERALTE!$S$18)*(RASANTE!F168-PERALTE!$S$18)-2),IF(RASANTE!F168&lt;=PERALTE!$X$18,-8,IF(RASANTE!F168&lt;=PERALTE!$Z$18,(-6/(PERALTE!$X$18-PERALTE!$Z$18)*(RASANTE!F168-PERALTE!$Z$18)-2),IF(RASANTE!F168&lt;=PERALTE!$AB$18,-2))))),IF(AND(AH!$H$20="Derecha",RASANTE!F168&lt;=PERALTE!$AB$18),IF(RASANTE!F168&lt;=PERALTE!$Q$18,-2,IF(RASANTE!F168&lt;=PERALTE!$U$18,(10/(PERALTE!$U$18-PERALTE!$Q$18)*(RASANTE!F168-PERALTE!$Q$18)-2),IF(RASANTE!F168&lt;=PERALTE!$X$18,8,IF(RASANTE!F168&lt;=PERALTE!$AB$18,(10/(PERALTE!$X$18-PERALTE!$AB$18)*(RASANTE!F168-PERALTE!$AB$18)-2))))),IF(AND(AH!$H$24="Izquierda",RASANTE!F168&lt;=PERALTE!$AB$22),IF(RASANTE!F168&lt;=PERALTE!$S$22,-2,IF(RASANTE!F168&lt;=PERALTE!$U$22,(-6/(PERALTE!$U$22-PERALTE!$S$22)*(RASANTE!F168-PERALTE!$S$22)-2),IF(RASANTE!F168&lt;=PERALTE!$X$22,-8,IF(RASANTE!F168&lt;=PERALTE!$Z$22,(-6/(PERALTE!$X$22-PERALTE!$Z$22)*(RASANTE!F168-PERALTE!$Z$22)-2),IF(RASANTE!F168&lt;=PERALTE!$AB$22,-2))))),IF(AND(AH!$H$24="Derecha",RASANTE!F168&lt;=PERALTE!$AB$22),IF(RASANTE!F168&lt;=PERALTE!$Q$22,-2,IF(RASANTE!F168&lt;=PERALTE!$U$22,(10/(PERALTE!$U$22-PERALTE!$Q$22)*(RASANTE!F168-PERALTE!$Q$22)-2),IF(RASANTE!F168&lt;=PERALTE!$X$22,8,IF(RASANTE!F168&lt;=PERALTE!$AB$22,(10/(PERALTE!$X$22-PERALTE!$AB$22)*(RASANTE!F168-PERALTE!$AB$22)-2))))),IF(AND(AH!#REF!="Izquierda",RASANTE!F168&lt;=PERALTE!#REF!),IF(RASANTE!F168&lt;=PERALTE!#REF!,-2,IF(RASANTE!F168&lt;=PERALTE!#REF!,(-6/(PERALTE!#REF!-PERALTE!#REF!)*(RASANTE!F168-PERALTE!#REF!)-2),IF(RASANTE!F168&lt;=PERALTE!#REF!,-8,IF(RASANTE!F168&lt;=PERALTE!#REF!,(-6/(PERALTE!#REF!-PERALTE!#REF!)*(RASANTE!F168-PERALTE!#REF!)-2),IF(RASANTE!F168&lt;=PERALTE!#REF!,-2))))),IF(AND(AH!#REF!="Derecha",RASANTE!F168&lt;=PERALTE!#REF!),IF(RASANTE!F168&lt;=PERALTE!#REF!,-2,IF(RASANTE!F168&lt;=PERALTE!#REF!,(10/(PERALTE!#REF!-PERALTE!#REF!)*(RASANTE!F168-PERALTE!#REF!)-2),IF(RASANTE!F168&lt;=PERALTE!#REF!,8,IF(RASANTE!F168&lt;=PERALTE!#REF!,(10/(PERALTE!#REF!-PERALTE!#REF!)*(RASANTE!F168-PERALTE!#REF!)-2))))),IF(AND(AH!#REF!="Izquierda",RASANTE!F168&lt;=PERALTE!$AB$26),IF(RASANTE!F168&lt;=PERALTE!$S$26,-2,IF(RASANTE!F168&lt;=PERALTE!$U$26,(-6/(PERALTE!$U$26-PERALTE!$S$26)*(RASANTE!F168-PERALTE!$S$26)-2),IF(RASANTE!F168&lt;=PERALTE!$X$26,-8,IF(RASANTE!F168&lt;=PERALTE!$Z$26,(-6/(PERALTE!$X$26-PERALTE!$Z$26)*(RASANTE!F168-PERALTE!$Z$26)-2),IF(RASANTE!F168&lt;=PERALTE!$AB$26,-2))))),IF(AND(AH!#REF!="Derecha",RASANTE!F168&lt;=PERALTE!$AB$26),IF(RASANTE!F168&lt;=PERALTE!$Q$26,-2,IF(RASANTE!F168&lt;=PERALTE!$U$26,(10/(PERALTE!$U$26-PERALTE!$Q$26)*(RASANTE!F168-PERALTE!$Q$26)-2),IF(RASANTE!F168&lt;=PERALTE!$X$26,8,IF(RASANTE!F168&lt;=PERALTE!$AB$26,(10/(PERALTE!$X$26-PERALTE!$AB$26)*(RASANTE!F168-PERALTE!$AB$26)-2))))),IF(F168&lt;=PERALTE!#REF!,-2,"Abscisa fuera de la vía")))))))))))))))))))))</f>
        <v>-2</v>
      </c>
      <c r="I168" s="28">
        <f>+IF(AND(AH!$H$8="Derecha",RASANTE!F168&lt;=PERALTE!$AB$6),IF(RASANTE!F168&lt;=PERALTE!$S$6,-2,IF(RASANTE!F168&lt;=PERALTE!$U$6,(-6/(PERALTE!$U$6-PERALTE!$S$6)*(RASANTE!F168-PERALTE!$S$6)-2),IF(RASANTE!F168&lt;=PERALTE!$X$6,-8,IF(RASANTE!F168&lt;=PERALTE!$Z$6,(-6/(PERALTE!$X$6-PERALTE!$Z$6)*(RASANTE!F168-PERALTE!$Z$6)-2),IF(RASANTE!F168&lt;=PERALTE!$AB$6,-2))))),IF(AND(AH!$H$8="Izquierda",RASANTE!F168&lt;=PERALTE!$AB$6),IF(RASANTE!F168&lt;=PERALTE!$Q$6,-2,IF(RASANTE!F168&lt;=PERALTE!$U$6,(10/(PERALTE!$U$6-PERALTE!$Q$6)*(RASANTE!F168-PERALTE!$Q$6)-2),IF(RASANTE!F168&lt;=PERALTE!$X$6,8,IF(RASANTE!F168&lt;=PERALTE!$AB$6,(10/(PERALTE!$X$6-PERALTE!$AB$6)*(RASANTE!F168-PERALTE!$AB$6)-2))))),IF(AND(AH!$H$10="Derecha",RASANTE!F168&lt;=PERALTE!$AB$8),IF(RASANTE!F168&lt;=PERALTE!$S$8,-2,IF(RASANTE!F168&lt;=PERALTE!$U$8,(-6/(PERALTE!$U$8-PERALTE!$S$8)*(RASANTE!F168-PERALTE!$S$8)-2),IF(RASANTE!F168&lt;=PERALTE!$X$8,-8,IF(RASANTE!F168&lt;=PERALTE!$Z$8,(-6/(PERALTE!$X$8-PERALTE!$Z$8)*(RASANTE!F168-PERALTE!$Z$8)-2),IF(RASANTE!F168&lt;=PERALTE!$AB$8,-2))))),IF(AND(AH!$H$10="Izquierda",RASANTE!F168&lt;=PERALTE!$AB$8),IF(RASANTE!F168&lt;=PERALTE!$Q$8,-2,IF(RASANTE!F168&lt;=PERALTE!$U$8,(10/(PERALTE!$U$8-PERALTE!$Q$8)*(RASANTE!F168-PERALTE!$Q$8)-2),IF(RASANTE!F168&lt;=PERALTE!$X$8,8,IF(RASANTE!F168&lt;=PERALTE!$AB$8,(10/(PERALTE!$X$8-PERALTE!$AB$8)*(RASANTE!F168-PERALTE!$AB$8)-2))))),IF(AND(AH!$H$12="Derecha",RASANTE!F168&lt;=PERALTE!$AB$10),IF(RASANTE!F168&lt;=PERALTE!$S$10,-2,IF(RASANTE!F168&lt;=PERALTE!$U$10,(-6/(PERALTE!$U$10-PERALTE!$S$10)*(RASANTE!F168-PERALTE!$S$10)-2),IF(RASANTE!F168&lt;=PERALTE!$X$10,-8,IF(RASANTE!F168&lt;=PERALTE!$Z$10,(-6/(PERALTE!$X$10-PERALTE!$Z$10)*(RASANTE!F168-PERALTE!$Z$10)-2),IF(RASANTE!F168&lt;=PERALTE!$AB$10,-2))))),IF(AND(AH!$H$12="Izquierda",RASANTE!F168&lt;=PERALTE!$AB$10),IF(RASANTE!F168&lt;=PERALTE!$Q$10,-2,IF(RASANTE!F168&lt;=PERALTE!$U$10,(10/(PERALTE!$U$10-PERALTE!$Q$10)*(RASANTE!F168-PERALTE!$Q$10)-2),IF(RASANTE!F168&lt;=PERALTE!$X$10,8,IF(RASANTE!F168&lt;=PERALTE!$AB$10,(10/(PERALTE!$X$10-PERALTE!$AB$10)*(RASANTE!F168-PERALTE!$AB$10)-2))))),IF(AND(AH!$H$14="Derecha",RASANTE!F168&lt;=PERALTE!$AB$12),IF(RASANTE!F168&lt;=PERALTE!$S$12,-2,IF(RASANTE!F168&lt;=PERALTE!$U$12,(-6/(PERALTE!$U$12-PERALTE!$S$12)*(RASANTE!F168-PERALTE!$S$12)-2),IF(RASANTE!F168&lt;=PERALTE!$X$12,-8,IF(RASANTE!F168&lt;=PERALTE!$Z$12,(-6/(PERALTE!$X$12-PERALTE!$Z$12)*(RASANTE!F168-PERALTE!$Z$12)-2),IF(RASANTE!F168&lt;=PERALTE!$AB$12,-2))))),IF(AND(AH!$H$14="Izquierda",RASANTE!F168&lt;=PERALTE!$AB$12),IF(RASANTE!F168&lt;=PERALTE!$Q$12,-2,IF(RASANTE!F168&lt;=PERALTE!$U$12,(10/(PERALTE!$U$12-PERALTE!$Q$12)*(RASANTE!F168-PERALTE!$Q$12)-2),IF(RASANTE!F168&lt;=PERALTE!$X$12,8,IF(RASANTE!F168&lt;=PERALTE!$AB$12,(10/(PERALTE!$X$12-PERALTE!$AB$12)*(RASANTE!F168-PERALTE!$AB$12)-2))))),IF(AND(AH!$H$16="Derecha",RASANTE!F168&lt;=PERALTE!$AB$14),IF(RASANTE!F168&lt;=PERALTE!$S$14,-2,IF(RASANTE!F168&lt;=PERALTE!$U$14,(-6/(PERALTE!$U$14-PERALTE!$S$14)*(RASANTE!F168-PERALTE!$S$14)-2),IF(RASANTE!F168&lt;=PERALTE!$X$14,-8,IF(RASANTE!F168&lt;=PERALTE!$Z$14,(-6/(PERALTE!$X$14-PERALTE!$Z$14)*(RASANTE!F168-PERALTE!$Z$14)-2),IF(RASANTE!F168&lt;=PERALTE!$AB$14,-2))))),IF(AND(AH!$H$16="Izquierda",RASANTE!F168&lt;=PERALTE!$AB$14),IF(RASANTE!F168&lt;=PERALTE!$Q$14,-2,IF(RASANTE!F168&lt;=PERALTE!$U$14,(10/(PERALTE!$U$14-PERALTE!$Q$14)*(RASANTE!F168-PERALTE!$Q$14)-2),IF(RASANTE!F168&lt;=PERALTE!$X$14,8,IF(RASANTE!F168&lt;=PERALTE!$AB$14,(10/(PERALTE!$X$14-PERALTE!$AB$14)*(RASANTE!F168-PERALTE!$AB$14)-2))))),IF(AND(AH!$H$18="Derecha",RASANTE!F168&lt;=PERALTE!$AB$16),IF(RASANTE!F168&lt;=PERALTE!$S$16,-2,IF(RASANTE!F168&lt;=PERALTE!$U$16,(-6/(PERALTE!$U$16-PERALTE!$S$16)*(RASANTE!F168-PERALTE!$S$16)-2),IF(RASANTE!F168&lt;=PERALTE!$X$16,-8,IF(RASANTE!F168&lt;=PERALTE!$Z$16,(-6/(PERALTE!$X$16-PERALTE!$Z$16)*(RASANTE!F168-PERALTE!$Z$16)-2),IF(RASANTE!F168&lt;=PERALTE!$AB$16,-2))))),IF(AND(AH!$H$18="Izquierda",RASANTE!F168&lt;=PERALTE!$AB$16),IF(RASANTE!F168&lt;=PERALTE!$Q$16,-2,IF(RASANTE!F168&lt;=PERALTE!$U$16,(10/(PERALTE!$U$16-PERALTE!$Q$16)*(RASANTE!F168-PERALTE!$Q$16)-2),IF(RASANTE!F168&lt;=PERALTE!$X$16,8,IF(RASANTE!F168&lt;=PERALTE!$AB$16,(10/(PERALTE!$X$16-PERALTE!$AB$16)*(RASANTE!F168-PERALTE!$AB$16)-2))))),IF(AND(AH!$H$20="Derecha",RASANTE!F168&lt;=PERALTE!$AB$18),IF(RASANTE!F168&lt;=PERALTE!$S$18,-2,IF(RASANTE!F168&lt;=PERALTE!$U$18,(-6/(PERALTE!$U$18-PERALTE!$S$18)*(RASANTE!F168-PERALTE!$S$18)-2),IF(RASANTE!F168&lt;=PERALTE!$X$18,-8,IF(RASANTE!F168&lt;=PERALTE!$Z$18,(-6/(PERALTE!$X$18-PERALTE!$Z$18)*(RASANTE!F168-PERALTE!$Z$18)-2),IF(RASANTE!F168&lt;=PERALTE!$AB$18,-2))))),IF(AND(AH!$H$20="Izquierda",RASANTE!F168&lt;=PERALTE!$AB$18),IF(RASANTE!F168&lt;=PERALTE!$Q$18,-2,IF(RASANTE!F168&lt;=PERALTE!$U$18,(10/(PERALTE!$U$18-PERALTE!$Q$18)*(RASANTE!F168-PERALTE!$Q$18)-2),IF(RASANTE!F168&lt;=PERALTE!$X$18,8,IF(RASANTE!F168&lt;=PERALTE!$AB$18,(10/(PERALTE!$X$18-PERALTE!$AB$18)*(RASANTE!F168-PERALTE!$AB$18)-2))))),IF(AND(AH!$H$24="Derecha",RASANTE!F168&lt;=PERALTE!$AB$22),IF(RASANTE!F168&lt;=PERALTE!$S$22,-2,IF(RASANTE!F168&lt;=PERALTE!$U$22,(-6/(PERALTE!$U$22-PERALTE!$S$22)*(RASANTE!F168-PERALTE!$S$22)-2),IF(RASANTE!F168&lt;=PERALTE!$X$22,-8,IF(RASANTE!F168&lt;=PERALTE!$Z$22,(-6/(PERALTE!$X$22-PERALTE!$Z$22)*(RASANTE!F168-PERALTE!$Z$22)-2),IF(RASANTE!F168&lt;=PERALTE!$AB$22,-2))))),IF(AND(AH!$H$24="Izquierda",RASANTE!F168&lt;=PERALTE!$AB$22),IF(RASANTE!F168&lt;=PERALTE!$Q$22,-2,IF(RASANTE!F168&lt;=PERALTE!$U$22,(10/(PERALTE!$U$22-PERALTE!$Q$22)*(RASANTE!F168-PERALTE!$Q$22)-2),IF(RASANTE!F168&lt;=PERALTE!$X$22,8,IF(RASANTE!F168&lt;=PERALTE!$AB$22,(10/(PERALTE!$X$22-PERALTE!$AB$22)*(RASANTE!F168-PERALTE!$AB$22)-2))))),IF(AND(AH!#REF!="Derecha",RASANTE!F168&lt;=PERALTE!#REF!),IF(RASANTE!F168&lt;=PERALTE!#REF!,-2,IF(RASANTE!F168&lt;=PERALTE!#REF!,(-6/(PERALTE!#REF!-PERALTE!#REF!)*(RASANTE!F168-PERALTE!#REF!)-2),IF(RASANTE!F168&lt;=PERALTE!#REF!,-8,IF(RASANTE!F168&lt;=PERALTE!#REF!,(-6/(PERALTE!#REF!-PERALTE!#REF!)*(RASANTE!F168-PERALTE!#REF!)-2),IF(RASANTE!F168&lt;=PERALTE!#REF!,-2))))),IF(AND(AH!#REF!="Izquierda",RASANTE!F168&lt;=PERALTE!#REF!),IF(RASANTE!F168&lt;=PERALTE!#REF!,-2,IF(RASANTE!F168&lt;=PERALTE!#REF!,(10/(PERALTE!#REF!-PERALTE!#REF!)*(RASANTE!F168-PERALTE!#REF!)-2),IF(RASANTE!F168&lt;=PERALTE!#REF!,8,IF(RASANTE!F168&lt;=PERALTE!#REF!,(10/(PERALTE!#REF!-PERALTE!#REF!)*(RASANTE!F168-PERALTE!#REF!)-2))))),IF(AND(AH!#REF!="Derecha",RASANTE!F168&lt;=PERALTE!$AB$26),IF(RASANTE!F168&lt;=PERALTE!$S$26,-2,IF(RASANTE!F168&lt;=PERALTE!$U$26,(-6/(PERALTE!$U$26-PERALTE!$S$26)*(RASANTE!F168-PERALTE!$S$26)-2),IF(RASANTE!F168&lt;=PERALTE!$X$26,-8,IF(RASANTE!F168&lt;=PERALTE!$Z$26,(-6/(PERALTE!$X$26-PERALTE!$Z$26)*(RASANTE!F168-PERALTE!$Z$26)-2),IF(RASANTE!F168&lt;=PERALTE!$AB$26,-2))))),IF(AND(AH!#REF!="Izquierda",RASANTE!F168&lt;=PERALTE!$AB$26),IF(RASANTE!F168&lt;=PERALTE!$Q$26,-2,IF(RASANTE!F168&lt;=PERALTE!$U$26,(10/(PERALTE!$U$26-PERALTE!$Q$26)*(RASANTE!F168-PERALTE!$Q$26)-2),IF(RASANTE!F168&lt;=PERALTE!$X$26,8,IF(RASANTE!F168&lt;=PERALTE!$AB$26,(10/(PERALTE!$X$26-PERALTE!$AB$26)*(RASANTE!F168-PERALTE!$AB$26)-2))))),IF(F168&lt;=PERALTE!#REF!,-2,"Abscisa fuera de la vía")))))))))))))))))))))</f>
        <v>-2</v>
      </c>
      <c r="J168" s="28">
        <f t="shared" si="6"/>
        <v>1609.628008037593</v>
      </c>
      <c r="K168" s="28">
        <f>+IF(AND(AV!$S$6&lt;F168,F168&lt;=AV!$T$6),AV!$P$6*((AV!$S$6-RASANTE!F168)/(AV!$N$6))^2,IF(AND(AV!$T$6&lt;RASANTE!F168,F168&lt;AV!$U$6),AV!$P$6*((AV!$U$6-RASANTE!F168)/(AV!$O$6))^2,IF(AND(AV!$S$8&lt;F168,F168&lt;=AV!$T$8),AV!$P$8*((AV!$S$8-RASANTE!F168)/(AV!$N$8))^2,IF(AND(AV!$T$8&lt;RASANTE!F168,F168&lt;AV!$U$8),AV!$P$8*((AV!$U$8-RASANTE!F168)/(AV!$O$8))^2,IF(AND(AV!$S$10&lt;F168,F168&lt;=AV!$T$10),AV!$P$10*((AV!$S$10-RASANTE!F168)/(AV!$N$10))^2,IF(AND(AV!$T$10&lt;RASANTE!F168,F168&lt;AV!$U$10),AV!$P$10*((AV!$U$10-RASANTE!F168)/(AV!$O$10))^2,IF(AND(AV!$S$12&lt;F168,F168&lt;=AV!$T$12),AV!$P$12*((AV!$S$12-RASANTE!F168)/(AV!$N$12))^2,IF(AND(AV!$T$12&lt;RASANTE!F168,F168&lt;AV!$U$12),AV!$P$12*((AV!$U$12-RASANTE!F168)/(AV!$O$12))^2,IF(AND(AV!$S$14&lt;F168,F168&lt;=AV!$T$14),AV!$P$14*((AV!$S$14-RASANTE!F168)/(AV!$N$14))^2,IF(AND(AV!$T$14&lt;RASANTE!F168,F168&lt;AV!$U$14),AV!$P$14*((AV!$U$14-RASANTE!F168)/(AV!$O$14))^2,IF(AND(AV!$S$16&lt;F168,F168&lt;=AV!$T$16),AV!$P$16*((AV!$S$16-RASANTE!F168)/(AV!$N$16))^2,IF(AND(AV!$T$16&lt;RASANTE!F168,F168&lt;AV!$U$16),AV!$P$16*((AV!$U$16-RASANTE!F168)/(AV!$O$16))^2,IF(AND(AV!$S$18&lt;F168,F168&lt;=AV!$T$18),AV!$P$18*((AV!$S$18-RASANTE!F168)/(AV!$N$18))^2,IF(AND(AV!$T$18&lt;RASANTE!F168,F168&lt;AV!$U$18),AV!$P$18*((AV!$U$18-RASANTE!F168)/(AV!$O$18))^2,IF(AND(AV!$S$20&lt;F168,F168&lt;=AV!$T$20),AV!$P$20*((AV!$S$20-RASANTE!F168)/(AV!$N$20))^2,IF(AND(AV!$T$20&lt;RASANTE!F168,F168&lt;AV!$U$20),AV!$P$20*((AV!$U$20-RASANTE!F168)/(AV!$O$20))^2,IF(AND(AV!$S$22&lt;F168,F168&lt;=AV!$T$22),AV!$P$22*((AV!$S$22-RASANTE!F168)/(AV!$N$22))^2,IF(AND(AV!$T$22&lt;RASANTE!F168,F168&lt;AV!$U$22),AV!$P$22*((AV!$U$22-RASANTE!F168)/(AV!$O$22))^2,IF(AND(AV!$S$24&lt;F168,F168&lt;=AV!$T$24),AV!$P$24*((AV!$S$24-RASANTE!F168)/(AV!$N$24))^2,IF(AND(AV!$T$24&lt;RASANTE!F168,F168&lt;AV!$U$24),AV!$P$24*((AV!$U$24-RASANTE!F168)/(AV!$O$24))^2,0))))))))))))))))))))</f>
        <v>3.0881999999999996</v>
      </c>
      <c r="L168" s="28">
        <f>+M168+H168%*PERALTE!$C$32</f>
        <v>1612.6462080375929</v>
      </c>
      <c r="M168" s="28">
        <f t="shared" si="5"/>
        <v>1612.7162080375929</v>
      </c>
      <c r="N168" s="28">
        <f>+M168+I168%*PERALTE!$C$32</f>
        <v>1612.6462080375929</v>
      </c>
      <c r="O168" s="92"/>
      <c r="P168" s="84"/>
      <c r="Q168" s="84"/>
      <c r="R168" s="84"/>
      <c r="S168" s="84"/>
      <c r="T168" s="84"/>
      <c r="U168" s="84"/>
      <c r="V168" s="84"/>
      <c r="W168" s="84"/>
      <c r="X168" s="84"/>
      <c r="Y168" s="84"/>
    </row>
    <row r="169" spans="1:25" ht="15.75" customHeight="1" x14ac:dyDescent="0.2">
      <c r="A169" s="90"/>
      <c r="B169" s="93"/>
      <c r="C169" s="93"/>
      <c r="D169" s="93"/>
      <c r="F169" s="34">
        <v>1050</v>
      </c>
      <c r="G169" s="88">
        <f>IF(F169&lt;=AV!$T$6,AV!$C$5,IF(RASANTE!F169&lt;=AV!$T$8,AV!$C$7,IF(RASANTE!F169&lt;=AV!$T$10,AV!$C$9,IF(RASANTE!F169&lt;=AV!$T$12,AV!$C$11,IF(RASANTE!F169&lt;=AV!$T$14,AV!$C$13,IF(RASANTE!F169&lt;=AV!$T$16,AV!$C$15, IF(RASANTE!F169&lt;=AV!$T$18,AV!$C$17,IF(RASANTE!F169&lt;=AV!$T$20,AV!$C$19,IF(RASANTE!F169&lt;=AV!$T$22,AV!$C$21,IF(RASANTE!F169&lt;=AV!$T$24,AV!$C$23,AV!$C$25))))))))))</f>
        <v>8.1999999999999993</v>
      </c>
      <c r="H169" s="28">
        <f>+IF(AND(AH!$H$8="Izquierda",RASANTE!F169&lt;=PERALTE!$AB$6),IF(RASANTE!F169&lt;=PERALTE!$S$6,-2,IF(RASANTE!F169&lt;=PERALTE!$U$6,(-6/(PERALTE!$U$6-PERALTE!$S$6)*(RASANTE!F169-PERALTE!$S$6)-2),IF(RASANTE!F169&lt;=PERALTE!$X$6,-8,IF(RASANTE!F169&lt;=PERALTE!$Z$6,(-6/(PERALTE!$X$6-PERALTE!$Z$6)*(RASANTE!F169-PERALTE!$Z$6)-2),IF(RASANTE!F169&lt;=PERALTE!$AB$6,-2))))),IF(AND(AH!$H$8="Derecha",RASANTE!F169&lt;=PERALTE!$AB$6),IF(RASANTE!F169&lt;=PERALTE!$Q$6,-2,IF(RASANTE!F169&lt;=PERALTE!$U$6,(10/(PERALTE!$U$6-PERALTE!$Q$6)*(RASANTE!F169-PERALTE!$Q$6)-2),IF(RASANTE!F169&lt;=PERALTE!$X$6,8,IF(RASANTE!F169&lt;=PERALTE!$AB$6,(10/(PERALTE!$X$6-PERALTE!$AB$6)*(RASANTE!F169-PERALTE!$AB$6)-2))))),IF(AND(AH!$H$10="Izquierda",RASANTE!F169&lt;=PERALTE!$AB$8),IF(RASANTE!F169&lt;=PERALTE!$S$8,-2,IF(RASANTE!F169&lt;=PERALTE!$U$8,(-6/(PERALTE!$U$8-PERALTE!$S$8)*(RASANTE!F169-PERALTE!$S$8)-2),IF(RASANTE!F169&lt;=PERALTE!$X$8,-8,IF(RASANTE!F169&lt;=PERALTE!$Z$8,(-6/(PERALTE!$X$8-PERALTE!$Z$8)*(RASANTE!F169-PERALTE!$Z$8)-2),IF(RASANTE!F169&lt;=PERALTE!$AB$8,-2))))),IF(AND(AH!$H$10="Derecha",RASANTE!F169&lt;=PERALTE!$AB$8),IF(RASANTE!F169&lt;=PERALTE!$Q$8,-2,IF(RASANTE!F169&lt;=PERALTE!$U$8,(10/(PERALTE!$U$8-PERALTE!$Q$8)*(RASANTE!F169-PERALTE!$Q$8)-2),IF(RASANTE!F169&lt;=PERALTE!$X$8,8,IF(RASANTE!F169&lt;=PERALTE!$AB$8,(10/(PERALTE!$X$8-PERALTE!$AB$8)*(RASANTE!F169-PERALTE!$AB$8)-2))))),IF(AND(AH!$H$12="Izquierda",RASANTE!F169&lt;=PERALTE!$AB$10),IF(RASANTE!F169&lt;=PERALTE!$S$10,-2,IF(RASANTE!F169&lt;=PERALTE!$U$10,(-6/(PERALTE!$U$10-PERALTE!$S$10)*(RASANTE!F169-PERALTE!$S$10)-2),IF(RASANTE!F169&lt;=PERALTE!$X$10,-8,IF(RASANTE!F169&lt;=PERALTE!$Z$10,(-6/(PERALTE!$X$10-PERALTE!$Z$10)*(RASANTE!F169-PERALTE!$Z$10)-2),IF(RASANTE!F169&lt;=PERALTE!$AB$10,-2))))),IF(AND(AH!$H$12="Derecha",RASANTE!F169&lt;=PERALTE!$AB$10),IF(RASANTE!F169&lt;=PERALTE!$Q$10,-2,IF(RASANTE!F169&lt;=PERALTE!$U$10,(10/(PERALTE!$U$10-PERALTE!$Q$10)*(RASANTE!F169-PERALTE!$Q$10)-2),IF(RASANTE!F169&lt;=PERALTE!$X$10,8,IF(RASANTE!F169&lt;=PERALTE!$AB$10,(10/(PERALTE!$X$10-PERALTE!$AB$10)*(RASANTE!F169-PERALTE!$AB$10)-2))))),IF(AND(AH!$H$14="Izquierda",RASANTE!F169&lt;=PERALTE!$AB$12),IF(RASANTE!F169&lt;=PERALTE!$S$12,-2,IF(RASANTE!F169&lt;=PERALTE!$U$12,(-6/(PERALTE!$U$12-PERALTE!$S$12)*(RASANTE!F169-PERALTE!$S$12)-2),IF(RASANTE!F169&lt;=PERALTE!$X$12,-8,IF(RASANTE!F169&lt;=PERALTE!$Z$12,(-6/(PERALTE!$X$12-PERALTE!$Z$12)*(RASANTE!F169-PERALTE!$Z$12)-2),IF(RASANTE!F169&lt;=PERALTE!$AB$12,-2))))),IF(AND(AH!$H$14="Derecha",RASANTE!F169&lt;=PERALTE!$AB$12),IF(RASANTE!F169&lt;=PERALTE!$Q$12,-2,IF(RASANTE!F169&lt;=PERALTE!$U$12,(10/(PERALTE!$U$12-PERALTE!$Q$12)*(RASANTE!F169-PERALTE!$Q$12)-2),IF(RASANTE!F169&lt;=PERALTE!$X$12,8,IF(RASANTE!F169&lt;=PERALTE!$AB$12,(10/(PERALTE!$X$12-PERALTE!$AB$12)*(RASANTE!F169-PERALTE!$AB$12)-2))))),IF(AND(AH!$H$16="Izquierda",RASANTE!F169&lt;=PERALTE!$AB$14),IF(RASANTE!F169&lt;=PERALTE!$S$14,-2,IF(RASANTE!F169&lt;=PERALTE!$U$14,(-6/(PERALTE!$U$14-PERALTE!$S$14)*(RASANTE!F169-PERALTE!$S$14)-2),IF(RASANTE!F169&lt;=PERALTE!$X$14,-8,IF(RASANTE!F169&lt;=PERALTE!$Z$14,(-6/(PERALTE!$X$14-PERALTE!$Z$14)*(RASANTE!F169-PERALTE!$Z$14)-2),IF(RASANTE!F169&lt;=PERALTE!$AB$14,-2))))),IF(AND(AH!$H$16="Derecha",RASANTE!F169&lt;=PERALTE!$AB$14),IF(RASANTE!F169&lt;=PERALTE!$Q$14,-2,IF(RASANTE!F169&lt;=PERALTE!$U$14,(10/(PERALTE!$U$14-PERALTE!$Q$14)*(RASANTE!F169-PERALTE!$Q$14)-2),IF(RASANTE!F169&lt;=PERALTE!$X$14,8,IF(RASANTE!F169&lt;=PERALTE!$AB$14,(10/(PERALTE!$X$14-PERALTE!$AB$14)*(RASANTE!F169-PERALTE!$AB$14)-2))))),IF(AND(AH!$H$18="Izquierda",RASANTE!F169&lt;=PERALTE!$AB$16),IF(RASANTE!F169&lt;=PERALTE!$S$16,-2,IF(RASANTE!F169&lt;=PERALTE!$U$16,(-6/(PERALTE!$U$16-PERALTE!$S$16)*(RASANTE!F169-PERALTE!$S$16)-2),IF(RASANTE!F169&lt;=PERALTE!$X$16,-8,IF(RASANTE!F169&lt;=PERALTE!$Z$16,(-6/(PERALTE!$X$16-PERALTE!$Z$16)*(RASANTE!F169-PERALTE!$Z$16)-2),IF(RASANTE!F169&lt;=PERALTE!$AB$16,-2))))),IF(AND(AH!$H$18="Derecha",RASANTE!F169&lt;=PERALTE!$AB$16),IF(RASANTE!F169&lt;=PERALTE!$Q$16,-2,IF(RASANTE!F169&lt;=PERALTE!$U$16,(10/(PERALTE!$U$16-PERALTE!$Q$16)*(RASANTE!F169-PERALTE!$Q$16)-2),IF(RASANTE!F169&lt;=PERALTE!$X$16,8,IF(RASANTE!F169&lt;=PERALTE!$AB$16,(10/(PERALTE!$X$16-PERALTE!$AB$16)*(RASANTE!F169-PERALTE!$AB$16)-2))))),IF(AND(AH!$H$20="Izquierda",RASANTE!F169&lt;=PERALTE!$AB$18),IF(RASANTE!F169&lt;=PERALTE!$S$18,-2,IF(RASANTE!F169&lt;=PERALTE!$U$18,(-6/(PERALTE!$U$18-PERALTE!$S$18)*(RASANTE!F169-PERALTE!$S$18)-2),IF(RASANTE!F169&lt;=PERALTE!$X$18,-8,IF(RASANTE!F169&lt;=PERALTE!$Z$18,(-6/(PERALTE!$X$18-PERALTE!$Z$18)*(RASANTE!F169-PERALTE!$Z$18)-2),IF(RASANTE!F169&lt;=PERALTE!$AB$18,-2))))),IF(AND(AH!$H$20="Derecha",RASANTE!F169&lt;=PERALTE!$AB$18),IF(RASANTE!F169&lt;=PERALTE!$Q$18,-2,IF(RASANTE!F169&lt;=PERALTE!$U$18,(10/(PERALTE!$U$18-PERALTE!$Q$18)*(RASANTE!F169-PERALTE!$Q$18)-2),IF(RASANTE!F169&lt;=PERALTE!$X$18,8,IF(RASANTE!F169&lt;=PERALTE!$AB$18,(10/(PERALTE!$X$18-PERALTE!$AB$18)*(RASANTE!F169-PERALTE!$AB$18)-2))))),IF(AND(AH!$H$24="Izquierda",RASANTE!F169&lt;=PERALTE!$AB$22),IF(RASANTE!F169&lt;=PERALTE!$S$22,-2,IF(RASANTE!F169&lt;=PERALTE!$U$22,(-6/(PERALTE!$U$22-PERALTE!$S$22)*(RASANTE!F169-PERALTE!$S$22)-2),IF(RASANTE!F169&lt;=PERALTE!$X$22,-8,IF(RASANTE!F169&lt;=PERALTE!$Z$22,(-6/(PERALTE!$X$22-PERALTE!$Z$22)*(RASANTE!F169-PERALTE!$Z$22)-2),IF(RASANTE!F169&lt;=PERALTE!$AB$22,-2))))),IF(AND(AH!$H$24="Derecha",RASANTE!F169&lt;=PERALTE!$AB$22),IF(RASANTE!F169&lt;=PERALTE!$Q$22,-2,IF(RASANTE!F169&lt;=PERALTE!$U$22,(10/(PERALTE!$U$22-PERALTE!$Q$22)*(RASANTE!F169-PERALTE!$Q$22)-2),IF(RASANTE!F169&lt;=PERALTE!$X$22,8,IF(RASANTE!F169&lt;=PERALTE!$AB$22,(10/(PERALTE!$X$22-PERALTE!$AB$22)*(RASANTE!F169-PERALTE!$AB$22)-2))))),IF(AND(AH!#REF!="Izquierda",RASANTE!F169&lt;=PERALTE!#REF!),IF(RASANTE!F169&lt;=PERALTE!#REF!,-2,IF(RASANTE!F169&lt;=PERALTE!#REF!,(-6/(PERALTE!#REF!-PERALTE!#REF!)*(RASANTE!F169-PERALTE!#REF!)-2),IF(RASANTE!F169&lt;=PERALTE!#REF!,-8,IF(RASANTE!F169&lt;=PERALTE!#REF!,(-6/(PERALTE!#REF!-PERALTE!#REF!)*(RASANTE!F169-PERALTE!#REF!)-2),IF(RASANTE!F169&lt;=PERALTE!#REF!,-2))))),IF(AND(AH!#REF!="Derecha",RASANTE!F169&lt;=PERALTE!#REF!),IF(RASANTE!F169&lt;=PERALTE!#REF!,-2,IF(RASANTE!F169&lt;=PERALTE!#REF!,(10/(PERALTE!#REF!-PERALTE!#REF!)*(RASANTE!F169-PERALTE!#REF!)-2),IF(RASANTE!F169&lt;=PERALTE!#REF!,8,IF(RASANTE!F169&lt;=PERALTE!#REF!,(10/(PERALTE!#REF!-PERALTE!#REF!)*(RASANTE!F169-PERALTE!#REF!)-2))))),IF(AND(AH!#REF!="Izquierda",RASANTE!F169&lt;=PERALTE!$AB$26),IF(RASANTE!F169&lt;=PERALTE!$S$26,-2,IF(RASANTE!F169&lt;=PERALTE!$U$26,(-6/(PERALTE!$U$26-PERALTE!$S$26)*(RASANTE!F169-PERALTE!$S$26)-2),IF(RASANTE!F169&lt;=PERALTE!$X$26,-8,IF(RASANTE!F169&lt;=PERALTE!$Z$26,(-6/(PERALTE!$X$26-PERALTE!$Z$26)*(RASANTE!F169-PERALTE!$Z$26)-2),IF(RASANTE!F169&lt;=PERALTE!$AB$26,-2))))),IF(AND(AH!#REF!="Derecha",RASANTE!F169&lt;=PERALTE!$AB$26),IF(RASANTE!F169&lt;=PERALTE!$Q$26,-2,IF(RASANTE!F169&lt;=PERALTE!$U$26,(10/(PERALTE!$U$26-PERALTE!$Q$26)*(RASANTE!F169-PERALTE!$Q$26)-2),IF(RASANTE!F169&lt;=PERALTE!$X$26,8,IF(RASANTE!F169&lt;=PERALTE!$AB$26,(10/(PERALTE!$X$26-PERALTE!$AB$26)*(RASANTE!F169-PERALTE!$AB$26)-2))))),IF(F169&lt;=PERALTE!#REF!,-2,"Abscisa fuera de la vía")))))))))))))))))))))</f>
        <v>-2</v>
      </c>
      <c r="I169" s="28">
        <f>+IF(AND(AH!$H$8="Derecha",RASANTE!F169&lt;=PERALTE!$AB$6),IF(RASANTE!F169&lt;=PERALTE!$S$6,-2,IF(RASANTE!F169&lt;=PERALTE!$U$6,(-6/(PERALTE!$U$6-PERALTE!$S$6)*(RASANTE!F169-PERALTE!$S$6)-2),IF(RASANTE!F169&lt;=PERALTE!$X$6,-8,IF(RASANTE!F169&lt;=PERALTE!$Z$6,(-6/(PERALTE!$X$6-PERALTE!$Z$6)*(RASANTE!F169-PERALTE!$Z$6)-2),IF(RASANTE!F169&lt;=PERALTE!$AB$6,-2))))),IF(AND(AH!$H$8="Izquierda",RASANTE!F169&lt;=PERALTE!$AB$6),IF(RASANTE!F169&lt;=PERALTE!$Q$6,-2,IF(RASANTE!F169&lt;=PERALTE!$U$6,(10/(PERALTE!$U$6-PERALTE!$Q$6)*(RASANTE!F169-PERALTE!$Q$6)-2),IF(RASANTE!F169&lt;=PERALTE!$X$6,8,IF(RASANTE!F169&lt;=PERALTE!$AB$6,(10/(PERALTE!$X$6-PERALTE!$AB$6)*(RASANTE!F169-PERALTE!$AB$6)-2))))),IF(AND(AH!$H$10="Derecha",RASANTE!F169&lt;=PERALTE!$AB$8),IF(RASANTE!F169&lt;=PERALTE!$S$8,-2,IF(RASANTE!F169&lt;=PERALTE!$U$8,(-6/(PERALTE!$U$8-PERALTE!$S$8)*(RASANTE!F169-PERALTE!$S$8)-2),IF(RASANTE!F169&lt;=PERALTE!$X$8,-8,IF(RASANTE!F169&lt;=PERALTE!$Z$8,(-6/(PERALTE!$X$8-PERALTE!$Z$8)*(RASANTE!F169-PERALTE!$Z$8)-2),IF(RASANTE!F169&lt;=PERALTE!$AB$8,-2))))),IF(AND(AH!$H$10="Izquierda",RASANTE!F169&lt;=PERALTE!$AB$8),IF(RASANTE!F169&lt;=PERALTE!$Q$8,-2,IF(RASANTE!F169&lt;=PERALTE!$U$8,(10/(PERALTE!$U$8-PERALTE!$Q$8)*(RASANTE!F169-PERALTE!$Q$8)-2),IF(RASANTE!F169&lt;=PERALTE!$X$8,8,IF(RASANTE!F169&lt;=PERALTE!$AB$8,(10/(PERALTE!$X$8-PERALTE!$AB$8)*(RASANTE!F169-PERALTE!$AB$8)-2))))),IF(AND(AH!$H$12="Derecha",RASANTE!F169&lt;=PERALTE!$AB$10),IF(RASANTE!F169&lt;=PERALTE!$S$10,-2,IF(RASANTE!F169&lt;=PERALTE!$U$10,(-6/(PERALTE!$U$10-PERALTE!$S$10)*(RASANTE!F169-PERALTE!$S$10)-2),IF(RASANTE!F169&lt;=PERALTE!$X$10,-8,IF(RASANTE!F169&lt;=PERALTE!$Z$10,(-6/(PERALTE!$X$10-PERALTE!$Z$10)*(RASANTE!F169-PERALTE!$Z$10)-2),IF(RASANTE!F169&lt;=PERALTE!$AB$10,-2))))),IF(AND(AH!$H$12="Izquierda",RASANTE!F169&lt;=PERALTE!$AB$10),IF(RASANTE!F169&lt;=PERALTE!$Q$10,-2,IF(RASANTE!F169&lt;=PERALTE!$U$10,(10/(PERALTE!$U$10-PERALTE!$Q$10)*(RASANTE!F169-PERALTE!$Q$10)-2),IF(RASANTE!F169&lt;=PERALTE!$X$10,8,IF(RASANTE!F169&lt;=PERALTE!$AB$10,(10/(PERALTE!$X$10-PERALTE!$AB$10)*(RASANTE!F169-PERALTE!$AB$10)-2))))),IF(AND(AH!$H$14="Derecha",RASANTE!F169&lt;=PERALTE!$AB$12),IF(RASANTE!F169&lt;=PERALTE!$S$12,-2,IF(RASANTE!F169&lt;=PERALTE!$U$12,(-6/(PERALTE!$U$12-PERALTE!$S$12)*(RASANTE!F169-PERALTE!$S$12)-2),IF(RASANTE!F169&lt;=PERALTE!$X$12,-8,IF(RASANTE!F169&lt;=PERALTE!$Z$12,(-6/(PERALTE!$X$12-PERALTE!$Z$12)*(RASANTE!F169-PERALTE!$Z$12)-2),IF(RASANTE!F169&lt;=PERALTE!$AB$12,-2))))),IF(AND(AH!$H$14="Izquierda",RASANTE!F169&lt;=PERALTE!$AB$12),IF(RASANTE!F169&lt;=PERALTE!$Q$12,-2,IF(RASANTE!F169&lt;=PERALTE!$U$12,(10/(PERALTE!$U$12-PERALTE!$Q$12)*(RASANTE!F169-PERALTE!$Q$12)-2),IF(RASANTE!F169&lt;=PERALTE!$X$12,8,IF(RASANTE!F169&lt;=PERALTE!$AB$12,(10/(PERALTE!$X$12-PERALTE!$AB$12)*(RASANTE!F169-PERALTE!$AB$12)-2))))),IF(AND(AH!$H$16="Derecha",RASANTE!F169&lt;=PERALTE!$AB$14),IF(RASANTE!F169&lt;=PERALTE!$S$14,-2,IF(RASANTE!F169&lt;=PERALTE!$U$14,(-6/(PERALTE!$U$14-PERALTE!$S$14)*(RASANTE!F169-PERALTE!$S$14)-2),IF(RASANTE!F169&lt;=PERALTE!$X$14,-8,IF(RASANTE!F169&lt;=PERALTE!$Z$14,(-6/(PERALTE!$X$14-PERALTE!$Z$14)*(RASANTE!F169-PERALTE!$Z$14)-2),IF(RASANTE!F169&lt;=PERALTE!$AB$14,-2))))),IF(AND(AH!$H$16="Izquierda",RASANTE!F169&lt;=PERALTE!$AB$14),IF(RASANTE!F169&lt;=PERALTE!$Q$14,-2,IF(RASANTE!F169&lt;=PERALTE!$U$14,(10/(PERALTE!$U$14-PERALTE!$Q$14)*(RASANTE!F169-PERALTE!$Q$14)-2),IF(RASANTE!F169&lt;=PERALTE!$X$14,8,IF(RASANTE!F169&lt;=PERALTE!$AB$14,(10/(PERALTE!$X$14-PERALTE!$AB$14)*(RASANTE!F169-PERALTE!$AB$14)-2))))),IF(AND(AH!$H$18="Derecha",RASANTE!F169&lt;=PERALTE!$AB$16),IF(RASANTE!F169&lt;=PERALTE!$S$16,-2,IF(RASANTE!F169&lt;=PERALTE!$U$16,(-6/(PERALTE!$U$16-PERALTE!$S$16)*(RASANTE!F169-PERALTE!$S$16)-2),IF(RASANTE!F169&lt;=PERALTE!$X$16,-8,IF(RASANTE!F169&lt;=PERALTE!$Z$16,(-6/(PERALTE!$X$16-PERALTE!$Z$16)*(RASANTE!F169-PERALTE!$Z$16)-2),IF(RASANTE!F169&lt;=PERALTE!$AB$16,-2))))),IF(AND(AH!$H$18="Izquierda",RASANTE!F169&lt;=PERALTE!$AB$16),IF(RASANTE!F169&lt;=PERALTE!$Q$16,-2,IF(RASANTE!F169&lt;=PERALTE!$U$16,(10/(PERALTE!$U$16-PERALTE!$Q$16)*(RASANTE!F169-PERALTE!$Q$16)-2),IF(RASANTE!F169&lt;=PERALTE!$X$16,8,IF(RASANTE!F169&lt;=PERALTE!$AB$16,(10/(PERALTE!$X$16-PERALTE!$AB$16)*(RASANTE!F169-PERALTE!$AB$16)-2))))),IF(AND(AH!$H$20="Derecha",RASANTE!F169&lt;=PERALTE!$AB$18),IF(RASANTE!F169&lt;=PERALTE!$S$18,-2,IF(RASANTE!F169&lt;=PERALTE!$U$18,(-6/(PERALTE!$U$18-PERALTE!$S$18)*(RASANTE!F169-PERALTE!$S$18)-2),IF(RASANTE!F169&lt;=PERALTE!$X$18,-8,IF(RASANTE!F169&lt;=PERALTE!$Z$18,(-6/(PERALTE!$X$18-PERALTE!$Z$18)*(RASANTE!F169-PERALTE!$Z$18)-2),IF(RASANTE!F169&lt;=PERALTE!$AB$18,-2))))),IF(AND(AH!$H$20="Izquierda",RASANTE!F169&lt;=PERALTE!$AB$18),IF(RASANTE!F169&lt;=PERALTE!$Q$18,-2,IF(RASANTE!F169&lt;=PERALTE!$U$18,(10/(PERALTE!$U$18-PERALTE!$Q$18)*(RASANTE!F169-PERALTE!$Q$18)-2),IF(RASANTE!F169&lt;=PERALTE!$X$18,8,IF(RASANTE!F169&lt;=PERALTE!$AB$18,(10/(PERALTE!$X$18-PERALTE!$AB$18)*(RASANTE!F169-PERALTE!$AB$18)-2))))),IF(AND(AH!$H$24="Derecha",RASANTE!F169&lt;=PERALTE!$AB$22),IF(RASANTE!F169&lt;=PERALTE!$S$22,-2,IF(RASANTE!F169&lt;=PERALTE!$U$22,(-6/(PERALTE!$U$22-PERALTE!$S$22)*(RASANTE!F169-PERALTE!$S$22)-2),IF(RASANTE!F169&lt;=PERALTE!$X$22,-8,IF(RASANTE!F169&lt;=PERALTE!$Z$22,(-6/(PERALTE!$X$22-PERALTE!$Z$22)*(RASANTE!F169-PERALTE!$Z$22)-2),IF(RASANTE!F169&lt;=PERALTE!$AB$22,-2))))),IF(AND(AH!$H$24="Izquierda",RASANTE!F169&lt;=PERALTE!$AB$22),IF(RASANTE!F169&lt;=PERALTE!$Q$22,-2,IF(RASANTE!F169&lt;=PERALTE!$U$22,(10/(PERALTE!$U$22-PERALTE!$Q$22)*(RASANTE!F169-PERALTE!$Q$22)-2),IF(RASANTE!F169&lt;=PERALTE!$X$22,8,IF(RASANTE!F169&lt;=PERALTE!$AB$22,(10/(PERALTE!$X$22-PERALTE!$AB$22)*(RASANTE!F169-PERALTE!$AB$22)-2))))),IF(AND(AH!#REF!="Derecha",RASANTE!F169&lt;=PERALTE!#REF!),IF(RASANTE!F169&lt;=PERALTE!#REF!,-2,IF(RASANTE!F169&lt;=PERALTE!#REF!,(-6/(PERALTE!#REF!-PERALTE!#REF!)*(RASANTE!F169-PERALTE!#REF!)-2),IF(RASANTE!F169&lt;=PERALTE!#REF!,-8,IF(RASANTE!F169&lt;=PERALTE!#REF!,(-6/(PERALTE!#REF!-PERALTE!#REF!)*(RASANTE!F169-PERALTE!#REF!)-2),IF(RASANTE!F169&lt;=PERALTE!#REF!,-2))))),IF(AND(AH!#REF!="Izquierda",RASANTE!F169&lt;=PERALTE!#REF!),IF(RASANTE!F169&lt;=PERALTE!#REF!,-2,IF(RASANTE!F169&lt;=PERALTE!#REF!,(10/(PERALTE!#REF!-PERALTE!#REF!)*(RASANTE!F169-PERALTE!#REF!)-2),IF(RASANTE!F169&lt;=PERALTE!#REF!,8,IF(RASANTE!F169&lt;=PERALTE!#REF!,(10/(PERALTE!#REF!-PERALTE!#REF!)*(RASANTE!F169-PERALTE!#REF!)-2))))),IF(AND(AH!#REF!="Derecha",RASANTE!F169&lt;=PERALTE!$AB$26),IF(RASANTE!F169&lt;=PERALTE!$S$26,-2,IF(RASANTE!F169&lt;=PERALTE!$U$26,(-6/(PERALTE!$U$26-PERALTE!$S$26)*(RASANTE!F169-PERALTE!$S$26)-2),IF(RASANTE!F169&lt;=PERALTE!$X$26,-8,IF(RASANTE!F169&lt;=PERALTE!$Z$26,(-6/(PERALTE!$X$26-PERALTE!$Z$26)*(RASANTE!F169-PERALTE!$Z$26)-2),IF(RASANTE!F169&lt;=PERALTE!$AB$26,-2))))),IF(AND(AH!#REF!="Izquierda",RASANTE!F169&lt;=PERALTE!$AB$26),IF(RASANTE!F169&lt;=PERALTE!$Q$26,-2,IF(RASANTE!F169&lt;=PERALTE!$U$26,(10/(PERALTE!$U$26-PERALTE!$Q$26)*(RASANTE!F169-PERALTE!$Q$26)-2),IF(RASANTE!F169&lt;=PERALTE!$X$26,8,IF(RASANTE!F169&lt;=PERALTE!$AB$26,(10/(PERALTE!$X$26-PERALTE!$AB$26)*(RASANTE!F169-PERALTE!$AB$26)-2))))),IF(F169&lt;=PERALTE!#REF!,-2,"Abscisa fuera de la vía")))))))))))))))))))))</f>
        <v>-2</v>
      </c>
      <c r="J169" s="28">
        <f t="shared" si="6"/>
        <v>1609.121138037593</v>
      </c>
      <c r="K169" s="28">
        <f>+IF(AND(AV!$S$6&lt;F169,F169&lt;=AV!$T$6),AV!$P$6*((AV!$S$6-RASANTE!F169)/(AV!$N$6))^2,IF(AND(AV!$T$6&lt;RASANTE!F169,F169&lt;AV!$U$6),AV!$P$6*((AV!$U$6-RASANTE!F169)/(AV!$O$6))^2,IF(AND(AV!$S$8&lt;F169,F169&lt;=AV!$T$8),AV!$P$8*((AV!$S$8-RASANTE!F169)/(AV!$N$8))^2,IF(AND(AV!$T$8&lt;RASANTE!F169,F169&lt;AV!$U$8),AV!$P$8*((AV!$U$8-RASANTE!F169)/(AV!$O$8))^2,IF(AND(AV!$S$10&lt;F169,F169&lt;=AV!$T$10),AV!$P$10*((AV!$S$10-RASANTE!F169)/(AV!$N$10))^2,IF(AND(AV!$T$10&lt;RASANTE!F169,F169&lt;AV!$U$10),AV!$P$10*((AV!$U$10-RASANTE!F169)/(AV!$O$10))^2,IF(AND(AV!$S$12&lt;F169,F169&lt;=AV!$T$12),AV!$P$12*((AV!$S$12-RASANTE!F169)/(AV!$N$12))^2,IF(AND(AV!$T$12&lt;RASANTE!F169,F169&lt;AV!$U$12),AV!$P$12*((AV!$U$12-RASANTE!F169)/(AV!$O$12))^2,IF(AND(AV!$S$14&lt;F169,F169&lt;=AV!$T$14),AV!$P$14*((AV!$S$14-RASANTE!F169)/(AV!$N$14))^2,IF(AND(AV!$T$14&lt;RASANTE!F169,F169&lt;AV!$U$14),AV!$P$14*((AV!$U$14-RASANTE!F169)/(AV!$O$14))^2,IF(AND(AV!$S$16&lt;F169,F169&lt;=AV!$T$16),AV!$P$16*((AV!$S$16-RASANTE!F169)/(AV!$N$16))^2,IF(AND(AV!$T$16&lt;RASANTE!F169,F169&lt;AV!$U$16),AV!$P$16*((AV!$U$16-RASANTE!F169)/(AV!$O$16))^2,IF(AND(AV!$S$18&lt;F169,F169&lt;=AV!$T$18),AV!$P$18*((AV!$S$18-RASANTE!F169)/(AV!$N$18))^2,IF(AND(AV!$T$18&lt;RASANTE!F169,F169&lt;AV!$U$18),AV!$P$18*((AV!$U$18-RASANTE!F169)/(AV!$O$18))^2,IF(AND(AV!$S$20&lt;F169,F169&lt;=AV!$T$20),AV!$P$20*((AV!$S$20-RASANTE!F169)/(AV!$N$20))^2,IF(AND(AV!$T$20&lt;RASANTE!F169,F169&lt;AV!$U$20),AV!$P$20*((AV!$U$20-RASANTE!F169)/(AV!$O$20))^2,IF(AND(AV!$S$22&lt;F169,F169&lt;=AV!$T$22),AV!$P$22*((AV!$S$22-RASANTE!F169)/(AV!$N$22))^2,IF(AND(AV!$T$22&lt;RASANTE!F169,F169&lt;AV!$U$22),AV!$P$22*((AV!$U$22-RASANTE!F169)/(AV!$O$22))^2,IF(AND(AV!$S$24&lt;F169,F169&lt;=AV!$T$24),AV!$P$24*((AV!$S$24-RASANTE!F169)/(AV!$N$24))^2,IF(AND(AV!$T$24&lt;RASANTE!F169,F169&lt;AV!$U$24),AV!$P$24*((AV!$U$24-RASANTE!F169)/(AV!$O$24))^2,0))))))))))))))))))))</f>
        <v>2.5714090312499995</v>
      </c>
      <c r="L169" s="28">
        <f>+M169+H169%*PERALTE!$C$32</f>
        <v>1611.622547068843</v>
      </c>
      <c r="M169" s="28">
        <f t="shared" si="5"/>
        <v>1611.6925470688429</v>
      </c>
      <c r="N169" s="28">
        <f>+M169+I169%*PERALTE!$C$32</f>
        <v>1611.622547068843</v>
      </c>
      <c r="O169" s="92"/>
      <c r="P169" s="84"/>
      <c r="Q169" s="84"/>
      <c r="R169" s="84"/>
      <c r="S169" s="84"/>
      <c r="T169" s="84"/>
      <c r="U169" s="84"/>
      <c r="V169" s="84"/>
      <c r="W169" s="84"/>
      <c r="X169" s="84"/>
      <c r="Y169" s="84"/>
    </row>
    <row r="170" spans="1:25" ht="15.75" customHeight="1" x14ac:dyDescent="0.2">
      <c r="A170" s="90"/>
      <c r="B170" s="86"/>
      <c r="C170" s="86"/>
      <c r="D170" s="86"/>
      <c r="E170" s="91"/>
      <c r="F170" s="34">
        <v>1060</v>
      </c>
      <c r="G170" s="88">
        <f>IF(F170&lt;=AV!$T$6,AV!$C$5,IF(RASANTE!F170&lt;=AV!$T$8,AV!$C$7,IF(RASANTE!F170&lt;=AV!$T$10,AV!$C$9,IF(RASANTE!F170&lt;=AV!$T$12,AV!$C$11,IF(RASANTE!F170&lt;=AV!$T$14,AV!$C$13,IF(RASANTE!F170&lt;=AV!$T$16,AV!$C$15, IF(RASANTE!F170&lt;=AV!$T$18,AV!$C$17,IF(RASANTE!F170&lt;=AV!$T$20,AV!$C$19,IF(RASANTE!F170&lt;=AV!$T$22,AV!$C$21,IF(RASANTE!F170&lt;=AV!$T$24,AV!$C$23,AV!$C$25))))))))))</f>
        <v>8.1999999999999993</v>
      </c>
      <c r="H170" s="28">
        <f>+IF(AND(AH!$H$8="Izquierda",RASANTE!F170&lt;=PERALTE!$AB$6),IF(RASANTE!F170&lt;=PERALTE!$S$6,-2,IF(RASANTE!F170&lt;=PERALTE!$U$6,(-6/(PERALTE!$U$6-PERALTE!$S$6)*(RASANTE!F170-PERALTE!$S$6)-2),IF(RASANTE!F170&lt;=PERALTE!$X$6,-8,IF(RASANTE!F170&lt;=PERALTE!$Z$6,(-6/(PERALTE!$X$6-PERALTE!$Z$6)*(RASANTE!F170-PERALTE!$Z$6)-2),IF(RASANTE!F170&lt;=PERALTE!$AB$6,-2))))),IF(AND(AH!$H$8="Derecha",RASANTE!F170&lt;=PERALTE!$AB$6),IF(RASANTE!F170&lt;=PERALTE!$Q$6,-2,IF(RASANTE!F170&lt;=PERALTE!$U$6,(10/(PERALTE!$U$6-PERALTE!$Q$6)*(RASANTE!F170-PERALTE!$Q$6)-2),IF(RASANTE!F170&lt;=PERALTE!$X$6,8,IF(RASANTE!F170&lt;=PERALTE!$AB$6,(10/(PERALTE!$X$6-PERALTE!$AB$6)*(RASANTE!F170-PERALTE!$AB$6)-2))))),IF(AND(AH!$H$10="Izquierda",RASANTE!F170&lt;=PERALTE!$AB$8),IF(RASANTE!F170&lt;=PERALTE!$S$8,-2,IF(RASANTE!F170&lt;=PERALTE!$U$8,(-6/(PERALTE!$U$8-PERALTE!$S$8)*(RASANTE!F170-PERALTE!$S$8)-2),IF(RASANTE!F170&lt;=PERALTE!$X$8,-8,IF(RASANTE!F170&lt;=PERALTE!$Z$8,(-6/(PERALTE!$X$8-PERALTE!$Z$8)*(RASANTE!F170-PERALTE!$Z$8)-2),IF(RASANTE!F170&lt;=PERALTE!$AB$8,-2))))),IF(AND(AH!$H$10="Derecha",RASANTE!F170&lt;=PERALTE!$AB$8),IF(RASANTE!F170&lt;=PERALTE!$Q$8,-2,IF(RASANTE!F170&lt;=PERALTE!$U$8,(10/(PERALTE!$U$8-PERALTE!$Q$8)*(RASANTE!F170-PERALTE!$Q$8)-2),IF(RASANTE!F170&lt;=PERALTE!$X$8,8,IF(RASANTE!F170&lt;=PERALTE!$AB$8,(10/(PERALTE!$X$8-PERALTE!$AB$8)*(RASANTE!F170-PERALTE!$AB$8)-2))))),IF(AND(AH!$H$12="Izquierda",RASANTE!F170&lt;=PERALTE!$AB$10),IF(RASANTE!F170&lt;=PERALTE!$S$10,-2,IF(RASANTE!F170&lt;=PERALTE!$U$10,(-6/(PERALTE!$U$10-PERALTE!$S$10)*(RASANTE!F170-PERALTE!$S$10)-2),IF(RASANTE!F170&lt;=PERALTE!$X$10,-8,IF(RASANTE!F170&lt;=PERALTE!$Z$10,(-6/(PERALTE!$X$10-PERALTE!$Z$10)*(RASANTE!F170-PERALTE!$Z$10)-2),IF(RASANTE!F170&lt;=PERALTE!$AB$10,-2))))),IF(AND(AH!$H$12="Derecha",RASANTE!F170&lt;=PERALTE!$AB$10),IF(RASANTE!F170&lt;=PERALTE!$Q$10,-2,IF(RASANTE!F170&lt;=PERALTE!$U$10,(10/(PERALTE!$U$10-PERALTE!$Q$10)*(RASANTE!F170-PERALTE!$Q$10)-2),IF(RASANTE!F170&lt;=PERALTE!$X$10,8,IF(RASANTE!F170&lt;=PERALTE!$AB$10,(10/(PERALTE!$X$10-PERALTE!$AB$10)*(RASANTE!F170-PERALTE!$AB$10)-2))))),IF(AND(AH!$H$14="Izquierda",RASANTE!F170&lt;=PERALTE!$AB$12),IF(RASANTE!F170&lt;=PERALTE!$S$12,-2,IF(RASANTE!F170&lt;=PERALTE!$U$12,(-6/(PERALTE!$U$12-PERALTE!$S$12)*(RASANTE!F170-PERALTE!$S$12)-2),IF(RASANTE!F170&lt;=PERALTE!$X$12,-8,IF(RASANTE!F170&lt;=PERALTE!$Z$12,(-6/(PERALTE!$X$12-PERALTE!$Z$12)*(RASANTE!F170-PERALTE!$Z$12)-2),IF(RASANTE!F170&lt;=PERALTE!$AB$12,-2))))),IF(AND(AH!$H$14="Derecha",RASANTE!F170&lt;=PERALTE!$AB$12),IF(RASANTE!F170&lt;=PERALTE!$Q$12,-2,IF(RASANTE!F170&lt;=PERALTE!$U$12,(10/(PERALTE!$U$12-PERALTE!$Q$12)*(RASANTE!F170-PERALTE!$Q$12)-2),IF(RASANTE!F170&lt;=PERALTE!$X$12,8,IF(RASANTE!F170&lt;=PERALTE!$AB$12,(10/(PERALTE!$X$12-PERALTE!$AB$12)*(RASANTE!F170-PERALTE!$AB$12)-2))))),IF(AND(AH!$H$16="Izquierda",RASANTE!F170&lt;=PERALTE!$AB$14),IF(RASANTE!F170&lt;=PERALTE!$S$14,-2,IF(RASANTE!F170&lt;=PERALTE!$U$14,(-6/(PERALTE!$U$14-PERALTE!$S$14)*(RASANTE!F170-PERALTE!$S$14)-2),IF(RASANTE!F170&lt;=PERALTE!$X$14,-8,IF(RASANTE!F170&lt;=PERALTE!$Z$14,(-6/(PERALTE!$X$14-PERALTE!$Z$14)*(RASANTE!F170-PERALTE!$Z$14)-2),IF(RASANTE!F170&lt;=PERALTE!$AB$14,-2))))),IF(AND(AH!$H$16="Derecha",RASANTE!F170&lt;=PERALTE!$AB$14),IF(RASANTE!F170&lt;=PERALTE!$Q$14,-2,IF(RASANTE!F170&lt;=PERALTE!$U$14,(10/(PERALTE!$U$14-PERALTE!$Q$14)*(RASANTE!F170-PERALTE!$Q$14)-2),IF(RASANTE!F170&lt;=PERALTE!$X$14,8,IF(RASANTE!F170&lt;=PERALTE!$AB$14,(10/(PERALTE!$X$14-PERALTE!$AB$14)*(RASANTE!F170-PERALTE!$AB$14)-2))))),IF(AND(AH!$H$18="Izquierda",RASANTE!F170&lt;=PERALTE!$AB$16),IF(RASANTE!F170&lt;=PERALTE!$S$16,-2,IF(RASANTE!F170&lt;=PERALTE!$U$16,(-6/(PERALTE!$U$16-PERALTE!$S$16)*(RASANTE!F170-PERALTE!$S$16)-2),IF(RASANTE!F170&lt;=PERALTE!$X$16,-8,IF(RASANTE!F170&lt;=PERALTE!$Z$16,(-6/(PERALTE!$X$16-PERALTE!$Z$16)*(RASANTE!F170-PERALTE!$Z$16)-2),IF(RASANTE!F170&lt;=PERALTE!$AB$16,-2))))),IF(AND(AH!$H$18="Derecha",RASANTE!F170&lt;=PERALTE!$AB$16),IF(RASANTE!F170&lt;=PERALTE!$Q$16,-2,IF(RASANTE!F170&lt;=PERALTE!$U$16,(10/(PERALTE!$U$16-PERALTE!$Q$16)*(RASANTE!F170-PERALTE!$Q$16)-2),IF(RASANTE!F170&lt;=PERALTE!$X$16,8,IF(RASANTE!F170&lt;=PERALTE!$AB$16,(10/(PERALTE!$X$16-PERALTE!$AB$16)*(RASANTE!F170-PERALTE!$AB$16)-2))))),IF(AND(AH!$H$20="Izquierda",RASANTE!F170&lt;=PERALTE!$AB$18),IF(RASANTE!F170&lt;=PERALTE!$S$18,-2,IF(RASANTE!F170&lt;=PERALTE!$U$18,(-6/(PERALTE!$U$18-PERALTE!$S$18)*(RASANTE!F170-PERALTE!$S$18)-2),IF(RASANTE!F170&lt;=PERALTE!$X$18,-8,IF(RASANTE!F170&lt;=PERALTE!$Z$18,(-6/(PERALTE!$X$18-PERALTE!$Z$18)*(RASANTE!F170-PERALTE!$Z$18)-2),IF(RASANTE!F170&lt;=PERALTE!$AB$18,-2))))),IF(AND(AH!$H$20="Derecha",RASANTE!F170&lt;=PERALTE!$AB$18),IF(RASANTE!F170&lt;=PERALTE!$Q$18,-2,IF(RASANTE!F170&lt;=PERALTE!$U$18,(10/(PERALTE!$U$18-PERALTE!$Q$18)*(RASANTE!F170-PERALTE!$Q$18)-2),IF(RASANTE!F170&lt;=PERALTE!$X$18,8,IF(RASANTE!F170&lt;=PERALTE!$AB$18,(10/(PERALTE!$X$18-PERALTE!$AB$18)*(RASANTE!F170-PERALTE!$AB$18)-2))))),IF(AND(AH!$H$24="Izquierda",RASANTE!F170&lt;=PERALTE!$AB$22),IF(RASANTE!F170&lt;=PERALTE!$S$22,-2,IF(RASANTE!F170&lt;=PERALTE!$U$22,(-6/(PERALTE!$U$22-PERALTE!$S$22)*(RASANTE!F170-PERALTE!$S$22)-2),IF(RASANTE!F170&lt;=PERALTE!$X$22,-8,IF(RASANTE!F170&lt;=PERALTE!$Z$22,(-6/(PERALTE!$X$22-PERALTE!$Z$22)*(RASANTE!F170-PERALTE!$Z$22)-2),IF(RASANTE!F170&lt;=PERALTE!$AB$22,-2))))),IF(AND(AH!$H$24="Derecha",RASANTE!F170&lt;=PERALTE!$AB$22),IF(RASANTE!F170&lt;=PERALTE!$Q$22,-2,IF(RASANTE!F170&lt;=PERALTE!$U$22,(10/(PERALTE!$U$22-PERALTE!$Q$22)*(RASANTE!F170-PERALTE!$Q$22)-2),IF(RASANTE!F170&lt;=PERALTE!$X$22,8,IF(RASANTE!F170&lt;=PERALTE!$AB$22,(10/(PERALTE!$X$22-PERALTE!$AB$22)*(RASANTE!F170-PERALTE!$AB$22)-2))))),IF(AND(AH!#REF!="Izquierda",RASANTE!F170&lt;=PERALTE!#REF!),IF(RASANTE!F170&lt;=PERALTE!#REF!,-2,IF(RASANTE!F170&lt;=PERALTE!#REF!,(-6/(PERALTE!#REF!-PERALTE!#REF!)*(RASANTE!F170-PERALTE!#REF!)-2),IF(RASANTE!F170&lt;=PERALTE!#REF!,-8,IF(RASANTE!F170&lt;=PERALTE!#REF!,(-6/(PERALTE!#REF!-PERALTE!#REF!)*(RASANTE!F170-PERALTE!#REF!)-2),IF(RASANTE!F170&lt;=PERALTE!#REF!,-2))))),IF(AND(AH!#REF!="Derecha",RASANTE!F170&lt;=PERALTE!#REF!),IF(RASANTE!F170&lt;=PERALTE!#REF!,-2,IF(RASANTE!F170&lt;=PERALTE!#REF!,(10/(PERALTE!#REF!-PERALTE!#REF!)*(RASANTE!F170-PERALTE!#REF!)-2),IF(RASANTE!F170&lt;=PERALTE!#REF!,8,IF(RASANTE!F170&lt;=PERALTE!#REF!,(10/(PERALTE!#REF!-PERALTE!#REF!)*(RASANTE!F170-PERALTE!#REF!)-2))))),IF(AND(AH!#REF!="Izquierda",RASANTE!F170&lt;=PERALTE!$AB$26),IF(RASANTE!F170&lt;=PERALTE!$S$26,-2,IF(RASANTE!F170&lt;=PERALTE!$U$26,(-6/(PERALTE!$U$26-PERALTE!$S$26)*(RASANTE!F170-PERALTE!$S$26)-2),IF(RASANTE!F170&lt;=PERALTE!$X$26,-8,IF(RASANTE!F170&lt;=PERALTE!$Z$26,(-6/(PERALTE!$X$26-PERALTE!$Z$26)*(RASANTE!F170-PERALTE!$Z$26)-2),IF(RASANTE!F170&lt;=PERALTE!$AB$26,-2))))),IF(AND(AH!#REF!="Derecha",RASANTE!F170&lt;=PERALTE!$AB$26),IF(RASANTE!F170&lt;=PERALTE!$Q$26,-2,IF(RASANTE!F170&lt;=PERALTE!$U$26,(10/(PERALTE!$U$26-PERALTE!$Q$26)*(RASANTE!F170-PERALTE!$Q$26)-2),IF(RASANTE!F170&lt;=PERALTE!$X$26,8,IF(RASANTE!F170&lt;=PERALTE!$AB$26,(10/(PERALTE!$X$26-PERALTE!$AB$26)*(RASANTE!F170-PERALTE!$AB$26)-2))))),IF(F170&lt;=PERALTE!#REF!,-2,"Abscisa fuera de la vía")))))))))))))))))))))</f>
        <v>-2</v>
      </c>
      <c r="I170" s="28">
        <f>+IF(AND(AH!$H$8="Derecha",RASANTE!F170&lt;=PERALTE!$AB$6),IF(RASANTE!F170&lt;=PERALTE!$S$6,-2,IF(RASANTE!F170&lt;=PERALTE!$U$6,(-6/(PERALTE!$U$6-PERALTE!$S$6)*(RASANTE!F170-PERALTE!$S$6)-2),IF(RASANTE!F170&lt;=PERALTE!$X$6,-8,IF(RASANTE!F170&lt;=PERALTE!$Z$6,(-6/(PERALTE!$X$6-PERALTE!$Z$6)*(RASANTE!F170-PERALTE!$Z$6)-2),IF(RASANTE!F170&lt;=PERALTE!$AB$6,-2))))),IF(AND(AH!$H$8="Izquierda",RASANTE!F170&lt;=PERALTE!$AB$6),IF(RASANTE!F170&lt;=PERALTE!$Q$6,-2,IF(RASANTE!F170&lt;=PERALTE!$U$6,(10/(PERALTE!$U$6-PERALTE!$Q$6)*(RASANTE!F170-PERALTE!$Q$6)-2),IF(RASANTE!F170&lt;=PERALTE!$X$6,8,IF(RASANTE!F170&lt;=PERALTE!$AB$6,(10/(PERALTE!$X$6-PERALTE!$AB$6)*(RASANTE!F170-PERALTE!$AB$6)-2))))),IF(AND(AH!$H$10="Derecha",RASANTE!F170&lt;=PERALTE!$AB$8),IF(RASANTE!F170&lt;=PERALTE!$S$8,-2,IF(RASANTE!F170&lt;=PERALTE!$U$8,(-6/(PERALTE!$U$8-PERALTE!$S$8)*(RASANTE!F170-PERALTE!$S$8)-2),IF(RASANTE!F170&lt;=PERALTE!$X$8,-8,IF(RASANTE!F170&lt;=PERALTE!$Z$8,(-6/(PERALTE!$X$8-PERALTE!$Z$8)*(RASANTE!F170-PERALTE!$Z$8)-2),IF(RASANTE!F170&lt;=PERALTE!$AB$8,-2))))),IF(AND(AH!$H$10="Izquierda",RASANTE!F170&lt;=PERALTE!$AB$8),IF(RASANTE!F170&lt;=PERALTE!$Q$8,-2,IF(RASANTE!F170&lt;=PERALTE!$U$8,(10/(PERALTE!$U$8-PERALTE!$Q$8)*(RASANTE!F170-PERALTE!$Q$8)-2),IF(RASANTE!F170&lt;=PERALTE!$X$8,8,IF(RASANTE!F170&lt;=PERALTE!$AB$8,(10/(PERALTE!$X$8-PERALTE!$AB$8)*(RASANTE!F170-PERALTE!$AB$8)-2))))),IF(AND(AH!$H$12="Derecha",RASANTE!F170&lt;=PERALTE!$AB$10),IF(RASANTE!F170&lt;=PERALTE!$S$10,-2,IF(RASANTE!F170&lt;=PERALTE!$U$10,(-6/(PERALTE!$U$10-PERALTE!$S$10)*(RASANTE!F170-PERALTE!$S$10)-2),IF(RASANTE!F170&lt;=PERALTE!$X$10,-8,IF(RASANTE!F170&lt;=PERALTE!$Z$10,(-6/(PERALTE!$X$10-PERALTE!$Z$10)*(RASANTE!F170-PERALTE!$Z$10)-2),IF(RASANTE!F170&lt;=PERALTE!$AB$10,-2))))),IF(AND(AH!$H$12="Izquierda",RASANTE!F170&lt;=PERALTE!$AB$10),IF(RASANTE!F170&lt;=PERALTE!$Q$10,-2,IF(RASANTE!F170&lt;=PERALTE!$U$10,(10/(PERALTE!$U$10-PERALTE!$Q$10)*(RASANTE!F170-PERALTE!$Q$10)-2),IF(RASANTE!F170&lt;=PERALTE!$X$10,8,IF(RASANTE!F170&lt;=PERALTE!$AB$10,(10/(PERALTE!$X$10-PERALTE!$AB$10)*(RASANTE!F170-PERALTE!$AB$10)-2))))),IF(AND(AH!$H$14="Derecha",RASANTE!F170&lt;=PERALTE!$AB$12),IF(RASANTE!F170&lt;=PERALTE!$S$12,-2,IF(RASANTE!F170&lt;=PERALTE!$U$12,(-6/(PERALTE!$U$12-PERALTE!$S$12)*(RASANTE!F170-PERALTE!$S$12)-2),IF(RASANTE!F170&lt;=PERALTE!$X$12,-8,IF(RASANTE!F170&lt;=PERALTE!$Z$12,(-6/(PERALTE!$X$12-PERALTE!$Z$12)*(RASANTE!F170-PERALTE!$Z$12)-2),IF(RASANTE!F170&lt;=PERALTE!$AB$12,-2))))),IF(AND(AH!$H$14="Izquierda",RASANTE!F170&lt;=PERALTE!$AB$12),IF(RASANTE!F170&lt;=PERALTE!$Q$12,-2,IF(RASANTE!F170&lt;=PERALTE!$U$12,(10/(PERALTE!$U$12-PERALTE!$Q$12)*(RASANTE!F170-PERALTE!$Q$12)-2),IF(RASANTE!F170&lt;=PERALTE!$X$12,8,IF(RASANTE!F170&lt;=PERALTE!$AB$12,(10/(PERALTE!$X$12-PERALTE!$AB$12)*(RASANTE!F170-PERALTE!$AB$12)-2))))),IF(AND(AH!$H$16="Derecha",RASANTE!F170&lt;=PERALTE!$AB$14),IF(RASANTE!F170&lt;=PERALTE!$S$14,-2,IF(RASANTE!F170&lt;=PERALTE!$U$14,(-6/(PERALTE!$U$14-PERALTE!$S$14)*(RASANTE!F170-PERALTE!$S$14)-2),IF(RASANTE!F170&lt;=PERALTE!$X$14,-8,IF(RASANTE!F170&lt;=PERALTE!$Z$14,(-6/(PERALTE!$X$14-PERALTE!$Z$14)*(RASANTE!F170-PERALTE!$Z$14)-2),IF(RASANTE!F170&lt;=PERALTE!$AB$14,-2))))),IF(AND(AH!$H$16="Izquierda",RASANTE!F170&lt;=PERALTE!$AB$14),IF(RASANTE!F170&lt;=PERALTE!$Q$14,-2,IF(RASANTE!F170&lt;=PERALTE!$U$14,(10/(PERALTE!$U$14-PERALTE!$Q$14)*(RASANTE!F170-PERALTE!$Q$14)-2),IF(RASANTE!F170&lt;=PERALTE!$X$14,8,IF(RASANTE!F170&lt;=PERALTE!$AB$14,(10/(PERALTE!$X$14-PERALTE!$AB$14)*(RASANTE!F170-PERALTE!$AB$14)-2))))),IF(AND(AH!$H$18="Derecha",RASANTE!F170&lt;=PERALTE!$AB$16),IF(RASANTE!F170&lt;=PERALTE!$S$16,-2,IF(RASANTE!F170&lt;=PERALTE!$U$16,(-6/(PERALTE!$U$16-PERALTE!$S$16)*(RASANTE!F170-PERALTE!$S$16)-2),IF(RASANTE!F170&lt;=PERALTE!$X$16,-8,IF(RASANTE!F170&lt;=PERALTE!$Z$16,(-6/(PERALTE!$X$16-PERALTE!$Z$16)*(RASANTE!F170-PERALTE!$Z$16)-2),IF(RASANTE!F170&lt;=PERALTE!$AB$16,-2))))),IF(AND(AH!$H$18="Izquierda",RASANTE!F170&lt;=PERALTE!$AB$16),IF(RASANTE!F170&lt;=PERALTE!$Q$16,-2,IF(RASANTE!F170&lt;=PERALTE!$U$16,(10/(PERALTE!$U$16-PERALTE!$Q$16)*(RASANTE!F170-PERALTE!$Q$16)-2),IF(RASANTE!F170&lt;=PERALTE!$X$16,8,IF(RASANTE!F170&lt;=PERALTE!$AB$16,(10/(PERALTE!$X$16-PERALTE!$AB$16)*(RASANTE!F170-PERALTE!$AB$16)-2))))),IF(AND(AH!$H$20="Derecha",RASANTE!F170&lt;=PERALTE!$AB$18),IF(RASANTE!F170&lt;=PERALTE!$S$18,-2,IF(RASANTE!F170&lt;=PERALTE!$U$18,(-6/(PERALTE!$U$18-PERALTE!$S$18)*(RASANTE!F170-PERALTE!$S$18)-2),IF(RASANTE!F170&lt;=PERALTE!$X$18,-8,IF(RASANTE!F170&lt;=PERALTE!$Z$18,(-6/(PERALTE!$X$18-PERALTE!$Z$18)*(RASANTE!F170-PERALTE!$Z$18)-2),IF(RASANTE!F170&lt;=PERALTE!$AB$18,-2))))),IF(AND(AH!$H$20="Izquierda",RASANTE!F170&lt;=PERALTE!$AB$18),IF(RASANTE!F170&lt;=PERALTE!$Q$18,-2,IF(RASANTE!F170&lt;=PERALTE!$U$18,(10/(PERALTE!$U$18-PERALTE!$Q$18)*(RASANTE!F170-PERALTE!$Q$18)-2),IF(RASANTE!F170&lt;=PERALTE!$X$18,8,IF(RASANTE!F170&lt;=PERALTE!$AB$18,(10/(PERALTE!$X$18-PERALTE!$AB$18)*(RASANTE!F170-PERALTE!$AB$18)-2))))),IF(AND(AH!$H$24="Derecha",RASANTE!F170&lt;=PERALTE!$AB$22),IF(RASANTE!F170&lt;=PERALTE!$S$22,-2,IF(RASANTE!F170&lt;=PERALTE!$U$22,(-6/(PERALTE!$U$22-PERALTE!$S$22)*(RASANTE!F170-PERALTE!$S$22)-2),IF(RASANTE!F170&lt;=PERALTE!$X$22,-8,IF(RASANTE!F170&lt;=PERALTE!$Z$22,(-6/(PERALTE!$X$22-PERALTE!$Z$22)*(RASANTE!F170-PERALTE!$Z$22)-2),IF(RASANTE!F170&lt;=PERALTE!$AB$22,-2))))),IF(AND(AH!$H$24="Izquierda",RASANTE!F170&lt;=PERALTE!$AB$22),IF(RASANTE!F170&lt;=PERALTE!$Q$22,-2,IF(RASANTE!F170&lt;=PERALTE!$U$22,(10/(PERALTE!$U$22-PERALTE!$Q$22)*(RASANTE!F170-PERALTE!$Q$22)-2),IF(RASANTE!F170&lt;=PERALTE!$X$22,8,IF(RASANTE!F170&lt;=PERALTE!$AB$22,(10/(PERALTE!$X$22-PERALTE!$AB$22)*(RASANTE!F170-PERALTE!$AB$22)-2))))),IF(AND(AH!#REF!="Derecha",RASANTE!F170&lt;=PERALTE!#REF!),IF(RASANTE!F170&lt;=PERALTE!#REF!,-2,IF(RASANTE!F170&lt;=PERALTE!#REF!,(-6/(PERALTE!#REF!-PERALTE!#REF!)*(RASANTE!F170-PERALTE!#REF!)-2),IF(RASANTE!F170&lt;=PERALTE!#REF!,-8,IF(RASANTE!F170&lt;=PERALTE!#REF!,(-6/(PERALTE!#REF!-PERALTE!#REF!)*(RASANTE!F170-PERALTE!#REF!)-2),IF(RASANTE!F170&lt;=PERALTE!#REF!,-2))))),IF(AND(AH!#REF!="Izquierda",RASANTE!F170&lt;=PERALTE!#REF!),IF(RASANTE!F170&lt;=PERALTE!#REF!,-2,IF(RASANTE!F170&lt;=PERALTE!#REF!,(10/(PERALTE!#REF!-PERALTE!#REF!)*(RASANTE!F170-PERALTE!#REF!)-2),IF(RASANTE!F170&lt;=PERALTE!#REF!,8,IF(RASANTE!F170&lt;=PERALTE!#REF!,(10/(PERALTE!#REF!-PERALTE!#REF!)*(RASANTE!F170-PERALTE!#REF!)-2))))),IF(AND(AH!#REF!="Derecha",RASANTE!F170&lt;=PERALTE!$AB$26),IF(RASANTE!F170&lt;=PERALTE!$S$26,-2,IF(RASANTE!F170&lt;=PERALTE!$U$26,(-6/(PERALTE!$U$26-PERALTE!$S$26)*(RASANTE!F170-PERALTE!$S$26)-2),IF(RASANTE!F170&lt;=PERALTE!$X$26,-8,IF(RASANTE!F170&lt;=PERALTE!$Z$26,(-6/(PERALTE!$X$26-PERALTE!$Z$26)*(RASANTE!F170-PERALTE!$Z$26)-2),IF(RASANTE!F170&lt;=PERALTE!$AB$26,-2))))),IF(AND(AH!#REF!="Izquierda",RASANTE!F170&lt;=PERALTE!$AB$26),IF(RASANTE!F170&lt;=PERALTE!$Q$26,-2,IF(RASANTE!F170&lt;=PERALTE!$U$26,(10/(PERALTE!$U$26-PERALTE!$Q$26)*(RASANTE!F170-PERALTE!$Q$26)-2),IF(RASANTE!F170&lt;=PERALTE!$X$26,8,IF(RASANTE!F170&lt;=PERALTE!$AB$26,(10/(PERALTE!$X$26-PERALTE!$AB$26)*(RASANTE!F170-PERALTE!$AB$26)-2))))),IF(F170&lt;=PERALTE!#REF!,-2,"Abscisa fuera de la vía")))))))))))))))))))))</f>
        <v>-2</v>
      </c>
      <c r="J170" s="28">
        <f t="shared" si="6"/>
        <v>1609.941138037593</v>
      </c>
      <c r="K170" s="28">
        <f>+IF(AND(AV!$S$6&lt;F170,F170&lt;=AV!$T$6),AV!$P$6*((AV!$S$6-RASANTE!F170)/(AV!$N$6))^2,IF(AND(AV!$T$6&lt;RASANTE!F170,F170&lt;AV!$U$6),AV!$P$6*((AV!$U$6-RASANTE!F170)/(AV!$O$6))^2,IF(AND(AV!$S$8&lt;F170,F170&lt;=AV!$T$8),AV!$P$8*((AV!$S$8-RASANTE!F170)/(AV!$N$8))^2,IF(AND(AV!$T$8&lt;RASANTE!F170,F170&lt;AV!$U$8),AV!$P$8*((AV!$U$8-RASANTE!F170)/(AV!$O$8))^2,IF(AND(AV!$S$10&lt;F170,F170&lt;=AV!$T$10),AV!$P$10*((AV!$S$10-RASANTE!F170)/(AV!$N$10))^2,IF(AND(AV!$T$10&lt;RASANTE!F170,F170&lt;AV!$U$10),AV!$P$10*((AV!$U$10-RASANTE!F170)/(AV!$O$10))^2,IF(AND(AV!$S$12&lt;F170,F170&lt;=AV!$T$12),AV!$P$12*((AV!$S$12-RASANTE!F170)/(AV!$N$12))^2,IF(AND(AV!$T$12&lt;RASANTE!F170,F170&lt;AV!$U$12),AV!$P$12*((AV!$U$12-RASANTE!F170)/(AV!$O$12))^2,IF(AND(AV!$S$14&lt;F170,F170&lt;=AV!$T$14),AV!$P$14*((AV!$S$14-RASANTE!F170)/(AV!$N$14))^2,IF(AND(AV!$T$14&lt;RASANTE!F170,F170&lt;AV!$U$14),AV!$P$14*((AV!$U$14-RASANTE!F170)/(AV!$O$14))^2,IF(AND(AV!$S$16&lt;F170,F170&lt;=AV!$T$16),AV!$P$16*((AV!$S$16-RASANTE!F170)/(AV!$N$16))^2,IF(AND(AV!$T$16&lt;RASANTE!F170,F170&lt;AV!$U$16),AV!$P$16*((AV!$U$16-RASANTE!F170)/(AV!$O$16))^2,IF(AND(AV!$S$18&lt;F170,F170&lt;=AV!$T$18),AV!$P$18*((AV!$S$18-RASANTE!F170)/(AV!$N$18))^2,IF(AND(AV!$T$18&lt;RASANTE!F170,F170&lt;AV!$U$18),AV!$P$18*((AV!$U$18-RASANTE!F170)/(AV!$O$18))^2,IF(AND(AV!$S$20&lt;F170,F170&lt;=AV!$T$20),AV!$P$20*((AV!$S$20-RASANTE!F170)/(AV!$N$20))^2,IF(AND(AV!$T$20&lt;RASANTE!F170,F170&lt;AV!$U$20),AV!$P$20*((AV!$U$20-RASANTE!F170)/(AV!$O$20))^2,IF(AND(AV!$S$22&lt;F170,F170&lt;=AV!$T$22),AV!$P$22*((AV!$S$22-RASANTE!F170)/(AV!$N$22))^2,IF(AND(AV!$T$22&lt;RASANTE!F170,F170&lt;AV!$U$22),AV!$P$22*((AV!$U$22-RASANTE!F170)/(AV!$O$22))^2,IF(AND(AV!$S$24&lt;F170,F170&lt;=AV!$T$24),AV!$P$24*((AV!$S$24-RASANTE!F170)/(AV!$N$24))^2,IF(AND(AV!$T$24&lt;RASANTE!F170,F170&lt;AV!$U$24),AV!$P$24*((AV!$U$24-RASANTE!F170)/(AV!$O$24))^2,0))))))))))))))))))))</f>
        <v>1.9151665312499997</v>
      </c>
      <c r="L170" s="28">
        <f>+M170+H170%*PERALTE!$C$32</f>
        <v>1611.786304568843</v>
      </c>
      <c r="M170" s="28">
        <f t="shared" ref="M170:M233" si="7">J170+K170</f>
        <v>1611.8563045688429</v>
      </c>
      <c r="N170" s="28">
        <f>+M170+I170%*PERALTE!$C$32</f>
        <v>1611.786304568843</v>
      </c>
      <c r="O170" s="92"/>
      <c r="P170" s="84"/>
      <c r="Q170" s="84"/>
      <c r="R170" s="84"/>
      <c r="S170" s="84"/>
      <c r="T170" s="84"/>
      <c r="U170" s="84"/>
      <c r="V170" s="84"/>
      <c r="W170" s="84"/>
      <c r="X170" s="84"/>
      <c r="Y170" s="84"/>
    </row>
    <row r="171" spans="1:25" ht="15.75" customHeight="1" x14ac:dyDescent="0.2">
      <c r="A171" s="320"/>
      <c r="B171" s="97"/>
      <c r="C171" s="97"/>
      <c r="D171" s="97"/>
      <c r="E171" s="91"/>
      <c r="F171" s="34">
        <v>1070</v>
      </c>
      <c r="G171" s="88">
        <f>IF(F171&lt;=AV!$T$6,AV!$C$5,IF(RASANTE!F171&lt;=AV!$T$8,AV!$C$7,IF(RASANTE!F171&lt;=AV!$T$10,AV!$C$9,IF(RASANTE!F171&lt;=AV!$T$12,AV!$C$11,IF(RASANTE!F171&lt;=AV!$T$14,AV!$C$13,IF(RASANTE!F171&lt;=AV!$T$16,AV!$C$15, IF(RASANTE!F171&lt;=AV!$T$18,AV!$C$17,IF(RASANTE!F171&lt;=AV!$T$20,AV!$C$19,IF(RASANTE!F171&lt;=AV!$T$22,AV!$C$21,IF(RASANTE!F171&lt;=AV!$T$24,AV!$C$23,AV!$C$25))))))))))</f>
        <v>8.1999999999999993</v>
      </c>
      <c r="H171" s="28">
        <f>+IF(AND(AH!$H$8="Izquierda",RASANTE!F171&lt;=PERALTE!$AB$6),IF(RASANTE!F171&lt;=PERALTE!$S$6,-2,IF(RASANTE!F171&lt;=PERALTE!$U$6,(-6/(PERALTE!$U$6-PERALTE!$S$6)*(RASANTE!F171-PERALTE!$S$6)-2),IF(RASANTE!F171&lt;=PERALTE!$X$6,-8,IF(RASANTE!F171&lt;=PERALTE!$Z$6,(-6/(PERALTE!$X$6-PERALTE!$Z$6)*(RASANTE!F171-PERALTE!$Z$6)-2),IF(RASANTE!F171&lt;=PERALTE!$AB$6,-2))))),IF(AND(AH!$H$8="Derecha",RASANTE!F171&lt;=PERALTE!$AB$6),IF(RASANTE!F171&lt;=PERALTE!$Q$6,-2,IF(RASANTE!F171&lt;=PERALTE!$U$6,(10/(PERALTE!$U$6-PERALTE!$Q$6)*(RASANTE!F171-PERALTE!$Q$6)-2),IF(RASANTE!F171&lt;=PERALTE!$X$6,8,IF(RASANTE!F171&lt;=PERALTE!$AB$6,(10/(PERALTE!$X$6-PERALTE!$AB$6)*(RASANTE!F171-PERALTE!$AB$6)-2))))),IF(AND(AH!$H$10="Izquierda",RASANTE!F171&lt;=PERALTE!$AB$8),IF(RASANTE!F171&lt;=PERALTE!$S$8,-2,IF(RASANTE!F171&lt;=PERALTE!$U$8,(-6/(PERALTE!$U$8-PERALTE!$S$8)*(RASANTE!F171-PERALTE!$S$8)-2),IF(RASANTE!F171&lt;=PERALTE!$X$8,-8,IF(RASANTE!F171&lt;=PERALTE!$Z$8,(-6/(PERALTE!$X$8-PERALTE!$Z$8)*(RASANTE!F171-PERALTE!$Z$8)-2),IF(RASANTE!F171&lt;=PERALTE!$AB$8,-2))))),IF(AND(AH!$H$10="Derecha",RASANTE!F171&lt;=PERALTE!$AB$8),IF(RASANTE!F171&lt;=PERALTE!$Q$8,-2,IF(RASANTE!F171&lt;=PERALTE!$U$8,(10/(PERALTE!$U$8-PERALTE!$Q$8)*(RASANTE!F171-PERALTE!$Q$8)-2),IF(RASANTE!F171&lt;=PERALTE!$X$8,8,IF(RASANTE!F171&lt;=PERALTE!$AB$8,(10/(PERALTE!$X$8-PERALTE!$AB$8)*(RASANTE!F171-PERALTE!$AB$8)-2))))),IF(AND(AH!$H$12="Izquierda",RASANTE!F171&lt;=PERALTE!$AB$10),IF(RASANTE!F171&lt;=PERALTE!$S$10,-2,IF(RASANTE!F171&lt;=PERALTE!$U$10,(-6/(PERALTE!$U$10-PERALTE!$S$10)*(RASANTE!F171-PERALTE!$S$10)-2),IF(RASANTE!F171&lt;=PERALTE!$X$10,-8,IF(RASANTE!F171&lt;=PERALTE!$Z$10,(-6/(PERALTE!$X$10-PERALTE!$Z$10)*(RASANTE!F171-PERALTE!$Z$10)-2),IF(RASANTE!F171&lt;=PERALTE!$AB$10,-2))))),IF(AND(AH!$H$12="Derecha",RASANTE!F171&lt;=PERALTE!$AB$10),IF(RASANTE!F171&lt;=PERALTE!$Q$10,-2,IF(RASANTE!F171&lt;=PERALTE!$U$10,(10/(PERALTE!$U$10-PERALTE!$Q$10)*(RASANTE!F171-PERALTE!$Q$10)-2),IF(RASANTE!F171&lt;=PERALTE!$X$10,8,IF(RASANTE!F171&lt;=PERALTE!$AB$10,(10/(PERALTE!$X$10-PERALTE!$AB$10)*(RASANTE!F171-PERALTE!$AB$10)-2))))),IF(AND(AH!$H$14="Izquierda",RASANTE!F171&lt;=PERALTE!$AB$12),IF(RASANTE!F171&lt;=PERALTE!$S$12,-2,IF(RASANTE!F171&lt;=PERALTE!$U$12,(-6/(PERALTE!$U$12-PERALTE!$S$12)*(RASANTE!F171-PERALTE!$S$12)-2),IF(RASANTE!F171&lt;=PERALTE!$X$12,-8,IF(RASANTE!F171&lt;=PERALTE!$Z$12,(-6/(PERALTE!$X$12-PERALTE!$Z$12)*(RASANTE!F171-PERALTE!$Z$12)-2),IF(RASANTE!F171&lt;=PERALTE!$AB$12,-2))))),IF(AND(AH!$H$14="Derecha",RASANTE!F171&lt;=PERALTE!$AB$12),IF(RASANTE!F171&lt;=PERALTE!$Q$12,-2,IF(RASANTE!F171&lt;=PERALTE!$U$12,(10/(PERALTE!$U$12-PERALTE!$Q$12)*(RASANTE!F171-PERALTE!$Q$12)-2),IF(RASANTE!F171&lt;=PERALTE!$X$12,8,IF(RASANTE!F171&lt;=PERALTE!$AB$12,(10/(PERALTE!$X$12-PERALTE!$AB$12)*(RASANTE!F171-PERALTE!$AB$12)-2))))),IF(AND(AH!$H$16="Izquierda",RASANTE!F171&lt;=PERALTE!$AB$14),IF(RASANTE!F171&lt;=PERALTE!$S$14,-2,IF(RASANTE!F171&lt;=PERALTE!$U$14,(-6/(PERALTE!$U$14-PERALTE!$S$14)*(RASANTE!F171-PERALTE!$S$14)-2),IF(RASANTE!F171&lt;=PERALTE!$X$14,-8,IF(RASANTE!F171&lt;=PERALTE!$Z$14,(-6/(PERALTE!$X$14-PERALTE!$Z$14)*(RASANTE!F171-PERALTE!$Z$14)-2),IF(RASANTE!F171&lt;=PERALTE!$AB$14,-2))))),IF(AND(AH!$H$16="Derecha",RASANTE!F171&lt;=PERALTE!$AB$14),IF(RASANTE!F171&lt;=PERALTE!$Q$14,-2,IF(RASANTE!F171&lt;=PERALTE!$U$14,(10/(PERALTE!$U$14-PERALTE!$Q$14)*(RASANTE!F171-PERALTE!$Q$14)-2),IF(RASANTE!F171&lt;=PERALTE!$X$14,8,IF(RASANTE!F171&lt;=PERALTE!$AB$14,(10/(PERALTE!$X$14-PERALTE!$AB$14)*(RASANTE!F171-PERALTE!$AB$14)-2))))),IF(AND(AH!$H$18="Izquierda",RASANTE!F171&lt;=PERALTE!$AB$16),IF(RASANTE!F171&lt;=PERALTE!$S$16,-2,IF(RASANTE!F171&lt;=PERALTE!$U$16,(-6/(PERALTE!$U$16-PERALTE!$S$16)*(RASANTE!F171-PERALTE!$S$16)-2),IF(RASANTE!F171&lt;=PERALTE!$X$16,-8,IF(RASANTE!F171&lt;=PERALTE!$Z$16,(-6/(PERALTE!$X$16-PERALTE!$Z$16)*(RASANTE!F171-PERALTE!$Z$16)-2),IF(RASANTE!F171&lt;=PERALTE!$AB$16,-2))))),IF(AND(AH!$H$18="Derecha",RASANTE!F171&lt;=PERALTE!$AB$16),IF(RASANTE!F171&lt;=PERALTE!$Q$16,-2,IF(RASANTE!F171&lt;=PERALTE!$U$16,(10/(PERALTE!$U$16-PERALTE!$Q$16)*(RASANTE!F171-PERALTE!$Q$16)-2),IF(RASANTE!F171&lt;=PERALTE!$X$16,8,IF(RASANTE!F171&lt;=PERALTE!$AB$16,(10/(PERALTE!$X$16-PERALTE!$AB$16)*(RASANTE!F171-PERALTE!$AB$16)-2))))),IF(AND(AH!$H$20="Izquierda",RASANTE!F171&lt;=PERALTE!$AB$18),IF(RASANTE!F171&lt;=PERALTE!$S$18,-2,IF(RASANTE!F171&lt;=PERALTE!$U$18,(-6/(PERALTE!$U$18-PERALTE!$S$18)*(RASANTE!F171-PERALTE!$S$18)-2),IF(RASANTE!F171&lt;=PERALTE!$X$18,-8,IF(RASANTE!F171&lt;=PERALTE!$Z$18,(-6/(PERALTE!$X$18-PERALTE!$Z$18)*(RASANTE!F171-PERALTE!$Z$18)-2),IF(RASANTE!F171&lt;=PERALTE!$AB$18,-2))))),IF(AND(AH!$H$20="Derecha",RASANTE!F171&lt;=PERALTE!$AB$18),IF(RASANTE!F171&lt;=PERALTE!$Q$18,-2,IF(RASANTE!F171&lt;=PERALTE!$U$18,(10/(PERALTE!$U$18-PERALTE!$Q$18)*(RASANTE!F171-PERALTE!$Q$18)-2),IF(RASANTE!F171&lt;=PERALTE!$X$18,8,IF(RASANTE!F171&lt;=PERALTE!$AB$18,(10/(PERALTE!$X$18-PERALTE!$AB$18)*(RASANTE!F171-PERALTE!$AB$18)-2))))),IF(AND(AH!$H$24="Izquierda",RASANTE!F171&lt;=PERALTE!$AB$22),IF(RASANTE!F171&lt;=PERALTE!$S$22,-2,IF(RASANTE!F171&lt;=PERALTE!$U$22,(-6/(PERALTE!$U$22-PERALTE!$S$22)*(RASANTE!F171-PERALTE!$S$22)-2),IF(RASANTE!F171&lt;=PERALTE!$X$22,-8,IF(RASANTE!F171&lt;=PERALTE!$Z$22,(-6/(PERALTE!$X$22-PERALTE!$Z$22)*(RASANTE!F171-PERALTE!$Z$22)-2),IF(RASANTE!F171&lt;=PERALTE!$AB$22,-2))))),IF(AND(AH!$H$24="Derecha",RASANTE!F171&lt;=PERALTE!$AB$22),IF(RASANTE!F171&lt;=PERALTE!$Q$22,-2,IF(RASANTE!F171&lt;=PERALTE!$U$22,(10/(PERALTE!$U$22-PERALTE!$Q$22)*(RASANTE!F171-PERALTE!$Q$22)-2),IF(RASANTE!F171&lt;=PERALTE!$X$22,8,IF(RASANTE!F171&lt;=PERALTE!$AB$22,(10/(PERALTE!$X$22-PERALTE!$AB$22)*(RASANTE!F171-PERALTE!$AB$22)-2))))),IF(AND(AH!#REF!="Izquierda",RASANTE!F171&lt;=PERALTE!#REF!),IF(RASANTE!F171&lt;=PERALTE!#REF!,-2,IF(RASANTE!F171&lt;=PERALTE!#REF!,(-6/(PERALTE!#REF!-PERALTE!#REF!)*(RASANTE!F171-PERALTE!#REF!)-2),IF(RASANTE!F171&lt;=PERALTE!#REF!,-8,IF(RASANTE!F171&lt;=PERALTE!#REF!,(-6/(PERALTE!#REF!-PERALTE!#REF!)*(RASANTE!F171-PERALTE!#REF!)-2),IF(RASANTE!F171&lt;=PERALTE!#REF!,-2))))),IF(AND(AH!#REF!="Derecha",RASANTE!F171&lt;=PERALTE!#REF!),IF(RASANTE!F171&lt;=PERALTE!#REF!,-2,IF(RASANTE!F171&lt;=PERALTE!#REF!,(10/(PERALTE!#REF!-PERALTE!#REF!)*(RASANTE!F171-PERALTE!#REF!)-2),IF(RASANTE!F171&lt;=PERALTE!#REF!,8,IF(RASANTE!F171&lt;=PERALTE!#REF!,(10/(PERALTE!#REF!-PERALTE!#REF!)*(RASANTE!F171-PERALTE!#REF!)-2))))),IF(AND(AH!#REF!="Izquierda",RASANTE!F171&lt;=PERALTE!$AB$26),IF(RASANTE!F171&lt;=PERALTE!$S$26,-2,IF(RASANTE!F171&lt;=PERALTE!$U$26,(-6/(PERALTE!$U$26-PERALTE!$S$26)*(RASANTE!F171-PERALTE!$S$26)-2),IF(RASANTE!F171&lt;=PERALTE!$X$26,-8,IF(RASANTE!F171&lt;=PERALTE!$Z$26,(-6/(PERALTE!$X$26-PERALTE!$Z$26)*(RASANTE!F171-PERALTE!$Z$26)-2),IF(RASANTE!F171&lt;=PERALTE!$AB$26,-2))))),IF(AND(AH!#REF!="Derecha",RASANTE!F171&lt;=PERALTE!$AB$26),IF(RASANTE!F171&lt;=PERALTE!$Q$26,-2,IF(RASANTE!F171&lt;=PERALTE!$U$26,(10/(PERALTE!$U$26-PERALTE!$Q$26)*(RASANTE!F171-PERALTE!$Q$26)-2),IF(RASANTE!F171&lt;=PERALTE!$X$26,8,IF(RASANTE!F171&lt;=PERALTE!$AB$26,(10/(PERALTE!$X$26-PERALTE!$AB$26)*(RASANTE!F171-PERALTE!$AB$26)-2))))),IF(F171&lt;=PERALTE!#REF!,-2,"Abscisa fuera de la vía")))))))))))))))))))))</f>
        <v>-2</v>
      </c>
      <c r="I171" s="28">
        <f>+IF(AND(AH!$H$8="Derecha",RASANTE!F171&lt;=PERALTE!$AB$6),IF(RASANTE!F171&lt;=PERALTE!$S$6,-2,IF(RASANTE!F171&lt;=PERALTE!$U$6,(-6/(PERALTE!$U$6-PERALTE!$S$6)*(RASANTE!F171-PERALTE!$S$6)-2),IF(RASANTE!F171&lt;=PERALTE!$X$6,-8,IF(RASANTE!F171&lt;=PERALTE!$Z$6,(-6/(PERALTE!$X$6-PERALTE!$Z$6)*(RASANTE!F171-PERALTE!$Z$6)-2),IF(RASANTE!F171&lt;=PERALTE!$AB$6,-2))))),IF(AND(AH!$H$8="Izquierda",RASANTE!F171&lt;=PERALTE!$AB$6),IF(RASANTE!F171&lt;=PERALTE!$Q$6,-2,IF(RASANTE!F171&lt;=PERALTE!$U$6,(10/(PERALTE!$U$6-PERALTE!$Q$6)*(RASANTE!F171-PERALTE!$Q$6)-2),IF(RASANTE!F171&lt;=PERALTE!$X$6,8,IF(RASANTE!F171&lt;=PERALTE!$AB$6,(10/(PERALTE!$X$6-PERALTE!$AB$6)*(RASANTE!F171-PERALTE!$AB$6)-2))))),IF(AND(AH!$H$10="Derecha",RASANTE!F171&lt;=PERALTE!$AB$8),IF(RASANTE!F171&lt;=PERALTE!$S$8,-2,IF(RASANTE!F171&lt;=PERALTE!$U$8,(-6/(PERALTE!$U$8-PERALTE!$S$8)*(RASANTE!F171-PERALTE!$S$8)-2),IF(RASANTE!F171&lt;=PERALTE!$X$8,-8,IF(RASANTE!F171&lt;=PERALTE!$Z$8,(-6/(PERALTE!$X$8-PERALTE!$Z$8)*(RASANTE!F171-PERALTE!$Z$8)-2),IF(RASANTE!F171&lt;=PERALTE!$AB$8,-2))))),IF(AND(AH!$H$10="Izquierda",RASANTE!F171&lt;=PERALTE!$AB$8),IF(RASANTE!F171&lt;=PERALTE!$Q$8,-2,IF(RASANTE!F171&lt;=PERALTE!$U$8,(10/(PERALTE!$U$8-PERALTE!$Q$8)*(RASANTE!F171-PERALTE!$Q$8)-2),IF(RASANTE!F171&lt;=PERALTE!$X$8,8,IF(RASANTE!F171&lt;=PERALTE!$AB$8,(10/(PERALTE!$X$8-PERALTE!$AB$8)*(RASANTE!F171-PERALTE!$AB$8)-2))))),IF(AND(AH!$H$12="Derecha",RASANTE!F171&lt;=PERALTE!$AB$10),IF(RASANTE!F171&lt;=PERALTE!$S$10,-2,IF(RASANTE!F171&lt;=PERALTE!$U$10,(-6/(PERALTE!$U$10-PERALTE!$S$10)*(RASANTE!F171-PERALTE!$S$10)-2),IF(RASANTE!F171&lt;=PERALTE!$X$10,-8,IF(RASANTE!F171&lt;=PERALTE!$Z$10,(-6/(PERALTE!$X$10-PERALTE!$Z$10)*(RASANTE!F171-PERALTE!$Z$10)-2),IF(RASANTE!F171&lt;=PERALTE!$AB$10,-2))))),IF(AND(AH!$H$12="Izquierda",RASANTE!F171&lt;=PERALTE!$AB$10),IF(RASANTE!F171&lt;=PERALTE!$Q$10,-2,IF(RASANTE!F171&lt;=PERALTE!$U$10,(10/(PERALTE!$U$10-PERALTE!$Q$10)*(RASANTE!F171-PERALTE!$Q$10)-2),IF(RASANTE!F171&lt;=PERALTE!$X$10,8,IF(RASANTE!F171&lt;=PERALTE!$AB$10,(10/(PERALTE!$X$10-PERALTE!$AB$10)*(RASANTE!F171-PERALTE!$AB$10)-2))))),IF(AND(AH!$H$14="Derecha",RASANTE!F171&lt;=PERALTE!$AB$12),IF(RASANTE!F171&lt;=PERALTE!$S$12,-2,IF(RASANTE!F171&lt;=PERALTE!$U$12,(-6/(PERALTE!$U$12-PERALTE!$S$12)*(RASANTE!F171-PERALTE!$S$12)-2),IF(RASANTE!F171&lt;=PERALTE!$X$12,-8,IF(RASANTE!F171&lt;=PERALTE!$Z$12,(-6/(PERALTE!$X$12-PERALTE!$Z$12)*(RASANTE!F171-PERALTE!$Z$12)-2),IF(RASANTE!F171&lt;=PERALTE!$AB$12,-2))))),IF(AND(AH!$H$14="Izquierda",RASANTE!F171&lt;=PERALTE!$AB$12),IF(RASANTE!F171&lt;=PERALTE!$Q$12,-2,IF(RASANTE!F171&lt;=PERALTE!$U$12,(10/(PERALTE!$U$12-PERALTE!$Q$12)*(RASANTE!F171-PERALTE!$Q$12)-2),IF(RASANTE!F171&lt;=PERALTE!$X$12,8,IF(RASANTE!F171&lt;=PERALTE!$AB$12,(10/(PERALTE!$X$12-PERALTE!$AB$12)*(RASANTE!F171-PERALTE!$AB$12)-2))))),IF(AND(AH!$H$16="Derecha",RASANTE!F171&lt;=PERALTE!$AB$14),IF(RASANTE!F171&lt;=PERALTE!$S$14,-2,IF(RASANTE!F171&lt;=PERALTE!$U$14,(-6/(PERALTE!$U$14-PERALTE!$S$14)*(RASANTE!F171-PERALTE!$S$14)-2),IF(RASANTE!F171&lt;=PERALTE!$X$14,-8,IF(RASANTE!F171&lt;=PERALTE!$Z$14,(-6/(PERALTE!$X$14-PERALTE!$Z$14)*(RASANTE!F171-PERALTE!$Z$14)-2),IF(RASANTE!F171&lt;=PERALTE!$AB$14,-2))))),IF(AND(AH!$H$16="Izquierda",RASANTE!F171&lt;=PERALTE!$AB$14),IF(RASANTE!F171&lt;=PERALTE!$Q$14,-2,IF(RASANTE!F171&lt;=PERALTE!$U$14,(10/(PERALTE!$U$14-PERALTE!$Q$14)*(RASANTE!F171-PERALTE!$Q$14)-2),IF(RASANTE!F171&lt;=PERALTE!$X$14,8,IF(RASANTE!F171&lt;=PERALTE!$AB$14,(10/(PERALTE!$X$14-PERALTE!$AB$14)*(RASANTE!F171-PERALTE!$AB$14)-2))))),IF(AND(AH!$H$18="Derecha",RASANTE!F171&lt;=PERALTE!$AB$16),IF(RASANTE!F171&lt;=PERALTE!$S$16,-2,IF(RASANTE!F171&lt;=PERALTE!$U$16,(-6/(PERALTE!$U$16-PERALTE!$S$16)*(RASANTE!F171-PERALTE!$S$16)-2),IF(RASANTE!F171&lt;=PERALTE!$X$16,-8,IF(RASANTE!F171&lt;=PERALTE!$Z$16,(-6/(PERALTE!$X$16-PERALTE!$Z$16)*(RASANTE!F171-PERALTE!$Z$16)-2),IF(RASANTE!F171&lt;=PERALTE!$AB$16,-2))))),IF(AND(AH!$H$18="Izquierda",RASANTE!F171&lt;=PERALTE!$AB$16),IF(RASANTE!F171&lt;=PERALTE!$Q$16,-2,IF(RASANTE!F171&lt;=PERALTE!$U$16,(10/(PERALTE!$U$16-PERALTE!$Q$16)*(RASANTE!F171-PERALTE!$Q$16)-2),IF(RASANTE!F171&lt;=PERALTE!$X$16,8,IF(RASANTE!F171&lt;=PERALTE!$AB$16,(10/(PERALTE!$X$16-PERALTE!$AB$16)*(RASANTE!F171-PERALTE!$AB$16)-2))))),IF(AND(AH!$H$20="Derecha",RASANTE!F171&lt;=PERALTE!$AB$18),IF(RASANTE!F171&lt;=PERALTE!$S$18,-2,IF(RASANTE!F171&lt;=PERALTE!$U$18,(-6/(PERALTE!$U$18-PERALTE!$S$18)*(RASANTE!F171-PERALTE!$S$18)-2),IF(RASANTE!F171&lt;=PERALTE!$X$18,-8,IF(RASANTE!F171&lt;=PERALTE!$Z$18,(-6/(PERALTE!$X$18-PERALTE!$Z$18)*(RASANTE!F171-PERALTE!$Z$18)-2),IF(RASANTE!F171&lt;=PERALTE!$AB$18,-2))))),IF(AND(AH!$H$20="Izquierda",RASANTE!F171&lt;=PERALTE!$AB$18),IF(RASANTE!F171&lt;=PERALTE!$Q$18,-2,IF(RASANTE!F171&lt;=PERALTE!$U$18,(10/(PERALTE!$U$18-PERALTE!$Q$18)*(RASANTE!F171-PERALTE!$Q$18)-2),IF(RASANTE!F171&lt;=PERALTE!$X$18,8,IF(RASANTE!F171&lt;=PERALTE!$AB$18,(10/(PERALTE!$X$18-PERALTE!$AB$18)*(RASANTE!F171-PERALTE!$AB$18)-2))))),IF(AND(AH!$H$24="Derecha",RASANTE!F171&lt;=PERALTE!$AB$22),IF(RASANTE!F171&lt;=PERALTE!$S$22,-2,IF(RASANTE!F171&lt;=PERALTE!$U$22,(-6/(PERALTE!$U$22-PERALTE!$S$22)*(RASANTE!F171-PERALTE!$S$22)-2),IF(RASANTE!F171&lt;=PERALTE!$X$22,-8,IF(RASANTE!F171&lt;=PERALTE!$Z$22,(-6/(PERALTE!$X$22-PERALTE!$Z$22)*(RASANTE!F171-PERALTE!$Z$22)-2),IF(RASANTE!F171&lt;=PERALTE!$AB$22,-2))))),IF(AND(AH!$H$24="Izquierda",RASANTE!F171&lt;=PERALTE!$AB$22),IF(RASANTE!F171&lt;=PERALTE!$Q$22,-2,IF(RASANTE!F171&lt;=PERALTE!$U$22,(10/(PERALTE!$U$22-PERALTE!$Q$22)*(RASANTE!F171-PERALTE!$Q$22)-2),IF(RASANTE!F171&lt;=PERALTE!$X$22,8,IF(RASANTE!F171&lt;=PERALTE!$AB$22,(10/(PERALTE!$X$22-PERALTE!$AB$22)*(RASANTE!F171-PERALTE!$AB$22)-2))))),IF(AND(AH!#REF!="Derecha",RASANTE!F171&lt;=PERALTE!#REF!),IF(RASANTE!F171&lt;=PERALTE!#REF!,-2,IF(RASANTE!F171&lt;=PERALTE!#REF!,(-6/(PERALTE!#REF!-PERALTE!#REF!)*(RASANTE!F171-PERALTE!#REF!)-2),IF(RASANTE!F171&lt;=PERALTE!#REF!,-8,IF(RASANTE!F171&lt;=PERALTE!#REF!,(-6/(PERALTE!#REF!-PERALTE!#REF!)*(RASANTE!F171-PERALTE!#REF!)-2),IF(RASANTE!F171&lt;=PERALTE!#REF!,-2))))),IF(AND(AH!#REF!="Izquierda",RASANTE!F171&lt;=PERALTE!#REF!),IF(RASANTE!F171&lt;=PERALTE!#REF!,-2,IF(RASANTE!F171&lt;=PERALTE!#REF!,(10/(PERALTE!#REF!-PERALTE!#REF!)*(RASANTE!F171-PERALTE!#REF!)-2),IF(RASANTE!F171&lt;=PERALTE!#REF!,8,IF(RASANTE!F171&lt;=PERALTE!#REF!,(10/(PERALTE!#REF!-PERALTE!#REF!)*(RASANTE!F171-PERALTE!#REF!)-2))))),IF(AND(AH!#REF!="Derecha",RASANTE!F171&lt;=PERALTE!$AB$26),IF(RASANTE!F171&lt;=PERALTE!$S$26,-2,IF(RASANTE!F171&lt;=PERALTE!$U$26,(-6/(PERALTE!$U$26-PERALTE!$S$26)*(RASANTE!F171-PERALTE!$S$26)-2),IF(RASANTE!F171&lt;=PERALTE!$X$26,-8,IF(RASANTE!F171&lt;=PERALTE!$Z$26,(-6/(PERALTE!$X$26-PERALTE!$Z$26)*(RASANTE!F171-PERALTE!$Z$26)-2),IF(RASANTE!F171&lt;=PERALTE!$AB$26,-2))))),IF(AND(AH!#REF!="Izquierda",RASANTE!F171&lt;=PERALTE!$AB$26),IF(RASANTE!F171&lt;=PERALTE!$Q$26,-2,IF(RASANTE!F171&lt;=PERALTE!$U$26,(10/(PERALTE!$U$26-PERALTE!$Q$26)*(RASANTE!F171-PERALTE!$Q$26)-2),IF(RASANTE!F171&lt;=PERALTE!$X$26,8,IF(RASANTE!F171&lt;=PERALTE!$AB$26,(10/(PERALTE!$X$26-PERALTE!$AB$26)*(RASANTE!F171-PERALTE!$AB$26)-2))))),IF(F171&lt;=PERALTE!#REF!,-2,"Abscisa fuera de la vía")))))))))))))))))))))</f>
        <v>-2</v>
      </c>
      <c r="J171" s="28">
        <f t="shared" si="6"/>
        <v>1610.7611380375929</v>
      </c>
      <c r="K171" s="28">
        <f>+IF(AND(AV!$S$6&lt;F171,F171&lt;=AV!$T$6),AV!$P$6*((AV!$S$6-RASANTE!F171)/(AV!$N$6))^2,IF(AND(AV!$T$6&lt;RASANTE!F171,F171&lt;AV!$U$6),AV!$P$6*((AV!$U$6-RASANTE!F171)/(AV!$O$6))^2,IF(AND(AV!$S$8&lt;F171,F171&lt;=AV!$T$8),AV!$P$8*((AV!$S$8-RASANTE!F171)/(AV!$N$8))^2,IF(AND(AV!$T$8&lt;RASANTE!F171,F171&lt;AV!$U$8),AV!$P$8*((AV!$U$8-RASANTE!F171)/(AV!$O$8))^2,IF(AND(AV!$S$10&lt;F171,F171&lt;=AV!$T$10),AV!$P$10*((AV!$S$10-RASANTE!F171)/(AV!$N$10))^2,IF(AND(AV!$T$10&lt;RASANTE!F171,F171&lt;AV!$U$10),AV!$P$10*((AV!$U$10-RASANTE!F171)/(AV!$O$10))^2,IF(AND(AV!$S$12&lt;F171,F171&lt;=AV!$T$12),AV!$P$12*((AV!$S$12-RASANTE!F171)/(AV!$N$12))^2,IF(AND(AV!$T$12&lt;RASANTE!F171,F171&lt;AV!$U$12),AV!$P$12*((AV!$U$12-RASANTE!F171)/(AV!$O$12))^2,IF(AND(AV!$S$14&lt;F171,F171&lt;=AV!$T$14),AV!$P$14*((AV!$S$14-RASANTE!F171)/(AV!$N$14))^2,IF(AND(AV!$T$14&lt;RASANTE!F171,F171&lt;AV!$U$14),AV!$P$14*((AV!$U$14-RASANTE!F171)/(AV!$O$14))^2,IF(AND(AV!$S$16&lt;F171,F171&lt;=AV!$T$16),AV!$P$16*((AV!$S$16-RASANTE!F171)/(AV!$N$16))^2,IF(AND(AV!$T$16&lt;RASANTE!F171,F171&lt;AV!$U$16),AV!$P$16*((AV!$U$16-RASANTE!F171)/(AV!$O$16))^2,IF(AND(AV!$S$18&lt;F171,F171&lt;=AV!$T$18),AV!$P$18*((AV!$S$18-RASANTE!F171)/(AV!$N$18))^2,IF(AND(AV!$T$18&lt;RASANTE!F171,F171&lt;AV!$U$18),AV!$P$18*((AV!$U$18-RASANTE!F171)/(AV!$O$18))^2,IF(AND(AV!$S$20&lt;F171,F171&lt;=AV!$T$20),AV!$P$20*((AV!$S$20-RASANTE!F171)/(AV!$N$20))^2,IF(AND(AV!$T$20&lt;RASANTE!F171,F171&lt;AV!$U$20),AV!$P$20*((AV!$U$20-RASANTE!F171)/(AV!$O$20))^2,IF(AND(AV!$S$22&lt;F171,F171&lt;=AV!$T$22),AV!$P$22*((AV!$S$22-RASANTE!F171)/(AV!$N$22))^2,IF(AND(AV!$T$22&lt;RASANTE!F171,F171&lt;AV!$U$22),AV!$P$22*((AV!$U$22-RASANTE!F171)/(AV!$O$22))^2,IF(AND(AV!$S$24&lt;F171,F171&lt;=AV!$T$24),AV!$P$24*((AV!$S$24-RASANTE!F171)/(AV!$N$24))^2,IF(AND(AV!$T$24&lt;RASANTE!F171,F171&lt;AV!$U$24),AV!$P$24*((AV!$U$24-RASANTE!F171)/(AV!$O$24))^2,0))))))))))))))))))))</f>
        <v>1.3554302812499999</v>
      </c>
      <c r="L171" s="28">
        <f>+M171+H171%*PERALTE!$C$32</f>
        <v>1612.0465683188429</v>
      </c>
      <c r="M171" s="28">
        <f t="shared" si="7"/>
        <v>1612.1165683188428</v>
      </c>
      <c r="N171" s="28">
        <f>+M171+I171%*PERALTE!$C$32</f>
        <v>1612.0465683188429</v>
      </c>
      <c r="O171" s="92"/>
      <c r="P171" s="84"/>
      <c r="Q171" s="84"/>
      <c r="R171" s="84"/>
      <c r="S171" s="84"/>
      <c r="T171" s="84"/>
      <c r="U171" s="84"/>
      <c r="V171" s="84"/>
      <c r="W171" s="84"/>
      <c r="X171" s="84"/>
      <c r="Y171" s="84"/>
    </row>
    <row r="172" spans="1:25" ht="15.75" customHeight="1" x14ac:dyDescent="0.2">
      <c r="A172" s="322"/>
      <c r="E172" s="115"/>
      <c r="F172" s="34">
        <v>1080</v>
      </c>
      <c r="G172" s="88">
        <f>IF(F172&lt;=AV!$T$6,AV!$C$5,IF(RASANTE!F172&lt;=AV!$T$8,AV!$C$7,IF(RASANTE!F172&lt;=AV!$T$10,AV!$C$9,IF(RASANTE!F172&lt;=AV!$T$12,AV!$C$11,IF(RASANTE!F172&lt;=AV!$T$14,AV!$C$13,IF(RASANTE!F172&lt;=AV!$T$16,AV!$C$15, IF(RASANTE!F172&lt;=AV!$T$18,AV!$C$17,IF(RASANTE!F172&lt;=AV!$T$20,AV!$C$19,IF(RASANTE!F172&lt;=AV!$T$22,AV!$C$21,IF(RASANTE!F172&lt;=AV!$T$24,AV!$C$23,AV!$C$25))))))))))</f>
        <v>8.1999999999999993</v>
      </c>
      <c r="H172" s="28">
        <f>+IF(AND(AH!$H$8="Izquierda",RASANTE!F172&lt;=PERALTE!$AB$6),IF(RASANTE!F172&lt;=PERALTE!$S$6,-2,IF(RASANTE!F172&lt;=PERALTE!$U$6,(-6/(PERALTE!$U$6-PERALTE!$S$6)*(RASANTE!F172-PERALTE!$S$6)-2),IF(RASANTE!F172&lt;=PERALTE!$X$6,-8,IF(RASANTE!F172&lt;=PERALTE!$Z$6,(-6/(PERALTE!$X$6-PERALTE!$Z$6)*(RASANTE!F172-PERALTE!$Z$6)-2),IF(RASANTE!F172&lt;=PERALTE!$AB$6,-2))))),IF(AND(AH!$H$8="Derecha",RASANTE!F172&lt;=PERALTE!$AB$6),IF(RASANTE!F172&lt;=PERALTE!$Q$6,-2,IF(RASANTE!F172&lt;=PERALTE!$U$6,(10/(PERALTE!$U$6-PERALTE!$Q$6)*(RASANTE!F172-PERALTE!$Q$6)-2),IF(RASANTE!F172&lt;=PERALTE!$X$6,8,IF(RASANTE!F172&lt;=PERALTE!$AB$6,(10/(PERALTE!$X$6-PERALTE!$AB$6)*(RASANTE!F172-PERALTE!$AB$6)-2))))),IF(AND(AH!$H$10="Izquierda",RASANTE!F172&lt;=PERALTE!$AB$8),IF(RASANTE!F172&lt;=PERALTE!$S$8,-2,IF(RASANTE!F172&lt;=PERALTE!$U$8,(-6/(PERALTE!$U$8-PERALTE!$S$8)*(RASANTE!F172-PERALTE!$S$8)-2),IF(RASANTE!F172&lt;=PERALTE!$X$8,-8,IF(RASANTE!F172&lt;=PERALTE!$Z$8,(-6/(PERALTE!$X$8-PERALTE!$Z$8)*(RASANTE!F172-PERALTE!$Z$8)-2),IF(RASANTE!F172&lt;=PERALTE!$AB$8,-2))))),IF(AND(AH!$H$10="Derecha",RASANTE!F172&lt;=PERALTE!$AB$8),IF(RASANTE!F172&lt;=PERALTE!$Q$8,-2,IF(RASANTE!F172&lt;=PERALTE!$U$8,(10/(PERALTE!$U$8-PERALTE!$Q$8)*(RASANTE!F172-PERALTE!$Q$8)-2),IF(RASANTE!F172&lt;=PERALTE!$X$8,8,IF(RASANTE!F172&lt;=PERALTE!$AB$8,(10/(PERALTE!$X$8-PERALTE!$AB$8)*(RASANTE!F172-PERALTE!$AB$8)-2))))),IF(AND(AH!$H$12="Izquierda",RASANTE!F172&lt;=PERALTE!$AB$10),IF(RASANTE!F172&lt;=PERALTE!$S$10,-2,IF(RASANTE!F172&lt;=PERALTE!$U$10,(-6/(PERALTE!$U$10-PERALTE!$S$10)*(RASANTE!F172-PERALTE!$S$10)-2),IF(RASANTE!F172&lt;=PERALTE!$X$10,-8,IF(RASANTE!F172&lt;=PERALTE!$Z$10,(-6/(PERALTE!$X$10-PERALTE!$Z$10)*(RASANTE!F172-PERALTE!$Z$10)-2),IF(RASANTE!F172&lt;=PERALTE!$AB$10,-2))))),IF(AND(AH!$H$12="Derecha",RASANTE!F172&lt;=PERALTE!$AB$10),IF(RASANTE!F172&lt;=PERALTE!$Q$10,-2,IF(RASANTE!F172&lt;=PERALTE!$U$10,(10/(PERALTE!$U$10-PERALTE!$Q$10)*(RASANTE!F172-PERALTE!$Q$10)-2),IF(RASANTE!F172&lt;=PERALTE!$X$10,8,IF(RASANTE!F172&lt;=PERALTE!$AB$10,(10/(PERALTE!$X$10-PERALTE!$AB$10)*(RASANTE!F172-PERALTE!$AB$10)-2))))),IF(AND(AH!$H$14="Izquierda",RASANTE!F172&lt;=PERALTE!$AB$12),IF(RASANTE!F172&lt;=PERALTE!$S$12,-2,IF(RASANTE!F172&lt;=PERALTE!$U$12,(-6/(PERALTE!$U$12-PERALTE!$S$12)*(RASANTE!F172-PERALTE!$S$12)-2),IF(RASANTE!F172&lt;=PERALTE!$X$12,-8,IF(RASANTE!F172&lt;=PERALTE!$Z$12,(-6/(PERALTE!$X$12-PERALTE!$Z$12)*(RASANTE!F172-PERALTE!$Z$12)-2),IF(RASANTE!F172&lt;=PERALTE!$AB$12,-2))))),IF(AND(AH!$H$14="Derecha",RASANTE!F172&lt;=PERALTE!$AB$12),IF(RASANTE!F172&lt;=PERALTE!$Q$12,-2,IF(RASANTE!F172&lt;=PERALTE!$U$12,(10/(PERALTE!$U$12-PERALTE!$Q$12)*(RASANTE!F172-PERALTE!$Q$12)-2),IF(RASANTE!F172&lt;=PERALTE!$X$12,8,IF(RASANTE!F172&lt;=PERALTE!$AB$12,(10/(PERALTE!$X$12-PERALTE!$AB$12)*(RASANTE!F172-PERALTE!$AB$12)-2))))),IF(AND(AH!$H$16="Izquierda",RASANTE!F172&lt;=PERALTE!$AB$14),IF(RASANTE!F172&lt;=PERALTE!$S$14,-2,IF(RASANTE!F172&lt;=PERALTE!$U$14,(-6/(PERALTE!$U$14-PERALTE!$S$14)*(RASANTE!F172-PERALTE!$S$14)-2),IF(RASANTE!F172&lt;=PERALTE!$X$14,-8,IF(RASANTE!F172&lt;=PERALTE!$Z$14,(-6/(PERALTE!$X$14-PERALTE!$Z$14)*(RASANTE!F172-PERALTE!$Z$14)-2),IF(RASANTE!F172&lt;=PERALTE!$AB$14,-2))))),IF(AND(AH!$H$16="Derecha",RASANTE!F172&lt;=PERALTE!$AB$14),IF(RASANTE!F172&lt;=PERALTE!$Q$14,-2,IF(RASANTE!F172&lt;=PERALTE!$U$14,(10/(PERALTE!$U$14-PERALTE!$Q$14)*(RASANTE!F172-PERALTE!$Q$14)-2),IF(RASANTE!F172&lt;=PERALTE!$X$14,8,IF(RASANTE!F172&lt;=PERALTE!$AB$14,(10/(PERALTE!$X$14-PERALTE!$AB$14)*(RASANTE!F172-PERALTE!$AB$14)-2))))),IF(AND(AH!$H$18="Izquierda",RASANTE!F172&lt;=PERALTE!$AB$16),IF(RASANTE!F172&lt;=PERALTE!$S$16,-2,IF(RASANTE!F172&lt;=PERALTE!$U$16,(-6/(PERALTE!$U$16-PERALTE!$S$16)*(RASANTE!F172-PERALTE!$S$16)-2),IF(RASANTE!F172&lt;=PERALTE!$X$16,-8,IF(RASANTE!F172&lt;=PERALTE!$Z$16,(-6/(PERALTE!$X$16-PERALTE!$Z$16)*(RASANTE!F172-PERALTE!$Z$16)-2),IF(RASANTE!F172&lt;=PERALTE!$AB$16,-2))))),IF(AND(AH!$H$18="Derecha",RASANTE!F172&lt;=PERALTE!$AB$16),IF(RASANTE!F172&lt;=PERALTE!$Q$16,-2,IF(RASANTE!F172&lt;=PERALTE!$U$16,(10/(PERALTE!$U$16-PERALTE!$Q$16)*(RASANTE!F172-PERALTE!$Q$16)-2),IF(RASANTE!F172&lt;=PERALTE!$X$16,8,IF(RASANTE!F172&lt;=PERALTE!$AB$16,(10/(PERALTE!$X$16-PERALTE!$AB$16)*(RASANTE!F172-PERALTE!$AB$16)-2))))),IF(AND(AH!$H$20="Izquierda",RASANTE!F172&lt;=PERALTE!$AB$18),IF(RASANTE!F172&lt;=PERALTE!$S$18,-2,IF(RASANTE!F172&lt;=PERALTE!$U$18,(-6/(PERALTE!$U$18-PERALTE!$S$18)*(RASANTE!F172-PERALTE!$S$18)-2),IF(RASANTE!F172&lt;=PERALTE!$X$18,-8,IF(RASANTE!F172&lt;=PERALTE!$Z$18,(-6/(PERALTE!$X$18-PERALTE!$Z$18)*(RASANTE!F172-PERALTE!$Z$18)-2),IF(RASANTE!F172&lt;=PERALTE!$AB$18,-2))))),IF(AND(AH!$H$20="Derecha",RASANTE!F172&lt;=PERALTE!$AB$18),IF(RASANTE!F172&lt;=PERALTE!$Q$18,-2,IF(RASANTE!F172&lt;=PERALTE!$U$18,(10/(PERALTE!$U$18-PERALTE!$Q$18)*(RASANTE!F172-PERALTE!$Q$18)-2),IF(RASANTE!F172&lt;=PERALTE!$X$18,8,IF(RASANTE!F172&lt;=PERALTE!$AB$18,(10/(PERALTE!$X$18-PERALTE!$AB$18)*(RASANTE!F172-PERALTE!$AB$18)-2))))),IF(AND(AH!$H$24="Izquierda",RASANTE!F172&lt;=PERALTE!$AB$22),IF(RASANTE!F172&lt;=PERALTE!$S$22,-2,IF(RASANTE!F172&lt;=PERALTE!$U$22,(-6/(PERALTE!$U$22-PERALTE!$S$22)*(RASANTE!F172-PERALTE!$S$22)-2),IF(RASANTE!F172&lt;=PERALTE!$X$22,-8,IF(RASANTE!F172&lt;=PERALTE!$Z$22,(-6/(PERALTE!$X$22-PERALTE!$Z$22)*(RASANTE!F172-PERALTE!$Z$22)-2),IF(RASANTE!F172&lt;=PERALTE!$AB$22,-2))))),IF(AND(AH!$H$24="Derecha",RASANTE!F172&lt;=PERALTE!$AB$22),IF(RASANTE!F172&lt;=PERALTE!$Q$22,-2,IF(RASANTE!F172&lt;=PERALTE!$U$22,(10/(PERALTE!$U$22-PERALTE!$Q$22)*(RASANTE!F172-PERALTE!$Q$22)-2),IF(RASANTE!F172&lt;=PERALTE!$X$22,8,IF(RASANTE!F172&lt;=PERALTE!$AB$22,(10/(PERALTE!$X$22-PERALTE!$AB$22)*(RASANTE!F172-PERALTE!$AB$22)-2))))),IF(AND(AH!#REF!="Izquierda",RASANTE!F172&lt;=PERALTE!#REF!),IF(RASANTE!F172&lt;=PERALTE!#REF!,-2,IF(RASANTE!F172&lt;=PERALTE!#REF!,(-6/(PERALTE!#REF!-PERALTE!#REF!)*(RASANTE!F172-PERALTE!#REF!)-2),IF(RASANTE!F172&lt;=PERALTE!#REF!,-8,IF(RASANTE!F172&lt;=PERALTE!#REF!,(-6/(PERALTE!#REF!-PERALTE!#REF!)*(RASANTE!F172-PERALTE!#REF!)-2),IF(RASANTE!F172&lt;=PERALTE!#REF!,-2))))),IF(AND(AH!#REF!="Derecha",RASANTE!F172&lt;=PERALTE!#REF!),IF(RASANTE!F172&lt;=PERALTE!#REF!,-2,IF(RASANTE!F172&lt;=PERALTE!#REF!,(10/(PERALTE!#REF!-PERALTE!#REF!)*(RASANTE!F172-PERALTE!#REF!)-2),IF(RASANTE!F172&lt;=PERALTE!#REF!,8,IF(RASANTE!F172&lt;=PERALTE!#REF!,(10/(PERALTE!#REF!-PERALTE!#REF!)*(RASANTE!F172-PERALTE!#REF!)-2))))),IF(AND(AH!#REF!="Izquierda",RASANTE!F172&lt;=PERALTE!$AB$26),IF(RASANTE!F172&lt;=PERALTE!$S$26,-2,IF(RASANTE!F172&lt;=PERALTE!$U$26,(-6/(PERALTE!$U$26-PERALTE!$S$26)*(RASANTE!F172-PERALTE!$S$26)-2),IF(RASANTE!F172&lt;=PERALTE!$X$26,-8,IF(RASANTE!F172&lt;=PERALTE!$Z$26,(-6/(PERALTE!$X$26-PERALTE!$Z$26)*(RASANTE!F172-PERALTE!$Z$26)-2),IF(RASANTE!F172&lt;=PERALTE!$AB$26,-2))))),IF(AND(AH!#REF!="Derecha",RASANTE!F172&lt;=PERALTE!$AB$26),IF(RASANTE!F172&lt;=PERALTE!$Q$26,-2,IF(RASANTE!F172&lt;=PERALTE!$U$26,(10/(PERALTE!$U$26-PERALTE!$Q$26)*(RASANTE!F172-PERALTE!$Q$26)-2),IF(RASANTE!F172&lt;=PERALTE!$X$26,8,IF(RASANTE!F172&lt;=PERALTE!$AB$26,(10/(PERALTE!$X$26-PERALTE!$AB$26)*(RASANTE!F172-PERALTE!$AB$26)-2))))),IF(F172&lt;=PERALTE!#REF!,-2,"Abscisa fuera de la vía")))))))))))))))))))))</f>
        <v>-2</v>
      </c>
      <c r="I172" s="28">
        <f>+IF(AND(AH!$H$8="Derecha",RASANTE!F172&lt;=PERALTE!$AB$6),IF(RASANTE!F172&lt;=PERALTE!$S$6,-2,IF(RASANTE!F172&lt;=PERALTE!$U$6,(-6/(PERALTE!$U$6-PERALTE!$S$6)*(RASANTE!F172-PERALTE!$S$6)-2),IF(RASANTE!F172&lt;=PERALTE!$X$6,-8,IF(RASANTE!F172&lt;=PERALTE!$Z$6,(-6/(PERALTE!$X$6-PERALTE!$Z$6)*(RASANTE!F172-PERALTE!$Z$6)-2),IF(RASANTE!F172&lt;=PERALTE!$AB$6,-2))))),IF(AND(AH!$H$8="Izquierda",RASANTE!F172&lt;=PERALTE!$AB$6),IF(RASANTE!F172&lt;=PERALTE!$Q$6,-2,IF(RASANTE!F172&lt;=PERALTE!$U$6,(10/(PERALTE!$U$6-PERALTE!$Q$6)*(RASANTE!F172-PERALTE!$Q$6)-2),IF(RASANTE!F172&lt;=PERALTE!$X$6,8,IF(RASANTE!F172&lt;=PERALTE!$AB$6,(10/(PERALTE!$X$6-PERALTE!$AB$6)*(RASANTE!F172-PERALTE!$AB$6)-2))))),IF(AND(AH!$H$10="Derecha",RASANTE!F172&lt;=PERALTE!$AB$8),IF(RASANTE!F172&lt;=PERALTE!$S$8,-2,IF(RASANTE!F172&lt;=PERALTE!$U$8,(-6/(PERALTE!$U$8-PERALTE!$S$8)*(RASANTE!F172-PERALTE!$S$8)-2),IF(RASANTE!F172&lt;=PERALTE!$X$8,-8,IF(RASANTE!F172&lt;=PERALTE!$Z$8,(-6/(PERALTE!$X$8-PERALTE!$Z$8)*(RASANTE!F172-PERALTE!$Z$8)-2),IF(RASANTE!F172&lt;=PERALTE!$AB$8,-2))))),IF(AND(AH!$H$10="Izquierda",RASANTE!F172&lt;=PERALTE!$AB$8),IF(RASANTE!F172&lt;=PERALTE!$Q$8,-2,IF(RASANTE!F172&lt;=PERALTE!$U$8,(10/(PERALTE!$U$8-PERALTE!$Q$8)*(RASANTE!F172-PERALTE!$Q$8)-2),IF(RASANTE!F172&lt;=PERALTE!$X$8,8,IF(RASANTE!F172&lt;=PERALTE!$AB$8,(10/(PERALTE!$X$8-PERALTE!$AB$8)*(RASANTE!F172-PERALTE!$AB$8)-2))))),IF(AND(AH!$H$12="Derecha",RASANTE!F172&lt;=PERALTE!$AB$10),IF(RASANTE!F172&lt;=PERALTE!$S$10,-2,IF(RASANTE!F172&lt;=PERALTE!$U$10,(-6/(PERALTE!$U$10-PERALTE!$S$10)*(RASANTE!F172-PERALTE!$S$10)-2),IF(RASANTE!F172&lt;=PERALTE!$X$10,-8,IF(RASANTE!F172&lt;=PERALTE!$Z$10,(-6/(PERALTE!$X$10-PERALTE!$Z$10)*(RASANTE!F172-PERALTE!$Z$10)-2),IF(RASANTE!F172&lt;=PERALTE!$AB$10,-2))))),IF(AND(AH!$H$12="Izquierda",RASANTE!F172&lt;=PERALTE!$AB$10),IF(RASANTE!F172&lt;=PERALTE!$Q$10,-2,IF(RASANTE!F172&lt;=PERALTE!$U$10,(10/(PERALTE!$U$10-PERALTE!$Q$10)*(RASANTE!F172-PERALTE!$Q$10)-2),IF(RASANTE!F172&lt;=PERALTE!$X$10,8,IF(RASANTE!F172&lt;=PERALTE!$AB$10,(10/(PERALTE!$X$10-PERALTE!$AB$10)*(RASANTE!F172-PERALTE!$AB$10)-2))))),IF(AND(AH!$H$14="Derecha",RASANTE!F172&lt;=PERALTE!$AB$12),IF(RASANTE!F172&lt;=PERALTE!$S$12,-2,IF(RASANTE!F172&lt;=PERALTE!$U$12,(-6/(PERALTE!$U$12-PERALTE!$S$12)*(RASANTE!F172-PERALTE!$S$12)-2),IF(RASANTE!F172&lt;=PERALTE!$X$12,-8,IF(RASANTE!F172&lt;=PERALTE!$Z$12,(-6/(PERALTE!$X$12-PERALTE!$Z$12)*(RASANTE!F172-PERALTE!$Z$12)-2),IF(RASANTE!F172&lt;=PERALTE!$AB$12,-2))))),IF(AND(AH!$H$14="Izquierda",RASANTE!F172&lt;=PERALTE!$AB$12),IF(RASANTE!F172&lt;=PERALTE!$Q$12,-2,IF(RASANTE!F172&lt;=PERALTE!$U$12,(10/(PERALTE!$U$12-PERALTE!$Q$12)*(RASANTE!F172-PERALTE!$Q$12)-2),IF(RASANTE!F172&lt;=PERALTE!$X$12,8,IF(RASANTE!F172&lt;=PERALTE!$AB$12,(10/(PERALTE!$X$12-PERALTE!$AB$12)*(RASANTE!F172-PERALTE!$AB$12)-2))))),IF(AND(AH!$H$16="Derecha",RASANTE!F172&lt;=PERALTE!$AB$14),IF(RASANTE!F172&lt;=PERALTE!$S$14,-2,IF(RASANTE!F172&lt;=PERALTE!$U$14,(-6/(PERALTE!$U$14-PERALTE!$S$14)*(RASANTE!F172-PERALTE!$S$14)-2),IF(RASANTE!F172&lt;=PERALTE!$X$14,-8,IF(RASANTE!F172&lt;=PERALTE!$Z$14,(-6/(PERALTE!$X$14-PERALTE!$Z$14)*(RASANTE!F172-PERALTE!$Z$14)-2),IF(RASANTE!F172&lt;=PERALTE!$AB$14,-2))))),IF(AND(AH!$H$16="Izquierda",RASANTE!F172&lt;=PERALTE!$AB$14),IF(RASANTE!F172&lt;=PERALTE!$Q$14,-2,IF(RASANTE!F172&lt;=PERALTE!$U$14,(10/(PERALTE!$U$14-PERALTE!$Q$14)*(RASANTE!F172-PERALTE!$Q$14)-2),IF(RASANTE!F172&lt;=PERALTE!$X$14,8,IF(RASANTE!F172&lt;=PERALTE!$AB$14,(10/(PERALTE!$X$14-PERALTE!$AB$14)*(RASANTE!F172-PERALTE!$AB$14)-2))))),IF(AND(AH!$H$18="Derecha",RASANTE!F172&lt;=PERALTE!$AB$16),IF(RASANTE!F172&lt;=PERALTE!$S$16,-2,IF(RASANTE!F172&lt;=PERALTE!$U$16,(-6/(PERALTE!$U$16-PERALTE!$S$16)*(RASANTE!F172-PERALTE!$S$16)-2),IF(RASANTE!F172&lt;=PERALTE!$X$16,-8,IF(RASANTE!F172&lt;=PERALTE!$Z$16,(-6/(PERALTE!$X$16-PERALTE!$Z$16)*(RASANTE!F172-PERALTE!$Z$16)-2),IF(RASANTE!F172&lt;=PERALTE!$AB$16,-2))))),IF(AND(AH!$H$18="Izquierda",RASANTE!F172&lt;=PERALTE!$AB$16),IF(RASANTE!F172&lt;=PERALTE!$Q$16,-2,IF(RASANTE!F172&lt;=PERALTE!$U$16,(10/(PERALTE!$U$16-PERALTE!$Q$16)*(RASANTE!F172-PERALTE!$Q$16)-2),IF(RASANTE!F172&lt;=PERALTE!$X$16,8,IF(RASANTE!F172&lt;=PERALTE!$AB$16,(10/(PERALTE!$X$16-PERALTE!$AB$16)*(RASANTE!F172-PERALTE!$AB$16)-2))))),IF(AND(AH!$H$20="Derecha",RASANTE!F172&lt;=PERALTE!$AB$18),IF(RASANTE!F172&lt;=PERALTE!$S$18,-2,IF(RASANTE!F172&lt;=PERALTE!$U$18,(-6/(PERALTE!$U$18-PERALTE!$S$18)*(RASANTE!F172-PERALTE!$S$18)-2),IF(RASANTE!F172&lt;=PERALTE!$X$18,-8,IF(RASANTE!F172&lt;=PERALTE!$Z$18,(-6/(PERALTE!$X$18-PERALTE!$Z$18)*(RASANTE!F172-PERALTE!$Z$18)-2),IF(RASANTE!F172&lt;=PERALTE!$AB$18,-2))))),IF(AND(AH!$H$20="Izquierda",RASANTE!F172&lt;=PERALTE!$AB$18),IF(RASANTE!F172&lt;=PERALTE!$Q$18,-2,IF(RASANTE!F172&lt;=PERALTE!$U$18,(10/(PERALTE!$U$18-PERALTE!$Q$18)*(RASANTE!F172-PERALTE!$Q$18)-2),IF(RASANTE!F172&lt;=PERALTE!$X$18,8,IF(RASANTE!F172&lt;=PERALTE!$AB$18,(10/(PERALTE!$X$18-PERALTE!$AB$18)*(RASANTE!F172-PERALTE!$AB$18)-2))))),IF(AND(AH!$H$24="Derecha",RASANTE!F172&lt;=PERALTE!$AB$22),IF(RASANTE!F172&lt;=PERALTE!$S$22,-2,IF(RASANTE!F172&lt;=PERALTE!$U$22,(-6/(PERALTE!$U$22-PERALTE!$S$22)*(RASANTE!F172-PERALTE!$S$22)-2),IF(RASANTE!F172&lt;=PERALTE!$X$22,-8,IF(RASANTE!F172&lt;=PERALTE!$Z$22,(-6/(PERALTE!$X$22-PERALTE!$Z$22)*(RASANTE!F172-PERALTE!$Z$22)-2),IF(RASANTE!F172&lt;=PERALTE!$AB$22,-2))))),IF(AND(AH!$H$24="Izquierda",RASANTE!F172&lt;=PERALTE!$AB$22),IF(RASANTE!F172&lt;=PERALTE!$Q$22,-2,IF(RASANTE!F172&lt;=PERALTE!$U$22,(10/(PERALTE!$U$22-PERALTE!$Q$22)*(RASANTE!F172-PERALTE!$Q$22)-2),IF(RASANTE!F172&lt;=PERALTE!$X$22,8,IF(RASANTE!F172&lt;=PERALTE!$AB$22,(10/(PERALTE!$X$22-PERALTE!$AB$22)*(RASANTE!F172-PERALTE!$AB$22)-2))))),IF(AND(AH!#REF!="Derecha",RASANTE!F172&lt;=PERALTE!#REF!),IF(RASANTE!F172&lt;=PERALTE!#REF!,-2,IF(RASANTE!F172&lt;=PERALTE!#REF!,(-6/(PERALTE!#REF!-PERALTE!#REF!)*(RASANTE!F172-PERALTE!#REF!)-2),IF(RASANTE!F172&lt;=PERALTE!#REF!,-8,IF(RASANTE!F172&lt;=PERALTE!#REF!,(-6/(PERALTE!#REF!-PERALTE!#REF!)*(RASANTE!F172-PERALTE!#REF!)-2),IF(RASANTE!F172&lt;=PERALTE!#REF!,-2))))),IF(AND(AH!#REF!="Izquierda",RASANTE!F172&lt;=PERALTE!#REF!),IF(RASANTE!F172&lt;=PERALTE!#REF!,-2,IF(RASANTE!F172&lt;=PERALTE!#REF!,(10/(PERALTE!#REF!-PERALTE!#REF!)*(RASANTE!F172-PERALTE!#REF!)-2),IF(RASANTE!F172&lt;=PERALTE!#REF!,8,IF(RASANTE!F172&lt;=PERALTE!#REF!,(10/(PERALTE!#REF!-PERALTE!#REF!)*(RASANTE!F172-PERALTE!#REF!)-2))))),IF(AND(AH!#REF!="Derecha",RASANTE!F172&lt;=PERALTE!$AB$26),IF(RASANTE!F172&lt;=PERALTE!$S$26,-2,IF(RASANTE!F172&lt;=PERALTE!$U$26,(-6/(PERALTE!$U$26-PERALTE!$S$26)*(RASANTE!F172-PERALTE!$S$26)-2),IF(RASANTE!F172&lt;=PERALTE!$X$26,-8,IF(RASANTE!F172&lt;=PERALTE!$Z$26,(-6/(PERALTE!$X$26-PERALTE!$Z$26)*(RASANTE!F172-PERALTE!$Z$26)-2),IF(RASANTE!F172&lt;=PERALTE!$AB$26,-2))))),IF(AND(AH!#REF!="Izquierda",RASANTE!F172&lt;=PERALTE!$AB$26),IF(RASANTE!F172&lt;=PERALTE!$Q$26,-2,IF(RASANTE!F172&lt;=PERALTE!$U$26,(10/(PERALTE!$U$26-PERALTE!$Q$26)*(RASANTE!F172-PERALTE!$Q$26)-2),IF(RASANTE!F172&lt;=PERALTE!$X$26,8,IF(RASANTE!F172&lt;=PERALTE!$AB$26,(10/(PERALTE!$X$26-PERALTE!$AB$26)*(RASANTE!F172-PERALTE!$AB$26)-2))))),IF(F172&lt;=PERALTE!#REF!,-2,"Abscisa fuera de la vía")))))))))))))))))))))</f>
        <v>-2</v>
      </c>
      <c r="J172" s="28">
        <f t="shared" si="6"/>
        <v>1611.5811380375928</v>
      </c>
      <c r="K172" s="28">
        <f>+IF(AND(AV!$S$6&lt;F172,F172&lt;=AV!$T$6),AV!$P$6*((AV!$S$6-RASANTE!F172)/(AV!$N$6))^2,IF(AND(AV!$T$6&lt;RASANTE!F172,F172&lt;AV!$U$6),AV!$P$6*((AV!$U$6-RASANTE!F172)/(AV!$O$6))^2,IF(AND(AV!$S$8&lt;F172,F172&lt;=AV!$T$8),AV!$P$8*((AV!$S$8-RASANTE!F172)/(AV!$N$8))^2,IF(AND(AV!$T$8&lt;RASANTE!F172,F172&lt;AV!$U$8),AV!$P$8*((AV!$U$8-RASANTE!F172)/(AV!$O$8))^2,IF(AND(AV!$S$10&lt;F172,F172&lt;=AV!$T$10),AV!$P$10*((AV!$S$10-RASANTE!F172)/(AV!$N$10))^2,IF(AND(AV!$T$10&lt;RASANTE!F172,F172&lt;AV!$U$10),AV!$P$10*((AV!$U$10-RASANTE!F172)/(AV!$O$10))^2,IF(AND(AV!$S$12&lt;F172,F172&lt;=AV!$T$12),AV!$P$12*((AV!$S$12-RASANTE!F172)/(AV!$N$12))^2,IF(AND(AV!$T$12&lt;RASANTE!F172,F172&lt;AV!$U$12),AV!$P$12*((AV!$U$12-RASANTE!F172)/(AV!$O$12))^2,IF(AND(AV!$S$14&lt;F172,F172&lt;=AV!$T$14),AV!$P$14*((AV!$S$14-RASANTE!F172)/(AV!$N$14))^2,IF(AND(AV!$T$14&lt;RASANTE!F172,F172&lt;AV!$U$14),AV!$P$14*((AV!$U$14-RASANTE!F172)/(AV!$O$14))^2,IF(AND(AV!$S$16&lt;F172,F172&lt;=AV!$T$16),AV!$P$16*((AV!$S$16-RASANTE!F172)/(AV!$N$16))^2,IF(AND(AV!$T$16&lt;RASANTE!F172,F172&lt;AV!$U$16),AV!$P$16*((AV!$U$16-RASANTE!F172)/(AV!$O$16))^2,IF(AND(AV!$S$18&lt;F172,F172&lt;=AV!$T$18),AV!$P$18*((AV!$S$18-RASANTE!F172)/(AV!$N$18))^2,IF(AND(AV!$T$18&lt;RASANTE!F172,F172&lt;AV!$U$18),AV!$P$18*((AV!$U$18-RASANTE!F172)/(AV!$O$18))^2,IF(AND(AV!$S$20&lt;F172,F172&lt;=AV!$T$20),AV!$P$20*((AV!$S$20-RASANTE!F172)/(AV!$N$20))^2,IF(AND(AV!$T$20&lt;RASANTE!F172,F172&lt;AV!$U$20),AV!$P$20*((AV!$U$20-RASANTE!F172)/(AV!$O$20))^2,IF(AND(AV!$S$22&lt;F172,F172&lt;=AV!$T$22),AV!$P$22*((AV!$S$22-RASANTE!F172)/(AV!$N$22))^2,IF(AND(AV!$T$22&lt;RASANTE!F172,F172&lt;AV!$U$22),AV!$P$22*((AV!$U$22-RASANTE!F172)/(AV!$O$22))^2,IF(AND(AV!$S$24&lt;F172,F172&lt;=AV!$T$24),AV!$P$24*((AV!$S$24-RASANTE!F172)/(AV!$N$24))^2,IF(AND(AV!$T$24&lt;RASANTE!F172,F172&lt;AV!$U$24),AV!$P$24*((AV!$U$24-RASANTE!F172)/(AV!$O$24))^2,0))))))))))))))))))))</f>
        <v>0.89220028124999984</v>
      </c>
      <c r="L172" s="28">
        <f>+M172+H172%*PERALTE!$C$32</f>
        <v>1612.403338318843</v>
      </c>
      <c r="M172" s="28">
        <f t="shared" si="7"/>
        <v>1612.4733383188429</v>
      </c>
      <c r="N172" s="28">
        <f>+M172+I172%*PERALTE!$C$32</f>
        <v>1612.403338318843</v>
      </c>
      <c r="O172" s="92"/>
      <c r="P172" s="84"/>
      <c r="Q172" s="84"/>
      <c r="R172" s="84"/>
      <c r="S172" s="84"/>
      <c r="T172" s="84"/>
      <c r="U172" s="84"/>
      <c r="V172" s="84"/>
      <c r="W172" s="84"/>
      <c r="X172" s="84"/>
      <c r="Y172" s="84"/>
    </row>
    <row r="173" spans="1:25" ht="15.75" customHeight="1" x14ac:dyDescent="0.2">
      <c r="A173" s="205"/>
      <c r="B173" s="100"/>
      <c r="C173" s="100"/>
      <c r="D173" s="100"/>
      <c r="E173" s="91"/>
      <c r="F173" s="34">
        <v>1090</v>
      </c>
      <c r="G173" s="88">
        <f>IF(F173&lt;=AV!$T$6,AV!$C$5,IF(RASANTE!F173&lt;=AV!$T$8,AV!$C$7,IF(RASANTE!F173&lt;=AV!$T$10,AV!$C$9,IF(RASANTE!F173&lt;=AV!$T$12,AV!$C$11,IF(RASANTE!F173&lt;=AV!$T$14,AV!$C$13,IF(RASANTE!F173&lt;=AV!$T$16,AV!$C$15, IF(RASANTE!F173&lt;=AV!$T$18,AV!$C$17,IF(RASANTE!F173&lt;=AV!$T$20,AV!$C$19,IF(RASANTE!F173&lt;=AV!$T$22,AV!$C$21,IF(RASANTE!F173&lt;=AV!$T$24,AV!$C$23,AV!$C$25))))))))))</f>
        <v>8.1999999999999993</v>
      </c>
      <c r="H173" s="28">
        <f>+IF(AND(AH!$H$8="Izquierda",RASANTE!F173&lt;=PERALTE!$AB$6),IF(RASANTE!F173&lt;=PERALTE!$S$6,-2,IF(RASANTE!F173&lt;=PERALTE!$U$6,(-6/(PERALTE!$U$6-PERALTE!$S$6)*(RASANTE!F173-PERALTE!$S$6)-2),IF(RASANTE!F173&lt;=PERALTE!$X$6,-8,IF(RASANTE!F173&lt;=PERALTE!$Z$6,(-6/(PERALTE!$X$6-PERALTE!$Z$6)*(RASANTE!F173-PERALTE!$Z$6)-2),IF(RASANTE!F173&lt;=PERALTE!$AB$6,-2))))),IF(AND(AH!$H$8="Derecha",RASANTE!F173&lt;=PERALTE!$AB$6),IF(RASANTE!F173&lt;=PERALTE!$Q$6,-2,IF(RASANTE!F173&lt;=PERALTE!$U$6,(10/(PERALTE!$U$6-PERALTE!$Q$6)*(RASANTE!F173-PERALTE!$Q$6)-2),IF(RASANTE!F173&lt;=PERALTE!$X$6,8,IF(RASANTE!F173&lt;=PERALTE!$AB$6,(10/(PERALTE!$X$6-PERALTE!$AB$6)*(RASANTE!F173-PERALTE!$AB$6)-2))))),IF(AND(AH!$H$10="Izquierda",RASANTE!F173&lt;=PERALTE!$AB$8),IF(RASANTE!F173&lt;=PERALTE!$S$8,-2,IF(RASANTE!F173&lt;=PERALTE!$U$8,(-6/(PERALTE!$U$8-PERALTE!$S$8)*(RASANTE!F173-PERALTE!$S$8)-2),IF(RASANTE!F173&lt;=PERALTE!$X$8,-8,IF(RASANTE!F173&lt;=PERALTE!$Z$8,(-6/(PERALTE!$X$8-PERALTE!$Z$8)*(RASANTE!F173-PERALTE!$Z$8)-2),IF(RASANTE!F173&lt;=PERALTE!$AB$8,-2))))),IF(AND(AH!$H$10="Derecha",RASANTE!F173&lt;=PERALTE!$AB$8),IF(RASANTE!F173&lt;=PERALTE!$Q$8,-2,IF(RASANTE!F173&lt;=PERALTE!$U$8,(10/(PERALTE!$U$8-PERALTE!$Q$8)*(RASANTE!F173-PERALTE!$Q$8)-2),IF(RASANTE!F173&lt;=PERALTE!$X$8,8,IF(RASANTE!F173&lt;=PERALTE!$AB$8,(10/(PERALTE!$X$8-PERALTE!$AB$8)*(RASANTE!F173-PERALTE!$AB$8)-2))))),IF(AND(AH!$H$12="Izquierda",RASANTE!F173&lt;=PERALTE!$AB$10),IF(RASANTE!F173&lt;=PERALTE!$S$10,-2,IF(RASANTE!F173&lt;=PERALTE!$U$10,(-6/(PERALTE!$U$10-PERALTE!$S$10)*(RASANTE!F173-PERALTE!$S$10)-2),IF(RASANTE!F173&lt;=PERALTE!$X$10,-8,IF(RASANTE!F173&lt;=PERALTE!$Z$10,(-6/(PERALTE!$X$10-PERALTE!$Z$10)*(RASANTE!F173-PERALTE!$Z$10)-2),IF(RASANTE!F173&lt;=PERALTE!$AB$10,-2))))),IF(AND(AH!$H$12="Derecha",RASANTE!F173&lt;=PERALTE!$AB$10),IF(RASANTE!F173&lt;=PERALTE!$Q$10,-2,IF(RASANTE!F173&lt;=PERALTE!$U$10,(10/(PERALTE!$U$10-PERALTE!$Q$10)*(RASANTE!F173-PERALTE!$Q$10)-2),IF(RASANTE!F173&lt;=PERALTE!$X$10,8,IF(RASANTE!F173&lt;=PERALTE!$AB$10,(10/(PERALTE!$X$10-PERALTE!$AB$10)*(RASANTE!F173-PERALTE!$AB$10)-2))))),IF(AND(AH!$H$14="Izquierda",RASANTE!F173&lt;=PERALTE!$AB$12),IF(RASANTE!F173&lt;=PERALTE!$S$12,-2,IF(RASANTE!F173&lt;=PERALTE!$U$12,(-6/(PERALTE!$U$12-PERALTE!$S$12)*(RASANTE!F173-PERALTE!$S$12)-2),IF(RASANTE!F173&lt;=PERALTE!$X$12,-8,IF(RASANTE!F173&lt;=PERALTE!$Z$12,(-6/(PERALTE!$X$12-PERALTE!$Z$12)*(RASANTE!F173-PERALTE!$Z$12)-2),IF(RASANTE!F173&lt;=PERALTE!$AB$12,-2))))),IF(AND(AH!$H$14="Derecha",RASANTE!F173&lt;=PERALTE!$AB$12),IF(RASANTE!F173&lt;=PERALTE!$Q$12,-2,IF(RASANTE!F173&lt;=PERALTE!$U$12,(10/(PERALTE!$U$12-PERALTE!$Q$12)*(RASANTE!F173-PERALTE!$Q$12)-2),IF(RASANTE!F173&lt;=PERALTE!$X$12,8,IF(RASANTE!F173&lt;=PERALTE!$AB$12,(10/(PERALTE!$X$12-PERALTE!$AB$12)*(RASANTE!F173-PERALTE!$AB$12)-2))))),IF(AND(AH!$H$16="Izquierda",RASANTE!F173&lt;=PERALTE!$AB$14),IF(RASANTE!F173&lt;=PERALTE!$S$14,-2,IF(RASANTE!F173&lt;=PERALTE!$U$14,(-6/(PERALTE!$U$14-PERALTE!$S$14)*(RASANTE!F173-PERALTE!$S$14)-2),IF(RASANTE!F173&lt;=PERALTE!$X$14,-8,IF(RASANTE!F173&lt;=PERALTE!$Z$14,(-6/(PERALTE!$X$14-PERALTE!$Z$14)*(RASANTE!F173-PERALTE!$Z$14)-2),IF(RASANTE!F173&lt;=PERALTE!$AB$14,-2))))),IF(AND(AH!$H$16="Derecha",RASANTE!F173&lt;=PERALTE!$AB$14),IF(RASANTE!F173&lt;=PERALTE!$Q$14,-2,IF(RASANTE!F173&lt;=PERALTE!$U$14,(10/(PERALTE!$U$14-PERALTE!$Q$14)*(RASANTE!F173-PERALTE!$Q$14)-2),IF(RASANTE!F173&lt;=PERALTE!$X$14,8,IF(RASANTE!F173&lt;=PERALTE!$AB$14,(10/(PERALTE!$X$14-PERALTE!$AB$14)*(RASANTE!F173-PERALTE!$AB$14)-2))))),IF(AND(AH!$H$18="Izquierda",RASANTE!F173&lt;=PERALTE!$AB$16),IF(RASANTE!F173&lt;=PERALTE!$S$16,-2,IF(RASANTE!F173&lt;=PERALTE!$U$16,(-6/(PERALTE!$U$16-PERALTE!$S$16)*(RASANTE!F173-PERALTE!$S$16)-2),IF(RASANTE!F173&lt;=PERALTE!$X$16,-8,IF(RASANTE!F173&lt;=PERALTE!$Z$16,(-6/(PERALTE!$X$16-PERALTE!$Z$16)*(RASANTE!F173-PERALTE!$Z$16)-2),IF(RASANTE!F173&lt;=PERALTE!$AB$16,-2))))),IF(AND(AH!$H$18="Derecha",RASANTE!F173&lt;=PERALTE!$AB$16),IF(RASANTE!F173&lt;=PERALTE!$Q$16,-2,IF(RASANTE!F173&lt;=PERALTE!$U$16,(10/(PERALTE!$U$16-PERALTE!$Q$16)*(RASANTE!F173-PERALTE!$Q$16)-2),IF(RASANTE!F173&lt;=PERALTE!$X$16,8,IF(RASANTE!F173&lt;=PERALTE!$AB$16,(10/(PERALTE!$X$16-PERALTE!$AB$16)*(RASANTE!F173-PERALTE!$AB$16)-2))))),IF(AND(AH!$H$20="Izquierda",RASANTE!F173&lt;=PERALTE!$AB$18),IF(RASANTE!F173&lt;=PERALTE!$S$18,-2,IF(RASANTE!F173&lt;=PERALTE!$U$18,(-6/(PERALTE!$U$18-PERALTE!$S$18)*(RASANTE!F173-PERALTE!$S$18)-2),IF(RASANTE!F173&lt;=PERALTE!$X$18,-8,IF(RASANTE!F173&lt;=PERALTE!$Z$18,(-6/(PERALTE!$X$18-PERALTE!$Z$18)*(RASANTE!F173-PERALTE!$Z$18)-2),IF(RASANTE!F173&lt;=PERALTE!$AB$18,-2))))),IF(AND(AH!$H$20="Derecha",RASANTE!F173&lt;=PERALTE!$AB$18),IF(RASANTE!F173&lt;=PERALTE!$Q$18,-2,IF(RASANTE!F173&lt;=PERALTE!$U$18,(10/(PERALTE!$U$18-PERALTE!$Q$18)*(RASANTE!F173-PERALTE!$Q$18)-2),IF(RASANTE!F173&lt;=PERALTE!$X$18,8,IF(RASANTE!F173&lt;=PERALTE!$AB$18,(10/(PERALTE!$X$18-PERALTE!$AB$18)*(RASANTE!F173-PERALTE!$AB$18)-2))))),IF(AND(AH!$H$24="Izquierda",RASANTE!F173&lt;=PERALTE!$AB$22),IF(RASANTE!F173&lt;=PERALTE!$S$22,-2,IF(RASANTE!F173&lt;=PERALTE!$U$22,(-6/(PERALTE!$U$22-PERALTE!$S$22)*(RASANTE!F173-PERALTE!$S$22)-2),IF(RASANTE!F173&lt;=PERALTE!$X$22,-8,IF(RASANTE!F173&lt;=PERALTE!$Z$22,(-6/(PERALTE!$X$22-PERALTE!$Z$22)*(RASANTE!F173-PERALTE!$Z$22)-2),IF(RASANTE!F173&lt;=PERALTE!$AB$22,-2))))),IF(AND(AH!$H$24="Derecha",RASANTE!F173&lt;=PERALTE!$AB$22),IF(RASANTE!F173&lt;=PERALTE!$Q$22,-2,IF(RASANTE!F173&lt;=PERALTE!$U$22,(10/(PERALTE!$U$22-PERALTE!$Q$22)*(RASANTE!F173-PERALTE!$Q$22)-2),IF(RASANTE!F173&lt;=PERALTE!$X$22,8,IF(RASANTE!F173&lt;=PERALTE!$AB$22,(10/(PERALTE!$X$22-PERALTE!$AB$22)*(RASANTE!F173-PERALTE!$AB$22)-2))))),IF(AND(AH!#REF!="Izquierda",RASANTE!F173&lt;=PERALTE!#REF!),IF(RASANTE!F173&lt;=PERALTE!#REF!,-2,IF(RASANTE!F173&lt;=PERALTE!#REF!,(-6/(PERALTE!#REF!-PERALTE!#REF!)*(RASANTE!F173-PERALTE!#REF!)-2),IF(RASANTE!F173&lt;=PERALTE!#REF!,-8,IF(RASANTE!F173&lt;=PERALTE!#REF!,(-6/(PERALTE!#REF!-PERALTE!#REF!)*(RASANTE!F173-PERALTE!#REF!)-2),IF(RASANTE!F173&lt;=PERALTE!#REF!,-2))))),IF(AND(AH!#REF!="Derecha",RASANTE!F173&lt;=PERALTE!#REF!),IF(RASANTE!F173&lt;=PERALTE!#REF!,-2,IF(RASANTE!F173&lt;=PERALTE!#REF!,(10/(PERALTE!#REF!-PERALTE!#REF!)*(RASANTE!F173-PERALTE!#REF!)-2),IF(RASANTE!F173&lt;=PERALTE!#REF!,8,IF(RASANTE!F173&lt;=PERALTE!#REF!,(10/(PERALTE!#REF!-PERALTE!#REF!)*(RASANTE!F173-PERALTE!#REF!)-2))))),IF(AND(AH!#REF!="Izquierda",RASANTE!F173&lt;=PERALTE!$AB$26),IF(RASANTE!F173&lt;=PERALTE!$S$26,-2,IF(RASANTE!F173&lt;=PERALTE!$U$26,(-6/(PERALTE!$U$26-PERALTE!$S$26)*(RASANTE!F173-PERALTE!$S$26)-2),IF(RASANTE!F173&lt;=PERALTE!$X$26,-8,IF(RASANTE!F173&lt;=PERALTE!$Z$26,(-6/(PERALTE!$X$26-PERALTE!$Z$26)*(RASANTE!F173-PERALTE!$Z$26)-2),IF(RASANTE!F173&lt;=PERALTE!$AB$26,-2))))),IF(AND(AH!#REF!="Derecha",RASANTE!F173&lt;=PERALTE!$AB$26),IF(RASANTE!F173&lt;=PERALTE!$Q$26,-2,IF(RASANTE!F173&lt;=PERALTE!$U$26,(10/(PERALTE!$U$26-PERALTE!$Q$26)*(RASANTE!F173-PERALTE!$Q$26)-2),IF(RASANTE!F173&lt;=PERALTE!$X$26,8,IF(RASANTE!F173&lt;=PERALTE!$AB$26,(10/(PERALTE!$X$26-PERALTE!$AB$26)*(RASANTE!F173-PERALTE!$AB$26)-2))))),IF(F173&lt;=PERALTE!#REF!,-2,"Abscisa fuera de la vía")))))))))))))))))))))</f>
        <v>-2</v>
      </c>
      <c r="I173" s="28">
        <f>+IF(AND(AH!$H$8="Derecha",RASANTE!F173&lt;=PERALTE!$AB$6),IF(RASANTE!F173&lt;=PERALTE!$S$6,-2,IF(RASANTE!F173&lt;=PERALTE!$U$6,(-6/(PERALTE!$U$6-PERALTE!$S$6)*(RASANTE!F173-PERALTE!$S$6)-2),IF(RASANTE!F173&lt;=PERALTE!$X$6,-8,IF(RASANTE!F173&lt;=PERALTE!$Z$6,(-6/(PERALTE!$X$6-PERALTE!$Z$6)*(RASANTE!F173-PERALTE!$Z$6)-2),IF(RASANTE!F173&lt;=PERALTE!$AB$6,-2))))),IF(AND(AH!$H$8="Izquierda",RASANTE!F173&lt;=PERALTE!$AB$6),IF(RASANTE!F173&lt;=PERALTE!$Q$6,-2,IF(RASANTE!F173&lt;=PERALTE!$U$6,(10/(PERALTE!$U$6-PERALTE!$Q$6)*(RASANTE!F173-PERALTE!$Q$6)-2),IF(RASANTE!F173&lt;=PERALTE!$X$6,8,IF(RASANTE!F173&lt;=PERALTE!$AB$6,(10/(PERALTE!$X$6-PERALTE!$AB$6)*(RASANTE!F173-PERALTE!$AB$6)-2))))),IF(AND(AH!$H$10="Derecha",RASANTE!F173&lt;=PERALTE!$AB$8),IF(RASANTE!F173&lt;=PERALTE!$S$8,-2,IF(RASANTE!F173&lt;=PERALTE!$U$8,(-6/(PERALTE!$U$8-PERALTE!$S$8)*(RASANTE!F173-PERALTE!$S$8)-2),IF(RASANTE!F173&lt;=PERALTE!$X$8,-8,IF(RASANTE!F173&lt;=PERALTE!$Z$8,(-6/(PERALTE!$X$8-PERALTE!$Z$8)*(RASANTE!F173-PERALTE!$Z$8)-2),IF(RASANTE!F173&lt;=PERALTE!$AB$8,-2))))),IF(AND(AH!$H$10="Izquierda",RASANTE!F173&lt;=PERALTE!$AB$8),IF(RASANTE!F173&lt;=PERALTE!$Q$8,-2,IF(RASANTE!F173&lt;=PERALTE!$U$8,(10/(PERALTE!$U$8-PERALTE!$Q$8)*(RASANTE!F173-PERALTE!$Q$8)-2),IF(RASANTE!F173&lt;=PERALTE!$X$8,8,IF(RASANTE!F173&lt;=PERALTE!$AB$8,(10/(PERALTE!$X$8-PERALTE!$AB$8)*(RASANTE!F173-PERALTE!$AB$8)-2))))),IF(AND(AH!$H$12="Derecha",RASANTE!F173&lt;=PERALTE!$AB$10),IF(RASANTE!F173&lt;=PERALTE!$S$10,-2,IF(RASANTE!F173&lt;=PERALTE!$U$10,(-6/(PERALTE!$U$10-PERALTE!$S$10)*(RASANTE!F173-PERALTE!$S$10)-2),IF(RASANTE!F173&lt;=PERALTE!$X$10,-8,IF(RASANTE!F173&lt;=PERALTE!$Z$10,(-6/(PERALTE!$X$10-PERALTE!$Z$10)*(RASANTE!F173-PERALTE!$Z$10)-2),IF(RASANTE!F173&lt;=PERALTE!$AB$10,-2))))),IF(AND(AH!$H$12="Izquierda",RASANTE!F173&lt;=PERALTE!$AB$10),IF(RASANTE!F173&lt;=PERALTE!$Q$10,-2,IF(RASANTE!F173&lt;=PERALTE!$U$10,(10/(PERALTE!$U$10-PERALTE!$Q$10)*(RASANTE!F173-PERALTE!$Q$10)-2),IF(RASANTE!F173&lt;=PERALTE!$X$10,8,IF(RASANTE!F173&lt;=PERALTE!$AB$10,(10/(PERALTE!$X$10-PERALTE!$AB$10)*(RASANTE!F173-PERALTE!$AB$10)-2))))),IF(AND(AH!$H$14="Derecha",RASANTE!F173&lt;=PERALTE!$AB$12),IF(RASANTE!F173&lt;=PERALTE!$S$12,-2,IF(RASANTE!F173&lt;=PERALTE!$U$12,(-6/(PERALTE!$U$12-PERALTE!$S$12)*(RASANTE!F173-PERALTE!$S$12)-2),IF(RASANTE!F173&lt;=PERALTE!$X$12,-8,IF(RASANTE!F173&lt;=PERALTE!$Z$12,(-6/(PERALTE!$X$12-PERALTE!$Z$12)*(RASANTE!F173-PERALTE!$Z$12)-2),IF(RASANTE!F173&lt;=PERALTE!$AB$12,-2))))),IF(AND(AH!$H$14="Izquierda",RASANTE!F173&lt;=PERALTE!$AB$12),IF(RASANTE!F173&lt;=PERALTE!$Q$12,-2,IF(RASANTE!F173&lt;=PERALTE!$U$12,(10/(PERALTE!$U$12-PERALTE!$Q$12)*(RASANTE!F173-PERALTE!$Q$12)-2),IF(RASANTE!F173&lt;=PERALTE!$X$12,8,IF(RASANTE!F173&lt;=PERALTE!$AB$12,(10/(PERALTE!$X$12-PERALTE!$AB$12)*(RASANTE!F173-PERALTE!$AB$12)-2))))),IF(AND(AH!$H$16="Derecha",RASANTE!F173&lt;=PERALTE!$AB$14),IF(RASANTE!F173&lt;=PERALTE!$S$14,-2,IF(RASANTE!F173&lt;=PERALTE!$U$14,(-6/(PERALTE!$U$14-PERALTE!$S$14)*(RASANTE!F173-PERALTE!$S$14)-2),IF(RASANTE!F173&lt;=PERALTE!$X$14,-8,IF(RASANTE!F173&lt;=PERALTE!$Z$14,(-6/(PERALTE!$X$14-PERALTE!$Z$14)*(RASANTE!F173-PERALTE!$Z$14)-2),IF(RASANTE!F173&lt;=PERALTE!$AB$14,-2))))),IF(AND(AH!$H$16="Izquierda",RASANTE!F173&lt;=PERALTE!$AB$14),IF(RASANTE!F173&lt;=PERALTE!$Q$14,-2,IF(RASANTE!F173&lt;=PERALTE!$U$14,(10/(PERALTE!$U$14-PERALTE!$Q$14)*(RASANTE!F173-PERALTE!$Q$14)-2),IF(RASANTE!F173&lt;=PERALTE!$X$14,8,IF(RASANTE!F173&lt;=PERALTE!$AB$14,(10/(PERALTE!$X$14-PERALTE!$AB$14)*(RASANTE!F173-PERALTE!$AB$14)-2))))),IF(AND(AH!$H$18="Derecha",RASANTE!F173&lt;=PERALTE!$AB$16),IF(RASANTE!F173&lt;=PERALTE!$S$16,-2,IF(RASANTE!F173&lt;=PERALTE!$U$16,(-6/(PERALTE!$U$16-PERALTE!$S$16)*(RASANTE!F173-PERALTE!$S$16)-2),IF(RASANTE!F173&lt;=PERALTE!$X$16,-8,IF(RASANTE!F173&lt;=PERALTE!$Z$16,(-6/(PERALTE!$X$16-PERALTE!$Z$16)*(RASANTE!F173-PERALTE!$Z$16)-2),IF(RASANTE!F173&lt;=PERALTE!$AB$16,-2))))),IF(AND(AH!$H$18="Izquierda",RASANTE!F173&lt;=PERALTE!$AB$16),IF(RASANTE!F173&lt;=PERALTE!$Q$16,-2,IF(RASANTE!F173&lt;=PERALTE!$U$16,(10/(PERALTE!$U$16-PERALTE!$Q$16)*(RASANTE!F173-PERALTE!$Q$16)-2),IF(RASANTE!F173&lt;=PERALTE!$X$16,8,IF(RASANTE!F173&lt;=PERALTE!$AB$16,(10/(PERALTE!$X$16-PERALTE!$AB$16)*(RASANTE!F173-PERALTE!$AB$16)-2))))),IF(AND(AH!$H$20="Derecha",RASANTE!F173&lt;=PERALTE!$AB$18),IF(RASANTE!F173&lt;=PERALTE!$S$18,-2,IF(RASANTE!F173&lt;=PERALTE!$U$18,(-6/(PERALTE!$U$18-PERALTE!$S$18)*(RASANTE!F173-PERALTE!$S$18)-2),IF(RASANTE!F173&lt;=PERALTE!$X$18,-8,IF(RASANTE!F173&lt;=PERALTE!$Z$18,(-6/(PERALTE!$X$18-PERALTE!$Z$18)*(RASANTE!F173-PERALTE!$Z$18)-2),IF(RASANTE!F173&lt;=PERALTE!$AB$18,-2))))),IF(AND(AH!$H$20="Izquierda",RASANTE!F173&lt;=PERALTE!$AB$18),IF(RASANTE!F173&lt;=PERALTE!$Q$18,-2,IF(RASANTE!F173&lt;=PERALTE!$U$18,(10/(PERALTE!$U$18-PERALTE!$Q$18)*(RASANTE!F173-PERALTE!$Q$18)-2),IF(RASANTE!F173&lt;=PERALTE!$X$18,8,IF(RASANTE!F173&lt;=PERALTE!$AB$18,(10/(PERALTE!$X$18-PERALTE!$AB$18)*(RASANTE!F173-PERALTE!$AB$18)-2))))),IF(AND(AH!$H$24="Derecha",RASANTE!F173&lt;=PERALTE!$AB$22),IF(RASANTE!F173&lt;=PERALTE!$S$22,-2,IF(RASANTE!F173&lt;=PERALTE!$U$22,(-6/(PERALTE!$U$22-PERALTE!$S$22)*(RASANTE!F173-PERALTE!$S$22)-2),IF(RASANTE!F173&lt;=PERALTE!$X$22,-8,IF(RASANTE!F173&lt;=PERALTE!$Z$22,(-6/(PERALTE!$X$22-PERALTE!$Z$22)*(RASANTE!F173-PERALTE!$Z$22)-2),IF(RASANTE!F173&lt;=PERALTE!$AB$22,-2))))),IF(AND(AH!$H$24="Izquierda",RASANTE!F173&lt;=PERALTE!$AB$22),IF(RASANTE!F173&lt;=PERALTE!$Q$22,-2,IF(RASANTE!F173&lt;=PERALTE!$U$22,(10/(PERALTE!$U$22-PERALTE!$Q$22)*(RASANTE!F173-PERALTE!$Q$22)-2),IF(RASANTE!F173&lt;=PERALTE!$X$22,8,IF(RASANTE!F173&lt;=PERALTE!$AB$22,(10/(PERALTE!$X$22-PERALTE!$AB$22)*(RASANTE!F173-PERALTE!$AB$22)-2))))),IF(AND(AH!#REF!="Derecha",RASANTE!F173&lt;=PERALTE!#REF!),IF(RASANTE!F173&lt;=PERALTE!#REF!,-2,IF(RASANTE!F173&lt;=PERALTE!#REF!,(-6/(PERALTE!#REF!-PERALTE!#REF!)*(RASANTE!F173-PERALTE!#REF!)-2),IF(RASANTE!F173&lt;=PERALTE!#REF!,-8,IF(RASANTE!F173&lt;=PERALTE!#REF!,(-6/(PERALTE!#REF!-PERALTE!#REF!)*(RASANTE!F173-PERALTE!#REF!)-2),IF(RASANTE!F173&lt;=PERALTE!#REF!,-2))))),IF(AND(AH!#REF!="Izquierda",RASANTE!F173&lt;=PERALTE!#REF!),IF(RASANTE!F173&lt;=PERALTE!#REF!,-2,IF(RASANTE!F173&lt;=PERALTE!#REF!,(10/(PERALTE!#REF!-PERALTE!#REF!)*(RASANTE!F173-PERALTE!#REF!)-2),IF(RASANTE!F173&lt;=PERALTE!#REF!,8,IF(RASANTE!F173&lt;=PERALTE!#REF!,(10/(PERALTE!#REF!-PERALTE!#REF!)*(RASANTE!F173-PERALTE!#REF!)-2))))),IF(AND(AH!#REF!="Derecha",RASANTE!F173&lt;=PERALTE!$AB$26),IF(RASANTE!F173&lt;=PERALTE!$S$26,-2,IF(RASANTE!F173&lt;=PERALTE!$U$26,(-6/(PERALTE!$U$26-PERALTE!$S$26)*(RASANTE!F173-PERALTE!$S$26)-2),IF(RASANTE!F173&lt;=PERALTE!$X$26,-8,IF(RASANTE!F173&lt;=PERALTE!$Z$26,(-6/(PERALTE!$X$26-PERALTE!$Z$26)*(RASANTE!F173-PERALTE!$Z$26)-2),IF(RASANTE!F173&lt;=PERALTE!$AB$26,-2))))),IF(AND(AH!#REF!="Izquierda",RASANTE!F173&lt;=PERALTE!$AB$26),IF(RASANTE!F173&lt;=PERALTE!$Q$26,-2,IF(RASANTE!F173&lt;=PERALTE!$U$26,(10/(PERALTE!$U$26-PERALTE!$Q$26)*(RASANTE!F173-PERALTE!$Q$26)-2),IF(RASANTE!F173&lt;=PERALTE!$X$26,8,IF(RASANTE!F173&lt;=PERALTE!$AB$26,(10/(PERALTE!$X$26-PERALTE!$AB$26)*(RASANTE!F173-PERALTE!$AB$26)-2))))),IF(F173&lt;=PERALTE!#REF!,-2,"Abscisa fuera de la vía")))))))))))))))))))))</f>
        <v>-2</v>
      </c>
      <c r="J173" s="28">
        <f t="shared" si="6"/>
        <v>1612.4011380375928</v>
      </c>
      <c r="K173" s="28">
        <f>+IF(AND(AV!$S$6&lt;F173,F173&lt;=AV!$T$6),AV!$P$6*((AV!$S$6-RASANTE!F173)/(AV!$N$6))^2,IF(AND(AV!$T$6&lt;RASANTE!F173,F173&lt;AV!$U$6),AV!$P$6*((AV!$U$6-RASANTE!F173)/(AV!$O$6))^2,IF(AND(AV!$S$8&lt;F173,F173&lt;=AV!$T$8),AV!$P$8*((AV!$S$8-RASANTE!F173)/(AV!$N$8))^2,IF(AND(AV!$T$8&lt;RASANTE!F173,F173&lt;AV!$U$8),AV!$P$8*((AV!$U$8-RASANTE!F173)/(AV!$O$8))^2,IF(AND(AV!$S$10&lt;F173,F173&lt;=AV!$T$10),AV!$P$10*((AV!$S$10-RASANTE!F173)/(AV!$N$10))^2,IF(AND(AV!$T$10&lt;RASANTE!F173,F173&lt;AV!$U$10),AV!$P$10*((AV!$U$10-RASANTE!F173)/(AV!$O$10))^2,IF(AND(AV!$S$12&lt;F173,F173&lt;=AV!$T$12),AV!$P$12*((AV!$S$12-RASANTE!F173)/(AV!$N$12))^2,IF(AND(AV!$T$12&lt;RASANTE!F173,F173&lt;AV!$U$12),AV!$P$12*((AV!$U$12-RASANTE!F173)/(AV!$O$12))^2,IF(AND(AV!$S$14&lt;F173,F173&lt;=AV!$T$14),AV!$P$14*((AV!$S$14-RASANTE!F173)/(AV!$N$14))^2,IF(AND(AV!$T$14&lt;RASANTE!F173,F173&lt;AV!$U$14),AV!$P$14*((AV!$U$14-RASANTE!F173)/(AV!$O$14))^2,IF(AND(AV!$S$16&lt;F173,F173&lt;=AV!$T$16),AV!$P$16*((AV!$S$16-RASANTE!F173)/(AV!$N$16))^2,IF(AND(AV!$T$16&lt;RASANTE!F173,F173&lt;AV!$U$16),AV!$P$16*((AV!$U$16-RASANTE!F173)/(AV!$O$16))^2,IF(AND(AV!$S$18&lt;F173,F173&lt;=AV!$T$18),AV!$P$18*((AV!$S$18-RASANTE!F173)/(AV!$N$18))^2,IF(AND(AV!$T$18&lt;RASANTE!F173,F173&lt;AV!$U$18),AV!$P$18*((AV!$U$18-RASANTE!F173)/(AV!$O$18))^2,IF(AND(AV!$S$20&lt;F173,F173&lt;=AV!$T$20),AV!$P$20*((AV!$S$20-RASANTE!F173)/(AV!$N$20))^2,IF(AND(AV!$T$20&lt;RASANTE!F173,F173&lt;AV!$U$20),AV!$P$20*((AV!$U$20-RASANTE!F173)/(AV!$O$20))^2,IF(AND(AV!$S$22&lt;F173,F173&lt;=AV!$T$22),AV!$P$22*((AV!$S$22-RASANTE!F173)/(AV!$N$22))^2,IF(AND(AV!$T$22&lt;RASANTE!F173,F173&lt;AV!$U$22),AV!$P$22*((AV!$U$22-RASANTE!F173)/(AV!$O$22))^2,IF(AND(AV!$S$24&lt;F173,F173&lt;=AV!$T$24),AV!$P$24*((AV!$S$24-RASANTE!F173)/(AV!$N$24))^2,IF(AND(AV!$T$24&lt;RASANTE!F173,F173&lt;AV!$U$24),AV!$P$24*((AV!$U$24-RASANTE!F173)/(AV!$O$24))^2,0))))))))))))))))))))</f>
        <v>0.52547653124999982</v>
      </c>
      <c r="L173" s="28">
        <f>+M173+H173%*PERALTE!$C$32</f>
        <v>1612.8566145688428</v>
      </c>
      <c r="M173" s="28">
        <f t="shared" si="7"/>
        <v>1612.9266145688428</v>
      </c>
      <c r="N173" s="28">
        <f>+M173+I173%*PERALTE!$C$32</f>
        <v>1612.8566145688428</v>
      </c>
      <c r="O173" s="92"/>
      <c r="P173" s="84"/>
      <c r="Q173" s="84"/>
      <c r="R173" s="84"/>
      <c r="S173" s="84"/>
      <c r="T173" s="84"/>
      <c r="U173" s="84"/>
      <c r="V173" s="84"/>
      <c r="W173" s="84"/>
      <c r="X173" s="84"/>
      <c r="Y173" s="84"/>
    </row>
    <row r="174" spans="1:25" ht="15.75" customHeight="1" x14ac:dyDescent="0.2">
      <c r="A174" s="90"/>
      <c r="B174" s="101"/>
      <c r="C174" s="101"/>
      <c r="D174" s="101"/>
      <c r="E174" s="91"/>
      <c r="F174" s="34">
        <v>1100</v>
      </c>
      <c r="G174" s="88">
        <f>IF(F174&lt;=AV!$T$6,AV!$C$5,IF(RASANTE!F174&lt;=AV!$T$8,AV!$C$7,IF(RASANTE!F174&lt;=AV!$T$10,AV!$C$9,IF(RASANTE!F174&lt;=AV!$T$12,AV!$C$11,IF(RASANTE!F174&lt;=AV!$T$14,AV!$C$13,IF(RASANTE!F174&lt;=AV!$T$16,AV!$C$15, IF(RASANTE!F174&lt;=AV!$T$18,AV!$C$17,IF(RASANTE!F174&lt;=AV!$T$20,AV!$C$19,IF(RASANTE!F174&lt;=AV!$T$22,AV!$C$21,IF(RASANTE!F174&lt;=AV!$T$24,AV!$C$23,AV!$C$25))))))))))</f>
        <v>8.1999999999999993</v>
      </c>
      <c r="H174" s="28">
        <f>+IF(AND(AH!$H$8="Izquierda",RASANTE!F174&lt;=PERALTE!$AB$6),IF(RASANTE!F174&lt;=PERALTE!$S$6,-2,IF(RASANTE!F174&lt;=PERALTE!$U$6,(-6/(PERALTE!$U$6-PERALTE!$S$6)*(RASANTE!F174-PERALTE!$S$6)-2),IF(RASANTE!F174&lt;=PERALTE!$X$6,-8,IF(RASANTE!F174&lt;=PERALTE!$Z$6,(-6/(PERALTE!$X$6-PERALTE!$Z$6)*(RASANTE!F174-PERALTE!$Z$6)-2),IF(RASANTE!F174&lt;=PERALTE!$AB$6,-2))))),IF(AND(AH!$H$8="Derecha",RASANTE!F174&lt;=PERALTE!$AB$6),IF(RASANTE!F174&lt;=PERALTE!$Q$6,-2,IF(RASANTE!F174&lt;=PERALTE!$U$6,(10/(PERALTE!$U$6-PERALTE!$Q$6)*(RASANTE!F174-PERALTE!$Q$6)-2),IF(RASANTE!F174&lt;=PERALTE!$X$6,8,IF(RASANTE!F174&lt;=PERALTE!$AB$6,(10/(PERALTE!$X$6-PERALTE!$AB$6)*(RASANTE!F174-PERALTE!$AB$6)-2))))),IF(AND(AH!$H$10="Izquierda",RASANTE!F174&lt;=PERALTE!$AB$8),IF(RASANTE!F174&lt;=PERALTE!$S$8,-2,IF(RASANTE!F174&lt;=PERALTE!$U$8,(-6/(PERALTE!$U$8-PERALTE!$S$8)*(RASANTE!F174-PERALTE!$S$8)-2),IF(RASANTE!F174&lt;=PERALTE!$X$8,-8,IF(RASANTE!F174&lt;=PERALTE!$Z$8,(-6/(PERALTE!$X$8-PERALTE!$Z$8)*(RASANTE!F174-PERALTE!$Z$8)-2),IF(RASANTE!F174&lt;=PERALTE!$AB$8,-2))))),IF(AND(AH!$H$10="Derecha",RASANTE!F174&lt;=PERALTE!$AB$8),IF(RASANTE!F174&lt;=PERALTE!$Q$8,-2,IF(RASANTE!F174&lt;=PERALTE!$U$8,(10/(PERALTE!$U$8-PERALTE!$Q$8)*(RASANTE!F174-PERALTE!$Q$8)-2),IF(RASANTE!F174&lt;=PERALTE!$X$8,8,IF(RASANTE!F174&lt;=PERALTE!$AB$8,(10/(PERALTE!$X$8-PERALTE!$AB$8)*(RASANTE!F174-PERALTE!$AB$8)-2))))),IF(AND(AH!$H$12="Izquierda",RASANTE!F174&lt;=PERALTE!$AB$10),IF(RASANTE!F174&lt;=PERALTE!$S$10,-2,IF(RASANTE!F174&lt;=PERALTE!$U$10,(-6/(PERALTE!$U$10-PERALTE!$S$10)*(RASANTE!F174-PERALTE!$S$10)-2),IF(RASANTE!F174&lt;=PERALTE!$X$10,-8,IF(RASANTE!F174&lt;=PERALTE!$Z$10,(-6/(PERALTE!$X$10-PERALTE!$Z$10)*(RASANTE!F174-PERALTE!$Z$10)-2),IF(RASANTE!F174&lt;=PERALTE!$AB$10,-2))))),IF(AND(AH!$H$12="Derecha",RASANTE!F174&lt;=PERALTE!$AB$10),IF(RASANTE!F174&lt;=PERALTE!$Q$10,-2,IF(RASANTE!F174&lt;=PERALTE!$U$10,(10/(PERALTE!$U$10-PERALTE!$Q$10)*(RASANTE!F174-PERALTE!$Q$10)-2),IF(RASANTE!F174&lt;=PERALTE!$X$10,8,IF(RASANTE!F174&lt;=PERALTE!$AB$10,(10/(PERALTE!$X$10-PERALTE!$AB$10)*(RASANTE!F174-PERALTE!$AB$10)-2))))),IF(AND(AH!$H$14="Izquierda",RASANTE!F174&lt;=PERALTE!$AB$12),IF(RASANTE!F174&lt;=PERALTE!$S$12,-2,IF(RASANTE!F174&lt;=PERALTE!$U$12,(-6/(PERALTE!$U$12-PERALTE!$S$12)*(RASANTE!F174-PERALTE!$S$12)-2),IF(RASANTE!F174&lt;=PERALTE!$X$12,-8,IF(RASANTE!F174&lt;=PERALTE!$Z$12,(-6/(PERALTE!$X$12-PERALTE!$Z$12)*(RASANTE!F174-PERALTE!$Z$12)-2),IF(RASANTE!F174&lt;=PERALTE!$AB$12,-2))))),IF(AND(AH!$H$14="Derecha",RASANTE!F174&lt;=PERALTE!$AB$12),IF(RASANTE!F174&lt;=PERALTE!$Q$12,-2,IF(RASANTE!F174&lt;=PERALTE!$U$12,(10/(PERALTE!$U$12-PERALTE!$Q$12)*(RASANTE!F174-PERALTE!$Q$12)-2),IF(RASANTE!F174&lt;=PERALTE!$X$12,8,IF(RASANTE!F174&lt;=PERALTE!$AB$12,(10/(PERALTE!$X$12-PERALTE!$AB$12)*(RASANTE!F174-PERALTE!$AB$12)-2))))),IF(AND(AH!$H$16="Izquierda",RASANTE!F174&lt;=PERALTE!$AB$14),IF(RASANTE!F174&lt;=PERALTE!$S$14,-2,IF(RASANTE!F174&lt;=PERALTE!$U$14,(-6/(PERALTE!$U$14-PERALTE!$S$14)*(RASANTE!F174-PERALTE!$S$14)-2),IF(RASANTE!F174&lt;=PERALTE!$X$14,-8,IF(RASANTE!F174&lt;=PERALTE!$Z$14,(-6/(PERALTE!$X$14-PERALTE!$Z$14)*(RASANTE!F174-PERALTE!$Z$14)-2),IF(RASANTE!F174&lt;=PERALTE!$AB$14,-2))))),IF(AND(AH!$H$16="Derecha",RASANTE!F174&lt;=PERALTE!$AB$14),IF(RASANTE!F174&lt;=PERALTE!$Q$14,-2,IF(RASANTE!F174&lt;=PERALTE!$U$14,(10/(PERALTE!$U$14-PERALTE!$Q$14)*(RASANTE!F174-PERALTE!$Q$14)-2),IF(RASANTE!F174&lt;=PERALTE!$X$14,8,IF(RASANTE!F174&lt;=PERALTE!$AB$14,(10/(PERALTE!$X$14-PERALTE!$AB$14)*(RASANTE!F174-PERALTE!$AB$14)-2))))),IF(AND(AH!$H$18="Izquierda",RASANTE!F174&lt;=PERALTE!$AB$16),IF(RASANTE!F174&lt;=PERALTE!$S$16,-2,IF(RASANTE!F174&lt;=PERALTE!$U$16,(-6/(PERALTE!$U$16-PERALTE!$S$16)*(RASANTE!F174-PERALTE!$S$16)-2),IF(RASANTE!F174&lt;=PERALTE!$X$16,-8,IF(RASANTE!F174&lt;=PERALTE!$Z$16,(-6/(PERALTE!$X$16-PERALTE!$Z$16)*(RASANTE!F174-PERALTE!$Z$16)-2),IF(RASANTE!F174&lt;=PERALTE!$AB$16,-2))))),IF(AND(AH!$H$18="Derecha",RASANTE!F174&lt;=PERALTE!$AB$16),IF(RASANTE!F174&lt;=PERALTE!$Q$16,-2,IF(RASANTE!F174&lt;=PERALTE!$U$16,(10/(PERALTE!$U$16-PERALTE!$Q$16)*(RASANTE!F174-PERALTE!$Q$16)-2),IF(RASANTE!F174&lt;=PERALTE!$X$16,8,IF(RASANTE!F174&lt;=PERALTE!$AB$16,(10/(PERALTE!$X$16-PERALTE!$AB$16)*(RASANTE!F174-PERALTE!$AB$16)-2))))),IF(AND(AH!$H$20="Izquierda",RASANTE!F174&lt;=PERALTE!$AB$18),IF(RASANTE!F174&lt;=PERALTE!$S$18,-2,IF(RASANTE!F174&lt;=PERALTE!$U$18,(-6/(PERALTE!$U$18-PERALTE!$S$18)*(RASANTE!F174-PERALTE!$S$18)-2),IF(RASANTE!F174&lt;=PERALTE!$X$18,-8,IF(RASANTE!F174&lt;=PERALTE!$Z$18,(-6/(PERALTE!$X$18-PERALTE!$Z$18)*(RASANTE!F174-PERALTE!$Z$18)-2),IF(RASANTE!F174&lt;=PERALTE!$AB$18,-2))))),IF(AND(AH!$H$20="Derecha",RASANTE!F174&lt;=PERALTE!$AB$18),IF(RASANTE!F174&lt;=PERALTE!$Q$18,-2,IF(RASANTE!F174&lt;=PERALTE!$U$18,(10/(PERALTE!$U$18-PERALTE!$Q$18)*(RASANTE!F174-PERALTE!$Q$18)-2),IF(RASANTE!F174&lt;=PERALTE!$X$18,8,IF(RASANTE!F174&lt;=PERALTE!$AB$18,(10/(PERALTE!$X$18-PERALTE!$AB$18)*(RASANTE!F174-PERALTE!$AB$18)-2))))),IF(AND(AH!$H$24="Izquierda",RASANTE!F174&lt;=PERALTE!$AB$22),IF(RASANTE!F174&lt;=PERALTE!$S$22,-2,IF(RASANTE!F174&lt;=PERALTE!$U$22,(-6/(PERALTE!$U$22-PERALTE!$S$22)*(RASANTE!F174-PERALTE!$S$22)-2),IF(RASANTE!F174&lt;=PERALTE!$X$22,-8,IF(RASANTE!F174&lt;=PERALTE!$Z$22,(-6/(PERALTE!$X$22-PERALTE!$Z$22)*(RASANTE!F174-PERALTE!$Z$22)-2),IF(RASANTE!F174&lt;=PERALTE!$AB$22,-2))))),IF(AND(AH!$H$24="Derecha",RASANTE!F174&lt;=PERALTE!$AB$22),IF(RASANTE!F174&lt;=PERALTE!$Q$22,-2,IF(RASANTE!F174&lt;=PERALTE!$U$22,(10/(PERALTE!$U$22-PERALTE!$Q$22)*(RASANTE!F174-PERALTE!$Q$22)-2),IF(RASANTE!F174&lt;=PERALTE!$X$22,8,IF(RASANTE!F174&lt;=PERALTE!$AB$22,(10/(PERALTE!$X$22-PERALTE!$AB$22)*(RASANTE!F174-PERALTE!$AB$22)-2))))),IF(AND(AH!#REF!="Izquierda",RASANTE!F174&lt;=PERALTE!#REF!),IF(RASANTE!F174&lt;=PERALTE!#REF!,-2,IF(RASANTE!F174&lt;=PERALTE!#REF!,(-6/(PERALTE!#REF!-PERALTE!#REF!)*(RASANTE!F174-PERALTE!#REF!)-2),IF(RASANTE!F174&lt;=PERALTE!#REF!,-8,IF(RASANTE!F174&lt;=PERALTE!#REF!,(-6/(PERALTE!#REF!-PERALTE!#REF!)*(RASANTE!F174-PERALTE!#REF!)-2),IF(RASANTE!F174&lt;=PERALTE!#REF!,-2))))),IF(AND(AH!#REF!="Derecha",RASANTE!F174&lt;=PERALTE!#REF!),IF(RASANTE!F174&lt;=PERALTE!#REF!,-2,IF(RASANTE!F174&lt;=PERALTE!#REF!,(10/(PERALTE!#REF!-PERALTE!#REF!)*(RASANTE!F174-PERALTE!#REF!)-2),IF(RASANTE!F174&lt;=PERALTE!#REF!,8,IF(RASANTE!F174&lt;=PERALTE!#REF!,(10/(PERALTE!#REF!-PERALTE!#REF!)*(RASANTE!F174-PERALTE!#REF!)-2))))),IF(AND(AH!#REF!="Izquierda",RASANTE!F174&lt;=PERALTE!$AB$26),IF(RASANTE!F174&lt;=PERALTE!$S$26,-2,IF(RASANTE!F174&lt;=PERALTE!$U$26,(-6/(PERALTE!$U$26-PERALTE!$S$26)*(RASANTE!F174-PERALTE!$S$26)-2),IF(RASANTE!F174&lt;=PERALTE!$X$26,-8,IF(RASANTE!F174&lt;=PERALTE!$Z$26,(-6/(PERALTE!$X$26-PERALTE!$Z$26)*(RASANTE!F174-PERALTE!$Z$26)-2),IF(RASANTE!F174&lt;=PERALTE!$AB$26,-2))))),IF(AND(AH!#REF!="Derecha",RASANTE!F174&lt;=PERALTE!$AB$26),IF(RASANTE!F174&lt;=PERALTE!$Q$26,-2,IF(RASANTE!F174&lt;=PERALTE!$U$26,(10/(PERALTE!$U$26-PERALTE!$Q$26)*(RASANTE!F174-PERALTE!$Q$26)-2),IF(RASANTE!F174&lt;=PERALTE!$X$26,8,IF(RASANTE!F174&lt;=PERALTE!$AB$26,(10/(PERALTE!$X$26-PERALTE!$AB$26)*(RASANTE!F174-PERALTE!$AB$26)-2))))),IF(F174&lt;=PERALTE!#REF!,-2,"Abscisa fuera de la vía")))))))))))))))))))))</f>
        <v>-2</v>
      </c>
      <c r="I174" s="28">
        <f>+IF(AND(AH!$H$8="Derecha",RASANTE!F174&lt;=PERALTE!$AB$6),IF(RASANTE!F174&lt;=PERALTE!$S$6,-2,IF(RASANTE!F174&lt;=PERALTE!$U$6,(-6/(PERALTE!$U$6-PERALTE!$S$6)*(RASANTE!F174-PERALTE!$S$6)-2),IF(RASANTE!F174&lt;=PERALTE!$X$6,-8,IF(RASANTE!F174&lt;=PERALTE!$Z$6,(-6/(PERALTE!$X$6-PERALTE!$Z$6)*(RASANTE!F174-PERALTE!$Z$6)-2),IF(RASANTE!F174&lt;=PERALTE!$AB$6,-2))))),IF(AND(AH!$H$8="Izquierda",RASANTE!F174&lt;=PERALTE!$AB$6),IF(RASANTE!F174&lt;=PERALTE!$Q$6,-2,IF(RASANTE!F174&lt;=PERALTE!$U$6,(10/(PERALTE!$U$6-PERALTE!$Q$6)*(RASANTE!F174-PERALTE!$Q$6)-2),IF(RASANTE!F174&lt;=PERALTE!$X$6,8,IF(RASANTE!F174&lt;=PERALTE!$AB$6,(10/(PERALTE!$X$6-PERALTE!$AB$6)*(RASANTE!F174-PERALTE!$AB$6)-2))))),IF(AND(AH!$H$10="Derecha",RASANTE!F174&lt;=PERALTE!$AB$8),IF(RASANTE!F174&lt;=PERALTE!$S$8,-2,IF(RASANTE!F174&lt;=PERALTE!$U$8,(-6/(PERALTE!$U$8-PERALTE!$S$8)*(RASANTE!F174-PERALTE!$S$8)-2),IF(RASANTE!F174&lt;=PERALTE!$X$8,-8,IF(RASANTE!F174&lt;=PERALTE!$Z$8,(-6/(PERALTE!$X$8-PERALTE!$Z$8)*(RASANTE!F174-PERALTE!$Z$8)-2),IF(RASANTE!F174&lt;=PERALTE!$AB$8,-2))))),IF(AND(AH!$H$10="Izquierda",RASANTE!F174&lt;=PERALTE!$AB$8),IF(RASANTE!F174&lt;=PERALTE!$Q$8,-2,IF(RASANTE!F174&lt;=PERALTE!$U$8,(10/(PERALTE!$U$8-PERALTE!$Q$8)*(RASANTE!F174-PERALTE!$Q$8)-2),IF(RASANTE!F174&lt;=PERALTE!$X$8,8,IF(RASANTE!F174&lt;=PERALTE!$AB$8,(10/(PERALTE!$X$8-PERALTE!$AB$8)*(RASANTE!F174-PERALTE!$AB$8)-2))))),IF(AND(AH!$H$12="Derecha",RASANTE!F174&lt;=PERALTE!$AB$10),IF(RASANTE!F174&lt;=PERALTE!$S$10,-2,IF(RASANTE!F174&lt;=PERALTE!$U$10,(-6/(PERALTE!$U$10-PERALTE!$S$10)*(RASANTE!F174-PERALTE!$S$10)-2),IF(RASANTE!F174&lt;=PERALTE!$X$10,-8,IF(RASANTE!F174&lt;=PERALTE!$Z$10,(-6/(PERALTE!$X$10-PERALTE!$Z$10)*(RASANTE!F174-PERALTE!$Z$10)-2),IF(RASANTE!F174&lt;=PERALTE!$AB$10,-2))))),IF(AND(AH!$H$12="Izquierda",RASANTE!F174&lt;=PERALTE!$AB$10),IF(RASANTE!F174&lt;=PERALTE!$Q$10,-2,IF(RASANTE!F174&lt;=PERALTE!$U$10,(10/(PERALTE!$U$10-PERALTE!$Q$10)*(RASANTE!F174-PERALTE!$Q$10)-2),IF(RASANTE!F174&lt;=PERALTE!$X$10,8,IF(RASANTE!F174&lt;=PERALTE!$AB$10,(10/(PERALTE!$X$10-PERALTE!$AB$10)*(RASANTE!F174-PERALTE!$AB$10)-2))))),IF(AND(AH!$H$14="Derecha",RASANTE!F174&lt;=PERALTE!$AB$12),IF(RASANTE!F174&lt;=PERALTE!$S$12,-2,IF(RASANTE!F174&lt;=PERALTE!$U$12,(-6/(PERALTE!$U$12-PERALTE!$S$12)*(RASANTE!F174-PERALTE!$S$12)-2),IF(RASANTE!F174&lt;=PERALTE!$X$12,-8,IF(RASANTE!F174&lt;=PERALTE!$Z$12,(-6/(PERALTE!$X$12-PERALTE!$Z$12)*(RASANTE!F174-PERALTE!$Z$12)-2),IF(RASANTE!F174&lt;=PERALTE!$AB$12,-2))))),IF(AND(AH!$H$14="Izquierda",RASANTE!F174&lt;=PERALTE!$AB$12),IF(RASANTE!F174&lt;=PERALTE!$Q$12,-2,IF(RASANTE!F174&lt;=PERALTE!$U$12,(10/(PERALTE!$U$12-PERALTE!$Q$12)*(RASANTE!F174-PERALTE!$Q$12)-2),IF(RASANTE!F174&lt;=PERALTE!$X$12,8,IF(RASANTE!F174&lt;=PERALTE!$AB$12,(10/(PERALTE!$X$12-PERALTE!$AB$12)*(RASANTE!F174-PERALTE!$AB$12)-2))))),IF(AND(AH!$H$16="Derecha",RASANTE!F174&lt;=PERALTE!$AB$14),IF(RASANTE!F174&lt;=PERALTE!$S$14,-2,IF(RASANTE!F174&lt;=PERALTE!$U$14,(-6/(PERALTE!$U$14-PERALTE!$S$14)*(RASANTE!F174-PERALTE!$S$14)-2),IF(RASANTE!F174&lt;=PERALTE!$X$14,-8,IF(RASANTE!F174&lt;=PERALTE!$Z$14,(-6/(PERALTE!$X$14-PERALTE!$Z$14)*(RASANTE!F174-PERALTE!$Z$14)-2),IF(RASANTE!F174&lt;=PERALTE!$AB$14,-2))))),IF(AND(AH!$H$16="Izquierda",RASANTE!F174&lt;=PERALTE!$AB$14),IF(RASANTE!F174&lt;=PERALTE!$Q$14,-2,IF(RASANTE!F174&lt;=PERALTE!$U$14,(10/(PERALTE!$U$14-PERALTE!$Q$14)*(RASANTE!F174-PERALTE!$Q$14)-2),IF(RASANTE!F174&lt;=PERALTE!$X$14,8,IF(RASANTE!F174&lt;=PERALTE!$AB$14,(10/(PERALTE!$X$14-PERALTE!$AB$14)*(RASANTE!F174-PERALTE!$AB$14)-2))))),IF(AND(AH!$H$18="Derecha",RASANTE!F174&lt;=PERALTE!$AB$16),IF(RASANTE!F174&lt;=PERALTE!$S$16,-2,IF(RASANTE!F174&lt;=PERALTE!$U$16,(-6/(PERALTE!$U$16-PERALTE!$S$16)*(RASANTE!F174-PERALTE!$S$16)-2),IF(RASANTE!F174&lt;=PERALTE!$X$16,-8,IF(RASANTE!F174&lt;=PERALTE!$Z$16,(-6/(PERALTE!$X$16-PERALTE!$Z$16)*(RASANTE!F174-PERALTE!$Z$16)-2),IF(RASANTE!F174&lt;=PERALTE!$AB$16,-2))))),IF(AND(AH!$H$18="Izquierda",RASANTE!F174&lt;=PERALTE!$AB$16),IF(RASANTE!F174&lt;=PERALTE!$Q$16,-2,IF(RASANTE!F174&lt;=PERALTE!$U$16,(10/(PERALTE!$U$16-PERALTE!$Q$16)*(RASANTE!F174-PERALTE!$Q$16)-2),IF(RASANTE!F174&lt;=PERALTE!$X$16,8,IF(RASANTE!F174&lt;=PERALTE!$AB$16,(10/(PERALTE!$X$16-PERALTE!$AB$16)*(RASANTE!F174-PERALTE!$AB$16)-2))))),IF(AND(AH!$H$20="Derecha",RASANTE!F174&lt;=PERALTE!$AB$18),IF(RASANTE!F174&lt;=PERALTE!$S$18,-2,IF(RASANTE!F174&lt;=PERALTE!$U$18,(-6/(PERALTE!$U$18-PERALTE!$S$18)*(RASANTE!F174-PERALTE!$S$18)-2),IF(RASANTE!F174&lt;=PERALTE!$X$18,-8,IF(RASANTE!F174&lt;=PERALTE!$Z$18,(-6/(PERALTE!$X$18-PERALTE!$Z$18)*(RASANTE!F174-PERALTE!$Z$18)-2),IF(RASANTE!F174&lt;=PERALTE!$AB$18,-2))))),IF(AND(AH!$H$20="Izquierda",RASANTE!F174&lt;=PERALTE!$AB$18),IF(RASANTE!F174&lt;=PERALTE!$Q$18,-2,IF(RASANTE!F174&lt;=PERALTE!$U$18,(10/(PERALTE!$U$18-PERALTE!$Q$18)*(RASANTE!F174-PERALTE!$Q$18)-2),IF(RASANTE!F174&lt;=PERALTE!$X$18,8,IF(RASANTE!F174&lt;=PERALTE!$AB$18,(10/(PERALTE!$X$18-PERALTE!$AB$18)*(RASANTE!F174-PERALTE!$AB$18)-2))))),IF(AND(AH!$H$24="Derecha",RASANTE!F174&lt;=PERALTE!$AB$22),IF(RASANTE!F174&lt;=PERALTE!$S$22,-2,IF(RASANTE!F174&lt;=PERALTE!$U$22,(-6/(PERALTE!$U$22-PERALTE!$S$22)*(RASANTE!F174-PERALTE!$S$22)-2),IF(RASANTE!F174&lt;=PERALTE!$X$22,-8,IF(RASANTE!F174&lt;=PERALTE!$Z$22,(-6/(PERALTE!$X$22-PERALTE!$Z$22)*(RASANTE!F174-PERALTE!$Z$22)-2),IF(RASANTE!F174&lt;=PERALTE!$AB$22,-2))))),IF(AND(AH!$H$24="Izquierda",RASANTE!F174&lt;=PERALTE!$AB$22),IF(RASANTE!F174&lt;=PERALTE!$Q$22,-2,IF(RASANTE!F174&lt;=PERALTE!$U$22,(10/(PERALTE!$U$22-PERALTE!$Q$22)*(RASANTE!F174-PERALTE!$Q$22)-2),IF(RASANTE!F174&lt;=PERALTE!$X$22,8,IF(RASANTE!F174&lt;=PERALTE!$AB$22,(10/(PERALTE!$X$22-PERALTE!$AB$22)*(RASANTE!F174-PERALTE!$AB$22)-2))))),IF(AND(AH!#REF!="Derecha",RASANTE!F174&lt;=PERALTE!#REF!),IF(RASANTE!F174&lt;=PERALTE!#REF!,-2,IF(RASANTE!F174&lt;=PERALTE!#REF!,(-6/(PERALTE!#REF!-PERALTE!#REF!)*(RASANTE!F174-PERALTE!#REF!)-2),IF(RASANTE!F174&lt;=PERALTE!#REF!,-8,IF(RASANTE!F174&lt;=PERALTE!#REF!,(-6/(PERALTE!#REF!-PERALTE!#REF!)*(RASANTE!F174-PERALTE!#REF!)-2),IF(RASANTE!F174&lt;=PERALTE!#REF!,-2))))),IF(AND(AH!#REF!="Izquierda",RASANTE!F174&lt;=PERALTE!#REF!),IF(RASANTE!F174&lt;=PERALTE!#REF!,-2,IF(RASANTE!F174&lt;=PERALTE!#REF!,(10/(PERALTE!#REF!-PERALTE!#REF!)*(RASANTE!F174-PERALTE!#REF!)-2),IF(RASANTE!F174&lt;=PERALTE!#REF!,8,IF(RASANTE!F174&lt;=PERALTE!#REF!,(10/(PERALTE!#REF!-PERALTE!#REF!)*(RASANTE!F174-PERALTE!#REF!)-2))))),IF(AND(AH!#REF!="Derecha",RASANTE!F174&lt;=PERALTE!$AB$26),IF(RASANTE!F174&lt;=PERALTE!$S$26,-2,IF(RASANTE!F174&lt;=PERALTE!$U$26,(-6/(PERALTE!$U$26-PERALTE!$S$26)*(RASANTE!F174-PERALTE!$S$26)-2),IF(RASANTE!F174&lt;=PERALTE!$X$26,-8,IF(RASANTE!F174&lt;=PERALTE!$Z$26,(-6/(PERALTE!$X$26-PERALTE!$Z$26)*(RASANTE!F174-PERALTE!$Z$26)-2),IF(RASANTE!F174&lt;=PERALTE!$AB$26,-2))))),IF(AND(AH!#REF!="Izquierda",RASANTE!F174&lt;=PERALTE!$AB$26),IF(RASANTE!F174&lt;=PERALTE!$Q$26,-2,IF(RASANTE!F174&lt;=PERALTE!$U$26,(10/(PERALTE!$U$26-PERALTE!$Q$26)*(RASANTE!F174-PERALTE!$Q$26)-2),IF(RASANTE!F174&lt;=PERALTE!$X$26,8,IF(RASANTE!F174&lt;=PERALTE!$AB$26,(10/(PERALTE!$X$26-PERALTE!$AB$26)*(RASANTE!F174-PERALTE!$AB$26)-2))))),IF(F174&lt;=PERALTE!#REF!,-2,"Abscisa fuera de la vía")))))))))))))))))))))</f>
        <v>-2</v>
      </c>
      <c r="J174" s="28">
        <f t="shared" si="6"/>
        <v>1613.2211380375927</v>
      </c>
      <c r="K174" s="28">
        <f>+IF(AND(AV!$S$6&lt;F174,F174&lt;=AV!$T$6),AV!$P$6*((AV!$S$6-RASANTE!F174)/(AV!$N$6))^2,IF(AND(AV!$T$6&lt;RASANTE!F174,F174&lt;AV!$U$6),AV!$P$6*((AV!$U$6-RASANTE!F174)/(AV!$O$6))^2,IF(AND(AV!$S$8&lt;F174,F174&lt;=AV!$T$8),AV!$P$8*((AV!$S$8-RASANTE!F174)/(AV!$N$8))^2,IF(AND(AV!$T$8&lt;RASANTE!F174,F174&lt;AV!$U$8),AV!$P$8*((AV!$U$8-RASANTE!F174)/(AV!$O$8))^2,IF(AND(AV!$S$10&lt;F174,F174&lt;=AV!$T$10),AV!$P$10*((AV!$S$10-RASANTE!F174)/(AV!$N$10))^2,IF(AND(AV!$T$10&lt;RASANTE!F174,F174&lt;AV!$U$10),AV!$P$10*((AV!$U$10-RASANTE!F174)/(AV!$O$10))^2,IF(AND(AV!$S$12&lt;F174,F174&lt;=AV!$T$12),AV!$P$12*((AV!$S$12-RASANTE!F174)/(AV!$N$12))^2,IF(AND(AV!$T$12&lt;RASANTE!F174,F174&lt;AV!$U$12),AV!$P$12*((AV!$U$12-RASANTE!F174)/(AV!$O$12))^2,IF(AND(AV!$S$14&lt;F174,F174&lt;=AV!$T$14),AV!$P$14*((AV!$S$14-RASANTE!F174)/(AV!$N$14))^2,IF(AND(AV!$T$14&lt;RASANTE!F174,F174&lt;AV!$U$14),AV!$P$14*((AV!$U$14-RASANTE!F174)/(AV!$O$14))^2,IF(AND(AV!$S$16&lt;F174,F174&lt;=AV!$T$16),AV!$P$16*((AV!$S$16-RASANTE!F174)/(AV!$N$16))^2,IF(AND(AV!$T$16&lt;RASANTE!F174,F174&lt;AV!$U$16),AV!$P$16*((AV!$U$16-RASANTE!F174)/(AV!$O$16))^2,IF(AND(AV!$S$18&lt;F174,F174&lt;=AV!$T$18),AV!$P$18*((AV!$S$18-RASANTE!F174)/(AV!$N$18))^2,IF(AND(AV!$T$18&lt;RASANTE!F174,F174&lt;AV!$U$18),AV!$P$18*((AV!$U$18-RASANTE!F174)/(AV!$O$18))^2,IF(AND(AV!$S$20&lt;F174,F174&lt;=AV!$T$20),AV!$P$20*((AV!$S$20-RASANTE!F174)/(AV!$N$20))^2,IF(AND(AV!$T$20&lt;RASANTE!F174,F174&lt;AV!$U$20),AV!$P$20*((AV!$U$20-RASANTE!F174)/(AV!$O$20))^2,IF(AND(AV!$S$22&lt;F174,F174&lt;=AV!$T$22),AV!$P$22*((AV!$S$22-RASANTE!F174)/(AV!$N$22))^2,IF(AND(AV!$T$22&lt;RASANTE!F174,F174&lt;AV!$U$22),AV!$P$22*((AV!$U$22-RASANTE!F174)/(AV!$O$22))^2,IF(AND(AV!$S$24&lt;F174,F174&lt;=AV!$T$24),AV!$P$24*((AV!$S$24-RASANTE!F174)/(AV!$N$24))^2,IF(AND(AV!$T$24&lt;RASANTE!F174,F174&lt;AV!$U$24),AV!$P$24*((AV!$U$24-RASANTE!F174)/(AV!$O$24))^2,0))))))))))))))))))))</f>
        <v>0.25525903124999993</v>
      </c>
      <c r="L174" s="28">
        <f>+M174+H174%*PERALTE!$C$32</f>
        <v>1613.4063970688428</v>
      </c>
      <c r="M174" s="28">
        <f t="shared" si="7"/>
        <v>1613.4763970688427</v>
      </c>
      <c r="N174" s="28">
        <f>+M174+I174%*PERALTE!$C$32</f>
        <v>1613.4063970688428</v>
      </c>
      <c r="O174" s="92"/>
      <c r="P174" s="84"/>
      <c r="Q174" s="84"/>
      <c r="R174" s="84"/>
      <c r="S174" s="84"/>
      <c r="T174" s="84"/>
      <c r="U174" s="84"/>
      <c r="V174" s="84"/>
      <c r="W174" s="84"/>
      <c r="X174" s="84"/>
      <c r="Y174" s="84"/>
    </row>
    <row r="175" spans="1:25" ht="15.75" customHeight="1" x14ac:dyDescent="0.2">
      <c r="A175" s="90" t="s">
        <v>348</v>
      </c>
      <c r="B175" s="86"/>
      <c r="C175" s="86"/>
      <c r="D175" s="86"/>
      <c r="F175" s="34">
        <f>PERALTE!Q14</f>
        <v>1103.7502137516447</v>
      </c>
      <c r="G175" s="88">
        <f>IF(F175&lt;=AV!$T$6,AV!$C$5,IF(RASANTE!F175&lt;=AV!$T$8,AV!$C$7,IF(RASANTE!F175&lt;=AV!$T$10,AV!$C$9,IF(RASANTE!F175&lt;=AV!$T$12,AV!$C$11,IF(RASANTE!F175&lt;=AV!$T$14,AV!$C$13,IF(RASANTE!F175&lt;=AV!$T$16,AV!$C$15, IF(RASANTE!F175&lt;=AV!$T$18,AV!$C$17,IF(RASANTE!F175&lt;=AV!$T$20,AV!$C$19,IF(RASANTE!F175&lt;=AV!$T$22,AV!$C$21,IF(RASANTE!F175&lt;=AV!$T$24,AV!$C$23,AV!$C$25))))))))))</f>
        <v>8.1999999999999993</v>
      </c>
      <c r="H175" s="28">
        <f>+IF(AND(AH!$H$8="Izquierda",RASANTE!F175&lt;=PERALTE!$AB$6),IF(RASANTE!F175&lt;=PERALTE!$S$6,-2,IF(RASANTE!F175&lt;=PERALTE!$U$6,(-6/(PERALTE!$U$6-PERALTE!$S$6)*(RASANTE!F175-PERALTE!$S$6)-2),IF(RASANTE!F175&lt;=PERALTE!$X$6,-8,IF(RASANTE!F175&lt;=PERALTE!$Z$6,(-6/(PERALTE!$X$6-PERALTE!$Z$6)*(RASANTE!F175-PERALTE!$Z$6)-2),IF(RASANTE!F175&lt;=PERALTE!$AB$6,-2))))),IF(AND(AH!$H$8="Derecha",RASANTE!F175&lt;=PERALTE!$AB$6),IF(RASANTE!F175&lt;=PERALTE!$Q$6,-2,IF(RASANTE!F175&lt;=PERALTE!$U$6,(10/(PERALTE!$U$6-PERALTE!$Q$6)*(RASANTE!F175-PERALTE!$Q$6)-2),IF(RASANTE!F175&lt;=PERALTE!$X$6,8,IF(RASANTE!F175&lt;=PERALTE!$AB$6,(10/(PERALTE!$X$6-PERALTE!$AB$6)*(RASANTE!F175-PERALTE!$AB$6)-2))))),IF(AND(AH!$H$10="Izquierda",RASANTE!F175&lt;=PERALTE!$AB$8),IF(RASANTE!F175&lt;=PERALTE!$S$8,-2,IF(RASANTE!F175&lt;=PERALTE!$U$8,(-6/(PERALTE!$U$8-PERALTE!$S$8)*(RASANTE!F175-PERALTE!$S$8)-2),IF(RASANTE!F175&lt;=PERALTE!$X$8,-8,IF(RASANTE!F175&lt;=PERALTE!$Z$8,(-6/(PERALTE!$X$8-PERALTE!$Z$8)*(RASANTE!F175-PERALTE!$Z$8)-2),IF(RASANTE!F175&lt;=PERALTE!$AB$8,-2))))),IF(AND(AH!$H$10="Derecha",RASANTE!F175&lt;=PERALTE!$AB$8),IF(RASANTE!F175&lt;=PERALTE!$Q$8,-2,IF(RASANTE!F175&lt;=PERALTE!$U$8,(10/(PERALTE!$U$8-PERALTE!$Q$8)*(RASANTE!F175-PERALTE!$Q$8)-2),IF(RASANTE!F175&lt;=PERALTE!$X$8,8,IF(RASANTE!F175&lt;=PERALTE!$AB$8,(10/(PERALTE!$X$8-PERALTE!$AB$8)*(RASANTE!F175-PERALTE!$AB$8)-2))))),IF(AND(AH!$H$12="Izquierda",RASANTE!F175&lt;=PERALTE!$AB$10),IF(RASANTE!F175&lt;=PERALTE!$S$10,-2,IF(RASANTE!F175&lt;=PERALTE!$U$10,(-6/(PERALTE!$U$10-PERALTE!$S$10)*(RASANTE!F175-PERALTE!$S$10)-2),IF(RASANTE!F175&lt;=PERALTE!$X$10,-8,IF(RASANTE!F175&lt;=PERALTE!$Z$10,(-6/(PERALTE!$X$10-PERALTE!$Z$10)*(RASANTE!F175-PERALTE!$Z$10)-2),IF(RASANTE!F175&lt;=PERALTE!$AB$10,-2))))),IF(AND(AH!$H$12="Derecha",RASANTE!F175&lt;=PERALTE!$AB$10),IF(RASANTE!F175&lt;=PERALTE!$Q$10,-2,IF(RASANTE!F175&lt;=PERALTE!$U$10,(10/(PERALTE!$U$10-PERALTE!$Q$10)*(RASANTE!F175-PERALTE!$Q$10)-2),IF(RASANTE!F175&lt;=PERALTE!$X$10,8,IF(RASANTE!F175&lt;=PERALTE!$AB$10,(10/(PERALTE!$X$10-PERALTE!$AB$10)*(RASANTE!F175-PERALTE!$AB$10)-2))))),IF(AND(AH!$H$14="Izquierda",RASANTE!F175&lt;=PERALTE!$AB$12),IF(RASANTE!F175&lt;=PERALTE!$S$12,-2,IF(RASANTE!F175&lt;=PERALTE!$U$12,(-6/(PERALTE!$U$12-PERALTE!$S$12)*(RASANTE!F175-PERALTE!$S$12)-2),IF(RASANTE!F175&lt;=PERALTE!$X$12,-8,IF(RASANTE!F175&lt;=PERALTE!$Z$12,(-6/(PERALTE!$X$12-PERALTE!$Z$12)*(RASANTE!F175-PERALTE!$Z$12)-2),IF(RASANTE!F175&lt;=PERALTE!$AB$12,-2))))),IF(AND(AH!$H$14="Derecha",RASANTE!F175&lt;=PERALTE!$AB$12),IF(RASANTE!F175&lt;=PERALTE!$Q$12,-2,IF(RASANTE!F175&lt;=PERALTE!$U$12,(10/(PERALTE!$U$12-PERALTE!$Q$12)*(RASANTE!F175-PERALTE!$Q$12)-2),IF(RASANTE!F175&lt;=PERALTE!$X$12,8,IF(RASANTE!F175&lt;=PERALTE!$AB$12,(10/(PERALTE!$X$12-PERALTE!$AB$12)*(RASANTE!F175-PERALTE!$AB$12)-2))))),IF(AND(AH!$H$16="Izquierda",RASANTE!F175&lt;=PERALTE!$AB$14),IF(RASANTE!F175&lt;=PERALTE!$S$14,-2,IF(RASANTE!F175&lt;=PERALTE!$U$14,(-6/(PERALTE!$U$14-PERALTE!$S$14)*(RASANTE!F175-PERALTE!$S$14)-2),IF(RASANTE!F175&lt;=PERALTE!$X$14,-8,IF(RASANTE!F175&lt;=PERALTE!$Z$14,(-6/(PERALTE!$X$14-PERALTE!$Z$14)*(RASANTE!F175-PERALTE!$Z$14)-2),IF(RASANTE!F175&lt;=PERALTE!$AB$14,-2))))),IF(AND(AH!$H$16="Derecha",RASANTE!F175&lt;=PERALTE!$AB$14),IF(RASANTE!F175&lt;=PERALTE!$Q$14,-2,IF(RASANTE!F175&lt;=PERALTE!$U$14,(10/(PERALTE!$U$14-PERALTE!$Q$14)*(RASANTE!F175-PERALTE!$Q$14)-2),IF(RASANTE!F175&lt;=PERALTE!$X$14,8,IF(RASANTE!F175&lt;=PERALTE!$AB$14,(10/(PERALTE!$X$14-PERALTE!$AB$14)*(RASANTE!F175-PERALTE!$AB$14)-2))))),IF(AND(AH!$H$18="Izquierda",RASANTE!F175&lt;=PERALTE!$AB$16),IF(RASANTE!F175&lt;=PERALTE!$S$16,-2,IF(RASANTE!F175&lt;=PERALTE!$U$16,(-6/(PERALTE!$U$16-PERALTE!$S$16)*(RASANTE!F175-PERALTE!$S$16)-2),IF(RASANTE!F175&lt;=PERALTE!$X$16,-8,IF(RASANTE!F175&lt;=PERALTE!$Z$16,(-6/(PERALTE!$X$16-PERALTE!$Z$16)*(RASANTE!F175-PERALTE!$Z$16)-2),IF(RASANTE!F175&lt;=PERALTE!$AB$16,-2))))),IF(AND(AH!$H$18="Derecha",RASANTE!F175&lt;=PERALTE!$AB$16),IF(RASANTE!F175&lt;=PERALTE!$Q$16,-2,IF(RASANTE!F175&lt;=PERALTE!$U$16,(10/(PERALTE!$U$16-PERALTE!$Q$16)*(RASANTE!F175-PERALTE!$Q$16)-2),IF(RASANTE!F175&lt;=PERALTE!$X$16,8,IF(RASANTE!F175&lt;=PERALTE!$AB$16,(10/(PERALTE!$X$16-PERALTE!$AB$16)*(RASANTE!F175-PERALTE!$AB$16)-2))))),IF(AND(AH!$H$20="Izquierda",RASANTE!F175&lt;=PERALTE!$AB$18),IF(RASANTE!F175&lt;=PERALTE!$S$18,-2,IF(RASANTE!F175&lt;=PERALTE!$U$18,(-6/(PERALTE!$U$18-PERALTE!$S$18)*(RASANTE!F175-PERALTE!$S$18)-2),IF(RASANTE!F175&lt;=PERALTE!$X$18,-8,IF(RASANTE!F175&lt;=PERALTE!$Z$18,(-6/(PERALTE!$X$18-PERALTE!$Z$18)*(RASANTE!F175-PERALTE!$Z$18)-2),IF(RASANTE!F175&lt;=PERALTE!$AB$18,-2))))),IF(AND(AH!$H$20="Derecha",RASANTE!F175&lt;=PERALTE!$AB$18),IF(RASANTE!F175&lt;=PERALTE!$Q$18,-2,IF(RASANTE!F175&lt;=PERALTE!$U$18,(10/(PERALTE!$U$18-PERALTE!$Q$18)*(RASANTE!F175-PERALTE!$Q$18)-2),IF(RASANTE!F175&lt;=PERALTE!$X$18,8,IF(RASANTE!F175&lt;=PERALTE!$AB$18,(10/(PERALTE!$X$18-PERALTE!$AB$18)*(RASANTE!F175-PERALTE!$AB$18)-2))))),IF(AND(AH!$H$24="Izquierda",RASANTE!F175&lt;=PERALTE!$AB$22),IF(RASANTE!F175&lt;=PERALTE!$S$22,-2,IF(RASANTE!F175&lt;=PERALTE!$U$22,(-6/(PERALTE!$U$22-PERALTE!$S$22)*(RASANTE!F175-PERALTE!$S$22)-2),IF(RASANTE!F175&lt;=PERALTE!$X$22,-8,IF(RASANTE!F175&lt;=PERALTE!$Z$22,(-6/(PERALTE!$X$22-PERALTE!$Z$22)*(RASANTE!F175-PERALTE!$Z$22)-2),IF(RASANTE!F175&lt;=PERALTE!$AB$22,-2))))),IF(AND(AH!$H$24="Derecha",RASANTE!F175&lt;=PERALTE!$AB$22),IF(RASANTE!F175&lt;=PERALTE!$Q$22,-2,IF(RASANTE!F175&lt;=PERALTE!$U$22,(10/(PERALTE!$U$22-PERALTE!$Q$22)*(RASANTE!F175-PERALTE!$Q$22)-2),IF(RASANTE!F175&lt;=PERALTE!$X$22,8,IF(RASANTE!F175&lt;=PERALTE!$AB$22,(10/(PERALTE!$X$22-PERALTE!$AB$22)*(RASANTE!F175-PERALTE!$AB$22)-2))))),IF(AND(AH!#REF!="Izquierda",RASANTE!F175&lt;=PERALTE!#REF!),IF(RASANTE!F175&lt;=PERALTE!#REF!,-2,IF(RASANTE!F175&lt;=PERALTE!#REF!,(-6/(PERALTE!#REF!-PERALTE!#REF!)*(RASANTE!F175-PERALTE!#REF!)-2),IF(RASANTE!F175&lt;=PERALTE!#REF!,-8,IF(RASANTE!F175&lt;=PERALTE!#REF!,(-6/(PERALTE!#REF!-PERALTE!#REF!)*(RASANTE!F175-PERALTE!#REF!)-2),IF(RASANTE!F175&lt;=PERALTE!#REF!,-2))))),IF(AND(AH!#REF!="Derecha",RASANTE!F175&lt;=PERALTE!#REF!),IF(RASANTE!F175&lt;=PERALTE!#REF!,-2,IF(RASANTE!F175&lt;=PERALTE!#REF!,(10/(PERALTE!#REF!-PERALTE!#REF!)*(RASANTE!F175-PERALTE!#REF!)-2),IF(RASANTE!F175&lt;=PERALTE!#REF!,8,IF(RASANTE!F175&lt;=PERALTE!#REF!,(10/(PERALTE!#REF!-PERALTE!#REF!)*(RASANTE!F175-PERALTE!#REF!)-2))))),IF(AND(AH!#REF!="Izquierda",RASANTE!F175&lt;=PERALTE!$AB$26),IF(RASANTE!F175&lt;=PERALTE!$S$26,-2,IF(RASANTE!F175&lt;=PERALTE!$U$26,(-6/(PERALTE!$U$26-PERALTE!$S$26)*(RASANTE!F175-PERALTE!$S$26)-2),IF(RASANTE!F175&lt;=PERALTE!$X$26,-8,IF(RASANTE!F175&lt;=PERALTE!$Z$26,(-6/(PERALTE!$X$26-PERALTE!$Z$26)*(RASANTE!F175-PERALTE!$Z$26)-2),IF(RASANTE!F175&lt;=PERALTE!$AB$26,-2))))),IF(AND(AH!#REF!="Derecha",RASANTE!F175&lt;=PERALTE!$AB$26),IF(RASANTE!F175&lt;=PERALTE!$Q$26,-2,IF(RASANTE!F175&lt;=PERALTE!$U$26,(10/(PERALTE!$U$26-PERALTE!$Q$26)*(RASANTE!F175-PERALTE!$Q$26)-2),IF(RASANTE!F175&lt;=PERALTE!$X$26,8,IF(RASANTE!F175&lt;=PERALTE!$AB$26,(10/(PERALTE!$X$26-PERALTE!$AB$26)*(RASANTE!F175-PERALTE!$AB$26)-2))))),IF(F175&lt;=PERALTE!#REF!,-2,"Abscisa fuera de la vía")))))))))))))))))))))</f>
        <v>-2</v>
      </c>
      <c r="I175" s="28">
        <f>+IF(AND(AH!$H$8="Derecha",RASANTE!F175&lt;=PERALTE!$AB$6),IF(RASANTE!F175&lt;=PERALTE!$S$6,-2,IF(RASANTE!F175&lt;=PERALTE!$U$6,(-6/(PERALTE!$U$6-PERALTE!$S$6)*(RASANTE!F175-PERALTE!$S$6)-2),IF(RASANTE!F175&lt;=PERALTE!$X$6,-8,IF(RASANTE!F175&lt;=PERALTE!$Z$6,(-6/(PERALTE!$X$6-PERALTE!$Z$6)*(RASANTE!F175-PERALTE!$Z$6)-2),IF(RASANTE!F175&lt;=PERALTE!$AB$6,-2))))),IF(AND(AH!$H$8="Izquierda",RASANTE!F175&lt;=PERALTE!$AB$6),IF(RASANTE!F175&lt;=PERALTE!$Q$6,-2,IF(RASANTE!F175&lt;=PERALTE!$U$6,(10/(PERALTE!$U$6-PERALTE!$Q$6)*(RASANTE!F175-PERALTE!$Q$6)-2),IF(RASANTE!F175&lt;=PERALTE!$X$6,8,IF(RASANTE!F175&lt;=PERALTE!$AB$6,(10/(PERALTE!$X$6-PERALTE!$AB$6)*(RASANTE!F175-PERALTE!$AB$6)-2))))),IF(AND(AH!$H$10="Derecha",RASANTE!F175&lt;=PERALTE!$AB$8),IF(RASANTE!F175&lt;=PERALTE!$S$8,-2,IF(RASANTE!F175&lt;=PERALTE!$U$8,(-6/(PERALTE!$U$8-PERALTE!$S$8)*(RASANTE!F175-PERALTE!$S$8)-2),IF(RASANTE!F175&lt;=PERALTE!$X$8,-8,IF(RASANTE!F175&lt;=PERALTE!$Z$8,(-6/(PERALTE!$X$8-PERALTE!$Z$8)*(RASANTE!F175-PERALTE!$Z$8)-2),IF(RASANTE!F175&lt;=PERALTE!$AB$8,-2))))),IF(AND(AH!$H$10="Izquierda",RASANTE!F175&lt;=PERALTE!$AB$8),IF(RASANTE!F175&lt;=PERALTE!$Q$8,-2,IF(RASANTE!F175&lt;=PERALTE!$U$8,(10/(PERALTE!$U$8-PERALTE!$Q$8)*(RASANTE!F175-PERALTE!$Q$8)-2),IF(RASANTE!F175&lt;=PERALTE!$X$8,8,IF(RASANTE!F175&lt;=PERALTE!$AB$8,(10/(PERALTE!$X$8-PERALTE!$AB$8)*(RASANTE!F175-PERALTE!$AB$8)-2))))),IF(AND(AH!$H$12="Derecha",RASANTE!F175&lt;=PERALTE!$AB$10),IF(RASANTE!F175&lt;=PERALTE!$S$10,-2,IF(RASANTE!F175&lt;=PERALTE!$U$10,(-6/(PERALTE!$U$10-PERALTE!$S$10)*(RASANTE!F175-PERALTE!$S$10)-2),IF(RASANTE!F175&lt;=PERALTE!$X$10,-8,IF(RASANTE!F175&lt;=PERALTE!$Z$10,(-6/(PERALTE!$X$10-PERALTE!$Z$10)*(RASANTE!F175-PERALTE!$Z$10)-2),IF(RASANTE!F175&lt;=PERALTE!$AB$10,-2))))),IF(AND(AH!$H$12="Izquierda",RASANTE!F175&lt;=PERALTE!$AB$10),IF(RASANTE!F175&lt;=PERALTE!$Q$10,-2,IF(RASANTE!F175&lt;=PERALTE!$U$10,(10/(PERALTE!$U$10-PERALTE!$Q$10)*(RASANTE!F175-PERALTE!$Q$10)-2),IF(RASANTE!F175&lt;=PERALTE!$X$10,8,IF(RASANTE!F175&lt;=PERALTE!$AB$10,(10/(PERALTE!$X$10-PERALTE!$AB$10)*(RASANTE!F175-PERALTE!$AB$10)-2))))),IF(AND(AH!$H$14="Derecha",RASANTE!F175&lt;=PERALTE!$AB$12),IF(RASANTE!F175&lt;=PERALTE!$S$12,-2,IF(RASANTE!F175&lt;=PERALTE!$U$12,(-6/(PERALTE!$U$12-PERALTE!$S$12)*(RASANTE!F175-PERALTE!$S$12)-2),IF(RASANTE!F175&lt;=PERALTE!$X$12,-8,IF(RASANTE!F175&lt;=PERALTE!$Z$12,(-6/(PERALTE!$X$12-PERALTE!$Z$12)*(RASANTE!F175-PERALTE!$Z$12)-2),IF(RASANTE!F175&lt;=PERALTE!$AB$12,-2))))),IF(AND(AH!$H$14="Izquierda",RASANTE!F175&lt;=PERALTE!$AB$12),IF(RASANTE!F175&lt;=PERALTE!$Q$12,-2,IF(RASANTE!F175&lt;=PERALTE!$U$12,(10/(PERALTE!$U$12-PERALTE!$Q$12)*(RASANTE!F175-PERALTE!$Q$12)-2),IF(RASANTE!F175&lt;=PERALTE!$X$12,8,IF(RASANTE!F175&lt;=PERALTE!$AB$12,(10/(PERALTE!$X$12-PERALTE!$AB$12)*(RASANTE!F175-PERALTE!$AB$12)-2))))),IF(AND(AH!$H$16="Derecha",RASANTE!F175&lt;=PERALTE!$AB$14),IF(RASANTE!F175&lt;=PERALTE!$S$14,-2,IF(RASANTE!F175&lt;=PERALTE!$U$14,(-6/(PERALTE!$U$14-PERALTE!$S$14)*(RASANTE!F175-PERALTE!$S$14)-2),IF(RASANTE!F175&lt;=PERALTE!$X$14,-8,IF(RASANTE!F175&lt;=PERALTE!$Z$14,(-6/(PERALTE!$X$14-PERALTE!$Z$14)*(RASANTE!F175-PERALTE!$Z$14)-2),IF(RASANTE!F175&lt;=PERALTE!$AB$14,-2))))),IF(AND(AH!$H$16="Izquierda",RASANTE!F175&lt;=PERALTE!$AB$14),IF(RASANTE!F175&lt;=PERALTE!$Q$14,-2,IF(RASANTE!F175&lt;=PERALTE!$U$14,(10/(PERALTE!$U$14-PERALTE!$Q$14)*(RASANTE!F175-PERALTE!$Q$14)-2),IF(RASANTE!F175&lt;=PERALTE!$X$14,8,IF(RASANTE!F175&lt;=PERALTE!$AB$14,(10/(PERALTE!$X$14-PERALTE!$AB$14)*(RASANTE!F175-PERALTE!$AB$14)-2))))),IF(AND(AH!$H$18="Derecha",RASANTE!F175&lt;=PERALTE!$AB$16),IF(RASANTE!F175&lt;=PERALTE!$S$16,-2,IF(RASANTE!F175&lt;=PERALTE!$U$16,(-6/(PERALTE!$U$16-PERALTE!$S$16)*(RASANTE!F175-PERALTE!$S$16)-2),IF(RASANTE!F175&lt;=PERALTE!$X$16,-8,IF(RASANTE!F175&lt;=PERALTE!$Z$16,(-6/(PERALTE!$X$16-PERALTE!$Z$16)*(RASANTE!F175-PERALTE!$Z$16)-2),IF(RASANTE!F175&lt;=PERALTE!$AB$16,-2))))),IF(AND(AH!$H$18="Izquierda",RASANTE!F175&lt;=PERALTE!$AB$16),IF(RASANTE!F175&lt;=PERALTE!$Q$16,-2,IF(RASANTE!F175&lt;=PERALTE!$U$16,(10/(PERALTE!$U$16-PERALTE!$Q$16)*(RASANTE!F175-PERALTE!$Q$16)-2),IF(RASANTE!F175&lt;=PERALTE!$X$16,8,IF(RASANTE!F175&lt;=PERALTE!$AB$16,(10/(PERALTE!$X$16-PERALTE!$AB$16)*(RASANTE!F175-PERALTE!$AB$16)-2))))),IF(AND(AH!$H$20="Derecha",RASANTE!F175&lt;=PERALTE!$AB$18),IF(RASANTE!F175&lt;=PERALTE!$S$18,-2,IF(RASANTE!F175&lt;=PERALTE!$U$18,(-6/(PERALTE!$U$18-PERALTE!$S$18)*(RASANTE!F175-PERALTE!$S$18)-2),IF(RASANTE!F175&lt;=PERALTE!$X$18,-8,IF(RASANTE!F175&lt;=PERALTE!$Z$18,(-6/(PERALTE!$X$18-PERALTE!$Z$18)*(RASANTE!F175-PERALTE!$Z$18)-2),IF(RASANTE!F175&lt;=PERALTE!$AB$18,-2))))),IF(AND(AH!$H$20="Izquierda",RASANTE!F175&lt;=PERALTE!$AB$18),IF(RASANTE!F175&lt;=PERALTE!$Q$18,-2,IF(RASANTE!F175&lt;=PERALTE!$U$18,(10/(PERALTE!$U$18-PERALTE!$Q$18)*(RASANTE!F175-PERALTE!$Q$18)-2),IF(RASANTE!F175&lt;=PERALTE!$X$18,8,IF(RASANTE!F175&lt;=PERALTE!$AB$18,(10/(PERALTE!$X$18-PERALTE!$AB$18)*(RASANTE!F175-PERALTE!$AB$18)-2))))),IF(AND(AH!$H$24="Derecha",RASANTE!F175&lt;=PERALTE!$AB$22),IF(RASANTE!F175&lt;=PERALTE!$S$22,-2,IF(RASANTE!F175&lt;=PERALTE!$U$22,(-6/(PERALTE!$U$22-PERALTE!$S$22)*(RASANTE!F175-PERALTE!$S$22)-2),IF(RASANTE!F175&lt;=PERALTE!$X$22,-8,IF(RASANTE!F175&lt;=PERALTE!$Z$22,(-6/(PERALTE!$X$22-PERALTE!$Z$22)*(RASANTE!F175-PERALTE!$Z$22)-2),IF(RASANTE!F175&lt;=PERALTE!$AB$22,-2))))),IF(AND(AH!$H$24="Izquierda",RASANTE!F175&lt;=PERALTE!$AB$22),IF(RASANTE!F175&lt;=PERALTE!$Q$22,-2,IF(RASANTE!F175&lt;=PERALTE!$U$22,(10/(PERALTE!$U$22-PERALTE!$Q$22)*(RASANTE!F175-PERALTE!$Q$22)-2),IF(RASANTE!F175&lt;=PERALTE!$X$22,8,IF(RASANTE!F175&lt;=PERALTE!$AB$22,(10/(PERALTE!$X$22-PERALTE!$AB$22)*(RASANTE!F175-PERALTE!$AB$22)-2))))),IF(AND(AH!#REF!="Derecha",RASANTE!F175&lt;=PERALTE!#REF!),IF(RASANTE!F175&lt;=PERALTE!#REF!,-2,IF(RASANTE!F175&lt;=PERALTE!#REF!,(-6/(PERALTE!#REF!-PERALTE!#REF!)*(RASANTE!F175-PERALTE!#REF!)-2),IF(RASANTE!F175&lt;=PERALTE!#REF!,-8,IF(RASANTE!F175&lt;=PERALTE!#REF!,(-6/(PERALTE!#REF!-PERALTE!#REF!)*(RASANTE!F175-PERALTE!#REF!)-2),IF(RASANTE!F175&lt;=PERALTE!#REF!,-2))))),IF(AND(AH!#REF!="Izquierda",RASANTE!F175&lt;=PERALTE!#REF!),IF(RASANTE!F175&lt;=PERALTE!#REF!,-2,IF(RASANTE!F175&lt;=PERALTE!#REF!,(10/(PERALTE!#REF!-PERALTE!#REF!)*(RASANTE!F175-PERALTE!#REF!)-2),IF(RASANTE!F175&lt;=PERALTE!#REF!,8,IF(RASANTE!F175&lt;=PERALTE!#REF!,(10/(PERALTE!#REF!-PERALTE!#REF!)*(RASANTE!F175-PERALTE!#REF!)-2))))),IF(AND(AH!#REF!="Derecha",RASANTE!F175&lt;=PERALTE!$AB$26),IF(RASANTE!F175&lt;=PERALTE!$S$26,-2,IF(RASANTE!F175&lt;=PERALTE!$U$26,(-6/(PERALTE!$U$26-PERALTE!$S$26)*(RASANTE!F175-PERALTE!$S$26)-2),IF(RASANTE!F175&lt;=PERALTE!$X$26,-8,IF(RASANTE!F175&lt;=PERALTE!$Z$26,(-6/(PERALTE!$X$26-PERALTE!$Z$26)*(RASANTE!F175-PERALTE!$Z$26)-2),IF(RASANTE!F175&lt;=PERALTE!$AB$26,-2))))),IF(AND(AH!#REF!="Izquierda",RASANTE!F175&lt;=PERALTE!$AB$26),IF(RASANTE!F175&lt;=PERALTE!$Q$26,-2,IF(RASANTE!F175&lt;=PERALTE!$U$26,(10/(PERALTE!$U$26-PERALTE!$Q$26)*(RASANTE!F175-PERALTE!$Q$26)-2),IF(RASANTE!F175&lt;=PERALTE!$X$26,8,IF(RASANTE!F175&lt;=PERALTE!$AB$26,(10/(PERALTE!$X$26-PERALTE!$AB$26)*(RASANTE!F175-PERALTE!$AB$26)-2))))),IF(F175&lt;=PERALTE!#REF!,-2,"Abscisa fuera de la vía")))))))))))))))))))))</f>
        <v>-2</v>
      </c>
      <c r="J175" s="28">
        <f t="shared" si="6"/>
        <v>1613.5286555652276</v>
      </c>
      <c r="K175" s="28">
        <f>+IF(AND(AV!$S$6&lt;F175,F175&lt;=AV!$T$6),AV!$P$6*((AV!$S$6-RASANTE!F175)/(AV!$N$6))^2,IF(AND(AV!$T$6&lt;RASANTE!F175,F175&lt;AV!$U$6),AV!$P$6*((AV!$U$6-RASANTE!F175)/(AV!$O$6))^2,IF(AND(AV!$S$8&lt;F175,F175&lt;=AV!$T$8),AV!$P$8*((AV!$S$8-RASANTE!F175)/(AV!$N$8))^2,IF(AND(AV!$T$8&lt;RASANTE!F175,F175&lt;AV!$U$8),AV!$P$8*((AV!$U$8-RASANTE!F175)/(AV!$O$8))^2,IF(AND(AV!$S$10&lt;F175,F175&lt;=AV!$T$10),AV!$P$10*((AV!$S$10-RASANTE!F175)/(AV!$N$10))^2,IF(AND(AV!$T$10&lt;RASANTE!F175,F175&lt;AV!$U$10),AV!$P$10*((AV!$U$10-RASANTE!F175)/(AV!$O$10))^2,IF(AND(AV!$S$12&lt;F175,F175&lt;=AV!$T$12),AV!$P$12*((AV!$S$12-RASANTE!F175)/(AV!$N$12))^2,IF(AND(AV!$T$12&lt;RASANTE!F175,F175&lt;AV!$U$12),AV!$P$12*((AV!$U$12-RASANTE!F175)/(AV!$O$12))^2,IF(AND(AV!$S$14&lt;F175,F175&lt;=AV!$T$14),AV!$P$14*((AV!$S$14-RASANTE!F175)/(AV!$N$14))^2,IF(AND(AV!$T$14&lt;RASANTE!F175,F175&lt;AV!$U$14),AV!$P$14*((AV!$U$14-RASANTE!F175)/(AV!$O$14))^2,IF(AND(AV!$S$16&lt;F175,F175&lt;=AV!$T$16),AV!$P$16*((AV!$S$16-RASANTE!F175)/(AV!$N$16))^2,IF(AND(AV!$T$16&lt;RASANTE!F175,F175&lt;AV!$U$16),AV!$P$16*((AV!$U$16-RASANTE!F175)/(AV!$O$16))^2,IF(AND(AV!$S$18&lt;F175,F175&lt;=AV!$T$18),AV!$P$18*((AV!$S$18-RASANTE!F175)/(AV!$N$18))^2,IF(AND(AV!$T$18&lt;RASANTE!F175,F175&lt;AV!$U$18),AV!$P$18*((AV!$U$18-RASANTE!F175)/(AV!$O$18))^2,IF(AND(AV!$S$20&lt;F175,F175&lt;=AV!$T$20),AV!$P$20*((AV!$S$20-RASANTE!F175)/(AV!$N$20))^2,IF(AND(AV!$T$20&lt;RASANTE!F175,F175&lt;AV!$U$20),AV!$P$20*((AV!$U$20-RASANTE!F175)/(AV!$O$20))^2,IF(AND(AV!$S$22&lt;F175,F175&lt;=AV!$T$22),AV!$P$22*((AV!$S$22-RASANTE!F175)/(AV!$N$22))^2,IF(AND(AV!$T$22&lt;RASANTE!F175,F175&lt;AV!$U$22),AV!$P$22*((AV!$U$22-RASANTE!F175)/(AV!$O$22))^2,IF(AND(AV!$S$24&lt;F175,F175&lt;=AV!$T$24),AV!$P$24*((AV!$S$24-RASANTE!F175)/(AV!$N$24))^2,IF(AND(AV!$T$24&lt;RASANTE!F175,F175&lt;AV!$U$24),AV!$P$24*((AV!$U$24-RASANTE!F175)/(AV!$O$24))^2,0))))))))))))))))))))</f>
        <v>0.17880401538901283</v>
      </c>
      <c r="L175" s="28">
        <f>+M175+H175%*PERALTE!$C$32</f>
        <v>1613.6374595806167</v>
      </c>
      <c r="M175" s="28">
        <f t="shared" si="7"/>
        <v>1613.7074595806166</v>
      </c>
      <c r="N175" s="28">
        <f>+M175+I175%*PERALTE!$C$32</f>
        <v>1613.6374595806167</v>
      </c>
      <c r="O175" s="92"/>
      <c r="P175" s="84"/>
      <c r="Q175" s="84"/>
      <c r="R175" s="84"/>
      <c r="S175" s="84"/>
      <c r="T175" s="84"/>
      <c r="U175" s="84"/>
      <c r="V175" s="84"/>
      <c r="W175" s="84"/>
      <c r="X175" s="84"/>
      <c r="Y175" s="84"/>
    </row>
    <row r="176" spans="1:25" ht="15.75" customHeight="1" x14ac:dyDescent="0.2">
      <c r="A176" s="90"/>
      <c r="B176" s="102"/>
      <c r="C176" s="102"/>
      <c r="D176" s="102"/>
      <c r="E176" s="91"/>
      <c r="F176" s="34">
        <v>1110</v>
      </c>
      <c r="G176" s="88">
        <f>IF(F176&lt;=AV!$T$6,AV!$C$5,IF(RASANTE!F176&lt;=AV!$T$8,AV!$C$7,IF(RASANTE!F176&lt;=AV!$T$10,AV!$C$9,IF(RASANTE!F176&lt;=AV!$T$12,AV!$C$11,IF(RASANTE!F176&lt;=AV!$T$14,AV!$C$13,IF(RASANTE!F176&lt;=AV!$T$16,AV!$C$15, IF(RASANTE!F176&lt;=AV!$T$18,AV!$C$17,IF(RASANTE!F176&lt;=AV!$T$20,AV!$C$19,IF(RASANTE!F176&lt;=AV!$T$22,AV!$C$21,IF(RASANTE!F176&lt;=AV!$T$24,AV!$C$23,AV!$C$25))))))))))</f>
        <v>8.1999999999999993</v>
      </c>
      <c r="H176" s="28">
        <f>+IF(AND(AH!$H$8="Izquierda",RASANTE!F176&lt;=PERALTE!$AB$6),IF(RASANTE!F176&lt;=PERALTE!$S$6,-2,IF(RASANTE!F176&lt;=PERALTE!$U$6,(-6/(PERALTE!$U$6-PERALTE!$S$6)*(RASANTE!F176-PERALTE!$S$6)-2),IF(RASANTE!F176&lt;=PERALTE!$X$6,-8,IF(RASANTE!F176&lt;=PERALTE!$Z$6,(-6/(PERALTE!$X$6-PERALTE!$Z$6)*(RASANTE!F176-PERALTE!$Z$6)-2),IF(RASANTE!F176&lt;=PERALTE!$AB$6,-2))))),IF(AND(AH!$H$8="Derecha",RASANTE!F176&lt;=PERALTE!$AB$6),IF(RASANTE!F176&lt;=PERALTE!$Q$6,-2,IF(RASANTE!F176&lt;=PERALTE!$U$6,(10/(PERALTE!$U$6-PERALTE!$Q$6)*(RASANTE!F176-PERALTE!$Q$6)-2),IF(RASANTE!F176&lt;=PERALTE!$X$6,8,IF(RASANTE!F176&lt;=PERALTE!$AB$6,(10/(PERALTE!$X$6-PERALTE!$AB$6)*(RASANTE!F176-PERALTE!$AB$6)-2))))),IF(AND(AH!$H$10="Izquierda",RASANTE!F176&lt;=PERALTE!$AB$8),IF(RASANTE!F176&lt;=PERALTE!$S$8,-2,IF(RASANTE!F176&lt;=PERALTE!$U$8,(-6/(PERALTE!$U$8-PERALTE!$S$8)*(RASANTE!F176-PERALTE!$S$8)-2),IF(RASANTE!F176&lt;=PERALTE!$X$8,-8,IF(RASANTE!F176&lt;=PERALTE!$Z$8,(-6/(PERALTE!$X$8-PERALTE!$Z$8)*(RASANTE!F176-PERALTE!$Z$8)-2),IF(RASANTE!F176&lt;=PERALTE!$AB$8,-2))))),IF(AND(AH!$H$10="Derecha",RASANTE!F176&lt;=PERALTE!$AB$8),IF(RASANTE!F176&lt;=PERALTE!$Q$8,-2,IF(RASANTE!F176&lt;=PERALTE!$U$8,(10/(PERALTE!$U$8-PERALTE!$Q$8)*(RASANTE!F176-PERALTE!$Q$8)-2),IF(RASANTE!F176&lt;=PERALTE!$X$8,8,IF(RASANTE!F176&lt;=PERALTE!$AB$8,(10/(PERALTE!$X$8-PERALTE!$AB$8)*(RASANTE!F176-PERALTE!$AB$8)-2))))),IF(AND(AH!$H$12="Izquierda",RASANTE!F176&lt;=PERALTE!$AB$10),IF(RASANTE!F176&lt;=PERALTE!$S$10,-2,IF(RASANTE!F176&lt;=PERALTE!$U$10,(-6/(PERALTE!$U$10-PERALTE!$S$10)*(RASANTE!F176-PERALTE!$S$10)-2),IF(RASANTE!F176&lt;=PERALTE!$X$10,-8,IF(RASANTE!F176&lt;=PERALTE!$Z$10,(-6/(PERALTE!$X$10-PERALTE!$Z$10)*(RASANTE!F176-PERALTE!$Z$10)-2),IF(RASANTE!F176&lt;=PERALTE!$AB$10,-2))))),IF(AND(AH!$H$12="Derecha",RASANTE!F176&lt;=PERALTE!$AB$10),IF(RASANTE!F176&lt;=PERALTE!$Q$10,-2,IF(RASANTE!F176&lt;=PERALTE!$U$10,(10/(PERALTE!$U$10-PERALTE!$Q$10)*(RASANTE!F176-PERALTE!$Q$10)-2),IF(RASANTE!F176&lt;=PERALTE!$X$10,8,IF(RASANTE!F176&lt;=PERALTE!$AB$10,(10/(PERALTE!$X$10-PERALTE!$AB$10)*(RASANTE!F176-PERALTE!$AB$10)-2))))),IF(AND(AH!$H$14="Izquierda",RASANTE!F176&lt;=PERALTE!$AB$12),IF(RASANTE!F176&lt;=PERALTE!$S$12,-2,IF(RASANTE!F176&lt;=PERALTE!$U$12,(-6/(PERALTE!$U$12-PERALTE!$S$12)*(RASANTE!F176-PERALTE!$S$12)-2),IF(RASANTE!F176&lt;=PERALTE!$X$12,-8,IF(RASANTE!F176&lt;=PERALTE!$Z$12,(-6/(PERALTE!$X$12-PERALTE!$Z$12)*(RASANTE!F176-PERALTE!$Z$12)-2),IF(RASANTE!F176&lt;=PERALTE!$AB$12,-2))))),IF(AND(AH!$H$14="Derecha",RASANTE!F176&lt;=PERALTE!$AB$12),IF(RASANTE!F176&lt;=PERALTE!$Q$12,-2,IF(RASANTE!F176&lt;=PERALTE!$U$12,(10/(PERALTE!$U$12-PERALTE!$Q$12)*(RASANTE!F176-PERALTE!$Q$12)-2),IF(RASANTE!F176&lt;=PERALTE!$X$12,8,IF(RASANTE!F176&lt;=PERALTE!$AB$12,(10/(PERALTE!$X$12-PERALTE!$AB$12)*(RASANTE!F176-PERALTE!$AB$12)-2))))),IF(AND(AH!$H$16="Izquierda",RASANTE!F176&lt;=PERALTE!$AB$14),IF(RASANTE!F176&lt;=PERALTE!$S$14,-2,IF(RASANTE!F176&lt;=PERALTE!$U$14,(-6/(PERALTE!$U$14-PERALTE!$S$14)*(RASANTE!F176-PERALTE!$S$14)-2),IF(RASANTE!F176&lt;=PERALTE!$X$14,-8,IF(RASANTE!F176&lt;=PERALTE!$Z$14,(-6/(PERALTE!$X$14-PERALTE!$Z$14)*(RASANTE!F176-PERALTE!$Z$14)-2),IF(RASANTE!F176&lt;=PERALTE!$AB$14,-2))))),IF(AND(AH!$H$16="Derecha",RASANTE!F176&lt;=PERALTE!$AB$14),IF(RASANTE!F176&lt;=PERALTE!$Q$14,-2,IF(RASANTE!F176&lt;=PERALTE!$U$14,(10/(PERALTE!$U$14-PERALTE!$Q$14)*(RASANTE!F176-PERALTE!$Q$14)-2),IF(RASANTE!F176&lt;=PERALTE!$X$14,8,IF(RASANTE!F176&lt;=PERALTE!$AB$14,(10/(PERALTE!$X$14-PERALTE!$AB$14)*(RASANTE!F176-PERALTE!$AB$14)-2))))),IF(AND(AH!$H$18="Izquierda",RASANTE!F176&lt;=PERALTE!$AB$16),IF(RASANTE!F176&lt;=PERALTE!$S$16,-2,IF(RASANTE!F176&lt;=PERALTE!$U$16,(-6/(PERALTE!$U$16-PERALTE!$S$16)*(RASANTE!F176-PERALTE!$S$16)-2),IF(RASANTE!F176&lt;=PERALTE!$X$16,-8,IF(RASANTE!F176&lt;=PERALTE!$Z$16,(-6/(PERALTE!$X$16-PERALTE!$Z$16)*(RASANTE!F176-PERALTE!$Z$16)-2),IF(RASANTE!F176&lt;=PERALTE!$AB$16,-2))))),IF(AND(AH!$H$18="Derecha",RASANTE!F176&lt;=PERALTE!$AB$16),IF(RASANTE!F176&lt;=PERALTE!$Q$16,-2,IF(RASANTE!F176&lt;=PERALTE!$U$16,(10/(PERALTE!$U$16-PERALTE!$Q$16)*(RASANTE!F176-PERALTE!$Q$16)-2),IF(RASANTE!F176&lt;=PERALTE!$X$16,8,IF(RASANTE!F176&lt;=PERALTE!$AB$16,(10/(PERALTE!$X$16-PERALTE!$AB$16)*(RASANTE!F176-PERALTE!$AB$16)-2))))),IF(AND(AH!$H$20="Izquierda",RASANTE!F176&lt;=PERALTE!$AB$18),IF(RASANTE!F176&lt;=PERALTE!$S$18,-2,IF(RASANTE!F176&lt;=PERALTE!$U$18,(-6/(PERALTE!$U$18-PERALTE!$S$18)*(RASANTE!F176-PERALTE!$S$18)-2),IF(RASANTE!F176&lt;=PERALTE!$X$18,-8,IF(RASANTE!F176&lt;=PERALTE!$Z$18,(-6/(PERALTE!$X$18-PERALTE!$Z$18)*(RASANTE!F176-PERALTE!$Z$18)-2),IF(RASANTE!F176&lt;=PERALTE!$AB$18,-2))))),IF(AND(AH!$H$20="Derecha",RASANTE!F176&lt;=PERALTE!$AB$18),IF(RASANTE!F176&lt;=PERALTE!$Q$18,-2,IF(RASANTE!F176&lt;=PERALTE!$U$18,(10/(PERALTE!$U$18-PERALTE!$Q$18)*(RASANTE!F176-PERALTE!$Q$18)-2),IF(RASANTE!F176&lt;=PERALTE!$X$18,8,IF(RASANTE!F176&lt;=PERALTE!$AB$18,(10/(PERALTE!$X$18-PERALTE!$AB$18)*(RASANTE!F176-PERALTE!$AB$18)-2))))),IF(AND(AH!$H$24="Izquierda",RASANTE!F176&lt;=PERALTE!$AB$22),IF(RASANTE!F176&lt;=PERALTE!$S$22,-2,IF(RASANTE!F176&lt;=PERALTE!$U$22,(-6/(PERALTE!$U$22-PERALTE!$S$22)*(RASANTE!F176-PERALTE!$S$22)-2),IF(RASANTE!F176&lt;=PERALTE!$X$22,-8,IF(RASANTE!F176&lt;=PERALTE!$Z$22,(-6/(PERALTE!$X$22-PERALTE!$Z$22)*(RASANTE!F176-PERALTE!$Z$22)-2),IF(RASANTE!F176&lt;=PERALTE!$AB$22,-2))))),IF(AND(AH!$H$24="Derecha",RASANTE!F176&lt;=PERALTE!$AB$22),IF(RASANTE!F176&lt;=PERALTE!$Q$22,-2,IF(RASANTE!F176&lt;=PERALTE!$U$22,(10/(PERALTE!$U$22-PERALTE!$Q$22)*(RASANTE!F176-PERALTE!$Q$22)-2),IF(RASANTE!F176&lt;=PERALTE!$X$22,8,IF(RASANTE!F176&lt;=PERALTE!$AB$22,(10/(PERALTE!$X$22-PERALTE!$AB$22)*(RASANTE!F176-PERALTE!$AB$22)-2))))),IF(AND(AH!#REF!="Izquierda",RASANTE!F176&lt;=PERALTE!#REF!),IF(RASANTE!F176&lt;=PERALTE!#REF!,-2,IF(RASANTE!F176&lt;=PERALTE!#REF!,(-6/(PERALTE!#REF!-PERALTE!#REF!)*(RASANTE!F176-PERALTE!#REF!)-2),IF(RASANTE!F176&lt;=PERALTE!#REF!,-8,IF(RASANTE!F176&lt;=PERALTE!#REF!,(-6/(PERALTE!#REF!-PERALTE!#REF!)*(RASANTE!F176-PERALTE!#REF!)-2),IF(RASANTE!F176&lt;=PERALTE!#REF!,-2))))),IF(AND(AH!#REF!="Derecha",RASANTE!F176&lt;=PERALTE!#REF!),IF(RASANTE!F176&lt;=PERALTE!#REF!,-2,IF(RASANTE!F176&lt;=PERALTE!#REF!,(10/(PERALTE!#REF!-PERALTE!#REF!)*(RASANTE!F176-PERALTE!#REF!)-2),IF(RASANTE!F176&lt;=PERALTE!#REF!,8,IF(RASANTE!F176&lt;=PERALTE!#REF!,(10/(PERALTE!#REF!-PERALTE!#REF!)*(RASANTE!F176-PERALTE!#REF!)-2))))),IF(AND(AH!#REF!="Izquierda",RASANTE!F176&lt;=PERALTE!$AB$26),IF(RASANTE!F176&lt;=PERALTE!$S$26,-2,IF(RASANTE!F176&lt;=PERALTE!$U$26,(-6/(PERALTE!$U$26-PERALTE!$S$26)*(RASANTE!F176-PERALTE!$S$26)-2),IF(RASANTE!F176&lt;=PERALTE!$X$26,-8,IF(RASANTE!F176&lt;=PERALTE!$Z$26,(-6/(PERALTE!$X$26-PERALTE!$Z$26)*(RASANTE!F176-PERALTE!$Z$26)-2),IF(RASANTE!F176&lt;=PERALTE!$AB$26,-2))))),IF(AND(AH!#REF!="Derecha",RASANTE!F176&lt;=PERALTE!$AB$26),IF(RASANTE!F176&lt;=PERALTE!$Q$26,-2,IF(RASANTE!F176&lt;=PERALTE!$U$26,(10/(PERALTE!$U$26-PERALTE!$Q$26)*(RASANTE!F176-PERALTE!$Q$26)-2),IF(RASANTE!F176&lt;=PERALTE!$X$26,8,IF(RASANTE!F176&lt;=PERALTE!$AB$26,(10/(PERALTE!$X$26-PERALTE!$AB$26)*(RASANTE!F176-PERALTE!$AB$26)-2))))),IF(F176&lt;=PERALTE!#REF!,-2,"Abscisa fuera de la vía")))))))))))))))))))))</f>
        <v>-2</v>
      </c>
      <c r="I176" s="28">
        <f>+IF(AND(AH!$H$8="Derecha",RASANTE!F176&lt;=PERALTE!$AB$6),IF(RASANTE!F176&lt;=PERALTE!$S$6,-2,IF(RASANTE!F176&lt;=PERALTE!$U$6,(-6/(PERALTE!$U$6-PERALTE!$S$6)*(RASANTE!F176-PERALTE!$S$6)-2),IF(RASANTE!F176&lt;=PERALTE!$X$6,-8,IF(RASANTE!F176&lt;=PERALTE!$Z$6,(-6/(PERALTE!$X$6-PERALTE!$Z$6)*(RASANTE!F176-PERALTE!$Z$6)-2),IF(RASANTE!F176&lt;=PERALTE!$AB$6,-2))))),IF(AND(AH!$H$8="Izquierda",RASANTE!F176&lt;=PERALTE!$AB$6),IF(RASANTE!F176&lt;=PERALTE!$Q$6,-2,IF(RASANTE!F176&lt;=PERALTE!$U$6,(10/(PERALTE!$U$6-PERALTE!$Q$6)*(RASANTE!F176-PERALTE!$Q$6)-2),IF(RASANTE!F176&lt;=PERALTE!$X$6,8,IF(RASANTE!F176&lt;=PERALTE!$AB$6,(10/(PERALTE!$X$6-PERALTE!$AB$6)*(RASANTE!F176-PERALTE!$AB$6)-2))))),IF(AND(AH!$H$10="Derecha",RASANTE!F176&lt;=PERALTE!$AB$8),IF(RASANTE!F176&lt;=PERALTE!$S$8,-2,IF(RASANTE!F176&lt;=PERALTE!$U$8,(-6/(PERALTE!$U$8-PERALTE!$S$8)*(RASANTE!F176-PERALTE!$S$8)-2),IF(RASANTE!F176&lt;=PERALTE!$X$8,-8,IF(RASANTE!F176&lt;=PERALTE!$Z$8,(-6/(PERALTE!$X$8-PERALTE!$Z$8)*(RASANTE!F176-PERALTE!$Z$8)-2),IF(RASANTE!F176&lt;=PERALTE!$AB$8,-2))))),IF(AND(AH!$H$10="Izquierda",RASANTE!F176&lt;=PERALTE!$AB$8),IF(RASANTE!F176&lt;=PERALTE!$Q$8,-2,IF(RASANTE!F176&lt;=PERALTE!$U$8,(10/(PERALTE!$U$8-PERALTE!$Q$8)*(RASANTE!F176-PERALTE!$Q$8)-2),IF(RASANTE!F176&lt;=PERALTE!$X$8,8,IF(RASANTE!F176&lt;=PERALTE!$AB$8,(10/(PERALTE!$X$8-PERALTE!$AB$8)*(RASANTE!F176-PERALTE!$AB$8)-2))))),IF(AND(AH!$H$12="Derecha",RASANTE!F176&lt;=PERALTE!$AB$10),IF(RASANTE!F176&lt;=PERALTE!$S$10,-2,IF(RASANTE!F176&lt;=PERALTE!$U$10,(-6/(PERALTE!$U$10-PERALTE!$S$10)*(RASANTE!F176-PERALTE!$S$10)-2),IF(RASANTE!F176&lt;=PERALTE!$X$10,-8,IF(RASANTE!F176&lt;=PERALTE!$Z$10,(-6/(PERALTE!$X$10-PERALTE!$Z$10)*(RASANTE!F176-PERALTE!$Z$10)-2),IF(RASANTE!F176&lt;=PERALTE!$AB$10,-2))))),IF(AND(AH!$H$12="Izquierda",RASANTE!F176&lt;=PERALTE!$AB$10),IF(RASANTE!F176&lt;=PERALTE!$Q$10,-2,IF(RASANTE!F176&lt;=PERALTE!$U$10,(10/(PERALTE!$U$10-PERALTE!$Q$10)*(RASANTE!F176-PERALTE!$Q$10)-2),IF(RASANTE!F176&lt;=PERALTE!$X$10,8,IF(RASANTE!F176&lt;=PERALTE!$AB$10,(10/(PERALTE!$X$10-PERALTE!$AB$10)*(RASANTE!F176-PERALTE!$AB$10)-2))))),IF(AND(AH!$H$14="Derecha",RASANTE!F176&lt;=PERALTE!$AB$12),IF(RASANTE!F176&lt;=PERALTE!$S$12,-2,IF(RASANTE!F176&lt;=PERALTE!$U$12,(-6/(PERALTE!$U$12-PERALTE!$S$12)*(RASANTE!F176-PERALTE!$S$12)-2),IF(RASANTE!F176&lt;=PERALTE!$X$12,-8,IF(RASANTE!F176&lt;=PERALTE!$Z$12,(-6/(PERALTE!$X$12-PERALTE!$Z$12)*(RASANTE!F176-PERALTE!$Z$12)-2),IF(RASANTE!F176&lt;=PERALTE!$AB$12,-2))))),IF(AND(AH!$H$14="Izquierda",RASANTE!F176&lt;=PERALTE!$AB$12),IF(RASANTE!F176&lt;=PERALTE!$Q$12,-2,IF(RASANTE!F176&lt;=PERALTE!$U$12,(10/(PERALTE!$U$12-PERALTE!$Q$12)*(RASANTE!F176-PERALTE!$Q$12)-2),IF(RASANTE!F176&lt;=PERALTE!$X$12,8,IF(RASANTE!F176&lt;=PERALTE!$AB$12,(10/(PERALTE!$X$12-PERALTE!$AB$12)*(RASANTE!F176-PERALTE!$AB$12)-2))))),IF(AND(AH!$H$16="Derecha",RASANTE!F176&lt;=PERALTE!$AB$14),IF(RASANTE!F176&lt;=PERALTE!$S$14,-2,IF(RASANTE!F176&lt;=PERALTE!$U$14,(-6/(PERALTE!$U$14-PERALTE!$S$14)*(RASANTE!F176-PERALTE!$S$14)-2),IF(RASANTE!F176&lt;=PERALTE!$X$14,-8,IF(RASANTE!F176&lt;=PERALTE!$Z$14,(-6/(PERALTE!$X$14-PERALTE!$Z$14)*(RASANTE!F176-PERALTE!$Z$14)-2),IF(RASANTE!F176&lt;=PERALTE!$AB$14,-2))))),IF(AND(AH!$H$16="Izquierda",RASANTE!F176&lt;=PERALTE!$AB$14),IF(RASANTE!F176&lt;=PERALTE!$Q$14,-2,IF(RASANTE!F176&lt;=PERALTE!$U$14,(10/(PERALTE!$U$14-PERALTE!$Q$14)*(RASANTE!F176-PERALTE!$Q$14)-2),IF(RASANTE!F176&lt;=PERALTE!$X$14,8,IF(RASANTE!F176&lt;=PERALTE!$AB$14,(10/(PERALTE!$X$14-PERALTE!$AB$14)*(RASANTE!F176-PERALTE!$AB$14)-2))))),IF(AND(AH!$H$18="Derecha",RASANTE!F176&lt;=PERALTE!$AB$16),IF(RASANTE!F176&lt;=PERALTE!$S$16,-2,IF(RASANTE!F176&lt;=PERALTE!$U$16,(-6/(PERALTE!$U$16-PERALTE!$S$16)*(RASANTE!F176-PERALTE!$S$16)-2),IF(RASANTE!F176&lt;=PERALTE!$X$16,-8,IF(RASANTE!F176&lt;=PERALTE!$Z$16,(-6/(PERALTE!$X$16-PERALTE!$Z$16)*(RASANTE!F176-PERALTE!$Z$16)-2),IF(RASANTE!F176&lt;=PERALTE!$AB$16,-2))))),IF(AND(AH!$H$18="Izquierda",RASANTE!F176&lt;=PERALTE!$AB$16),IF(RASANTE!F176&lt;=PERALTE!$Q$16,-2,IF(RASANTE!F176&lt;=PERALTE!$U$16,(10/(PERALTE!$U$16-PERALTE!$Q$16)*(RASANTE!F176-PERALTE!$Q$16)-2),IF(RASANTE!F176&lt;=PERALTE!$X$16,8,IF(RASANTE!F176&lt;=PERALTE!$AB$16,(10/(PERALTE!$X$16-PERALTE!$AB$16)*(RASANTE!F176-PERALTE!$AB$16)-2))))),IF(AND(AH!$H$20="Derecha",RASANTE!F176&lt;=PERALTE!$AB$18),IF(RASANTE!F176&lt;=PERALTE!$S$18,-2,IF(RASANTE!F176&lt;=PERALTE!$U$18,(-6/(PERALTE!$U$18-PERALTE!$S$18)*(RASANTE!F176-PERALTE!$S$18)-2),IF(RASANTE!F176&lt;=PERALTE!$X$18,-8,IF(RASANTE!F176&lt;=PERALTE!$Z$18,(-6/(PERALTE!$X$18-PERALTE!$Z$18)*(RASANTE!F176-PERALTE!$Z$18)-2),IF(RASANTE!F176&lt;=PERALTE!$AB$18,-2))))),IF(AND(AH!$H$20="Izquierda",RASANTE!F176&lt;=PERALTE!$AB$18),IF(RASANTE!F176&lt;=PERALTE!$Q$18,-2,IF(RASANTE!F176&lt;=PERALTE!$U$18,(10/(PERALTE!$U$18-PERALTE!$Q$18)*(RASANTE!F176-PERALTE!$Q$18)-2),IF(RASANTE!F176&lt;=PERALTE!$X$18,8,IF(RASANTE!F176&lt;=PERALTE!$AB$18,(10/(PERALTE!$X$18-PERALTE!$AB$18)*(RASANTE!F176-PERALTE!$AB$18)-2))))),IF(AND(AH!$H$24="Derecha",RASANTE!F176&lt;=PERALTE!$AB$22),IF(RASANTE!F176&lt;=PERALTE!$S$22,-2,IF(RASANTE!F176&lt;=PERALTE!$U$22,(-6/(PERALTE!$U$22-PERALTE!$S$22)*(RASANTE!F176-PERALTE!$S$22)-2),IF(RASANTE!F176&lt;=PERALTE!$X$22,-8,IF(RASANTE!F176&lt;=PERALTE!$Z$22,(-6/(PERALTE!$X$22-PERALTE!$Z$22)*(RASANTE!F176-PERALTE!$Z$22)-2),IF(RASANTE!F176&lt;=PERALTE!$AB$22,-2))))),IF(AND(AH!$H$24="Izquierda",RASANTE!F176&lt;=PERALTE!$AB$22),IF(RASANTE!F176&lt;=PERALTE!$Q$22,-2,IF(RASANTE!F176&lt;=PERALTE!$U$22,(10/(PERALTE!$U$22-PERALTE!$Q$22)*(RASANTE!F176-PERALTE!$Q$22)-2),IF(RASANTE!F176&lt;=PERALTE!$X$22,8,IF(RASANTE!F176&lt;=PERALTE!$AB$22,(10/(PERALTE!$X$22-PERALTE!$AB$22)*(RASANTE!F176-PERALTE!$AB$22)-2))))),IF(AND(AH!#REF!="Derecha",RASANTE!F176&lt;=PERALTE!#REF!),IF(RASANTE!F176&lt;=PERALTE!#REF!,-2,IF(RASANTE!F176&lt;=PERALTE!#REF!,(-6/(PERALTE!#REF!-PERALTE!#REF!)*(RASANTE!F176-PERALTE!#REF!)-2),IF(RASANTE!F176&lt;=PERALTE!#REF!,-8,IF(RASANTE!F176&lt;=PERALTE!#REF!,(-6/(PERALTE!#REF!-PERALTE!#REF!)*(RASANTE!F176-PERALTE!#REF!)-2),IF(RASANTE!F176&lt;=PERALTE!#REF!,-2))))),IF(AND(AH!#REF!="Izquierda",RASANTE!F176&lt;=PERALTE!#REF!),IF(RASANTE!F176&lt;=PERALTE!#REF!,-2,IF(RASANTE!F176&lt;=PERALTE!#REF!,(10/(PERALTE!#REF!-PERALTE!#REF!)*(RASANTE!F176-PERALTE!#REF!)-2),IF(RASANTE!F176&lt;=PERALTE!#REF!,8,IF(RASANTE!F176&lt;=PERALTE!#REF!,(10/(PERALTE!#REF!-PERALTE!#REF!)*(RASANTE!F176-PERALTE!#REF!)-2))))),IF(AND(AH!#REF!="Derecha",RASANTE!F176&lt;=PERALTE!$AB$26),IF(RASANTE!F176&lt;=PERALTE!$S$26,-2,IF(RASANTE!F176&lt;=PERALTE!$U$26,(-6/(PERALTE!$U$26-PERALTE!$S$26)*(RASANTE!F176-PERALTE!$S$26)-2),IF(RASANTE!F176&lt;=PERALTE!$X$26,-8,IF(RASANTE!F176&lt;=PERALTE!$Z$26,(-6/(PERALTE!$X$26-PERALTE!$Z$26)*(RASANTE!F176-PERALTE!$Z$26)-2),IF(RASANTE!F176&lt;=PERALTE!$AB$26,-2))))),IF(AND(AH!#REF!="Izquierda",RASANTE!F176&lt;=PERALTE!$AB$26),IF(RASANTE!F176&lt;=PERALTE!$Q$26,-2,IF(RASANTE!F176&lt;=PERALTE!$U$26,(10/(PERALTE!$U$26-PERALTE!$Q$26)*(RASANTE!F176-PERALTE!$Q$26)-2),IF(RASANTE!F176&lt;=PERALTE!$X$26,8,IF(RASANTE!F176&lt;=PERALTE!$AB$26,(10/(PERALTE!$X$26-PERALTE!$AB$26)*(RASANTE!F176-PERALTE!$AB$26)-2))))),IF(F176&lt;=PERALTE!#REF!,-2,"Abscisa fuera de la vía")))))))))))))))))))))</f>
        <v>-0.62504702536181767</v>
      </c>
      <c r="J176" s="28">
        <f t="shared" si="6"/>
        <v>1614.0411380375926</v>
      </c>
      <c r="K176" s="28">
        <f>+IF(AND(AV!$S$6&lt;F176,F176&lt;=AV!$T$6),AV!$P$6*((AV!$S$6-RASANTE!F176)/(AV!$N$6))^2,IF(AND(AV!$T$6&lt;RASANTE!F176,F176&lt;AV!$U$6),AV!$P$6*((AV!$U$6-RASANTE!F176)/(AV!$O$6))^2,IF(AND(AV!$S$8&lt;F176,F176&lt;=AV!$T$8),AV!$P$8*((AV!$S$8-RASANTE!F176)/(AV!$N$8))^2,IF(AND(AV!$T$8&lt;RASANTE!F176,F176&lt;AV!$U$8),AV!$P$8*((AV!$U$8-RASANTE!F176)/(AV!$O$8))^2,IF(AND(AV!$S$10&lt;F176,F176&lt;=AV!$T$10),AV!$P$10*((AV!$S$10-RASANTE!F176)/(AV!$N$10))^2,IF(AND(AV!$T$10&lt;RASANTE!F176,F176&lt;AV!$U$10),AV!$P$10*((AV!$U$10-RASANTE!F176)/(AV!$O$10))^2,IF(AND(AV!$S$12&lt;F176,F176&lt;=AV!$T$12),AV!$P$12*((AV!$S$12-RASANTE!F176)/(AV!$N$12))^2,IF(AND(AV!$T$12&lt;RASANTE!F176,F176&lt;AV!$U$12),AV!$P$12*((AV!$U$12-RASANTE!F176)/(AV!$O$12))^2,IF(AND(AV!$S$14&lt;F176,F176&lt;=AV!$T$14),AV!$P$14*((AV!$S$14-RASANTE!F176)/(AV!$N$14))^2,IF(AND(AV!$T$14&lt;RASANTE!F176,F176&lt;AV!$U$14),AV!$P$14*((AV!$U$14-RASANTE!F176)/(AV!$O$14))^2,IF(AND(AV!$S$16&lt;F176,F176&lt;=AV!$T$16),AV!$P$16*((AV!$S$16-RASANTE!F176)/(AV!$N$16))^2,IF(AND(AV!$T$16&lt;RASANTE!F176,F176&lt;AV!$U$16),AV!$P$16*((AV!$U$16-RASANTE!F176)/(AV!$O$16))^2,IF(AND(AV!$S$18&lt;F176,F176&lt;=AV!$T$18),AV!$P$18*((AV!$S$18-RASANTE!F176)/(AV!$N$18))^2,IF(AND(AV!$T$18&lt;RASANTE!F176,F176&lt;AV!$U$18),AV!$P$18*((AV!$U$18-RASANTE!F176)/(AV!$O$18))^2,IF(AND(AV!$S$20&lt;F176,F176&lt;=AV!$T$20),AV!$P$20*((AV!$S$20-RASANTE!F176)/(AV!$N$20))^2,IF(AND(AV!$T$20&lt;RASANTE!F176,F176&lt;AV!$U$20),AV!$P$20*((AV!$U$20-RASANTE!F176)/(AV!$O$20))^2,IF(AND(AV!$S$22&lt;F176,F176&lt;=AV!$T$22),AV!$P$22*((AV!$S$22-RASANTE!F176)/(AV!$N$22))^2,IF(AND(AV!$T$22&lt;RASANTE!F176,F176&lt;AV!$U$22),AV!$P$22*((AV!$U$22-RASANTE!F176)/(AV!$O$22))^2,IF(AND(AV!$S$24&lt;F176,F176&lt;=AV!$T$24),AV!$P$24*((AV!$S$24-RASANTE!F176)/(AV!$N$24))^2,IF(AND(AV!$T$24&lt;RASANTE!F176,F176&lt;AV!$U$24),AV!$P$24*((AV!$U$24-RASANTE!F176)/(AV!$O$24))^2,0))))))))))))))))))))</f>
        <v>8.1547781249999993E-2</v>
      </c>
      <c r="L176" s="28">
        <f>+M176+H176%*PERALTE!$C$32</f>
        <v>1614.0526858188427</v>
      </c>
      <c r="M176" s="28">
        <f t="shared" si="7"/>
        <v>1614.1226858188427</v>
      </c>
      <c r="N176" s="28">
        <f>+M176+I176%*PERALTE!$C$32</f>
        <v>1614.100809172955</v>
      </c>
      <c r="O176" s="92"/>
      <c r="P176" s="84"/>
      <c r="Q176" s="84"/>
      <c r="R176" s="84"/>
      <c r="S176" s="84"/>
      <c r="T176" s="84"/>
      <c r="U176" s="84"/>
      <c r="V176" s="84"/>
      <c r="W176" s="84"/>
      <c r="X176" s="84"/>
      <c r="Y176" s="84"/>
    </row>
    <row r="177" spans="1:25" ht="15.75" customHeight="1" x14ac:dyDescent="0.2">
      <c r="A177" s="90" t="s">
        <v>349</v>
      </c>
      <c r="B177" s="86"/>
      <c r="C177" s="86"/>
      <c r="D177" s="86"/>
      <c r="F177" s="34">
        <f>PERALTE!R14</f>
        <v>1112.8411228425537</v>
      </c>
      <c r="G177" s="352">
        <f>IF(F177&lt;=AV!$T$6,AV!$C$5,IF(RASANTE!F177&lt;=AV!$T$8,AV!$C$7,IF(RASANTE!F177&lt;=AV!$T$10,AV!$C$9,IF(RASANTE!F177&lt;=AV!$T$12,AV!$C$11,IF(RASANTE!F177&lt;=AV!$T$14,AV!$C$13,IF(RASANTE!F177&lt;=AV!$T$16,AV!$C$15, IF(RASANTE!F177&lt;=AV!$T$18,AV!$C$17,IF(RASANTE!F177&lt;=AV!$T$20,AV!$C$19,IF(RASANTE!F177&lt;=AV!$T$22,AV!$C$21,IF(RASANTE!F177&lt;=AV!$T$24,AV!$C$23,AV!$C$25))))))))))</f>
        <v>8.1999999999999993</v>
      </c>
      <c r="H177" s="28">
        <f>+IF(AND(AH!$H$8="Izquierda",RASANTE!F177&lt;=PERALTE!$AB$6),IF(RASANTE!F177&lt;=PERALTE!$S$6,-2,IF(RASANTE!F177&lt;=PERALTE!$U$6,(-6/(PERALTE!$U$6-PERALTE!$S$6)*(RASANTE!F177-PERALTE!$S$6)-2),IF(RASANTE!F177&lt;=PERALTE!$X$6,-8,IF(RASANTE!F177&lt;=PERALTE!$Z$6,(-6/(PERALTE!$X$6-PERALTE!$Z$6)*(RASANTE!F177-PERALTE!$Z$6)-2),IF(RASANTE!F177&lt;=PERALTE!$AB$6,-2))))),IF(AND(AH!$H$8="Derecha",RASANTE!F177&lt;=PERALTE!$AB$6),IF(RASANTE!F177&lt;=PERALTE!$Q$6,-2,IF(RASANTE!F177&lt;=PERALTE!$U$6,(10/(PERALTE!$U$6-PERALTE!$Q$6)*(RASANTE!F177-PERALTE!$Q$6)-2),IF(RASANTE!F177&lt;=PERALTE!$X$6,8,IF(RASANTE!F177&lt;=PERALTE!$AB$6,(10/(PERALTE!$X$6-PERALTE!$AB$6)*(RASANTE!F177-PERALTE!$AB$6)-2))))),IF(AND(AH!$H$10="Izquierda",RASANTE!F177&lt;=PERALTE!$AB$8),IF(RASANTE!F177&lt;=PERALTE!$S$8,-2,IF(RASANTE!F177&lt;=PERALTE!$U$8,(-6/(PERALTE!$U$8-PERALTE!$S$8)*(RASANTE!F177-PERALTE!$S$8)-2),IF(RASANTE!F177&lt;=PERALTE!$X$8,-8,IF(RASANTE!F177&lt;=PERALTE!$Z$8,(-6/(PERALTE!$X$8-PERALTE!$Z$8)*(RASANTE!F177-PERALTE!$Z$8)-2),IF(RASANTE!F177&lt;=PERALTE!$AB$8,-2))))),IF(AND(AH!$H$10="Derecha",RASANTE!F177&lt;=PERALTE!$AB$8),IF(RASANTE!F177&lt;=PERALTE!$Q$8,-2,IF(RASANTE!F177&lt;=PERALTE!$U$8,(10/(PERALTE!$U$8-PERALTE!$Q$8)*(RASANTE!F177-PERALTE!$Q$8)-2),IF(RASANTE!F177&lt;=PERALTE!$X$8,8,IF(RASANTE!F177&lt;=PERALTE!$AB$8,(10/(PERALTE!$X$8-PERALTE!$AB$8)*(RASANTE!F177-PERALTE!$AB$8)-2))))),IF(AND(AH!$H$12="Izquierda",RASANTE!F177&lt;=PERALTE!$AB$10),IF(RASANTE!F177&lt;=PERALTE!$S$10,-2,IF(RASANTE!F177&lt;=PERALTE!$U$10,(-6/(PERALTE!$U$10-PERALTE!$S$10)*(RASANTE!F177-PERALTE!$S$10)-2),IF(RASANTE!F177&lt;=PERALTE!$X$10,-8,IF(RASANTE!F177&lt;=PERALTE!$Z$10,(-6/(PERALTE!$X$10-PERALTE!$Z$10)*(RASANTE!F177-PERALTE!$Z$10)-2),IF(RASANTE!F177&lt;=PERALTE!$AB$10,-2))))),IF(AND(AH!$H$12="Derecha",RASANTE!F177&lt;=PERALTE!$AB$10),IF(RASANTE!F177&lt;=PERALTE!$Q$10,-2,IF(RASANTE!F177&lt;=PERALTE!$U$10,(10/(PERALTE!$U$10-PERALTE!$Q$10)*(RASANTE!F177-PERALTE!$Q$10)-2),IF(RASANTE!F177&lt;=PERALTE!$X$10,8,IF(RASANTE!F177&lt;=PERALTE!$AB$10,(10/(PERALTE!$X$10-PERALTE!$AB$10)*(RASANTE!F177-PERALTE!$AB$10)-2))))),IF(AND(AH!$H$14="Izquierda",RASANTE!F177&lt;=PERALTE!$AB$12),IF(RASANTE!F177&lt;=PERALTE!$S$12,-2,IF(RASANTE!F177&lt;=PERALTE!$U$12,(-6/(PERALTE!$U$12-PERALTE!$S$12)*(RASANTE!F177-PERALTE!$S$12)-2),IF(RASANTE!F177&lt;=PERALTE!$X$12,-8,IF(RASANTE!F177&lt;=PERALTE!$Z$12,(-6/(PERALTE!$X$12-PERALTE!$Z$12)*(RASANTE!F177-PERALTE!$Z$12)-2),IF(RASANTE!F177&lt;=PERALTE!$AB$12,-2))))),IF(AND(AH!$H$14="Derecha",RASANTE!F177&lt;=PERALTE!$AB$12),IF(RASANTE!F177&lt;=PERALTE!$Q$12,-2,IF(RASANTE!F177&lt;=PERALTE!$U$12,(10/(PERALTE!$U$12-PERALTE!$Q$12)*(RASANTE!F177-PERALTE!$Q$12)-2),IF(RASANTE!F177&lt;=PERALTE!$X$12,8,IF(RASANTE!F177&lt;=PERALTE!$AB$12,(10/(PERALTE!$X$12-PERALTE!$AB$12)*(RASANTE!F177-PERALTE!$AB$12)-2))))),IF(AND(AH!$H$16="Izquierda",RASANTE!F177&lt;=PERALTE!$AB$14),IF(RASANTE!F177&lt;=PERALTE!$S$14,-2,IF(RASANTE!F177&lt;=PERALTE!$U$14,(-6/(PERALTE!$U$14-PERALTE!$S$14)*(RASANTE!F177-PERALTE!$S$14)-2),IF(RASANTE!F177&lt;=PERALTE!$X$14,-8,IF(RASANTE!F177&lt;=PERALTE!$Z$14,(-6/(PERALTE!$X$14-PERALTE!$Z$14)*(RASANTE!F177-PERALTE!$Z$14)-2),IF(RASANTE!F177&lt;=PERALTE!$AB$14,-2))))),IF(AND(AH!$H$16="Derecha",RASANTE!F177&lt;=PERALTE!$AB$14),IF(RASANTE!F177&lt;=PERALTE!$Q$14,-2,IF(RASANTE!F177&lt;=PERALTE!$U$14,(10/(PERALTE!$U$14-PERALTE!$Q$14)*(RASANTE!F177-PERALTE!$Q$14)-2),IF(RASANTE!F177&lt;=PERALTE!$X$14,8,IF(RASANTE!F177&lt;=PERALTE!$AB$14,(10/(PERALTE!$X$14-PERALTE!$AB$14)*(RASANTE!F177-PERALTE!$AB$14)-2))))),IF(AND(AH!$H$18="Izquierda",RASANTE!F177&lt;=PERALTE!$AB$16),IF(RASANTE!F177&lt;=PERALTE!$S$16,-2,IF(RASANTE!F177&lt;=PERALTE!$U$16,(-6/(PERALTE!$U$16-PERALTE!$S$16)*(RASANTE!F177-PERALTE!$S$16)-2),IF(RASANTE!F177&lt;=PERALTE!$X$16,-8,IF(RASANTE!F177&lt;=PERALTE!$Z$16,(-6/(PERALTE!$X$16-PERALTE!$Z$16)*(RASANTE!F177-PERALTE!$Z$16)-2),IF(RASANTE!F177&lt;=PERALTE!$AB$16,-2))))),IF(AND(AH!$H$18="Derecha",RASANTE!F177&lt;=PERALTE!$AB$16),IF(RASANTE!F177&lt;=PERALTE!$Q$16,-2,IF(RASANTE!F177&lt;=PERALTE!$U$16,(10/(PERALTE!$U$16-PERALTE!$Q$16)*(RASANTE!F177-PERALTE!$Q$16)-2),IF(RASANTE!F177&lt;=PERALTE!$X$16,8,IF(RASANTE!F177&lt;=PERALTE!$AB$16,(10/(PERALTE!$X$16-PERALTE!$AB$16)*(RASANTE!F177-PERALTE!$AB$16)-2))))),IF(AND(AH!$H$20="Izquierda",RASANTE!F177&lt;=PERALTE!$AB$18),IF(RASANTE!F177&lt;=PERALTE!$S$18,-2,IF(RASANTE!F177&lt;=PERALTE!$U$18,(-6/(PERALTE!$U$18-PERALTE!$S$18)*(RASANTE!F177-PERALTE!$S$18)-2),IF(RASANTE!F177&lt;=PERALTE!$X$18,-8,IF(RASANTE!F177&lt;=PERALTE!$Z$18,(-6/(PERALTE!$X$18-PERALTE!$Z$18)*(RASANTE!F177-PERALTE!$Z$18)-2),IF(RASANTE!F177&lt;=PERALTE!$AB$18,-2))))),IF(AND(AH!$H$20="Derecha",RASANTE!F177&lt;=PERALTE!$AB$18),IF(RASANTE!F177&lt;=PERALTE!$Q$18,-2,IF(RASANTE!F177&lt;=PERALTE!$U$18,(10/(PERALTE!$U$18-PERALTE!$Q$18)*(RASANTE!F177-PERALTE!$Q$18)-2),IF(RASANTE!F177&lt;=PERALTE!$X$18,8,IF(RASANTE!F177&lt;=PERALTE!$AB$18,(10/(PERALTE!$X$18-PERALTE!$AB$18)*(RASANTE!F177-PERALTE!$AB$18)-2))))),IF(AND(AH!$H$24="Izquierda",RASANTE!F177&lt;=PERALTE!$AB$22),IF(RASANTE!F177&lt;=PERALTE!$S$22,-2,IF(RASANTE!F177&lt;=PERALTE!$U$22,(-6/(PERALTE!$U$22-PERALTE!$S$22)*(RASANTE!F177-PERALTE!$S$22)-2),IF(RASANTE!F177&lt;=PERALTE!$X$22,-8,IF(RASANTE!F177&lt;=PERALTE!$Z$22,(-6/(PERALTE!$X$22-PERALTE!$Z$22)*(RASANTE!F177-PERALTE!$Z$22)-2),IF(RASANTE!F177&lt;=PERALTE!$AB$22,-2))))),IF(AND(AH!$H$24="Derecha",RASANTE!F177&lt;=PERALTE!$AB$22),IF(RASANTE!F177&lt;=PERALTE!$Q$22,-2,IF(RASANTE!F177&lt;=PERALTE!$U$22,(10/(PERALTE!$U$22-PERALTE!$Q$22)*(RASANTE!F177-PERALTE!$Q$22)-2),IF(RASANTE!F177&lt;=PERALTE!$X$22,8,IF(RASANTE!F177&lt;=PERALTE!$AB$22,(10/(PERALTE!$X$22-PERALTE!$AB$22)*(RASANTE!F177-PERALTE!$AB$22)-2))))),IF(AND(AH!#REF!="Izquierda",RASANTE!F177&lt;=PERALTE!#REF!),IF(RASANTE!F177&lt;=PERALTE!#REF!,-2,IF(RASANTE!F177&lt;=PERALTE!#REF!,(-6/(PERALTE!#REF!-PERALTE!#REF!)*(RASANTE!F177-PERALTE!#REF!)-2),IF(RASANTE!F177&lt;=PERALTE!#REF!,-8,IF(RASANTE!F177&lt;=PERALTE!#REF!,(-6/(PERALTE!#REF!-PERALTE!#REF!)*(RASANTE!F177-PERALTE!#REF!)-2),IF(RASANTE!F177&lt;=PERALTE!#REF!,-2))))),IF(AND(AH!#REF!="Derecha",RASANTE!F177&lt;=PERALTE!#REF!),IF(RASANTE!F177&lt;=PERALTE!#REF!,-2,IF(RASANTE!F177&lt;=PERALTE!#REF!,(10/(PERALTE!#REF!-PERALTE!#REF!)*(RASANTE!F177-PERALTE!#REF!)-2),IF(RASANTE!F177&lt;=PERALTE!#REF!,8,IF(RASANTE!F177&lt;=PERALTE!#REF!,(10/(PERALTE!#REF!-PERALTE!#REF!)*(RASANTE!F177-PERALTE!#REF!)-2))))),IF(AND(AH!#REF!="Izquierda",RASANTE!F177&lt;=PERALTE!$AB$26),IF(RASANTE!F177&lt;=PERALTE!$S$26,-2,IF(RASANTE!F177&lt;=PERALTE!$U$26,(-6/(PERALTE!$U$26-PERALTE!$S$26)*(RASANTE!F177-PERALTE!$S$26)-2),IF(RASANTE!F177&lt;=PERALTE!$X$26,-8,IF(RASANTE!F177&lt;=PERALTE!$Z$26,(-6/(PERALTE!$X$26-PERALTE!$Z$26)*(RASANTE!F177-PERALTE!$Z$26)-2),IF(RASANTE!F177&lt;=PERALTE!$AB$26,-2))))),IF(AND(AH!#REF!="Derecha",RASANTE!F177&lt;=PERALTE!$AB$26),IF(RASANTE!F177&lt;=PERALTE!$Q$26,-2,IF(RASANTE!F177&lt;=PERALTE!$U$26,(10/(PERALTE!$U$26-PERALTE!$Q$26)*(RASANTE!F177-PERALTE!$Q$26)-2),IF(RASANTE!F177&lt;=PERALTE!$X$26,8,IF(RASANTE!F177&lt;=PERALTE!$AB$26,(10/(PERALTE!$X$26-PERALTE!$AB$26)*(RASANTE!F177-PERALTE!$AB$26)-2))))),IF(F177&lt;=PERALTE!#REF!,-2,"Abscisa fuera de la vía")))))))))))))))))))))</f>
        <v>-2</v>
      </c>
      <c r="I177" s="28">
        <f>+IF(AND(AH!$H$8="Derecha",RASANTE!F177&lt;=PERALTE!$AB$6),IF(RASANTE!F177&lt;=PERALTE!$S$6,-2,IF(RASANTE!F177&lt;=PERALTE!$U$6,(-6/(PERALTE!$U$6-PERALTE!$S$6)*(RASANTE!F177-PERALTE!$S$6)-2),IF(RASANTE!F177&lt;=PERALTE!$X$6,-8,IF(RASANTE!F177&lt;=PERALTE!$Z$6,(-6/(PERALTE!$X$6-PERALTE!$Z$6)*(RASANTE!F177-PERALTE!$Z$6)-2),IF(RASANTE!F177&lt;=PERALTE!$AB$6,-2))))),IF(AND(AH!$H$8="Izquierda",RASANTE!F177&lt;=PERALTE!$AB$6),IF(RASANTE!F177&lt;=PERALTE!$Q$6,-2,IF(RASANTE!F177&lt;=PERALTE!$U$6,(10/(PERALTE!$U$6-PERALTE!$Q$6)*(RASANTE!F177-PERALTE!$Q$6)-2),IF(RASANTE!F177&lt;=PERALTE!$X$6,8,IF(RASANTE!F177&lt;=PERALTE!$AB$6,(10/(PERALTE!$X$6-PERALTE!$AB$6)*(RASANTE!F177-PERALTE!$AB$6)-2))))),IF(AND(AH!$H$10="Derecha",RASANTE!F177&lt;=PERALTE!$AB$8),IF(RASANTE!F177&lt;=PERALTE!$S$8,-2,IF(RASANTE!F177&lt;=PERALTE!$U$8,(-6/(PERALTE!$U$8-PERALTE!$S$8)*(RASANTE!F177-PERALTE!$S$8)-2),IF(RASANTE!F177&lt;=PERALTE!$X$8,-8,IF(RASANTE!F177&lt;=PERALTE!$Z$8,(-6/(PERALTE!$X$8-PERALTE!$Z$8)*(RASANTE!F177-PERALTE!$Z$8)-2),IF(RASANTE!F177&lt;=PERALTE!$AB$8,-2))))),IF(AND(AH!$H$10="Izquierda",RASANTE!F177&lt;=PERALTE!$AB$8),IF(RASANTE!F177&lt;=PERALTE!$Q$8,-2,IF(RASANTE!F177&lt;=PERALTE!$U$8,(10/(PERALTE!$U$8-PERALTE!$Q$8)*(RASANTE!F177-PERALTE!$Q$8)-2),IF(RASANTE!F177&lt;=PERALTE!$X$8,8,IF(RASANTE!F177&lt;=PERALTE!$AB$8,(10/(PERALTE!$X$8-PERALTE!$AB$8)*(RASANTE!F177-PERALTE!$AB$8)-2))))),IF(AND(AH!$H$12="Derecha",RASANTE!F177&lt;=PERALTE!$AB$10),IF(RASANTE!F177&lt;=PERALTE!$S$10,-2,IF(RASANTE!F177&lt;=PERALTE!$U$10,(-6/(PERALTE!$U$10-PERALTE!$S$10)*(RASANTE!F177-PERALTE!$S$10)-2),IF(RASANTE!F177&lt;=PERALTE!$X$10,-8,IF(RASANTE!F177&lt;=PERALTE!$Z$10,(-6/(PERALTE!$X$10-PERALTE!$Z$10)*(RASANTE!F177-PERALTE!$Z$10)-2),IF(RASANTE!F177&lt;=PERALTE!$AB$10,-2))))),IF(AND(AH!$H$12="Izquierda",RASANTE!F177&lt;=PERALTE!$AB$10),IF(RASANTE!F177&lt;=PERALTE!$Q$10,-2,IF(RASANTE!F177&lt;=PERALTE!$U$10,(10/(PERALTE!$U$10-PERALTE!$Q$10)*(RASANTE!F177-PERALTE!$Q$10)-2),IF(RASANTE!F177&lt;=PERALTE!$X$10,8,IF(RASANTE!F177&lt;=PERALTE!$AB$10,(10/(PERALTE!$X$10-PERALTE!$AB$10)*(RASANTE!F177-PERALTE!$AB$10)-2))))),IF(AND(AH!$H$14="Derecha",RASANTE!F177&lt;=PERALTE!$AB$12),IF(RASANTE!F177&lt;=PERALTE!$S$12,-2,IF(RASANTE!F177&lt;=PERALTE!$U$12,(-6/(PERALTE!$U$12-PERALTE!$S$12)*(RASANTE!F177-PERALTE!$S$12)-2),IF(RASANTE!F177&lt;=PERALTE!$X$12,-8,IF(RASANTE!F177&lt;=PERALTE!$Z$12,(-6/(PERALTE!$X$12-PERALTE!$Z$12)*(RASANTE!F177-PERALTE!$Z$12)-2),IF(RASANTE!F177&lt;=PERALTE!$AB$12,-2))))),IF(AND(AH!$H$14="Izquierda",RASANTE!F177&lt;=PERALTE!$AB$12),IF(RASANTE!F177&lt;=PERALTE!$Q$12,-2,IF(RASANTE!F177&lt;=PERALTE!$U$12,(10/(PERALTE!$U$12-PERALTE!$Q$12)*(RASANTE!F177-PERALTE!$Q$12)-2),IF(RASANTE!F177&lt;=PERALTE!$X$12,8,IF(RASANTE!F177&lt;=PERALTE!$AB$12,(10/(PERALTE!$X$12-PERALTE!$AB$12)*(RASANTE!F177-PERALTE!$AB$12)-2))))),IF(AND(AH!$H$16="Derecha",RASANTE!F177&lt;=PERALTE!$AB$14),IF(RASANTE!F177&lt;=PERALTE!$S$14,-2,IF(RASANTE!F177&lt;=PERALTE!$U$14,(-6/(PERALTE!$U$14-PERALTE!$S$14)*(RASANTE!F177-PERALTE!$S$14)-2),IF(RASANTE!F177&lt;=PERALTE!$X$14,-8,IF(RASANTE!F177&lt;=PERALTE!$Z$14,(-6/(PERALTE!$X$14-PERALTE!$Z$14)*(RASANTE!F177-PERALTE!$Z$14)-2),IF(RASANTE!F177&lt;=PERALTE!$AB$14,-2))))),IF(AND(AH!$H$16="Izquierda",RASANTE!F177&lt;=PERALTE!$AB$14),IF(RASANTE!F177&lt;=PERALTE!$Q$14,-2,IF(RASANTE!F177&lt;=PERALTE!$U$14,(10/(PERALTE!$U$14-PERALTE!$Q$14)*(RASANTE!F177-PERALTE!$Q$14)-2),IF(RASANTE!F177&lt;=PERALTE!$X$14,8,IF(RASANTE!F177&lt;=PERALTE!$AB$14,(10/(PERALTE!$X$14-PERALTE!$AB$14)*(RASANTE!F177-PERALTE!$AB$14)-2))))),IF(AND(AH!$H$18="Derecha",RASANTE!F177&lt;=PERALTE!$AB$16),IF(RASANTE!F177&lt;=PERALTE!$S$16,-2,IF(RASANTE!F177&lt;=PERALTE!$U$16,(-6/(PERALTE!$U$16-PERALTE!$S$16)*(RASANTE!F177-PERALTE!$S$16)-2),IF(RASANTE!F177&lt;=PERALTE!$X$16,-8,IF(RASANTE!F177&lt;=PERALTE!$Z$16,(-6/(PERALTE!$X$16-PERALTE!$Z$16)*(RASANTE!F177-PERALTE!$Z$16)-2),IF(RASANTE!F177&lt;=PERALTE!$AB$16,-2))))),IF(AND(AH!$H$18="Izquierda",RASANTE!F177&lt;=PERALTE!$AB$16),IF(RASANTE!F177&lt;=PERALTE!$Q$16,-2,IF(RASANTE!F177&lt;=PERALTE!$U$16,(10/(PERALTE!$U$16-PERALTE!$Q$16)*(RASANTE!F177-PERALTE!$Q$16)-2),IF(RASANTE!F177&lt;=PERALTE!$X$16,8,IF(RASANTE!F177&lt;=PERALTE!$AB$16,(10/(PERALTE!$X$16-PERALTE!$AB$16)*(RASANTE!F177-PERALTE!$AB$16)-2))))),IF(AND(AH!$H$20="Derecha",RASANTE!F177&lt;=PERALTE!$AB$18),IF(RASANTE!F177&lt;=PERALTE!$S$18,-2,IF(RASANTE!F177&lt;=PERALTE!$U$18,(-6/(PERALTE!$U$18-PERALTE!$S$18)*(RASANTE!F177-PERALTE!$S$18)-2),IF(RASANTE!F177&lt;=PERALTE!$X$18,-8,IF(RASANTE!F177&lt;=PERALTE!$Z$18,(-6/(PERALTE!$X$18-PERALTE!$Z$18)*(RASANTE!F177-PERALTE!$Z$18)-2),IF(RASANTE!F177&lt;=PERALTE!$AB$18,-2))))),IF(AND(AH!$H$20="Izquierda",RASANTE!F177&lt;=PERALTE!$AB$18),IF(RASANTE!F177&lt;=PERALTE!$Q$18,-2,IF(RASANTE!F177&lt;=PERALTE!$U$18,(10/(PERALTE!$U$18-PERALTE!$Q$18)*(RASANTE!F177-PERALTE!$Q$18)-2),IF(RASANTE!F177&lt;=PERALTE!$X$18,8,IF(RASANTE!F177&lt;=PERALTE!$AB$18,(10/(PERALTE!$X$18-PERALTE!$AB$18)*(RASANTE!F177-PERALTE!$AB$18)-2))))),IF(AND(AH!$H$24="Derecha",RASANTE!F177&lt;=PERALTE!$AB$22),IF(RASANTE!F177&lt;=PERALTE!$S$22,-2,IF(RASANTE!F177&lt;=PERALTE!$U$22,(-6/(PERALTE!$U$22-PERALTE!$S$22)*(RASANTE!F177-PERALTE!$S$22)-2),IF(RASANTE!F177&lt;=PERALTE!$X$22,-8,IF(RASANTE!F177&lt;=PERALTE!$Z$22,(-6/(PERALTE!$X$22-PERALTE!$Z$22)*(RASANTE!F177-PERALTE!$Z$22)-2),IF(RASANTE!F177&lt;=PERALTE!$AB$22,-2))))),IF(AND(AH!$H$24="Izquierda",RASANTE!F177&lt;=PERALTE!$AB$22),IF(RASANTE!F177&lt;=PERALTE!$Q$22,-2,IF(RASANTE!F177&lt;=PERALTE!$U$22,(10/(PERALTE!$U$22-PERALTE!$Q$22)*(RASANTE!F177-PERALTE!$Q$22)-2),IF(RASANTE!F177&lt;=PERALTE!$X$22,8,IF(RASANTE!F177&lt;=PERALTE!$AB$22,(10/(PERALTE!$X$22-PERALTE!$AB$22)*(RASANTE!F177-PERALTE!$AB$22)-2))))),IF(AND(AH!#REF!="Derecha",RASANTE!F177&lt;=PERALTE!#REF!),IF(RASANTE!F177&lt;=PERALTE!#REF!,-2,IF(RASANTE!F177&lt;=PERALTE!#REF!,(-6/(PERALTE!#REF!-PERALTE!#REF!)*(RASANTE!F177-PERALTE!#REF!)-2),IF(RASANTE!F177&lt;=PERALTE!#REF!,-8,IF(RASANTE!F177&lt;=PERALTE!#REF!,(-6/(PERALTE!#REF!-PERALTE!#REF!)*(RASANTE!F177-PERALTE!#REF!)-2),IF(RASANTE!F177&lt;=PERALTE!#REF!,-2))))),IF(AND(AH!#REF!="Izquierda",RASANTE!F177&lt;=PERALTE!#REF!),IF(RASANTE!F177&lt;=PERALTE!#REF!,-2,IF(RASANTE!F177&lt;=PERALTE!#REF!,(10/(PERALTE!#REF!-PERALTE!#REF!)*(RASANTE!F177-PERALTE!#REF!)-2),IF(RASANTE!F177&lt;=PERALTE!#REF!,8,IF(RASANTE!F177&lt;=PERALTE!#REF!,(10/(PERALTE!#REF!-PERALTE!#REF!)*(RASANTE!F177-PERALTE!#REF!)-2))))),IF(AND(AH!#REF!="Derecha",RASANTE!F177&lt;=PERALTE!$AB$26),IF(RASANTE!F177&lt;=PERALTE!$S$26,-2,IF(RASANTE!F177&lt;=PERALTE!$U$26,(-6/(PERALTE!$U$26-PERALTE!$S$26)*(RASANTE!F177-PERALTE!$S$26)-2),IF(RASANTE!F177&lt;=PERALTE!$X$26,-8,IF(RASANTE!F177&lt;=PERALTE!$Z$26,(-6/(PERALTE!$X$26-PERALTE!$Z$26)*(RASANTE!F177-PERALTE!$Z$26)-2),IF(RASANTE!F177&lt;=PERALTE!$AB$26,-2))))),IF(AND(AH!#REF!="Izquierda",RASANTE!F177&lt;=PERALTE!$AB$26),IF(RASANTE!F177&lt;=PERALTE!$Q$26,-2,IF(RASANTE!F177&lt;=PERALTE!$U$26,(10/(PERALTE!$U$26-PERALTE!$Q$26)*(RASANTE!F177-PERALTE!$Q$26)-2),IF(RASANTE!F177&lt;=PERALTE!$X$26,8,IF(RASANTE!F177&lt;=PERALTE!$AB$26,(10/(PERALTE!$X$26-PERALTE!$AB$26)*(RASANTE!F177-PERALTE!$AB$26)-2))))),IF(F177&lt;=PERALTE!#REF!,-2,"Abscisa fuera de la vía")))))))))))))))))))))</f>
        <v>-1.021405182655144E-14</v>
      </c>
      <c r="J177" s="28">
        <f t="shared" si="6"/>
        <v>1614.2741101106822</v>
      </c>
      <c r="K177" s="28">
        <f>+IF(AND(AV!$S$6&lt;F177,F177&lt;=AV!$T$6),AV!$P$6*((AV!$S$6-RASANTE!F177)/(AV!$N$6))^2,IF(AND(AV!$T$6&lt;RASANTE!F177,F177&lt;AV!$U$6),AV!$P$6*((AV!$U$6-RASANTE!F177)/(AV!$O$6))^2,IF(AND(AV!$S$8&lt;F177,F177&lt;=AV!$T$8),AV!$P$8*((AV!$S$8-RASANTE!F177)/(AV!$N$8))^2,IF(AND(AV!$T$8&lt;RASANTE!F177,F177&lt;AV!$U$8),AV!$P$8*((AV!$U$8-RASANTE!F177)/(AV!$O$8))^2,IF(AND(AV!$S$10&lt;F177,F177&lt;=AV!$T$10),AV!$P$10*((AV!$S$10-RASANTE!F177)/(AV!$N$10))^2,IF(AND(AV!$T$10&lt;RASANTE!F177,F177&lt;AV!$U$10),AV!$P$10*((AV!$U$10-RASANTE!F177)/(AV!$O$10))^2,IF(AND(AV!$S$12&lt;F177,F177&lt;=AV!$T$12),AV!$P$12*((AV!$S$12-RASANTE!F177)/(AV!$N$12))^2,IF(AND(AV!$T$12&lt;RASANTE!F177,F177&lt;AV!$U$12),AV!$P$12*((AV!$U$12-RASANTE!F177)/(AV!$O$12))^2,IF(AND(AV!$S$14&lt;F177,F177&lt;=AV!$T$14),AV!$P$14*((AV!$S$14-RASANTE!F177)/(AV!$N$14))^2,IF(AND(AV!$T$14&lt;RASANTE!F177,F177&lt;AV!$U$14),AV!$P$14*((AV!$U$14-RASANTE!F177)/(AV!$O$14))^2,IF(AND(AV!$S$16&lt;F177,F177&lt;=AV!$T$16),AV!$P$16*((AV!$S$16-RASANTE!F177)/(AV!$N$16))^2,IF(AND(AV!$T$16&lt;RASANTE!F177,F177&lt;AV!$U$16),AV!$P$16*((AV!$U$16-RASANTE!F177)/(AV!$O$16))^2,IF(AND(AV!$S$18&lt;F177,F177&lt;=AV!$T$18),AV!$P$18*((AV!$S$18-RASANTE!F177)/(AV!$N$18))^2,IF(AND(AV!$T$18&lt;RASANTE!F177,F177&lt;AV!$U$18),AV!$P$18*((AV!$U$18-RASANTE!F177)/(AV!$O$18))^2,IF(AND(AV!$S$20&lt;F177,F177&lt;=AV!$T$20),AV!$P$20*((AV!$S$20-RASANTE!F177)/(AV!$N$20))^2,IF(AND(AV!$T$20&lt;RASANTE!F177,F177&lt;AV!$U$20),AV!$P$20*((AV!$U$20-RASANTE!F177)/(AV!$O$20))^2,IF(AND(AV!$S$22&lt;F177,F177&lt;=AV!$T$22),AV!$P$22*((AV!$S$22-RASANTE!F177)/(AV!$N$22))^2,IF(AND(AV!$T$22&lt;RASANTE!F177,F177&lt;AV!$U$22),AV!$P$22*((AV!$U$22-RASANTE!F177)/(AV!$O$22))^2,IF(AND(AV!$S$24&lt;F177,F177&lt;=AV!$T$24),AV!$P$24*((AV!$S$24-RASANTE!F177)/(AV!$N$24))^2,IF(AND(AV!$T$24&lt;RASANTE!F177,F177&lt;AV!$U$24),AV!$P$24*((AV!$U$24-RASANTE!F177)/(AV!$O$24))^2,0))))))))))))))))))))</f>
        <v>4.9798568897825399E-2</v>
      </c>
      <c r="L177" s="28">
        <f>+M177+H177%*PERALTE!$C$32</f>
        <v>1614.25390867958</v>
      </c>
      <c r="M177" s="28">
        <f t="shared" si="7"/>
        <v>1614.32390867958</v>
      </c>
      <c r="N177" s="28">
        <f>+M177+I177%*PERALTE!$C$32</f>
        <v>1614.32390867958</v>
      </c>
      <c r="O177" s="92"/>
      <c r="P177" s="84"/>
      <c r="Q177" s="84"/>
      <c r="R177" s="84"/>
      <c r="S177" s="84"/>
      <c r="T177" s="84"/>
      <c r="U177" s="84"/>
      <c r="V177" s="84"/>
      <c r="W177" s="84"/>
      <c r="X177" s="84"/>
      <c r="Y177" s="84"/>
    </row>
    <row r="178" spans="1:25" ht="15.75" customHeight="1" x14ac:dyDescent="0.2">
      <c r="A178" s="90"/>
      <c r="B178" s="104"/>
      <c r="C178" s="104"/>
      <c r="D178" s="104"/>
      <c r="E178" s="91"/>
      <c r="F178" s="34">
        <v>1120</v>
      </c>
      <c r="G178" s="88">
        <f>IF(F178&lt;=AV!$T$6,AV!$C$5,IF(RASANTE!F178&lt;=AV!$T$8,AV!$C$7,IF(RASANTE!F178&lt;=AV!$T$10,AV!$C$9,IF(RASANTE!F178&lt;=AV!$T$12,AV!$C$11,IF(RASANTE!F178&lt;=AV!$T$14,AV!$C$13,IF(RASANTE!F178&lt;=AV!$T$16,AV!$C$15, IF(RASANTE!F178&lt;=AV!$T$18,AV!$C$17,IF(RASANTE!F178&lt;=AV!$T$20,AV!$C$19,IF(RASANTE!F178&lt;=AV!$T$22,AV!$C$21,IF(RASANTE!F178&lt;=AV!$T$24,AV!$C$23,AV!$C$25))))))))))</f>
        <v>8.1999999999999993</v>
      </c>
      <c r="H178" s="28">
        <f>+IF(AND(AH!$H$8="Izquierda",RASANTE!F178&lt;=PERALTE!$AB$6),IF(RASANTE!F178&lt;=PERALTE!$S$6,-2,IF(RASANTE!F178&lt;=PERALTE!$U$6,(-6/(PERALTE!$U$6-PERALTE!$S$6)*(RASANTE!F178-PERALTE!$S$6)-2),IF(RASANTE!F178&lt;=PERALTE!$X$6,-8,IF(RASANTE!F178&lt;=PERALTE!$Z$6,(-6/(PERALTE!$X$6-PERALTE!$Z$6)*(RASANTE!F178-PERALTE!$Z$6)-2),IF(RASANTE!F178&lt;=PERALTE!$AB$6,-2))))),IF(AND(AH!$H$8="Derecha",RASANTE!F178&lt;=PERALTE!$AB$6),IF(RASANTE!F178&lt;=PERALTE!$Q$6,-2,IF(RASANTE!F178&lt;=PERALTE!$U$6,(10/(PERALTE!$U$6-PERALTE!$Q$6)*(RASANTE!F178-PERALTE!$Q$6)-2),IF(RASANTE!F178&lt;=PERALTE!$X$6,8,IF(RASANTE!F178&lt;=PERALTE!$AB$6,(10/(PERALTE!$X$6-PERALTE!$AB$6)*(RASANTE!F178-PERALTE!$AB$6)-2))))),IF(AND(AH!$H$10="Izquierda",RASANTE!F178&lt;=PERALTE!$AB$8),IF(RASANTE!F178&lt;=PERALTE!$S$8,-2,IF(RASANTE!F178&lt;=PERALTE!$U$8,(-6/(PERALTE!$U$8-PERALTE!$S$8)*(RASANTE!F178-PERALTE!$S$8)-2),IF(RASANTE!F178&lt;=PERALTE!$X$8,-8,IF(RASANTE!F178&lt;=PERALTE!$Z$8,(-6/(PERALTE!$X$8-PERALTE!$Z$8)*(RASANTE!F178-PERALTE!$Z$8)-2),IF(RASANTE!F178&lt;=PERALTE!$AB$8,-2))))),IF(AND(AH!$H$10="Derecha",RASANTE!F178&lt;=PERALTE!$AB$8),IF(RASANTE!F178&lt;=PERALTE!$Q$8,-2,IF(RASANTE!F178&lt;=PERALTE!$U$8,(10/(PERALTE!$U$8-PERALTE!$Q$8)*(RASANTE!F178-PERALTE!$Q$8)-2),IF(RASANTE!F178&lt;=PERALTE!$X$8,8,IF(RASANTE!F178&lt;=PERALTE!$AB$8,(10/(PERALTE!$X$8-PERALTE!$AB$8)*(RASANTE!F178-PERALTE!$AB$8)-2))))),IF(AND(AH!$H$12="Izquierda",RASANTE!F178&lt;=PERALTE!$AB$10),IF(RASANTE!F178&lt;=PERALTE!$S$10,-2,IF(RASANTE!F178&lt;=PERALTE!$U$10,(-6/(PERALTE!$U$10-PERALTE!$S$10)*(RASANTE!F178-PERALTE!$S$10)-2),IF(RASANTE!F178&lt;=PERALTE!$X$10,-8,IF(RASANTE!F178&lt;=PERALTE!$Z$10,(-6/(PERALTE!$X$10-PERALTE!$Z$10)*(RASANTE!F178-PERALTE!$Z$10)-2),IF(RASANTE!F178&lt;=PERALTE!$AB$10,-2))))),IF(AND(AH!$H$12="Derecha",RASANTE!F178&lt;=PERALTE!$AB$10),IF(RASANTE!F178&lt;=PERALTE!$Q$10,-2,IF(RASANTE!F178&lt;=PERALTE!$U$10,(10/(PERALTE!$U$10-PERALTE!$Q$10)*(RASANTE!F178-PERALTE!$Q$10)-2),IF(RASANTE!F178&lt;=PERALTE!$X$10,8,IF(RASANTE!F178&lt;=PERALTE!$AB$10,(10/(PERALTE!$X$10-PERALTE!$AB$10)*(RASANTE!F178-PERALTE!$AB$10)-2))))),IF(AND(AH!$H$14="Izquierda",RASANTE!F178&lt;=PERALTE!$AB$12),IF(RASANTE!F178&lt;=PERALTE!$S$12,-2,IF(RASANTE!F178&lt;=PERALTE!$U$12,(-6/(PERALTE!$U$12-PERALTE!$S$12)*(RASANTE!F178-PERALTE!$S$12)-2),IF(RASANTE!F178&lt;=PERALTE!$X$12,-8,IF(RASANTE!F178&lt;=PERALTE!$Z$12,(-6/(PERALTE!$X$12-PERALTE!$Z$12)*(RASANTE!F178-PERALTE!$Z$12)-2),IF(RASANTE!F178&lt;=PERALTE!$AB$12,-2))))),IF(AND(AH!$H$14="Derecha",RASANTE!F178&lt;=PERALTE!$AB$12),IF(RASANTE!F178&lt;=PERALTE!$Q$12,-2,IF(RASANTE!F178&lt;=PERALTE!$U$12,(10/(PERALTE!$U$12-PERALTE!$Q$12)*(RASANTE!F178-PERALTE!$Q$12)-2),IF(RASANTE!F178&lt;=PERALTE!$X$12,8,IF(RASANTE!F178&lt;=PERALTE!$AB$12,(10/(PERALTE!$X$12-PERALTE!$AB$12)*(RASANTE!F178-PERALTE!$AB$12)-2))))),IF(AND(AH!$H$16="Izquierda",RASANTE!F178&lt;=PERALTE!$AB$14),IF(RASANTE!F178&lt;=PERALTE!$S$14,-2,IF(RASANTE!F178&lt;=PERALTE!$U$14,(-6/(PERALTE!$U$14-PERALTE!$S$14)*(RASANTE!F178-PERALTE!$S$14)-2),IF(RASANTE!F178&lt;=PERALTE!$X$14,-8,IF(RASANTE!F178&lt;=PERALTE!$Z$14,(-6/(PERALTE!$X$14-PERALTE!$Z$14)*(RASANTE!F178-PERALTE!$Z$14)-2),IF(RASANTE!F178&lt;=PERALTE!$AB$14,-2))))),IF(AND(AH!$H$16="Derecha",RASANTE!F178&lt;=PERALTE!$AB$14),IF(RASANTE!F178&lt;=PERALTE!$Q$14,-2,IF(RASANTE!F178&lt;=PERALTE!$U$14,(10/(PERALTE!$U$14-PERALTE!$Q$14)*(RASANTE!F178-PERALTE!$Q$14)-2),IF(RASANTE!F178&lt;=PERALTE!$X$14,8,IF(RASANTE!F178&lt;=PERALTE!$AB$14,(10/(PERALTE!$X$14-PERALTE!$AB$14)*(RASANTE!F178-PERALTE!$AB$14)-2))))),IF(AND(AH!$H$18="Izquierda",RASANTE!F178&lt;=PERALTE!$AB$16),IF(RASANTE!F178&lt;=PERALTE!$S$16,-2,IF(RASANTE!F178&lt;=PERALTE!$U$16,(-6/(PERALTE!$U$16-PERALTE!$S$16)*(RASANTE!F178-PERALTE!$S$16)-2),IF(RASANTE!F178&lt;=PERALTE!$X$16,-8,IF(RASANTE!F178&lt;=PERALTE!$Z$16,(-6/(PERALTE!$X$16-PERALTE!$Z$16)*(RASANTE!F178-PERALTE!$Z$16)-2),IF(RASANTE!F178&lt;=PERALTE!$AB$16,-2))))),IF(AND(AH!$H$18="Derecha",RASANTE!F178&lt;=PERALTE!$AB$16),IF(RASANTE!F178&lt;=PERALTE!$Q$16,-2,IF(RASANTE!F178&lt;=PERALTE!$U$16,(10/(PERALTE!$U$16-PERALTE!$Q$16)*(RASANTE!F178-PERALTE!$Q$16)-2),IF(RASANTE!F178&lt;=PERALTE!$X$16,8,IF(RASANTE!F178&lt;=PERALTE!$AB$16,(10/(PERALTE!$X$16-PERALTE!$AB$16)*(RASANTE!F178-PERALTE!$AB$16)-2))))),IF(AND(AH!$H$20="Izquierda",RASANTE!F178&lt;=PERALTE!$AB$18),IF(RASANTE!F178&lt;=PERALTE!$S$18,-2,IF(RASANTE!F178&lt;=PERALTE!$U$18,(-6/(PERALTE!$U$18-PERALTE!$S$18)*(RASANTE!F178-PERALTE!$S$18)-2),IF(RASANTE!F178&lt;=PERALTE!$X$18,-8,IF(RASANTE!F178&lt;=PERALTE!$Z$18,(-6/(PERALTE!$X$18-PERALTE!$Z$18)*(RASANTE!F178-PERALTE!$Z$18)-2),IF(RASANTE!F178&lt;=PERALTE!$AB$18,-2))))),IF(AND(AH!$H$20="Derecha",RASANTE!F178&lt;=PERALTE!$AB$18),IF(RASANTE!F178&lt;=PERALTE!$Q$18,-2,IF(RASANTE!F178&lt;=PERALTE!$U$18,(10/(PERALTE!$U$18-PERALTE!$Q$18)*(RASANTE!F178-PERALTE!$Q$18)-2),IF(RASANTE!F178&lt;=PERALTE!$X$18,8,IF(RASANTE!F178&lt;=PERALTE!$AB$18,(10/(PERALTE!$X$18-PERALTE!$AB$18)*(RASANTE!F178-PERALTE!$AB$18)-2))))),IF(AND(AH!$H$24="Izquierda",RASANTE!F178&lt;=PERALTE!$AB$22),IF(RASANTE!F178&lt;=PERALTE!$S$22,-2,IF(RASANTE!F178&lt;=PERALTE!$U$22,(-6/(PERALTE!$U$22-PERALTE!$S$22)*(RASANTE!F178-PERALTE!$S$22)-2),IF(RASANTE!F178&lt;=PERALTE!$X$22,-8,IF(RASANTE!F178&lt;=PERALTE!$Z$22,(-6/(PERALTE!$X$22-PERALTE!$Z$22)*(RASANTE!F178-PERALTE!$Z$22)-2),IF(RASANTE!F178&lt;=PERALTE!$AB$22,-2))))),IF(AND(AH!$H$24="Derecha",RASANTE!F178&lt;=PERALTE!$AB$22),IF(RASANTE!F178&lt;=PERALTE!$Q$22,-2,IF(RASANTE!F178&lt;=PERALTE!$U$22,(10/(PERALTE!$U$22-PERALTE!$Q$22)*(RASANTE!F178-PERALTE!$Q$22)-2),IF(RASANTE!F178&lt;=PERALTE!$X$22,8,IF(RASANTE!F178&lt;=PERALTE!$AB$22,(10/(PERALTE!$X$22-PERALTE!$AB$22)*(RASANTE!F178-PERALTE!$AB$22)-2))))),IF(AND(AH!#REF!="Izquierda",RASANTE!F178&lt;=PERALTE!#REF!),IF(RASANTE!F178&lt;=PERALTE!#REF!,-2,IF(RASANTE!F178&lt;=PERALTE!#REF!,(-6/(PERALTE!#REF!-PERALTE!#REF!)*(RASANTE!F178-PERALTE!#REF!)-2),IF(RASANTE!F178&lt;=PERALTE!#REF!,-8,IF(RASANTE!F178&lt;=PERALTE!#REF!,(-6/(PERALTE!#REF!-PERALTE!#REF!)*(RASANTE!F178-PERALTE!#REF!)-2),IF(RASANTE!F178&lt;=PERALTE!#REF!,-2))))),IF(AND(AH!#REF!="Derecha",RASANTE!F178&lt;=PERALTE!#REF!),IF(RASANTE!F178&lt;=PERALTE!#REF!,-2,IF(RASANTE!F178&lt;=PERALTE!#REF!,(10/(PERALTE!#REF!-PERALTE!#REF!)*(RASANTE!F178-PERALTE!#REF!)-2),IF(RASANTE!F178&lt;=PERALTE!#REF!,8,IF(RASANTE!F178&lt;=PERALTE!#REF!,(10/(PERALTE!#REF!-PERALTE!#REF!)*(RASANTE!F178-PERALTE!#REF!)-2))))),IF(AND(AH!#REF!="Izquierda",RASANTE!F178&lt;=PERALTE!$AB$26),IF(RASANTE!F178&lt;=PERALTE!$S$26,-2,IF(RASANTE!F178&lt;=PERALTE!$U$26,(-6/(PERALTE!$U$26-PERALTE!$S$26)*(RASANTE!F178-PERALTE!$S$26)-2),IF(RASANTE!F178&lt;=PERALTE!$X$26,-8,IF(RASANTE!F178&lt;=PERALTE!$Z$26,(-6/(PERALTE!$X$26-PERALTE!$Z$26)*(RASANTE!F178-PERALTE!$Z$26)-2),IF(RASANTE!F178&lt;=PERALTE!$AB$26,-2))))),IF(AND(AH!#REF!="Derecha",RASANTE!F178&lt;=PERALTE!$AB$26),IF(RASANTE!F178&lt;=PERALTE!$Q$26,-2,IF(RASANTE!F178&lt;=PERALTE!$U$26,(10/(PERALTE!$U$26-PERALTE!$Q$26)*(RASANTE!F178-PERALTE!$Q$26)-2),IF(RASANTE!F178&lt;=PERALTE!$X$26,8,IF(RASANTE!F178&lt;=PERALTE!$AB$26,(10/(PERALTE!$X$26-PERALTE!$AB$26)*(RASANTE!F178-PERALTE!$AB$26)-2))))),IF(F178&lt;=PERALTE!#REF!,-2,"Abscisa fuera de la vía")))))))))))))))))))))</f>
        <v>-2</v>
      </c>
      <c r="I178" s="28">
        <f>+IF(AND(AH!$H$8="Derecha",RASANTE!F178&lt;=PERALTE!$AB$6),IF(RASANTE!F178&lt;=PERALTE!$S$6,-2,IF(RASANTE!F178&lt;=PERALTE!$U$6,(-6/(PERALTE!$U$6-PERALTE!$S$6)*(RASANTE!F178-PERALTE!$S$6)-2),IF(RASANTE!F178&lt;=PERALTE!$X$6,-8,IF(RASANTE!F178&lt;=PERALTE!$Z$6,(-6/(PERALTE!$X$6-PERALTE!$Z$6)*(RASANTE!F178-PERALTE!$Z$6)-2),IF(RASANTE!F178&lt;=PERALTE!$AB$6,-2))))),IF(AND(AH!$H$8="Izquierda",RASANTE!F178&lt;=PERALTE!$AB$6),IF(RASANTE!F178&lt;=PERALTE!$Q$6,-2,IF(RASANTE!F178&lt;=PERALTE!$U$6,(10/(PERALTE!$U$6-PERALTE!$Q$6)*(RASANTE!F178-PERALTE!$Q$6)-2),IF(RASANTE!F178&lt;=PERALTE!$X$6,8,IF(RASANTE!F178&lt;=PERALTE!$AB$6,(10/(PERALTE!$X$6-PERALTE!$AB$6)*(RASANTE!F178-PERALTE!$AB$6)-2))))),IF(AND(AH!$H$10="Derecha",RASANTE!F178&lt;=PERALTE!$AB$8),IF(RASANTE!F178&lt;=PERALTE!$S$8,-2,IF(RASANTE!F178&lt;=PERALTE!$U$8,(-6/(PERALTE!$U$8-PERALTE!$S$8)*(RASANTE!F178-PERALTE!$S$8)-2),IF(RASANTE!F178&lt;=PERALTE!$X$8,-8,IF(RASANTE!F178&lt;=PERALTE!$Z$8,(-6/(PERALTE!$X$8-PERALTE!$Z$8)*(RASANTE!F178-PERALTE!$Z$8)-2),IF(RASANTE!F178&lt;=PERALTE!$AB$8,-2))))),IF(AND(AH!$H$10="Izquierda",RASANTE!F178&lt;=PERALTE!$AB$8),IF(RASANTE!F178&lt;=PERALTE!$Q$8,-2,IF(RASANTE!F178&lt;=PERALTE!$U$8,(10/(PERALTE!$U$8-PERALTE!$Q$8)*(RASANTE!F178-PERALTE!$Q$8)-2),IF(RASANTE!F178&lt;=PERALTE!$X$8,8,IF(RASANTE!F178&lt;=PERALTE!$AB$8,(10/(PERALTE!$X$8-PERALTE!$AB$8)*(RASANTE!F178-PERALTE!$AB$8)-2))))),IF(AND(AH!$H$12="Derecha",RASANTE!F178&lt;=PERALTE!$AB$10),IF(RASANTE!F178&lt;=PERALTE!$S$10,-2,IF(RASANTE!F178&lt;=PERALTE!$U$10,(-6/(PERALTE!$U$10-PERALTE!$S$10)*(RASANTE!F178-PERALTE!$S$10)-2),IF(RASANTE!F178&lt;=PERALTE!$X$10,-8,IF(RASANTE!F178&lt;=PERALTE!$Z$10,(-6/(PERALTE!$X$10-PERALTE!$Z$10)*(RASANTE!F178-PERALTE!$Z$10)-2),IF(RASANTE!F178&lt;=PERALTE!$AB$10,-2))))),IF(AND(AH!$H$12="Izquierda",RASANTE!F178&lt;=PERALTE!$AB$10),IF(RASANTE!F178&lt;=PERALTE!$Q$10,-2,IF(RASANTE!F178&lt;=PERALTE!$U$10,(10/(PERALTE!$U$10-PERALTE!$Q$10)*(RASANTE!F178-PERALTE!$Q$10)-2),IF(RASANTE!F178&lt;=PERALTE!$X$10,8,IF(RASANTE!F178&lt;=PERALTE!$AB$10,(10/(PERALTE!$X$10-PERALTE!$AB$10)*(RASANTE!F178-PERALTE!$AB$10)-2))))),IF(AND(AH!$H$14="Derecha",RASANTE!F178&lt;=PERALTE!$AB$12),IF(RASANTE!F178&lt;=PERALTE!$S$12,-2,IF(RASANTE!F178&lt;=PERALTE!$U$12,(-6/(PERALTE!$U$12-PERALTE!$S$12)*(RASANTE!F178-PERALTE!$S$12)-2),IF(RASANTE!F178&lt;=PERALTE!$X$12,-8,IF(RASANTE!F178&lt;=PERALTE!$Z$12,(-6/(PERALTE!$X$12-PERALTE!$Z$12)*(RASANTE!F178-PERALTE!$Z$12)-2),IF(RASANTE!F178&lt;=PERALTE!$AB$12,-2))))),IF(AND(AH!$H$14="Izquierda",RASANTE!F178&lt;=PERALTE!$AB$12),IF(RASANTE!F178&lt;=PERALTE!$Q$12,-2,IF(RASANTE!F178&lt;=PERALTE!$U$12,(10/(PERALTE!$U$12-PERALTE!$Q$12)*(RASANTE!F178-PERALTE!$Q$12)-2),IF(RASANTE!F178&lt;=PERALTE!$X$12,8,IF(RASANTE!F178&lt;=PERALTE!$AB$12,(10/(PERALTE!$X$12-PERALTE!$AB$12)*(RASANTE!F178-PERALTE!$AB$12)-2))))),IF(AND(AH!$H$16="Derecha",RASANTE!F178&lt;=PERALTE!$AB$14),IF(RASANTE!F178&lt;=PERALTE!$S$14,-2,IF(RASANTE!F178&lt;=PERALTE!$U$14,(-6/(PERALTE!$U$14-PERALTE!$S$14)*(RASANTE!F178-PERALTE!$S$14)-2),IF(RASANTE!F178&lt;=PERALTE!$X$14,-8,IF(RASANTE!F178&lt;=PERALTE!$Z$14,(-6/(PERALTE!$X$14-PERALTE!$Z$14)*(RASANTE!F178-PERALTE!$Z$14)-2),IF(RASANTE!F178&lt;=PERALTE!$AB$14,-2))))),IF(AND(AH!$H$16="Izquierda",RASANTE!F178&lt;=PERALTE!$AB$14),IF(RASANTE!F178&lt;=PERALTE!$Q$14,-2,IF(RASANTE!F178&lt;=PERALTE!$U$14,(10/(PERALTE!$U$14-PERALTE!$Q$14)*(RASANTE!F178-PERALTE!$Q$14)-2),IF(RASANTE!F178&lt;=PERALTE!$X$14,8,IF(RASANTE!F178&lt;=PERALTE!$AB$14,(10/(PERALTE!$X$14-PERALTE!$AB$14)*(RASANTE!F178-PERALTE!$AB$14)-2))))),IF(AND(AH!$H$18="Derecha",RASANTE!F178&lt;=PERALTE!$AB$16),IF(RASANTE!F178&lt;=PERALTE!$S$16,-2,IF(RASANTE!F178&lt;=PERALTE!$U$16,(-6/(PERALTE!$U$16-PERALTE!$S$16)*(RASANTE!F178-PERALTE!$S$16)-2),IF(RASANTE!F178&lt;=PERALTE!$X$16,-8,IF(RASANTE!F178&lt;=PERALTE!$Z$16,(-6/(PERALTE!$X$16-PERALTE!$Z$16)*(RASANTE!F178-PERALTE!$Z$16)-2),IF(RASANTE!F178&lt;=PERALTE!$AB$16,-2))))),IF(AND(AH!$H$18="Izquierda",RASANTE!F178&lt;=PERALTE!$AB$16),IF(RASANTE!F178&lt;=PERALTE!$Q$16,-2,IF(RASANTE!F178&lt;=PERALTE!$U$16,(10/(PERALTE!$U$16-PERALTE!$Q$16)*(RASANTE!F178-PERALTE!$Q$16)-2),IF(RASANTE!F178&lt;=PERALTE!$X$16,8,IF(RASANTE!F178&lt;=PERALTE!$AB$16,(10/(PERALTE!$X$16-PERALTE!$AB$16)*(RASANTE!F178-PERALTE!$AB$16)-2))))),IF(AND(AH!$H$20="Derecha",RASANTE!F178&lt;=PERALTE!$AB$18),IF(RASANTE!F178&lt;=PERALTE!$S$18,-2,IF(RASANTE!F178&lt;=PERALTE!$U$18,(-6/(PERALTE!$U$18-PERALTE!$S$18)*(RASANTE!F178-PERALTE!$S$18)-2),IF(RASANTE!F178&lt;=PERALTE!$X$18,-8,IF(RASANTE!F178&lt;=PERALTE!$Z$18,(-6/(PERALTE!$X$18-PERALTE!$Z$18)*(RASANTE!F178-PERALTE!$Z$18)-2),IF(RASANTE!F178&lt;=PERALTE!$AB$18,-2))))),IF(AND(AH!$H$20="Izquierda",RASANTE!F178&lt;=PERALTE!$AB$18),IF(RASANTE!F178&lt;=PERALTE!$Q$18,-2,IF(RASANTE!F178&lt;=PERALTE!$U$18,(10/(PERALTE!$U$18-PERALTE!$Q$18)*(RASANTE!F178-PERALTE!$Q$18)-2),IF(RASANTE!F178&lt;=PERALTE!$X$18,8,IF(RASANTE!F178&lt;=PERALTE!$AB$18,(10/(PERALTE!$X$18-PERALTE!$AB$18)*(RASANTE!F178-PERALTE!$AB$18)-2))))),IF(AND(AH!$H$24="Derecha",RASANTE!F178&lt;=PERALTE!$AB$22),IF(RASANTE!F178&lt;=PERALTE!$S$22,-2,IF(RASANTE!F178&lt;=PERALTE!$U$22,(-6/(PERALTE!$U$22-PERALTE!$S$22)*(RASANTE!F178-PERALTE!$S$22)-2),IF(RASANTE!F178&lt;=PERALTE!$X$22,-8,IF(RASANTE!F178&lt;=PERALTE!$Z$22,(-6/(PERALTE!$X$22-PERALTE!$Z$22)*(RASANTE!F178-PERALTE!$Z$22)-2),IF(RASANTE!F178&lt;=PERALTE!$AB$22,-2))))),IF(AND(AH!$H$24="Izquierda",RASANTE!F178&lt;=PERALTE!$AB$22),IF(RASANTE!F178&lt;=PERALTE!$Q$22,-2,IF(RASANTE!F178&lt;=PERALTE!$U$22,(10/(PERALTE!$U$22-PERALTE!$Q$22)*(RASANTE!F178-PERALTE!$Q$22)-2),IF(RASANTE!F178&lt;=PERALTE!$X$22,8,IF(RASANTE!F178&lt;=PERALTE!$AB$22,(10/(PERALTE!$X$22-PERALTE!$AB$22)*(RASANTE!F178-PERALTE!$AB$22)-2))))),IF(AND(AH!#REF!="Derecha",RASANTE!F178&lt;=PERALTE!#REF!),IF(RASANTE!F178&lt;=PERALTE!#REF!,-2,IF(RASANTE!F178&lt;=PERALTE!#REF!,(-6/(PERALTE!#REF!-PERALTE!#REF!)*(RASANTE!F178-PERALTE!#REF!)-2),IF(RASANTE!F178&lt;=PERALTE!#REF!,-8,IF(RASANTE!F178&lt;=PERALTE!#REF!,(-6/(PERALTE!#REF!-PERALTE!#REF!)*(RASANTE!F178-PERALTE!#REF!)-2),IF(RASANTE!F178&lt;=PERALTE!#REF!,-2))))),IF(AND(AH!#REF!="Izquierda",RASANTE!F178&lt;=PERALTE!#REF!),IF(RASANTE!F178&lt;=PERALTE!#REF!,-2,IF(RASANTE!F178&lt;=PERALTE!#REF!,(10/(PERALTE!#REF!-PERALTE!#REF!)*(RASANTE!F178-PERALTE!#REF!)-2),IF(RASANTE!F178&lt;=PERALTE!#REF!,8,IF(RASANTE!F178&lt;=PERALTE!#REF!,(10/(PERALTE!#REF!-PERALTE!#REF!)*(RASANTE!F178-PERALTE!#REF!)-2))))),IF(AND(AH!#REF!="Derecha",RASANTE!F178&lt;=PERALTE!$AB$26),IF(RASANTE!F178&lt;=PERALTE!$S$26,-2,IF(RASANTE!F178&lt;=PERALTE!$U$26,(-6/(PERALTE!$U$26-PERALTE!$S$26)*(RASANTE!F178-PERALTE!$S$26)-2),IF(RASANTE!F178&lt;=PERALTE!$X$26,-8,IF(RASANTE!F178&lt;=PERALTE!$Z$26,(-6/(PERALTE!$X$26-PERALTE!$Z$26)*(RASANTE!F178-PERALTE!$Z$26)-2),IF(RASANTE!F178&lt;=PERALTE!$AB$26,-2))))),IF(AND(AH!#REF!="Izquierda",RASANTE!F178&lt;=PERALTE!$AB$26),IF(RASANTE!F178&lt;=PERALTE!$Q$26,-2,IF(RASANTE!F178&lt;=PERALTE!$U$26,(10/(PERALTE!$U$26-PERALTE!$Q$26)*(RASANTE!F178-PERALTE!$Q$26)-2),IF(RASANTE!F178&lt;=PERALTE!$X$26,8,IF(RASANTE!F178&lt;=PERALTE!$AB$26,(10/(PERALTE!$X$26-PERALTE!$AB$26)*(RASANTE!F178-PERALTE!$AB$26)-2))))),IF(F178&lt;=PERALTE!#REF!,-2,"Abscisa fuera de la vía")))))))))))))))))))))</f>
        <v>1.5749529746381912</v>
      </c>
      <c r="J178" s="28">
        <f t="shared" si="6"/>
        <v>1614.8611380375928</v>
      </c>
      <c r="K178" s="28">
        <f>+IF(AND(AV!$S$6&lt;F178,F178&lt;=AV!$T$6),AV!$P$6*((AV!$S$6-RASANTE!F178)/(AV!$N$6))^2,IF(AND(AV!$T$6&lt;RASANTE!F178,F178&lt;AV!$U$6),AV!$P$6*((AV!$U$6-RASANTE!F178)/(AV!$O$6))^2,IF(AND(AV!$S$8&lt;F178,F178&lt;=AV!$T$8),AV!$P$8*((AV!$S$8-RASANTE!F178)/(AV!$N$8))^2,IF(AND(AV!$T$8&lt;RASANTE!F178,F178&lt;AV!$U$8),AV!$P$8*((AV!$U$8-RASANTE!F178)/(AV!$O$8))^2,IF(AND(AV!$S$10&lt;F178,F178&lt;=AV!$T$10),AV!$P$10*((AV!$S$10-RASANTE!F178)/(AV!$N$10))^2,IF(AND(AV!$T$10&lt;RASANTE!F178,F178&lt;AV!$U$10),AV!$P$10*((AV!$U$10-RASANTE!F178)/(AV!$O$10))^2,IF(AND(AV!$S$12&lt;F178,F178&lt;=AV!$T$12),AV!$P$12*((AV!$S$12-RASANTE!F178)/(AV!$N$12))^2,IF(AND(AV!$T$12&lt;RASANTE!F178,F178&lt;AV!$U$12),AV!$P$12*((AV!$U$12-RASANTE!F178)/(AV!$O$12))^2,IF(AND(AV!$S$14&lt;F178,F178&lt;=AV!$T$14),AV!$P$14*((AV!$S$14-RASANTE!F178)/(AV!$N$14))^2,IF(AND(AV!$T$14&lt;RASANTE!F178,F178&lt;AV!$U$14),AV!$P$14*((AV!$U$14-RASANTE!F178)/(AV!$O$14))^2,IF(AND(AV!$S$16&lt;F178,F178&lt;=AV!$T$16),AV!$P$16*((AV!$S$16-RASANTE!F178)/(AV!$N$16))^2,IF(AND(AV!$T$16&lt;RASANTE!F178,F178&lt;AV!$U$16),AV!$P$16*((AV!$U$16-RASANTE!F178)/(AV!$O$16))^2,IF(AND(AV!$S$18&lt;F178,F178&lt;=AV!$T$18),AV!$P$18*((AV!$S$18-RASANTE!F178)/(AV!$N$18))^2,IF(AND(AV!$T$18&lt;RASANTE!F178,F178&lt;AV!$U$18),AV!$P$18*((AV!$U$18-RASANTE!F178)/(AV!$O$18))^2,IF(AND(AV!$S$20&lt;F178,F178&lt;=AV!$T$20),AV!$P$20*((AV!$S$20-RASANTE!F178)/(AV!$N$20))^2,IF(AND(AV!$T$20&lt;RASANTE!F178,F178&lt;AV!$U$20),AV!$P$20*((AV!$U$20-RASANTE!F178)/(AV!$O$20))^2,IF(AND(AV!$S$22&lt;F178,F178&lt;=AV!$T$22),AV!$P$22*((AV!$S$22-RASANTE!F178)/(AV!$N$22))^2,IF(AND(AV!$T$22&lt;RASANTE!F178,F178&lt;AV!$U$22),AV!$P$22*((AV!$U$22-RASANTE!F178)/(AV!$O$22))^2,IF(AND(AV!$S$24&lt;F178,F178&lt;=AV!$T$24),AV!$P$24*((AV!$S$24-RASANTE!F178)/(AV!$N$24))^2,IF(AND(AV!$T$24&lt;RASANTE!F178,F178&lt;AV!$U$24),AV!$P$24*((AV!$U$24-RASANTE!F178)/(AV!$O$24))^2,0))))))))))))))))))))</f>
        <v>4.3427812499999994E-3</v>
      </c>
      <c r="L178" s="28">
        <f>+M178+H178%*PERALTE!$C$32</f>
        <v>1614.7954808188429</v>
      </c>
      <c r="M178" s="28">
        <f t="shared" si="7"/>
        <v>1614.8654808188428</v>
      </c>
      <c r="N178" s="28">
        <f>+M178+I178%*PERALTE!$C$32</f>
        <v>1614.9206041729551</v>
      </c>
      <c r="O178" s="92"/>
      <c r="P178" s="84"/>
      <c r="Q178" s="84"/>
      <c r="R178" s="84"/>
      <c r="S178" s="84"/>
      <c r="T178" s="84"/>
      <c r="U178" s="84"/>
      <c r="V178" s="84"/>
      <c r="W178" s="84"/>
      <c r="X178" s="84"/>
      <c r="Y178" s="84"/>
    </row>
    <row r="179" spans="1:25" ht="15.75" customHeight="1" x14ac:dyDescent="0.2">
      <c r="A179" s="90" t="s">
        <v>350</v>
      </c>
      <c r="B179" s="86"/>
      <c r="C179" s="86"/>
      <c r="D179" s="86"/>
      <c r="E179" s="91"/>
      <c r="F179" s="34">
        <f>PERALTE!S14</f>
        <v>1121.9320319334627</v>
      </c>
      <c r="G179" s="88">
        <f>IF(F179&lt;=AV!$T$6,AV!$C$5,IF(RASANTE!F179&lt;=AV!$T$8,AV!$C$7,IF(RASANTE!F179&lt;=AV!$T$10,AV!$C$9,IF(RASANTE!F179&lt;=AV!$T$12,AV!$C$11,IF(RASANTE!F179&lt;=AV!$T$14,AV!$C$13,IF(RASANTE!F179&lt;=AV!$T$16,AV!$C$15, IF(RASANTE!F179&lt;=AV!$T$18,AV!$C$17,IF(RASANTE!F179&lt;=AV!$T$20,AV!$C$19,IF(RASANTE!F179&lt;=AV!$T$22,AV!$C$21,IF(RASANTE!F179&lt;=AV!$T$24,AV!$C$23,AV!$C$25))))))))))</f>
        <v>8.1999999999999993</v>
      </c>
      <c r="H179" s="28">
        <f>+IF(AND(AH!$H$8="Izquierda",RASANTE!F179&lt;=PERALTE!$AB$6),IF(RASANTE!F179&lt;=PERALTE!$S$6,-2,IF(RASANTE!F179&lt;=PERALTE!$U$6,(-6/(PERALTE!$U$6-PERALTE!$S$6)*(RASANTE!F179-PERALTE!$S$6)-2),IF(RASANTE!F179&lt;=PERALTE!$X$6,-8,IF(RASANTE!F179&lt;=PERALTE!$Z$6,(-6/(PERALTE!$X$6-PERALTE!$Z$6)*(RASANTE!F179-PERALTE!$Z$6)-2),IF(RASANTE!F179&lt;=PERALTE!$AB$6,-2))))),IF(AND(AH!$H$8="Derecha",RASANTE!F179&lt;=PERALTE!$AB$6),IF(RASANTE!F179&lt;=PERALTE!$Q$6,-2,IF(RASANTE!F179&lt;=PERALTE!$U$6,(10/(PERALTE!$U$6-PERALTE!$Q$6)*(RASANTE!F179-PERALTE!$Q$6)-2),IF(RASANTE!F179&lt;=PERALTE!$X$6,8,IF(RASANTE!F179&lt;=PERALTE!$AB$6,(10/(PERALTE!$X$6-PERALTE!$AB$6)*(RASANTE!F179-PERALTE!$AB$6)-2))))),IF(AND(AH!$H$10="Izquierda",RASANTE!F179&lt;=PERALTE!$AB$8),IF(RASANTE!F179&lt;=PERALTE!$S$8,-2,IF(RASANTE!F179&lt;=PERALTE!$U$8,(-6/(PERALTE!$U$8-PERALTE!$S$8)*(RASANTE!F179-PERALTE!$S$8)-2),IF(RASANTE!F179&lt;=PERALTE!$X$8,-8,IF(RASANTE!F179&lt;=PERALTE!$Z$8,(-6/(PERALTE!$X$8-PERALTE!$Z$8)*(RASANTE!F179-PERALTE!$Z$8)-2),IF(RASANTE!F179&lt;=PERALTE!$AB$8,-2))))),IF(AND(AH!$H$10="Derecha",RASANTE!F179&lt;=PERALTE!$AB$8),IF(RASANTE!F179&lt;=PERALTE!$Q$8,-2,IF(RASANTE!F179&lt;=PERALTE!$U$8,(10/(PERALTE!$U$8-PERALTE!$Q$8)*(RASANTE!F179-PERALTE!$Q$8)-2),IF(RASANTE!F179&lt;=PERALTE!$X$8,8,IF(RASANTE!F179&lt;=PERALTE!$AB$8,(10/(PERALTE!$X$8-PERALTE!$AB$8)*(RASANTE!F179-PERALTE!$AB$8)-2))))),IF(AND(AH!$H$12="Izquierda",RASANTE!F179&lt;=PERALTE!$AB$10),IF(RASANTE!F179&lt;=PERALTE!$S$10,-2,IF(RASANTE!F179&lt;=PERALTE!$U$10,(-6/(PERALTE!$U$10-PERALTE!$S$10)*(RASANTE!F179-PERALTE!$S$10)-2),IF(RASANTE!F179&lt;=PERALTE!$X$10,-8,IF(RASANTE!F179&lt;=PERALTE!$Z$10,(-6/(PERALTE!$X$10-PERALTE!$Z$10)*(RASANTE!F179-PERALTE!$Z$10)-2),IF(RASANTE!F179&lt;=PERALTE!$AB$10,-2))))),IF(AND(AH!$H$12="Derecha",RASANTE!F179&lt;=PERALTE!$AB$10),IF(RASANTE!F179&lt;=PERALTE!$Q$10,-2,IF(RASANTE!F179&lt;=PERALTE!$U$10,(10/(PERALTE!$U$10-PERALTE!$Q$10)*(RASANTE!F179-PERALTE!$Q$10)-2),IF(RASANTE!F179&lt;=PERALTE!$X$10,8,IF(RASANTE!F179&lt;=PERALTE!$AB$10,(10/(PERALTE!$X$10-PERALTE!$AB$10)*(RASANTE!F179-PERALTE!$AB$10)-2))))),IF(AND(AH!$H$14="Izquierda",RASANTE!F179&lt;=PERALTE!$AB$12),IF(RASANTE!F179&lt;=PERALTE!$S$12,-2,IF(RASANTE!F179&lt;=PERALTE!$U$12,(-6/(PERALTE!$U$12-PERALTE!$S$12)*(RASANTE!F179-PERALTE!$S$12)-2),IF(RASANTE!F179&lt;=PERALTE!$X$12,-8,IF(RASANTE!F179&lt;=PERALTE!$Z$12,(-6/(PERALTE!$X$12-PERALTE!$Z$12)*(RASANTE!F179-PERALTE!$Z$12)-2),IF(RASANTE!F179&lt;=PERALTE!$AB$12,-2))))),IF(AND(AH!$H$14="Derecha",RASANTE!F179&lt;=PERALTE!$AB$12),IF(RASANTE!F179&lt;=PERALTE!$Q$12,-2,IF(RASANTE!F179&lt;=PERALTE!$U$12,(10/(PERALTE!$U$12-PERALTE!$Q$12)*(RASANTE!F179-PERALTE!$Q$12)-2),IF(RASANTE!F179&lt;=PERALTE!$X$12,8,IF(RASANTE!F179&lt;=PERALTE!$AB$12,(10/(PERALTE!$X$12-PERALTE!$AB$12)*(RASANTE!F179-PERALTE!$AB$12)-2))))),IF(AND(AH!$H$16="Izquierda",RASANTE!F179&lt;=PERALTE!$AB$14),IF(RASANTE!F179&lt;=PERALTE!$S$14,-2,IF(RASANTE!F179&lt;=PERALTE!$U$14,(-6/(PERALTE!$U$14-PERALTE!$S$14)*(RASANTE!F179-PERALTE!$S$14)-2),IF(RASANTE!F179&lt;=PERALTE!$X$14,-8,IF(RASANTE!F179&lt;=PERALTE!$Z$14,(-6/(PERALTE!$X$14-PERALTE!$Z$14)*(RASANTE!F179-PERALTE!$Z$14)-2),IF(RASANTE!F179&lt;=PERALTE!$AB$14,-2))))),IF(AND(AH!$H$16="Derecha",RASANTE!F179&lt;=PERALTE!$AB$14),IF(RASANTE!F179&lt;=PERALTE!$Q$14,-2,IF(RASANTE!F179&lt;=PERALTE!$U$14,(10/(PERALTE!$U$14-PERALTE!$Q$14)*(RASANTE!F179-PERALTE!$Q$14)-2),IF(RASANTE!F179&lt;=PERALTE!$X$14,8,IF(RASANTE!F179&lt;=PERALTE!$AB$14,(10/(PERALTE!$X$14-PERALTE!$AB$14)*(RASANTE!F179-PERALTE!$AB$14)-2))))),IF(AND(AH!$H$18="Izquierda",RASANTE!F179&lt;=PERALTE!$AB$16),IF(RASANTE!F179&lt;=PERALTE!$S$16,-2,IF(RASANTE!F179&lt;=PERALTE!$U$16,(-6/(PERALTE!$U$16-PERALTE!$S$16)*(RASANTE!F179-PERALTE!$S$16)-2),IF(RASANTE!F179&lt;=PERALTE!$X$16,-8,IF(RASANTE!F179&lt;=PERALTE!$Z$16,(-6/(PERALTE!$X$16-PERALTE!$Z$16)*(RASANTE!F179-PERALTE!$Z$16)-2),IF(RASANTE!F179&lt;=PERALTE!$AB$16,-2))))),IF(AND(AH!$H$18="Derecha",RASANTE!F179&lt;=PERALTE!$AB$16),IF(RASANTE!F179&lt;=PERALTE!$Q$16,-2,IF(RASANTE!F179&lt;=PERALTE!$U$16,(10/(PERALTE!$U$16-PERALTE!$Q$16)*(RASANTE!F179-PERALTE!$Q$16)-2),IF(RASANTE!F179&lt;=PERALTE!$X$16,8,IF(RASANTE!F179&lt;=PERALTE!$AB$16,(10/(PERALTE!$X$16-PERALTE!$AB$16)*(RASANTE!F179-PERALTE!$AB$16)-2))))),IF(AND(AH!$H$20="Izquierda",RASANTE!F179&lt;=PERALTE!$AB$18),IF(RASANTE!F179&lt;=PERALTE!$S$18,-2,IF(RASANTE!F179&lt;=PERALTE!$U$18,(-6/(PERALTE!$U$18-PERALTE!$S$18)*(RASANTE!F179-PERALTE!$S$18)-2),IF(RASANTE!F179&lt;=PERALTE!$X$18,-8,IF(RASANTE!F179&lt;=PERALTE!$Z$18,(-6/(PERALTE!$X$18-PERALTE!$Z$18)*(RASANTE!F179-PERALTE!$Z$18)-2),IF(RASANTE!F179&lt;=PERALTE!$AB$18,-2))))),IF(AND(AH!$H$20="Derecha",RASANTE!F179&lt;=PERALTE!$AB$18),IF(RASANTE!F179&lt;=PERALTE!$Q$18,-2,IF(RASANTE!F179&lt;=PERALTE!$U$18,(10/(PERALTE!$U$18-PERALTE!$Q$18)*(RASANTE!F179-PERALTE!$Q$18)-2),IF(RASANTE!F179&lt;=PERALTE!$X$18,8,IF(RASANTE!F179&lt;=PERALTE!$AB$18,(10/(PERALTE!$X$18-PERALTE!$AB$18)*(RASANTE!F179-PERALTE!$AB$18)-2))))),IF(AND(AH!$H$24="Izquierda",RASANTE!F179&lt;=PERALTE!$AB$22),IF(RASANTE!F179&lt;=PERALTE!$S$22,-2,IF(RASANTE!F179&lt;=PERALTE!$U$22,(-6/(PERALTE!$U$22-PERALTE!$S$22)*(RASANTE!F179-PERALTE!$S$22)-2),IF(RASANTE!F179&lt;=PERALTE!$X$22,-8,IF(RASANTE!F179&lt;=PERALTE!$Z$22,(-6/(PERALTE!$X$22-PERALTE!$Z$22)*(RASANTE!F179-PERALTE!$Z$22)-2),IF(RASANTE!F179&lt;=PERALTE!$AB$22,-2))))),IF(AND(AH!$H$24="Derecha",RASANTE!F179&lt;=PERALTE!$AB$22),IF(RASANTE!F179&lt;=PERALTE!$Q$22,-2,IF(RASANTE!F179&lt;=PERALTE!$U$22,(10/(PERALTE!$U$22-PERALTE!$Q$22)*(RASANTE!F179-PERALTE!$Q$22)-2),IF(RASANTE!F179&lt;=PERALTE!$X$22,8,IF(RASANTE!F179&lt;=PERALTE!$AB$22,(10/(PERALTE!$X$22-PERALTE!$AB$22)*(RASANTE!F179-PERALTE!$AB$22)-2))))),IF(AND(AH!#REF!="Izquierda",RASANTE!F179&lt;=PERALTE!#REF!),IF(RASANTE!F179&lt;=PERALTE!#REF!,-2,IF(RASANTE!F179&lt;=PERALTE!#REF!,(-6/(PERALTE!#REF!-PERALTE!#REF!)*(RASANTE!F179-PERALTE!#REF!)-2),IF(RASANTE!F179&lt;=PERALTE!#REF!,-8,IF(RASANTE!F179&lt;=PERALTE!#REF!,(-6/(PERALTE!#REF!-PERALTE!#REF!)*(RASANTE!F179-PERALTE!#REF!)-2),IF(RASANTE!F179&lt;=PERALTE!#REF!,-2))))),IF(AND(AH!#REF!="Derecha",RASANTE!F179&lt;=PERALTE!#REF!),IF(RASANTE!F179&lt;=PERALTE!#REF!,-2,IF(RASANTE!F179&lt;=PERALTE!#REF!,(10/(PERALTE!#REF!-PERALTE!#REF!)*(RASANTE!F179-PERALTE!#REF!)-2),IF(RASANTE!F179&lt;=PERALTE!#REF!,8,IF(RASANTE!F179&lt;=PERALTE!#REF!,(10/(PERALTE!#REF!-PERALTE!#REF!)*(RASANTE!F179-PERALTE!#REF!)-2))))),IF(AND(AH!#REF!="Izquierda",RASANTE!F179&lt;=PERALTE!$AB$26),IF(RASANTE!F179&lt;=PERALTE!$S$26,-2,IF(RASANTE!F179&lt;=PERALTE!$U$26,(-6/(PERALTE!$U$26-PERALTE!$S$26)*(RASANTE!F179-PERALTE!$S$26)-2),IF(RASANTE!F179&lt;=PERALTE!$X$26,-8,IF(RASANTE!F179&lt;=PERALTE!$Z$26,(-6/(PERALTE!$X$26-PERALTE!$Z$26)*(RASANTE!F179-PERALTE!$Z$26)-2),IF(RASANTE!F179&lt;=PERALTE!$AB$26,-2))))),IF(AND(AH!#REF!="Derecha",RASANTE!F179&lt;=PERALTE!$AB$26),IF(RASANTE!F179&lt;=PERALTE!$Q$26,-2,IF(RASANTE!F179&lt;=PERALTE!$U$26,(10/(PERALTE!$U$26-PERALTE!$Q$26)*(RASANTE!F179-PERALTE!$Q$26)-2),IF(RASANTE!F179&lt;=PERALTE!$X$26,8,IF(RASANTE!F179&lt;=PERALTE!$AB$26,(10/(PERALTE!$X$26-PERALTE!$AB$26)*(RASANTE!F179-PERALTE!$AB$26)-2))))),IF(F179&lt;=PERALTE!#REF!,-2,"Abscisa fuera de la vía")))))))))))))))))))))</f>
        <v>-2</v>
      </c>
      <c r="I179" s="28">
        <f>+IF(AND(AH!$H$8="Derecha",RASANTE!F179&lt;=PERALTE!$AB$6),IF(RASANTE!F179&lt;=PERALTE!$S$6,-2,IF(RASANTE!F179&lt;=PERALTE!$U$6,(-6/(PERALTE!$U$6-PERALTE!$S$6)*(RASANTE!F179-PERALTE!$S$6)-2),IF(RASANTE!F179&lt;=PERALTE!$X$6,-8,IF(RASANTE!F179&lt;=PERALTE!$Z$6,(-6/(PERALTE!$X$6-PERALTE!$Z$6)*(RASANTE!F179-PERALTE!$Z$6)-2),IF(RASANTE!F179&lt;=PERALTE!$AB$6,-2))))),IF(AND(AH!$H$8="Izquierda",RASANTE!F179&lt;=PERALTE!$AB$6),IF(RASANTE!F179&lt;=PERALTE!$Q$6,-2,IF(RASANTE!F179&lt;=PERALTE!$U$6,(10/(PERALTE!$U$6-PERALTE!$Q$6)*(RASANTE!F179-PERALTE!$Q$6)-2),IF(RASANTE!F179&lt;=PERALTE!$X$6,8,IF(RASANTE!F179&lt;=PERALTE!$AB$6,(10/(PERALTE!$X$6-PERALTE!$AB$6)*(RASANTE!F179-PERALTE!$AB$6)-2))))),IF(AND(AH!$H$10="Derecha",RASANTE!F179&lt;=PERALTE!$AB$8),IF(RASANTE!F179&lt;=PERALTE!$S$8,-2,IF(RASANTE!F179&lt;=PERALTE!$U$8,(-6/(PERALTE!$U$8-PERALTE!$S$8)*(RASANTE!F179-PERALTE!$S$8)-2),IF(RASANTE!F179&lt;=PERALTE!$X$8,-8,IF(RASANTE!F179&lt;=PERALTE!$Z$8,(-6/(PERALTE!$X$8-PERALTE!$Z$8)*(RASANTE!F179-PERALTE!$Z$8)-2),IF(RASANTE!F179&lt;=PERALTE!$AB$8,-2))))),IF(AND(AH!$H$10="Izquierda",RASANTE!F179&lt;=PERALTE!$AB$8),IF(RASANTE!F179&lt;=PERALTE!$Q$8,-2,IF(RASANTE!F179&lt;=PERALTE!$U$8,(10/(PERALTE!$U$8-PERALTE!$Q$8)*(RASANTE!F179-PERALTE!$Q$8)-2),IF(RASANTE!F179&lt;=PERALTE!$X$8,8,IF(RASANTE!F179&lt;=PERALTE!$AB$8,(10/(PERALTE!$X$8-PERALTE!$AB$8)*(RASANTE!F179-PERALTE!$AB$8)-2))))),IF(AND(AH!$H$12="Derecha",RASANTE!F179&lt;=PERALTE!$AB$10),IF(RASANTE!F179&lt;=PERALTE!$S$10,-2,IF(RASANTE!F179&lt;=PERALTE!$U$10,(-6/(PERALTE!$U$10-PERALTE!$S$10)*(RASANTE!F179-PERALTE!$S$10)-2),IF(RASANTE!F179&lt;=PERALTE!$X$10,-8,IF(RASANTE!F179&lt;=PERALTE!$Z$10,(-6/(PERALTE!$X$10-PERALTE!$Z$10)*(RASANTE!F179-PERALTE!$Z$10)-2),IF(RASANTE!F179&lt;=PERALTE!$AB$10,-2))))),IF(AND(AH!$H$12="Izquierda",RASANTE!F179&lt;=PERALTE!$AB$10),IF(RASANTE!F179&lt;=PERALTE!$Q$10,-2,IF(RASANTE!F179&lt;=PERALTE!$U$10,(10/(PERALTE!$U$10-PERALTE!$Q$10)*(RASANTE!F179-PERALTE!$Q$10)-2),IF(RASANTE!F179&lt;=PERALTE!$X$10,8,IF(RASANTE!F179&lt;=PERALTE!$AB$10,(10/(PERALTE!$X$10-PERALTE!$AB$10)*(RASANTE!F179-PERALTE!$AB$10)-2))))),IF(AND(AH!$H$14="Derecha",RASANTE!F179&lt;=PERALTE!$AB$12),IF(RASANTE!F179&lt;=PERALTE!$S$12,-2,IF(RASANTE!F179&lt;=PERALTE!$U$12,(-6/(PERALTE!$U$12-PERALTE!$S$12)*(RASANTE!F179-PERALTE!$S$12)-2),IF(RASANTE!F179&lt;=PERALTE!$X$12,-8,IF(RASANTE!F179&lt;=PERALTE!$Z$12,(-6/(PERALTE!$X$12-PERALTE!$Z$12)*(RASANTE!F179-PERALTE!$Z$12)-2),IF(RASANTE!F179&lt;=PERALTE!$AB$12,-2))))),IF(AND(AH!$H$14="Izquierda",RASANTE!F179&lt;=PERALTE!$AB$12),IF(RASANTE!F179&lt;=PERALTE!$Q$12,-2,IF(RASANTE!F179&lt;=PERALTE!$U$12,(10/(PERALTE!$U$12-PERALTE!$Q$12)*(RASANTE!F179-PERALTE!$Q$12)-2),IF(RASANTE!F179&lt;=PERALTE!$X$12,8,IF(RASANTE!F179&lt;=PERALTE!$AB$12,(10/(PERALTE!$X$12-PERALTE!$AB$12)*(RASANTE!F179-PERALTE!$AB$12)-2))))),IF(AND(AH!$H$16="Derecha",RASANTE!F179&lt;=PERALTE!$AB$14),IF(RASANTE!F179&lt;=PERALTE!$S$14,-2,IF(RASANTE!F179&lt;=PERALTE!$U$14,(-6/(PERALTE!$U$14-PERALTE!$S$14)*(RASANTE!F179-PERALTE!$S$14)-2),IF(RASANTE!F179&lt;=PERALTE!$X$14,-8,IF(RASANTE!F179&lt;=PERALTE!$Z$14,(-6/(PERALTE!$X$14-PERALTE!$Z$14)*(RASANTE!F179-PERALTE!$Z$14)-2),IF(RASANTE!F179&lt;=PERALTE!$AB$14,-2))))),IF(AND(AH!$H$16="Izquierda",RASANTE!F179&lt;=PERALTE!$AB$14),IF(RASANTE!F179&lt;=PERALTE!$Q$14,-2,IF(RASANTE!F179&lt;=PERALTE!$U$14,(10/(PERALTE!$U$14-PERALTE!$Q$14)*(RASANTE!F179-PERALTE!$Q$14)-2),IF(RASANTE!F179&lt;=PERALTE!$X$14,8,IF(RASANTE!F179&lt;=PERALTE!$AB$14,(10/(PERALTE!$X$14-PERALTE!$AB$14)*(RASANTE!F179-PERALTE!$AB$14)-2))))),IF(AND(AH!$H$18="Derecha",RASANTE!F179&lt;=PERALTE!$AB$16),IF(RASANTE!F179&lt;=PERALTE!$S$16,-2,IF(RASANTE!F179&lt;=PERALTE!$U$16,(-6/(PERALTE!$U$16-PERALTE!$S$16)*(RASANTE!F179-PERALTE!$S$16)-2),IF(RASANTE!F179&lt;=PERALTE!$X$16,-8,IF(RASANTE!F179&lt;=PERALTE!$Z$16,(-6/(PERALTE!$X$16-PERALTE!$Z$16)*(RASANTE!F179-PERALTE!$Z$16)-2),IF(RASANTE!F179&lt;=PERALTE!$AB$16,-2))))),IF(AND(AH!$H$18="Izquierda",RASANTE!F179&lt;=PERALTE!$AB$16),IF(RASANTE!F179&lt;=PERALTE!$Q$16,-2,IF(RASANTE!F179&lt;=PERALTE!$U$16,(10/(PERALTE!$U$16-PERALTE!$Q$16)*(RASANTE!F179-PERALTE!$Q$16)-2),IF(RASANTE!F179&lt;=PERALTE!$X$16,8,IF(RASANTE!F179&lt;=PERALTE!$AB$16,(10/(PERALTE!$X$16-PERALTE!$AB$16)*(RASANTE!F179-PERALTE!$AB$16)-2))))),IF(AND(AH!$H$20="Derecha",RASANTE!F179&lt;=PERALTE!$AB$18),IF(RASANTE!F179&lt;=PERALTE!$S$18,-2,IF(RASANTE!F179&lt;=PERALTE!$U$18,(-6/(PERALTE!$U$18-PERALTE!$S$18)*(RASANTE!F179-PERALTE!$S$18)-2),IF(RASANTE!F179&lt;=PERALTE!$X$18,-8,IF(RASANTE!F179&lt;=PERALTE!$Z$18,(-6/(PERALTE!$X$18-PERALTE!$Z$18)*(RASANTE!F179-PERALTE!$Z$18)-2),IF(RASANTE!F179&lt;=PERALTE!$AB$18,-2))))),IF(AND(AH!$H$20="Izquierda",RASANTE!F179&lt;=PERALTE!$AB$18),IF(RASANTE!F179&lt;=PERALTE!$Q$18,-2,IF(RASANTE!F179&lt;=PERALTE!$U$18,(10/(PERALTE!$U$18-PERALTE!$Q$18)*(RASANTE!F179-PERALTE!$Q$18)-2),IF(RASANTE!F179&lt;=PERALTE!$X$18,8,IF(RASANTE!F179&lt;=PERALTE!$AB$18,(10/(PERALTE!$X$18-PERALTE!$AB$18)*(RASANTE!F179-PERALTE!$AB$18)-2))))),IF(AND(AH!$H$24="Derecha",RASANTE!F179&lt;=PERALTE!$AB$22),IF(RASANTE!F179&lt;=PERALTE!$S$22,-2,IF(RASANTE!F179&lt;=PERALTE!$U$22,(-6/(PERALTE!$U$22-PERALTE!$S$22)*(RASANTE!F179-PERALTE!$S$22)-2),IF(RASANTE!F179&lt;=PERALTE!$X$22,-8,IF(RASANTE!F179&lt;=PERALTE!$Z$22,(-6/(PERALTE!$X$22-PERALTE!$Z$22)*(RASANTE!F179-PERALTE!$Z$22)-2),IF(RASANTE!F179&lt;=PERALTE!$AB$22,-2))))),IF(AND(AH!$H$24="Izquierda",RASANTE!F179&lt;=PERALTE!$AB$22),IF(RASANTE!F179&lt;=PERALTE!$Q$22,-2,IF(RASANTE!F179&lt;=PERALTE!$U$22,(10/(PERALTE!$U$22-PERALTE!$Q$22)*(RASANTE!F179-PERALTE!$Q$22)-2),IF(RASANTE!F179&lt;=PERALTE!$X$22,8,IF(RASANTE!F179&lt;=PERALTE!$AB$22,(10/(PERALTE!$X$22-PERALTE!$AB$22)*(RASANTE!F179-PERALTE!$AB$22)-2))))),IF(AND(AH!#REF!="Derecha",RASANTE!F179&lt;=PERALTE!#REF!),IF(RASANTE!F179&lt;=PERALTE!#REF!,-2,IF(RASANTE!F179&lt;=PERALTE!#REF!,(-6/(PERALTE!#REF!-PERALTE!#REF!)*(RASANTE!F179-PERALTE!#REF!)-2),IF(RASANTE!F179&lt;=PERALTE!#REF!,-8,IF(RASANTE!F179&lt;=PERALTE!#REF!,(-6/(PERALTE!#REF!-PERALTE!#REF!)*(RASANTE!F179-PERALTE!#REF!)-2),IF(RASANTE!F179&lt;=PERALTE!#REF!,-2))))),IF(AND(AH!#REF!="Izquierda",RASANTE!F179&lt;=PERALTE!#REF!),IF(RASANTE!F179&lt;=PERALTE!#REF!,-2,IF(RASANTE!F179&lt;=PERALTE!#REF!,(10/(PERALTE!#REF!-PERALTE!#REF!)*(RASANTE!F179-PERALTE!#REF!)-2),IF(RASANTE!F179&lt;=PERALTE!#REF!,8,IF(RASANTE!F179&lt;=PERALTE!#REF!,(10/(PERALTE!#REF!-PERALTE!#REF!)*(RASANTE!F179-PERALTE!#REF!)-2))))),IF(AND(AH!#REF!="Derecha",RASANTE!F179&lt;=PERALTE!$AB$26),IF(RASANTE!F179&lt;=PERALTE!$S$26,-2,IF(RASANTE!F179&lt;=PERALTE!$U$26,(-6/(PERALTE!$U$26-PERALTE!$S$26)*(RASANTE!F179-PERALTE!$S$26)-2),IF(RASANTE!F179&lt;=PERALTE!$X$26,-8,IF(RASANTE!F179&lt;=PERALTE!$Z$26,(-6/(PERALTE!$X$26-PERALTE!$Z$26)*(RASANTE!F179-PERALTE!$Z$26)-2),IF(RASANTE!F179&lt;=PERALTE!$AB$26,-2))))),IF(AND(AH!#REF!="Izquierda",RASANTE!F179&lt;=PERALTE!$AB$26),IF(RASANTE!F179&lt;=PERALTE!$Q$26,-2,IF(RASANTE!F179&lt;=PERALTE!$U$26,(10/(PERALTE!$U$26-PERALTE!$Q$26)*(RASANTE!F179-PERALTE!$Q$26)-2),IF(RASANTE!F179&lt;=PERALTE!$X$26,8,IF(RASANTE!F179&lt;=PERALTE!$AB$26,(10/(PERALTE!$X$26-PERALTE!$AB$26)*(RASANTE!F179-PERALTE!$AB$26)-2))))),IF(F179&lt;=PERALTE!#REF!,-2,"Abscisa fuera de la vía")))))))))))))))))))))</f>
        <v>1.9999999999999796</v>
      </c>
      <c r="J179" s="28">
        <f t="shared" si="6"/>
        <v>1615.0195646561367</v>
      </c>
      <c r="K179" s="28">
        <f>+IF(AND(AV!$S$6&lt;F179,F179&lt;=AV!$T$6),AV!$P$6*((AV!$S$6-RASANTE!F179)/(AV!$N$6))^2,IF(AND(AV!$T$6&lt;RASANTE!F179,F179&lt;AV!$U$6),AV!$P$6*((AV!$U$6-RASANTE!F179)/(AV!$O$6))^2,IF(AND(AV!$S$8&lt;F179,F179&lt;=AV!$T$8),AV!$P$8*((AV!$S$8-RASANTE!F179)/(AV!$N$8))^2,IF(AND(AV!$T$8&lt;RASANTE!F179,F179&lt;AV!$U$8),AV!$P$8*((AV!$U$8-RASANTE!F179)/(AV!$O$8))^2,IF(AND(AV!$S$10&lt;F179,F179&lt;=AV!$T$10),AV!$P$10*((AV!$S$10-RASANTE!F179)/(AV!$N$10))^2,IF(AND(AV!$T$10&lt;RASANTE!F179,F179&lt;AV!$U$10),AV!$P$10*((AV!$U$10-RASANTE!F179)/(AV!$O$10))^2,IF(AND(AV!$S$12&lt;F179,F179&lt;=AV!$T$12),AV!$P$12*((AV!$S$12-RASANTE!F179)/(AV!$N$12))^2,IF(AND(AV!$T$12&lt;RASANTE!F179,F179&lt;AV!$U$12),AV!$P$12*((AV!$U$12-RASANTE!F179)/(AV!$O$12))^2,IF(AND(AV!$S$14&lt;F179,F179&lt;=AV!$T$14),AV!$P$14*((AV!$S$14-RASANTE!F179)/(AV!$N$14))^2,IF(AND(AV!$T$14&lt;RASANTE!F179,F179&lt;AV!$U$14),AV!$P$14*((AV!$U$14-RASANTE!F179)/(AV!$O$14))^2,IF(AND(AV!$S$16&lt;F179,F179&lt;=AV!$T$16),AV!$P$16*((AV!$S$16-RASANTE!F179)/(AV!$N$16))^2,IF(AND(AV!$T$16&lt;RASANTE!F179,F179&lt;AV!$U$16),AV!$P$16*((AV!$U$16-RASANTE!F179)/(AV!$O$16))^2,IF(AND(AV!$S$18&lt;F179,F179&lt;=AV!$T$18),AV!$P$18*((AV!$S$18-RASANTE!F179)/(AV!$N$18))^2,IF(AND(AV!$T$18&lt;RASANTE!F179,F179&lt;AV!$U$18),AV!$P$18*((AV!$U$18-RASANTE!F179)/(AV!$O$18))^2,IF(AND(AV!$S$20&lt;F179,F179&lt;=AV!$T$20),AV!$P$20*((AV!$S$20-RASANTE!F179)/(AV!$N$20))^2,IF(AND(AV!$T$20&lt;RASANTE!F179,F179&lt;AV!$U$20),AV!$P$20*((AV!$U$20-RASANTE!F179)/(AV!$O$20))^2,IF(AND(AV!$S$22&lt;F179,F179&lt;=AV!$T$22),AV!$P$22*((AV!$S$22-RASANTE!F179)/(AV!$N$22))^2,IF(AND(AV!$T$22&lt;RASANTE!F179,F179&lt;AV!$U$22),AV!$P$22*((AV!$U$22-RASANTE!F179)/(AV!$O$22))^2,IF(AND(AV!$S$24&lt;F179,F179&lt;=AV!$T$24),AV!$P$24*((AV!$S$24-RASANTE!F179)/(AV!$N$24))^2,IF(AND(AV!$T$24&lt;RASANTE!F179,F179&lt;AV!$U$24),AV!$P$24*((AV!$U$24-RASANTE!F179)/(AV!$O$24))^2,0))))))))))))))))))))</f>
        <v>5.5035381159520636E-4</v>
      </c>
      <c r="L179" s="28">
        <f>+M179+H179%*PERALTE!$C$32</f>
        <v>1614.9501150099484</v>
      </c>
      <c r="M179" s="28">
        <f t="shared" si="7"/>
        <v>1615.0201150099483</v>
      </c>
      <c r="N179" s="28">
        <f>+M179+I179%*PERALTE!$C$32</f>
        <v>1615.0901150099482</v>
      </c>
      <c r="O179" s="92"/>
      <c r="P179" s="84"/>
      <c r="Q179" s="84"/>
      <c r="R179" s="84"/>
      <c r="S179" s="84"/>
      <c r="T179" s="84"/>
      <c r="U179" s="84"/>
      <c r="V179" s="84"/>
      <c r="W179" s="84"/>
      <c r="X179" s="84"/>
      <c r="Y179" s="84"/>
    </row>
    <row r="180" spans="1:25" ht="15.75" customHeight="1" x14ac:dyDescent="0.2">
      <c r="A180" s="130" t="s">
        <v>214</v>
      </c>
      <c r="B180" s="86"/>
      <c r="C180" s="86"/>
      <c r="D180" s="86"/>
      <c r="F180" s="34">
        <f>AV!U12</f>
        <v>1123</v>
      </c>
      <c r="G180" s="88">
        <f>IF(F180&lt;=AV!$T$6,AV!$C$5,IF(RASANTE!F180&lt;=AV!$T$8,AV!$C$7,IF(RASANTE!F180&lt;=AV!$T$10,AV!$C$9,IF(RASANTE!F180&lt;=AV!$T$12,AV!$C$11,IF(RASANTE!F180&lt;=AV!$T$14,AV!$C$13,IF(RASANTE!F180&lt;=AV!$T$16,AV!$C$15, IF(RASANTE!F180&lt;=AV!$T$18,AV!$C$17,IF(RASANTE!F180&lt;=AV!$T$20,AV!$C$19,IF(RASANTE!F180&lt;=AV!$T$22,AV!$C$21,IF(RASANTE!F180&lt;=AV!$T$24,AV!$C$23,AV!$C$25))))))))))</f>
        <v>8.1999999999999993</v>
      </c>
      <c r="H180" s="28">
        <f>+IF(AND(AH!$H$8="Izquierda",RASANTE!F180&lt;=PERALTE!$AB$6),IF(RASANTE!F180&lt;=PERALTE!$S$6,-2,IF(RASANTE!F180&lt;=PERALTE!$U$6,(-6/(PERALTE!$U$6-PERALTE!$S$6)*(RASANTE!F180-PERALTE!$S$6)-2),IF(RASANTE!F180&lt;=PERALTE!$X$6,-8,IF(RASANTE!F180&lt;=PERALTE!$Z$6,(-6/(PERALTE!$X$6-PERALTE!$Z$6)*(RASANTE!F180-PERALTE!$Z$6)-2),IF(RASANTE!F180&lt;=PERALTE!$AB$6,-2))))),IF(AND(AH!$H$8="Derecha",RASANTE!F180&lt;=PERALTE!$AB$6),IF(RASANTE!F180&lt;=PERALTE!$Q$6,-2,IF(RASANTE!F180&lt;=PERALTE!$U$6,(10/(PERALTE!$U$6-PERALTE!$Q$6)*(RASANTE!F180-PERALTE!$Q$6)-2),IF(RASANTE!F180&lt;=PERALTE!$X$6,8,IF(RASANTE!F180&lt;=PERALTE!$AB$6,(10/(PERALTE!$X$6-PERALTE!$AB$6)*(RASANTE!F180-PERALTE!$AB$6)-2))))),IF(AND(AH!$H$10="Izquierda",RASANTE!F180&lt;=PERALTE!$AB$8),IF(RASANTE!F180&lt;=PERALTE!$S$8,-2,IF(RASANTE!F180&lt;=PERALTE!$U$8,(-6/(PERALTE!$U$8-PERALTE!$S$8)*(RASANTE!F180-PERALTE!$S$8)-2),IF(RASANTE!F180&lt;=PERALTE!$X$8,-8,IF(RASANTE!F180&lt;=PERALTE!$Z$8,(-6/(PERALTE!$X$8-PERALTE!$Z$8)*(RASANTE!F180-PERALTE!$Z$8)-2),IF(RASANTE!F180&lt;=PERALTE!$AB$8,-2))))),IF(AND(AH!$H$10="Derecha",RASANTE!F180&lt;=PERALTE!$AB$8),IF(RASANTE!F180&lt;=PERALTE!$Q$8,-2,IF(RASANTE!F180&lt;=PERALTE!$U$8,(10/(PERALTE!$U$8-PERALTE!$Q$8)*(RASANTE!F180-PERALTE!$Q$8)-2),IF(RASANTE!F180&lt;=PERALTE!$X$8,8,IF(RASANTE!F180&lt;=PERALTE!$AB$8,(10/(PERALTE!$X$8-PERALTE!$AB$8)*(RASANTE!F180-PERALTE!$AB$8)-2))))),IF(AND(AH!$H$12="Izquierda",RASANTE!F180&lt;=PERALTE!$AB$10),IF(RASANTE!F180&lt;=PERALTE!$S$10,-2,IF(RASANTE!F180&lt;=PERALTE!$U$10,(-6/(PERALTE!$U$10-PERALTE!$S$10)*(RASANTE!F180-PERALTE!$S$10)-2),IF(RASANTE!F180&lt;=PERALTE!$X$10,-8,IF(RASANTE!F180&lt;=PERALTE!$Z$10,(-6/(PERALTE!$X$10-PERALTE!$Z$10)*(RASANTE!F180-PERALTE!$Z$10)-2),IF(RASANTE!F180&lt;=PERALTE!$AB$10,-2))))),IF(AND(AH!$H$12="Derecha",RASANTE!F180&lt;=PERALTE!$AB$10),IF(RASANTE!F180&lt;=PERALTE!$Q$10,-2,IF(RASANTE!F180&lt;=PERALTE!$U$10,(10/(PERALTE!$U$10-PERALTE!$Q$10)*(RASANTE!F180-PERALTE!$Q$10)-2),IF(RASANTE!F180&lt;=PERALTE!$X$10,8,IF(RASANTE!F180&lt;=PERALTE!$AB$10,(10/(PERALTE!$X$10-PERALTE!$AB$10)*(RASANTE!F180-PERALTE!$AB$10)-2))))),IF(AND(AH!$H$14="Izquierda",RASANTE!F180&lt;=PERALTE!$AB$12),IF(RASANTE!F180&lt;=PERALTE!$S$12,-2,IF(RASANTE!F180&lt;=PERALTE!$U$12,(-6/(PERALTE!$U$12-PERALTE!$S$12)*(RASANTE!F180-PERALTE!$S$12)-2),IF(RASANTE!F180&lt;=PERALTE!$X$12,-8,IF(RASANTE!F180&lt;=PERALTE!$Z$12,(-6/(PERALTE!$X$12-PERALTE!$Z$12)*(RASANTE!F180-PERALTE!$Z$12)-2),IF(RASANTE!F180&lt;=PERALTE!$AB$12,-2))))),IF(AND(AH!$H$14="Derecha",RASANTE!F180&lt;=PERALTE!$AB$12),IF(RASANTE!F180&lt;=PERALTE!$Q$12,-2,IF(RASANTE!F180&lt;=PERALTE!$U$12,(10/(PERALTE!$U$12-PERALTE!$Q$12)*(RASANTE!F180-PERALTE!$Q$12)-2),IF(RASANTE!F180&lt;=PERALTE!$X$12,8,IF(RASANTE!F180&lt;=PERALTE!$AB$12,(10/(PERALTE!$X$12-PERALTE!$AB$12)*(RASANTE!F180-PERALTE!$AB$12)-2))))),IF(AND(AH!$H$16="Izquierda",RASANTE!F180&lt;=PERALTE!$AB$14),IF(RASANTE!F180&lt;=PERALTE!$S$14,-2,IF(RASANTE!F180&lt;=PERALTE!$U$14,(-6/(PERALTE!$U$14-PERALTE!$S$14)*(RASANTE!F180-PERALTE!$S$14)-2),IF(RASANTE!F180&lt;=PERALTE!$X$14,-8,IF(RASANTE!F180&lt;=PERALTE!$Z$14,(-6/(PERALTE!$X$14-PERALTE!$Z$14)*(RASANTE!F180-PERALTE!$Z$14)-2),IF(RASANTE!F180&lt;=PERALTE!$AB$14,-2))))),IF(AND(AH!$H$16="Derecha",RASANTE!F180&lt;=PERALTE!$AB$14),IF(RASANTE!F180&lt;=PERALTE!$Q$14,-2,IF(RASANTE!F180&lt;=PERALTE!$U$14,(10/(PERALTE!$U$14-PERALTE!$Q$14)*(RASANTE!F180-PERALTE!$Q$14)-2),IF(RASANTE!F180&lt;=PERALTE!$X$14,8,IF(RASANTE!F180&lt;=PERALTE!$AB$14,(10/(PERALTE!$X$14-PERALTE!$AB$14)*(RASANTE!F180-PERALTE!$AB$14)-2))))),IF(AND(AH!$H$18="Izquierda",RASANTE!F180&lt;=PERALTE!$AB$16),IF(RASANTE!F180&lt;=PERALTE!$S$16,-2,IF(RASANTE!F180&lt;=PERALTE!$U$16,(-6/(PERALTE!$U$16-PERALTE!$S$16)*(RASANTE!F180-PERALTE!$S$16)-2),IF(RASANTE!F180&lt;=PERALTE!$X$16,-8,IF(RASANTE!F180&lt;=PERALTE!$Z$16,(-6/(PERALTE!$X$16-PERALTE!$Z$16)*(RASANTE!F180-PERALTE!$Z$16)-2),IF(RASANTE!F180&lt;=PERALTE!$AB$16,-2))))),IF(AND(AH!$H$18="Derecha",RASANTE!F180&lt;=PERALTE!$AB$16),IF(RASANTE!F180&lt;=PERALTE!$Q$16,-2,IF(RASANTE!F180&lt;=PERALTE!$U$16,(10/(PERALTE!$U$16-PERALTE!$Q$16)*(RASANTE!F180-PERALTE!$Q$16)-2),IF(RASANTE!F180&lt;=PERALTE!$X$16,8,IF(RASANTE!F180&lt;=PERALTE!$AB$16,(10/(PERALTE!$X$16-PERALTE!$AB$16)*(RASANTE!F180-PERALTE!$AB$16)-2))))),IF(AND(AH!$H$20="Izquierda",RASANTE!F180&lt;=PERALTE!$AB$18),IF(RASANTE!F180&lt;=PERALTE!$S$18,-2,IF(RASANTE!F180&lt;=PERALTE!$U$18,(-6/(PERALTE!$U$18-PERALTE!$S$18)*(RASANTE!F180-PERALTE!$S$18)-2),IF(RASANTE!F180&lt;=PERALTE!$X$18,-8,IF(RASANTE!F180&lt;=PERALTE!$Z$18,(-6/(PERALTE!$X$18-PERALTE!$Z$18)*(RASANTE!F180-PERALTE!$Z$18)-2),IF(RASANTE!F180&lt;=PERALTE!$AB$18,-2))))),IF(AND(AH!$H$20="Derecha",RASANTE!F180&lt;=PERALTE!$AB$18),IF(RASANTE!F180&lt;=PERALTE!$Q$18,-2,IF(RASANTE!F180&lt;=PERALTE!$U$18,(10/(PERALTE!$U$18-PERALTE!$Q$18)*(RASANTE!F180-PERALTE!$Q$18)-2),IF(RASANTE!F180&lt;=PERALTE!$X$18,8,IF(RASANTE!F180&lt;=PERALTE!$AB$18,(10/(PERALTE!$X$18-PERALTE!$AB$18)*(RASANTE!F180-PERALTE!$AB$18)-2))))),IF(AND(AH!$H$24="Izquierda",RASANTE!F180&lt;=PERALTE!$AB$22),IF(RASANTE!F180&lt;=PERALTE!$S$22,-2,IF(RASANTE!F180&lt;=PERALTE!$U$22,(-6/(PERALTE!$U$22-PERALTE!$S$22)*(RASANTE!F180-PERALTE!$S$22)-2),IF(RASANTE!F180&lt;=PERALTE!$X$22,-8,IF(RASANTE!F180&lt;=PERALTE!$Z$22,(-6/(PERALTE!$X$22-PERALTE!$Z$22)*(RASANTE!F180-PERALTE!$Z$22)-2),IF(RASANTE!F180&lt;=PERALTE!$AB$22,-2))))),IF(AND(AH!$H$24="Derecha",RASANTE!F180&lt;=PERALTE!$AB$22),IF(RASANTE!F180&lt;=PERALTE!$Q$22,-2,IF(RASANTE!F180&lt;=PERALTE!$U$22,(10/(PERALTE!$U$22-PERALTE!$Q$22)*(RASANTE!F180-PERALTE!$Q$22)-2),IF(RASANTE!F180&lt;=PERALTE!$X$22,8,IF(RASANTE!F180&lt;=PERALTE!$AB$22,(10/(PERALTE!$X$22-PERALTE!$AB$22)*(RASANTE!F180-PERALTE!$AB$22)-2))))),IF(AND(AH!#REF!="Izquierda",RASANTE!F180&lt;=PERALTE!#REF!),IF(RASANTE!F180&lt;=PERALTE!#REF!,-2,IF(RASANTE!F180&lt;=PERALTE!#REF!,(-6/(PERALTE!#REF!-PERALTE!#REF!)*(RASANTE!F180-PERALTE!#REF!)-2),IF(RASANTE!F180&lt;=PERALTE!#REF!,-8,IF(RASANTE!F180&lt;=PERALTE!#REF!,(-6/(PERALTE!#REF!-PERALTE!#REF!)*(RASANTE!F180-PERALTE!#REF!)-2),IF(RASANTE!F180&lt;=PERALTE!#REF!,-2))))),IF(AND(AH!#REF!="Derecha",RASANTE!F180&lt;=PERALTE!#REF!),IF(RASANTE!F180&lt;=PERALTE!#REF!,-2,IF(RASANTE!F180&lt;=PERALTE!#REF!,(10/(PERALTE!#REF!-PERALTE!#REF!)*(RASANTE!F180-PERALTE!#REF!)-2),IF(RASANTE!F180&lt;=PERALTE!#REF!,8,IF(RASANTE!F180&lt;=PERALTE!#REF!,(10/(PERALTE!#REF!-PERALTE!#REF!)*(RASANTE!F180-PERALTE!#REF!)-2))))),IF(AND(AH!#REF!="Izquierda",RASANTE!F180&lt;=PERALTE!$AB$26),IF(RASANTE!F180&lt;=PERALTE!$S$26,-2,IF(RASANTE!F180&lt;=PERALTE!$U$26,(-6/(PERALTE!$U$26-PERALTE!$S$26)*(RASANTE!F180-PERALTE!$S$26)-2),IF(RASANTE!F180&lt;=PERALTE!$X$26,-8,IF(RASANTE!F180&lt;=PERALTE!$Z$26,(-6/(PERALTE!$X$26-PERALTE!$Z$26)*(RASANTE!F180-PERALTE!$Z$26)-2),IF(RASANTE!F180&lt;=PERALTE!$AB$26,-2))))),IF(AND(AH!#REF!="Derecha",RASANTE!F180&lt;=PERALTE!$AB$26),IF(RASANTE!F180&lt;=PERALTE!$Q$26,-2,IF(RASANTE!F180&lt;=PERALTE!$U$26,(10/(PERALTE!$U$26-PERALTE!$Q$26)*(RASANTE!F180-PERALTE!$Q$26)-2),IF(RASANTE!F180&lt;=PERALTE!$X$26,8,IF(RASANTE!F180&lt;=PERALTE!$AB$26,(10/(PERALTE!$X$26-PERALTE!$AB$26)*(RASANTE!F180-PERALTE!$AB$26)-2))))),IF(F180&lt;=PERALTE!#REF!,-2,"Abscisa fuera de la vía")))))))))))))))))))))</f>
        <v>-2.2349529746382135</v>
      </c>
      <c r="I180" s="28">
        <f>+IF(AND(AH!$H$8="Derecha",RASANTE!F180&lt;=PERALTE!$AB$6),IF(RASANTE!F180&lt;=PERALTE!$S$6,-2,IF(RASANTE!F180&lt;=PERALTE!$U$6,(-6/(PERALTE!$U$6-PERALTE!$S$6)*(RASANTE!F180-PERALTE!$S$6)-2),IF(RASANTE!F180&lt;=PERALTE!$X$6,-8,IF(RASANTE!F180&lt;=PERALTE!$Z$6,(-6/(PERALTE!$X$6-PERALTE!$Z$6)*(RASANTE!F180-PERALTE!$Z$6)-2),IF(RASANTE!F180&lt;=PERALTE!$AB$6,-2))))),IF(AND(AH!$H$8="Izquierda",RASANTE!F180&lt;=PERALTE!$AB$6),IF(RASANTE!F180&lt;=PERALTE!$Q$6,-2,IF(RASANTE!F180&lt;=PERALTE!$U$6,(10/(PERALTE!$U$6-PERALTE!$Q$6)*(RASANTE!F180-PERALTE!$Q$6)-2),IF(RASANTE!F180&lt;=PERALTE!$X$6,8,IF(RASANTE!F180&lt;=PERALTE!$AB$6,(10/(PERALTE!$X$6-PERALTE!$AB$6)*(RASANTE!F180-PERALTE!$AB$6)-2))))),IF(AND(AH!$H$10="Derecha",RASANTE!F180&lt;=PERALTE!$AB$8),IF(RASANTE!F180&lt;=PERALTE!$S$8,-2,IF(RASANTE!F180&lt;=PERALTE!$U$8,(-6/(PERALTE!$U$8-PERALTE!$S$8)*(RASANTE!F180-PERALTE!$S$8)-2),IF(RASANTE!F180&lt;=PERALTE!$X$8,-8,IF(RASANTE!F180&lt;=PERALTE!$Z$8,(-6/(PERALTE!$X$8-PERALTE!$Z$8)*(RASANTE!F180-PERALTE!$Z$8)-2),IF(RASANTE!F180&lt;=PERALTE!$AB$8,-2))))),IF(AND(AH!$H$10="Izquierda",RASANTE!F180&lt;=PERALTE!$AB$8),IF(RASANTE!F180&lt;=PERALTE!$Q$8,-2,IF(RASANTE!F180&lt;=PERALTE!$U$8,(10/(PERALTE!$U$8-PERALTE!$Q$8)*(RASANTE!F180-PERALTE!$Q$8)-2),IF(RASANTE!F180&lt;=PERALTE!$X$8,8,IF(RASANTE!F180&lt;=PERALTE!$AB$8,(10/(PERALTE!$X$8-PERALTE!$AB$8)*(RASANTE!F180-PERALTE!$AB$8)-2))))),IF(AND(AH!$H$12="Derecha",RASANTE!F180&lt;=PERALTE!$AB$10),IF(RASANTE!F180&lt;=PERALTE!$S$10,-2,IF(RASANTE!F180&lt;=PERALTE!$U$10,(-6/(PERALTE!$U$10-PERALTE!$S$10)*(RASANTE!F180-PERALTE!$S$10)-2),IF(RASANTE!F180&lt;=PERALTE!$X$10,-8,IF(RASANTE!F180&lt;=PERALTE!$Z$10,(-6/(PERALTE!$X$10-PERALTE!$Z$10)*(RASANTE!F180-PERALTE!$Z$10)-2),IF(RASANTE!F180&lt;=PERALTE!$AB$10,-2))))),IF(AND(AH!$H$12="Izquierda",RASANTE!F180&lt;=PERALTE!$AB$10),IF(RASANTE!F180&lt;=PERALTE!$Q$10,-2,IF(RASANTE!F180&lt;=PERALTE!$U$10,(10/(PERALTE!$U$10-PERALTE!$Q$10)*(RASANTE!F180-PERALTE!$Q$10)-2),IF(RASANTE!F180&lt;=PERALTE!$X$10,8,IF(RASANTE!F180&lt;=PERALTE!$AB$10,(10/(PERALTE!$X$10-PERALTE!$AB$10)*(RASANTE!F180-PERALTE!$AB$10)-2))))),IF(AND(AH!$H$14="Derecha",RASANTE!F180&lt;=PERALTE!$AB$12),IF(RASANTE!F180&lt;=PERALTE!$S$12,-2,IF(RASANTE!F180&lt;=PERALTE!$U$12,(-6/(PERALTE!$U$12-PERALTE!$S$12)*(RASANTE!F180-PERALTE!$S$12)-2),IF(RASANTE!F180&lt;=PERALTE!$X$12,-8,IF(RASANTE!F180&lt;=PERALTE!$Z$12,(-6/(PERALTE!$X$12-PERALTE!$Z$12)*(RASANTE!F180-PERALTE!$Z$12)-2),IF(RASANTE!F180&lt;=PERALTE!$AB$12,-2))))),IF(AND(AH!$H$14="Izquierda",RASANTE!F180&lt;=PERALTE!$AB$12),IF(RASANTE!F180&lt;=PERALTE!$Q$12,-2,IF(RASANTE!F180&lt;=PERALTE!$U$12,(10/(PERALTE!$U$12-PERALTE!$Q$12)*(RASANTE!F180-PERALTE!$Q$12)-2),IF(RASANTE!F180&lt;=PERALTE!$X$12,8,IF(RASANTE!F180&lt;=PERALTE!$AB$12,(10/(PERALTE!$X$12-PERALTE!$AB$12)*(RASANTE!F180-PERALTE!$AB$12)-2))))),IF(AND(AH!$H$16="Derecha",RASANTE!F180&lt;=PERALTE!$AB$14),IF(RASANTE!F180&lt;=PERALTE!$S$14,-2,IF(RASANTE!F180&lt;=PERALTE!$U$14,(-6/(PERALTE!$U$14-PERALTE!$S$14)*(RASANTE!F180-PERALTE!$S$14)-2),IF(RASANTE!F180&lt;=PERALTE!$X$14,-8,IF(RASANTE!F180&lt;=PERALTE!$Z$14,(-6/(PERALTE!$X$14-PERALTE!$Z$14)*(RASANTE!F180-PERALTE!$Z$14)-2),IF(RASANTE!F180&lt;=PERALTE!$AB$14,-2))))),IF(AND(AH!$H$16="Izquierda",RASANTE!F180&lt;=PERALTE!$AB$14),IF(RASANTE!F180&lt;=PERALTE!$Q$14,-2,IF(RASANTE!F180&lt;=PERALTE!$U$14,(10/(PERALTE!$U$14-PERALTE!$Q$14)*(RASANTE!F180-PERALTE!$Q$14)-2),IF(RASANTE!F180&lt;=PERALTE!$X$14,8,IF(RASANTE!F180&lt;=PERALTE!$AB$14,(10/(PERALTE!$X$14-PERALTE!$AB$14)*(RASANTE!F180-PERALTE!$AB$14)-2))))),IF(AND(AH!$H$18="Derecha",RASANTE!F180&lt;=PERALTE!$AB$16),IF(RASANTE!F180&lt;=PERALTE!$S$16,-2,IF(RASANTE!F180&lt;=PERALTE!$U$16,(-6/(PERALTE!$U$16-PERALTE!$S$16)*(RASANTE!F180-PERALTE!$S$16)-2),IF(RASANTE!F180&lt;=PERALTE!$X$16,-8,IF(RASANTE!F180&lt;=PERALTE!$Z$16,(-6/(PERALTE!$X$16-PERALTE!$Z$16)*(RASANTE!F180-PERALTE!$Z$16)-2),IF(RASANTE!F180&lt;=PERALTE!$AB$16,-2))))),IF(AND(AH!$H$18="Izquierda",RASANTE!F180&lt;=PERALTE!$AB$16),IF(RASANTE!F180&lt;=PERALTE!$Q$16,-2,IF(RASANTE!F180&lt;=PERALTE!$U$16,(10/(PERALTE!$U$16-PERALTE!$Q$16)*(RASANTE!F180-PERALTE!$Q$16)-2),IF(RASANTE!F180&lt;=PERALTE!$X$16,8,IF(RASANTE!F180&lt;=PERALTE!$AB$16,(10/(PERALTE!$X$16-PERALTE!$AB$16)*(RASANTE!F180-PERALTE!$AB$16)-2))))),IF(AND(AH!$H$20="Derecha",RASANTE!F180&lt;=PERALTE!$AB$18),IF(RASANTE!F180&lt;=PERALTE!$S$18,-2,IF(RASANTE!F180&lt;=PERALTE!$U$18,(-6/(PERALTE!$U$18-PERALTE!$S$18)*(RASANTE!F180-PERALTE!$S$18)-2),IF(RASANTE!F180&lt;=PERALTE!$X$18,-8,IF(RASANTE!F180&lt;=PERALTE!$Z$18,(-6/(PERALTE!$X$18-PERALTE!$Z$18)*(RASANTE!F180-PERALTE!$Z$18)-2),IF(RASANTE!F180&lt;=PERALTE!$AB$18,-2))))),IF(AND(AH!$H$20="Izquierda",RASANTE!F180&lt;=PERALTE!$AB$18),IF(RASANTE!F180&lt;=PERALTE!$Q$18,-2,IF(RASANTE!F180&lt;=PERALTE!$U$18,(10/(PERALTE!$U$18-PERALTE!$Q$18)*(RASANTE!F180-PERALTE!$Q$18)-2),IF(RASANTE!F180&lt;=PERALTE!$X$18,8,IF(RASANTE!F180&lt;=PERALTE!$AB$18,(10/(PERALTE!$X$18-PERALTE!$AB$18)*(RASANTE!F180-PERALTE!$AB$18)-2))))),IF(AND(AH!$H$24="Derecha",RASANTE!F180&lt;=PERALTE!$AB$22),IF(RASANTE!F180&lt;=PERALTE!$S$22,-2,IF(RASANTE!F180&lt;=PERALTE!$U$22,(-6/(PERALTE!$U$22-PERALTE!$S$22)*(RASANTE!F180-PERALTE!$S$22)-2),IF(RASANTE!F180&lt;=PERALTE!$X$22,-8,IF(RASANTE!F180&lt;=PERALTE!$Z$22,(-6/(PERALTE!$X$22-PERALTE!$Z$22)*(RASANTE!F180-PERALTE!$Z$22)-2),IF(RASANTE!F180&lt;=PERALTE!$AB$22,-2))))),IF(AND(AH!$H$24="Izquierda",RASANTE!F180&lt;=PERALTE!$AB$22),IF(RASANTE!F180&lt;=PERALTE!$Q$22,-2,IF(RASANTE!F180&lt;=PERALTE!$U$22,(10/(PERALTE!$U$22-PERALTE!$Q$22)*(RASANTE!F180-PERALTE!$Q$22)-2),IF(RASANTE!F180&lt;=PERALTE!$X$22,8,IF(RASANTE!F180&lt;=PERALTE!$AB$22,(10/(PERALTE!$X$22-PERALTE!$AB$22)*(RASANTE!F180-PERALTE!$AB$22)-2))))),IF(AND(AH!#REF!="Derecha",RASANTE!F180&lt;=PERALTE!#REF!),IF(RASANTE!F180&lt;=PERALTE!#REF!,-2,IF(RASANTE!F180&lt;=PERALTE!#REF!,(-6/(PERALTE!#REF!-PERALTE!#REF!)*(RASANTE!F180-PERALTE!#REF!)-2),IF(RASANTE!F180&lt;=PERALTE!#REF!,-8,IF(RASANTE!F180&lt;=PERALTE!#REF!,(-6/(PERALTE!#REF!-PERALTE!#REF!)*(RASANTE!F180-PERALTE!#REF!)-2),IF(RASANTE!F180&lt;=PERALTE!#REF!,-2))))),IF(AND(AH!#REF!="Izquierda",RASANTE!F180&lt;=PERALTE!#REF!),IF(RASANTE!F180&lt;=PERALTE!#REF!,-2,IF(RASANTE!F180&lt;=PERALTE!#REF!,(10/(PERALTE!#REF!-PERALTE!#REF!)*(RASANTE!F180-PERALTE!#REF!)-2),IF(RASANTE!F180&lt;=PERALTE!#REF!,8,IF(RASANTE!F180&lt;=PERALTE!#REF!,(10/(PERALTE!#REF!-PERALTE!#REF!)*(RASANTE!F180-PERALTE!#REF!)-2))))),IF(AND(AH!#REF!="Derecha",RASANTE!F180&lt;=PERALTE!$AB$26),IF(RASANTE!F180&lt;=PERALTE!$S$26,-2,IF(RASANTE!F180&lt;=PERALTE!$U$26,(-6/(PERALTE!$U$26-PERALTE!$S$26)*(RASANTE!F180-PERALTE!$S$26)-2),IF(RASANTE!F180&lt;=PERALTE!$X$26,-8,IF(RASANTE!F180&lt;=PERALTE!$Z$26,(-6/(PERALTE!$X$26-PERALTE!$Z$26)*(RASANTE!F180-PERALTE!$Z$26)-2),IF(RASANTE!F180&lt;=PERALTE!$AB$26,-2))))),IF(AND(AH!#REF!="Izquierda",RASANTE!F180&lt;=PERALTE!$AB$26),IF(RASANTE!F180&lt;=PERALTE!$Q$26,-2,IF(RASANTE!F180&lt;=PERALTE!$U$26,(10/(PERALTE!$U$26-PERALTE!$Q$26)*(RASANTE!F180-PERALTE!$Q$26)-2),IF(RASANTE!F180&lt;=PERALTE!$X$26,8,IF(RASANTE!F180&lt;=PERALTE!$AB$26,(10/(PERALTE!$X$26-PERALTE!$AB$26)*(RASANTE!F180-PERALTE!$AB$26)-2))))),IF(F180&lt;=PERALTE!#REF!,-2,"Abscisa fuera de la vía")))))))))))))))))))))</f>
        <v>2.234952974638194</v>
      </c>
      <c r="J180" s="28">
        <f t="shared" si="6"/>
        <v>1615.1071380375927</v>
      </c>
      <c r="K180" s="28">
        <f>+IF(AND(AV!$S$6&lt;F180,F180&lt;=AV!$T$6),AV!$P$6*((AV!$S$6-RASANTE!F180)/(AV!$N$6))^2,IF(AND(AV!$T$6&lt;RASANTE!F180,F180&lt;AV!$U$6),AV!$P$6*((AV!$U$6-RASANTE!F180)/(AV!$O$6))^2,IF(AND(AV!$S$8&lt;F180,F180&lt;=AV!$T$8),AV!$P$8*((AV!$S$8-RASANTE!F180)/(AV!$N$8))^2,IF(AND(AV!$T$8&lt;RASANTE!F180,F180&lt;AV!$U$8),AV!$P$8*((AV!$U$8-RASANTE!F180)/(AV!$O$8))^2,IF(AND(AV!$S$10&lt;F180,F180&lt;=AV!$T$10),AV!$P$10*((AV!$S$10-RASANTE!F180)/(AV!$N$10))^2,IF(AND(AV!$T$10&lt;RASANTE!F180,F180&lt;AV!$U$10),AV!$P$10*((AV!$U$10-RASANTE!F180)/(AV!$O$10))^2,IF(AND(AV!$S$12&lt;F180,F180&lt;=AV!$T$12),AV!$P$12*((AV!$S$12-RASANTE!F180)/(AV!$N$12))^2,IF(AND(AV!$T$12&lt;RASANTE!F180,F180&lt;AV!$U$12),AV!$P$12*((AV!$U$12-RASANTE!F180)/(AV!$O$12))^2,IF(AND(AV!$S$14&lt;F180,F180&lt;=AV!$T$14),AV!$P$14*((AV!$S$14-RASANTE!F180)/(AV!$N$14))^2,IF(AND(AV!$T$14&lt;RASANTE!F180,F180&lt;AV!$U$14),AV!$P$14*((AV!$U$14-RASANTE!F180)/(AV!$O$14))^2,IF(AND(AV!$S$16&lt;F180,F180&lt;=AV!$T$16),AV!$P$16*((AV!$S$16-RASANTE!F180)/(AV!$N$16))^2,IF(AND(AV!$T$16&lt;RASANTE!F180,F180&lt;AV!$U$16),AV!$P$16*((AV!$U$16-RASANTE!F180)/(AV!$O$16))^2,IF(AND(AV!$S$18&lt;F180,F180&lt;=AV!$T$18),AV!$P$18*((AV!$S$18-RASANTE!F180)/(AV!$N$18))^2,IF(AND(AV!$T$18&lt;RASANTE!F180,F180&lt;AV!$U$18),AV!$P$18*((AV!$U$18-RASANTE!F180)/(AV!$O$18))^2,IF(AND(AV!$S$20&lt;F180,F180&lt;=AV!$T$20),AV!$P$20*((AV!$S$20-RASANTE!F180)/(AV!$N$20))^2,IF(AND(AV!$T$20&lt;RASANTE!F180,F180&lt;AV!$U$20),AV!$P$20*((AV!$U$20-RASANTE!F180)/(AV!$O$20))^2,IF(AND(AV!$S$22&lt;F180,F180&lt;=AV!$T$22),AV!$P$22*((AV!$S$22-RASANTE!F180)/(AV!$N$22))^2,IF(AND(AV!$T$22&lt;RASANTE!F180,F180&lt;AV!$U$22),AV!$P$22*((AV!$U$22-RASANTE!F180)/(AV!$O$22))^2,IF(AND(AV!$S$24&lt;F180,F180&lt;=AV!$T$24),AV!$P$24*((AV!$S$24-RASANTE!F180)/(AV!$N$24))^2,IF(AND(AV!$T$24&lt;RASANTE!F180,F180&lt;AV!$U$24),AV!$P$24*((AV!$U$24-RASANTE!F180)/(AV!$O$24))^2,0))))))))))))))))))))</f>
        <v>0</v>
      </c>
      <c r="L180" s="28">
        <f>+M180+H180%*PERALTE!$C$32</f>
        <v>1615.0289146834803</v>
      </c>
      <c r="M180" s="28">
        <f t="shared" si="7"/>
        <v>1615.1071380375927</v>
      </c>
      <c r="N180" s="28">
        <f>+M180+I180%*PERALTE!$C$32</f>
        <v>1615.1853613917051</v>
      </c>
      <c r="O180" s="92"/>
      <c r="P180" s="84"/>
      <c r="Q180" s="84"/>
      <c r="R180" s="84"/>
      <c r="S180" s="84"/>
      <c r="T180" s="84"/>
      <c r="U180" s="84"/>
      <c r="V180" s="84"/>
      <c r="W180" s="84"/>
      <c r="X180" s="84"/>
      <c r="Y180" s="84"/>
    </row>
    <row r="181" spans="1:25" ht="15.75" customHeight="1" x14ac:dyDescent="0.2">
      <c r="A181" s="90"/>
      <c r="B181" s="107"/>
      <c r="C181" s="107"/>
      <c r="D181" s="107"/>
      <c r="E181" s="91"/>
      <c r="F181" s="34">
        <v>1130</v>
      </c>
      <c r="G181" s="88">
        <f>IF(F181&lt;=AV!$T$6,AV!$C$5,IF(RASANTE!F181&lt;=AV!$T$8,AV!$C$7,IF(RASANTE!F181&lt;=AV!$T$10,AV!$C$9,IF(RASANTE!F181&lt;=AV!$T$12,AV!$C$11,IF(RASANTE!F181&lt;=AV!$T$14,AV!$C$13,IF(RASANTE!F181&lt;=AV!$T$16,AV!$C$15, IF(RASANTE!F181&lt;=AV!$T$18,AV!$C$17,IF(RASANTE!F181&lt;=AV!$T$20,AV!$C$19,IF(RASANTE!F181&lt;=AV!$T$22,AV!$C$21,IF(RASANTE!F181&lt;=AV!$T$24,AV!$C$23,AV!$C$25))))))))))</f>
        <v>8.1999999999999993</v>
      </c>
      <c r="H181" s="28">
        <f>+IF(AND(AH!$H$8="Izquierda",RASANTE!F181&lt;=PERALTE!$AB$6),IF(RASANTE!F181&lt;=PERALTE!$S$6,-2,IF(RASANTE!F181&lt;=PERALTE!$U$6,(-6/(PERALTE!$U$6-PERALTE!$S$6)*(RASANTE!F181-PERALTE!$S$6)-2),IF(RASANTE!F181&lt;=PERALTE!$X$6,-8,IF(RASANTE!F181&lt;=PERALTE!$Z$6,(-6/(PERALTE!$X$6-PERALTE!$Z$6)*(RASANTE!F181-PERALTE!$Z$6)-2),IF(RASANTE!F181&lt;=PERALTE!$AB$6,-2))))),IF(AND(AH!$H$8="Derecha",RASANTE!F181&lt;=PERALTE!$AB$6),IF(RASANTE!F181&lt;=PERALTE!$Q$6,-2,IF(RASANTE!F181&lt;=PERALTE!$U$6,(10/(PERALTE!$U$6-PERALTE!$Q$6)*(RASANTE!F181-PERALTE!$Q$6)-2),IF(RASANTE!F181&lt;=PERALTE!$X$6,8,IF(RASANTE!F181&lt;=PERALTE!$AB$6,(10/(PERALTE!$X$6-PERALTE!$AB$6)*(RASANTE!F181-PERALTE!$AB$6)-2))))),IF(AND(AH!$H$10="Izquierda",RASANTE!F181&lt;=PERALTE!$AB$8),IF(RASANTE!F181&lt;=PERALTE!$S$8,-2,IF(RASANTE!F181&lt;=PERALTE!$U$8,(-6/(PERALTE!$U$8-PERALTE!$S$8)*(RASANTE!F181-PERALTE!$S$8)-2),IF(RASANTE!F181&lt;=PERALTE!$X$8,-8,IF(RASANTE!F181&lt;=PERALTE!$Z$8,(-6/(PERALTE!$X$8-PERALTE!$Z$8)*(RASANTE!F181-PERALTE!$Z$8)-2),IF(RASANTE!F181&lt;=PERALTE!$AB$8,-2))))),IF(AND(AH!$H$10="Derecha",RASANTE!F181&lt;=PERALTE!$AB$8),IF(RASANTE!F181&lt;=PERALTE!$Q$8,-2,IF(RASANTE!F181&lt;=PERALTE!$U$8,(10/(PERALTE!$U$8-PERALTE!$Q$8)*(RASANTE!F181-PERALTE!$Q$8)-2),IF(RASANTE!F181&lt;=PERALTE!$X$8,8,IF(RASANTE!F181&lt;=PERALTE!$AB$8,(10/(PERALTE!$X$8-PERALTE!$AB$8)*(RASANTE!F181-PERALTE!$AB$8)-2))))),IF(AND(AH!$H$12="Izquierda",RASANTE!F181&lt;=PERALTE!$AB$10),IF(RASANTE!F181&lt;=PERALTE!$S$10,-2,IF(RASANTE!F181&lt;=PERALTE!$U$10,(-6/(PERALTE!$U$10-PERALTE!$S$10)*(RASANTE!F181-PERALTE!$S$10)-2),IF(RASANTE!F181&lt;=PERALTE!$X$10,-8,IF(RASANTE!F181&lt;=PERALTE!$Z$10,(-6/(PERALTE!$X$10-PERALTE!$Z$10)*(RASANTE!F181-PERALTE!$Z$10)-2),IF(RASANTE!F181&lt;=PERALTE!$AB$10,-2))))),IF(AND(AH!$H$12="Derecha",RASANTE!F181&lt;=PERALTE!$AB$10),IF(RASANTE!F181&lt;=PERALTE!$Q$10,-2,IF(RASANTE!F181&lt;=PERALTE!$U$10,(10/(PERALTE!$U$10-PERALTE!$Q$10)*(RASANTE!F181-PERALTE!$Q$10)-2),IF(RASANTE!F181&lt;=PERALTE!$X$10,8,IF(RASANTE!F181&lt;=PERALTE!$AB$10,(10/(PERALTE!$X$10-PERALTE!$AB$10)*(RASANTE!F181-PERALTE!$AB$10)-2))))),IF(AND(AH!$H$14="Izquierda",RASANTE!F181&lt;=PERALTE!$AB$12),IF(RASANTE!F181&lt;=PERALTE!$S$12,-2,IF(RASANTE!F181&lt;=PERALTE!$U$12,(-6/(PERALTE!$U$12-PERALTE!$S$12)*(RASANTE!F181-PERALTE!$S$12)-2),IF(RASANTE!F181&lt;=PERALTE!$X$12,-8,IF(RASANTE!F181&lt;=PERALTE!$Z$12,(-6/(PERALTE!$X$12-PERALTE!$Z$12)*(RASANTE!F181-PERALTE!$Z$12)-2),IF(RASANTE!F181&lt;=PERALTE!$AB$12,-2))))),IF(AND(AH!$H$14="Derecha",RASANTE!F181&lt;=PERALTE!$AB$12),IF(RASANTE!F181&lt;=PERALTE!$Q$12,-2,IF(RASANTE!F181&lt;=PERALTE!$U$12,(10/(PERALTE!$U$12-PERALTE!$Q$12)*(RASANTE!F181-PERALTE!$Q$12)-2),IF(RASANTE!F181&lt;=PERALTE!$X$12,8,IF(RASANTE!F181&lt;=PERALTE!$AB$12,(10/(PERALTE!$X$12-PERALTE!$AB$12)*(RASANTE!F181-PERALTE!$AB$12)-2))))),IF(AND(AH!$H$16="Izquierda",RASANTE!F181&lt;=PERALTE!$AB$14),IF(RASANTE!F181&lt;=PERALTE!$S$14,-2,IF(RASANTE!F181&lt;=PERALTE!$U$14,(-6/(PERALTE!$U$14-PERALTE!$S$14)*(RASANTE!F181-PERALTE!$S$14)-2),IF(RASANTE!F181&lt;=PERALTE!$X$14,-8,IF(RASANTE!F181&lt;=PERALTE!$Z$14,(-6/(PERALTE!$X$14-PERALTE!$Z$14)*(RASANTE!F181-PERALTE!$Z$14)-2),IF(RASANTE!F181&lt;=PERALTE!$AB$14,-2))))),IF(AND(AH!$H$16="Derecha",RASANTE!F181&lt;=PERALTE!$AB$14),IF(RASANTE!F181&lt;=PERALTE!$Q$14,-2,IF(RASANTE!F181&lt;=PERALTE!$U$14,(10/(PERALTE!$U$14-PERALTE!$Q$14)*(RASANTE!F181-PERALTE!$Q$14)-2),IF(RASANTE!F181&lt;=PERALTE!$X$14,8,IF(RASANTE!F181&lt;=PERALTE!$AB$14,(10/(PERALTE!$X$14-PERALTE!$AB$14)*(RASANTE!F181-PERALTE!$AB$14)-2))))),IF(AND(AH!$H$18="Izquierda",RASANTE!F181&lt;=PERALTE!$AB$16),IF(RASANTE!F181&lt;=PERALTE!$S$16,-2,IF(RASANTE!F181&lt;=PERALTE!$U$16,(-6/(PERALTE!$U$16-PERALTE!$S$16)*(RASANTE!F181-PERALTE!$S$16)-2),IF(RASANTE!F181&lt;=PERALTE!$X$16,-8,IF(RASANTE!F181&lt;=PERALTE!$Z$16,(-6/(PERALTE!$X$16-PERALTE!$Z$16)*(RASANTE!F181-PERALTE!$Z$16)-2),IF(RASANTE!F181&lt;=PERALTE!$AB$16,-2))))),IF(AND(AH!$H$18="Derecha",RASANTE!F181&lt;=PERALTE!$AB$16),IF(RASANTE!F181&lt;=PERALTE!$Q$16,-2,IF(RASANTE!F181&lt;=PERALTE!$U$16,(10/(PERALTE!$U$16-PERALTE!$Q$16)*(RASANTE!F181-PERALTE!$Q$16)-2),IF(RASANTE!F181&lt;=PERALTE!$X$16,8,IF(RASANTE!F181&lt;=PERALTE!$AB$16,(10/(PERALTE!$X$16-PERALTE!$AB$16)*(RASANTE!F181-PERALTE!$AB$16)-2))))),IF(AND(AH!$H$20="Izquierda",RASANTE!F181&lt;=PERALTE!$AB$18),IF(RASANTE!F181&lt;=PERALTE!$S$18,-2,IF(RASANTE!F181&lt;=PERALTE!$U$18,(-6/(PERALTE!$U$18-PERALTE!$S$18)*(RASANTE!F181-PERALTE!$S$18)-2),IF(RASANTE!F181&lt;=PERALTE!$X$18,-8,IF(RASANTE!F181&lt;=PERALTE!$Z$18,(-6/(PERALTE!$X$18-PERALTE!$Z$18)*(RASANTE!F181-PERALTE!$Z$18)-2),IF(RASANTE!F181&lt;=PERALTE!$AB$18,-2))))),IF(AND(AH!$H$20="Derecha",RASANTE!F181&lt;=PERALTE!$AB$18),IF(RASANTE!F181&lt;=PERALTE!$Q$18,-2,IF(RASANTE!F181&lt;=PERALTE!$U$18,(10/(PERALTE!$U$18-PERALTE!$Q$18)*(RASANTE!F181-PERALTE!$Q$18)-2),IF(RASANTE!F181&lt;=PERALTE!$X$18,8,IF(RASANTE!F181&lt;=PERALTE!$AB$18,(10/(PERALTE!$X$18-PERALTE!$AB$18)*(RASANTE!F181-PERALTE!$AB$18)-2))))),IF(AND(AH!$H$24="Izquierda",RASANTE!F181&lt;=PERALTE!$AB$22),IF(RASANTE!F181&lt;=PERALTE!$S$22,-2,IF(RASANTE!F181&lt;=PERALTE!$U$22,(-6/(PERALTE!$U$22-PERALTE!$S$22)*(RASANTE!F181-PERALTE!$S$22)-2),IF(RASANTE!F181&lt;=PERALTE!$X$22,-8,IF(RASANTE!F181&lt;=PERALTE!$Z$22,(-6/(PERALTE!$X$22-PERALTE!$Z$22)*(RASANTE!F181-PERALTE!$Z$22)-2),IF(RASANTE!F181&lt;=PERALTE!$AB$22,-2))))),IF(AND(AH!$H$24="Derecha",RASANTE!F181&lt;=PERALTE!$AB$22),IF(RASANTE!F181&lt;=PERALTE!$Q$22,-2,IF(RASANTE!F181&lt;=PERALTE!$U$22,(10/(PERALTE!$U$22-PERALTE!$Q$22)*(RASANTE!F181-PERALTE!$Q$22)-2),IF(RASANTE!F181&lt;=PERALTE!$X$22,8,IF(RASANTE!F181&lt;=PERALTE!$AB$22,(10/(PERALTE!$X$22-PERALTE!$AB$22)*(RASANTE!F181-PERALTE!$AB$22)-2))))),IF(AND(AH!#REF!="Izquierda",RASANTE!F181&lt;=PERALTE!#REF!),IF(RASANTE!F181&lt;=PERALTE!#REF!,-2,IF(RASANTE!F181&lt;=PERALTE!#REF!,(-6/(PERALTE!#REF!-PERALTE!#REF!)*(RASANTE!F181-PERALTE!#REF!)-2),IF(RASANTE!F181&lt;=PERALTE!#REF!,-8,IF(RASANTE!F181&lt;=PERALTE!#REF!,(-6/(PERALTE!#REF!-PERALTE!#REF!)*(RASANTE!F181-PERALTE!#REF!)-2),IF(RASANTE!F181&lt;=PERALTE!#REF!,-2))))),IF(AND(AH!#REF!="Derecha",RASANTE!F181&lt;=PERALTE!#REF!),IF(RASANTE!F181&lt;=PERALTE!#REF!,-2,IF(RASANTE!F181&lt;=PERALTE!#REF!,(10/(PERALTE!#REF!-PERALTE!#REF!)*(RASANTE!F181-PERALTE!#REF!)-2),IF(RASANTE!F181&lt;=PERALTE!#REF!,8,IF(RASANTE!F181&lt;=PERALTE!#REF!,(10/(PERALTE!#REF!-PERALTE!#REF!)*(RASANTE!F181-PERALTE!#REF!)-2))))),IF(AND(AH!#REF!="Izquierda",RASANTE!F181&lt;=PERALTE!$AB$26),IF(RASANTE!F181&lt;=PERALTE!$S$26,-2,IF(RASANTE!F181&lt;=PERALTE!$U$26,(-6/(PERALTE!$U$26-PERALTE!$S$26)*(RASANTE!F181-PERALTE!$S$26)-2),IF(RASANTE!F181&lt;=PERALTE!$X$26,-8,IF(RASANTE!F181&lt;=PERALTE!$Z$26,(-6/(PERALTE!$X$26-PERALTE!$Z$26)*(RASANTE!F181-PERALTE!$Z$26)-2),IF(RASANTE!F181&lt;=PERALTE!$AB$26,-2))))),IF(AND(AH!#REF!="Derecha",RASANTE!F181&lt;=PERALTE!$AB$26),IF(RASANTE!F181&lt;=PERALTE!$Q$26,-2,IF(RASANTE!F181&lt;=PERALTE!$U$26,(10/(PERALTE!$U$26-PERALTE!$Q$26)*(RASANTE!F181-PERALTE!$Q$26)-2),IF(RASANTE!F181&lt;=PERALTE!$X$26,8,IF(RASANTE!F181&lt;=PERALTE!$AB$26,(10/(PERALTE!$X$26-PERALTE!$AB$26)*(RASANTE!F181-PERALTE!$AB$26)-2))))),IF(F181&lt;=PERALTE!#REF!,-2,"Abscisa fuera de la vía")))))))))))))))))))))</f>
        <v>-3.7749529746382144</v>
      </c>
      <c r="I181" s="28">
        <f>+IF(AND(AH!$H$8="Derecha",RASANTE!F181&lt;=PERALTE!$AB$6),IF(RASANTE!F181&lt;=PERALTE!$S$6,-2,IF(RASANTE!F181&lt;=PERALTE!$U$6,(-6/(PERALTE!$U$6-PERALTE!$S$6)*(RASANTE!F181-PERALTE!$S$6)-2),IF(RASANTE!F181&lt;=PERALTE!$X$6,-8,IF(RASANTE!F181&lt;=PERALTE!$Z$6,(-6/(PERALTE!$X$6-PERALTE!$Z$6)*(RASANTE!F181-PERALTE!$Z$6)-2),IF(RASANTE!F181&lt;=PERALTE!$AB$6,-2))))),IF(AND(AH!$H$8="Izquierda",RASANTE!F181&lt;=PERALTE!$AB$6),IF(RASANTE!F181&lt;=PERALTE!$Q$6,-2,IF(RASANTE!F181&lt;=PERALTE!$U$6,(10/(PERALTE!$U$6-PERALTE!$Q$6)*(RASANTE!F181-PERALTE!$Q$6)-2),IF(RASANTE!F181&lt;=PERALTE!$X$6,8,IF(RASANTE!F181&lt;=PERALTE!$AB$6,(10/(PERALTE!$X$6-PERALTE!$AB$6)*(RASANTE!F181-PERALTE!$AB$6)-2))))),IF(AND(AH!$H$10="Derecha",RASANTE!F181&lt;=PERALTE!$AB$8),IF(RASANTE!F181&lt;=PERALTE!$S$8,-2,IF(RASANTE!F181&lt;=PERALTE!$U$8,(-6/(PERALTE!$U$8-PERALTE!$S$8)*(RASANTE!F181-PERALTE!$S$8)-2),IF(RASANTE!F181&lt;=PERALTE!$X$8,-8,IF(RASANTE!F181&lt;=PERALTE!$Z$8,(-6/(PERALTE!$X$8-PERALTE!$Z$8)*(RASANTE!F181-PERALTE!$Z$8)-2),IF(RASANTE!F181&lt;=PERALTE!$AB$8,-2))))),IF(AND(AH!$H$10="Izquierda",RASANTE!F181&lt;=PERALTE!$AB$8),IF(RASANTE!F181&lt;=PERALTE!$Q$8,-2,IF(RASANTE!F181&lt;=PERALTE!$U$8,(10/(PERALTE!$U$8-PERALTE!$Q$8)*(RASANTE!F181-PERALTE!$Q$8)-2),IF(RASANTE!F181&lt;=PERALTE!$X$8,8,IF(RASANTE!F181&lt;=PERALTE!$AB$8,(10/(PERALTE!$X$8-PERALTE!$AB$8)*(RASANTE!F181-PERALTE!$AB$8)-2))))),IF(AND(AH!$H$12="Derecha",RASANTE!F181&lt;=PERALTE!$AB$10),IF(RASANTE!F181&lt;=PERALTE!$S$10,-2,IF(RASANTE!F181&lt;=PERALTE!$U$10,(-6/(PERALTE!$U$10-PERALTE!$S$10)*(RASANTE!F181-PERALTE!$S$10)-2),IF(RASANTE!F181&lt;=PERALTE!$X$10,-8,IF(RASANTE!F181&lt;=PERALTE!$Z$10,(-6/(PERALTE!$X$10-PERALTE!$Z$10)*(RASANTE!F181-PERALTE!$Z$10)-2),IF(RASANTE!F181&lt;=PERALTE!$AB$10,-2))))),IF(AND(AH!$H$12="Izquierda",RASANTE!F181&lt;=PERALTE!$AB$10),IF(RASANTE!F181&lt;=PERALTE!$Q$10,-2,IF(RASANTE!F181&lt;=PERALTE!$U$10,(10/(PERALTE!$U$10-PERALTE!$Q$10)*(RASANTE!F181-PERALTE!$Q$10)-2),IF(RASANTE!F181&lt;=PERALTE!$X$10,8,IF(RASANTE!F181&lt;=PERALTE!$AB$10,(10/(PERALTE!$X$10-PERALTE!$AB$10)*(RASANTE!F181-PERALTE!$AB$10)-2))))),IF(AND(AH!$H$14="Derecha",RASANTE!F181&lt;=PERALTE!$AB$12),IF(RASANTE!F181&lt;=PERALTE!$S$12,-2,IF(RASANTE!F181&lt;=PERALTE!$U$12,(-6/(PERALTE!$U$12-PERALTE!$S$12)*(RASANTE!F181-PERALTE!$S$12)-2),IF(RASANTE!F181&lt;=PERALTE!$X$12,-8,IF(RASANTE!F181&lt;=PERALTE!$Z$12,(-6/(PERALTE!$X$12-PERALTE!$Z$12)*(RASANTE!F181-PERALTE!$Z$12)-2),IF(RASANTE!F181&lt;=PERALTE!$AB$12,-2))))),IF(AND(AH!$H$14="Izquierda",RASANTE!F181&lt;=PERALTE!$AB$12),IF(RASANTE!F181&lt;=PERALTE!$Q$12,-2,IF(RASANTE!F181&lt;=PERALTE!$U$12,(10/(PERALTE!$U$12-PERALTE!$Q$12)*(RASANTE!F181-PERALTE!$Q$12)-2),IF(RASANTE!F181&lt;=PERALTE!$X$12,8,IF(RASANTE!F181&lt;=PERALTE!$AB$12,(10/(PERALTE!$X$12-PERALTE!$AB$12)*(RASANTE!F181-PERALTE!$AB$12)-2))))),IF(AND(AH!$H$16="Derecha",RASANTE!F181&lt;=PERALTE!$AB$14),IF(RASANTE!F181&lt;=PERALTE!$S$14,-2,IF(RASANTE!F181&lt;=PERALTE!$U$14,(-6/(PERALTE!$U$14-PERALTE!$S$14)*(RASANTE!F181-PERALTE!$S$14)-2),IF(RASANTE!F181&lt;=PERALTE!$X$14,-8,IF(RASANTE!F181&lt;=PERALTE!$Z$14,(-6/(PERALTE!$X$14-PERALTE!$Z$14)*(RASANTE!F181-PERALTE!$Z$14)-2),IF(RASANTE!F181&lt;=PERALTE!$AB$14,-2))))),IF(AND(AH!$H$16="Izquierda",RASANTE!F181&lt;=PERALTE!$AB$14),IF(RASANTE!F181&lt;=PERALTE!$Q$14,-2,IF(RASANTE!F181&lt;=PERALTE!$U$14,(10/(PERALTE!$U$14-PERALTE!$Q$14)*(RASANTE!F181-PERALTE!$Q$14)-2),IF(RASANTE!F181&lt;=PERALTE!$X$14,8,IF(RASANTE!F181&lt;=PERALTE!$AB$14,(10/(PERALTE!$X$14-PERALTE!$AB$14)*(RASANTE!F181-PERALTE!$AB$14)-2))))),IF(AND(AH!$H$18="Derecha",RASANTE!F181&lt;=PERALTE!$AB$16),IF(RASANTE!F181&lt;=PERALTE!$S$16,-2,IF(RASANTE!F181&lt;=PERALTE!$U$16,(-6/(PERALTE!$U$16-PERALTE!$S$16)*(RASANTE!F181-PERALTE!$S$16)-2),IF(RASANTE!F181&lt;=PERALTE!$X$16,-8,IF(RASANTE!F181&lt;=PERALTE!$Z$16,(-6/(PERALTE!$X$16-PERALTE!$Z$16)*(RASANTE!F181-PERALTE!$Z$16)-2),IF(RASANTE!F181&lt;=PERALTE!$AB$16,-2))))),IF(AND(AH!$H$18="Izquierda",RASANTE!F181&lt;=PERALTE!$AB$16),IF(RASANTE!F181&lt;=PERALTE!$Q$16,-2,IF(RASANTE!F181&lt;=PERALTE!$U$16,(10/(PERALTE!$U$16-PERALTE!$Q$16)*(RASANTE!F181-PERALTE!$Q$16)-2),IF(RASANTE!F181&lt;=PERALTE!$X$16,8,IF(RASANTE!F181&lt;=PERALTE!$AB$16,(10/(PERALTE!$X$16-PERALTE!$AB$16)*(RASANTE!F181-PERALTE!$AB$16)-2))))),IF(AND(AH!$H$20="Derecha",RASANTE!F181&lt;=PERALTE!$AB$18),IF(RASANTE!F181&lt;=PERALTE!$S$18,-2,IF(RASANTE!F181&lt;=PERALTE!$U$18,(-6/(PERALTE!$U$18-PERALTE!$S$18)*(RASANTE!F181-PERALTE!$S$18)-2),IF(RASANTE!F181&lt;=PERALTE!$X$18,-8,IF(RASANTE!F181&lt;=PERALTE!$Z$18,(-6/(PERALTE!$X$18-PERALTE!$Z$18)*(RASANTE!F181-PERALTE!$Z$18)-2),IF(RASANTE!F181&lt;=PERALTE!$AB$18,-2))))),IF(AND(AH!$H$20="Izquierda",RASANTE!F181&lt;=PERALTE!$AB$18),IF(RASANTE!F181&lt;=PERALTE!$Q$18,-2,IF(RASANTE!F181&lt;=PERALTE!$U$18,(10/(PERALTE!$U$18-PERALTE!$Q$18)*(RASANTE!F181-PERALTE!$Q$18)-2),IF(RASANTE!F181&lt;=PERALTE!$X$18,8,IF(RASANTE!F181&lt;=PERALTE!$AB$18,(10/(PERALTE!$X$18-PERALTE!$AB$18)*(RASANTE!F181-PERALTE!$AB$18)-2))))),IF(AND(AH!$H$24="Derecha",RASANTE!F181&lt;=PERALTE!$AB$22),IF(RASANTE!F181&lt;=PERALTE!$S$22,-2,IF(RASANTE!F181&lt;=PERALTE!$U$22,(-6/(PERALTE!$U$22-PERALTE!$S$22)*(RASANTE!F181-PERALTE!$S$22)-2),IF(RASANTE!F181&lt;=PERALTE!$X$22,-8,IF(RASANTE!F181&lt;=PERALTE!$Z$22,(-6/(PERALTE!$X$22-PERALTE!$Z$22)*(RASANTE!F181-PERALTE!$Z$22)-2),IF(RASANTE!F181&lt;=PERALTE!$AB$22,-2))))),IF(AND(AH!$H$24="Izquierda",RASANTE!F181&lt;=PERALTE!$AB$22),IF(RASANTE!F181&lt;=PERALTE!$Q$22,-2,IF(RASANTE!F181&lt;=PERALTE!$U$22,(10/(PERALTE!$U$22-PERALTE!$Q$22)*(RASANTE!F181-PERALTE!$Q$22)-2),IF(RASANTE!F181&lt;=PERALTE!$X$22,8,IF(RASANTE!F181&lt;=PERALTE!$AB$22,(10/(PERALTE!$X$22-PERALTE!$AB$22)*(RASANTE!F181-PERALTE!$AB$22)-2))))),IF(AND(AH!#REF!="Derecha",RASANTE!F181&lt;=PERALTE!#REF!),IF(RASANTE!F181&lt;=PERALTE!#REF!,-2,IF(RASANTE!F181&lt;=PERALTE!#REF!,(-6/(PERALTE!#REF!-PERALTE!#REF!)*(RASANTE!F181-PERALTE!#REF!)-2),IF(RASANTE!F181&lt;=PERALTE!#REF!,-8,IF(RASANTE!F181&lt;=PERALTE!#REF!,(-6/(PERALTE!#REF!-PERALTE!#REF!)*(RASANTE!F181-PERALTE!#REF!)-2),IF(RASANTE!F181&lt;=PERALTE!#REF!,-2))))),IF(AND(AH!#REF!="Izquierda",RASANTE!F181&lt;=PERALTE!#REF!),IF(RASANTE!F181&lt;=PERALTE!#REF!,-2,IF(RASANTE!F181&lt;=PERALTE!#REF!,(10/(PERALTE!#REF!-PERALTE!#REF!)*(RASANTE!F181-PERALTE!#REF!)-2),IF(RASANTE!F181&lt;=PERALTE!#REF!,8,IF(RASANTE!F181&lt;=PERALTE!#REF!,(10/(PERALTE!#REF!-PERALTE!#REF!)*(RASANTE!F181-PERALTE!#REF!)-2))))),IF(AND(AH!#REF!="Derecha",RASANTE!F181&lt;=PERALTE!$AB$26),IF(RASANTE!F181&lt;=PERALTE!$S$26,-2,IF(RASANTE!F181&lt;=PERALTE!$U$26,(-6/(PERALTE!$U$26-PERALTE!$S$26)*(RASANTE!F181-PERALTE!$S$26)-2),IF(RASANTE!F181&lt;=PERALTE!$X$26,-8,IF(RASANTE!F181&lt;=PERALTE!$Z$26,(-6/(PERALTE!$X$26-PERALTE!$Z$26)*(RASANTE!F181-PERALTE!$Z$26)-2),IF(RASANTE!F181&lt;=PERALTE!$AB$26,-2))))),IF(AND(AH!#REF!="Izquierda",RASANTE!F181&lt;=PERALTE!$AB$26),IF(RASANTE!F181&lt;=PERALTE!$Q$26,-2,IF(RASANTE!F181&lt;=PERALTE!$U$26,(10/(PERALTE!$U$26-PERALTE!$Q$26)*(RASANTE!F181-PERALTE!$Q$26)-2),IF(RASANTE!F181&lt;=PERALTE!$X$26,8,IF(RASANTE!F181&lt;=PERALTE!$AB$26,(10/(PERALTE!$X$26-PERALTE!$AB$26)*(RASANTE!F181-PERALTE!$AB$26)-2))))),IF(F181&lt;=PERALTE!#REF!,-2,"Abscisa fuera de la vía")))))))))))))))))))))</f>
        <v>3.7749529746382002</v>
      </c>
      <c r="J181" s="28">
        <f t="shared" si="6"/>
        <v>1615.6811380375927</v>
      </c>
      <c r="K181" s="28">
        <f>+IF(AND(AV!$S$6&lt;F181,F181&lt;=AV!$T$6),AV!$P$6*((AV!$S$6-RASANTE!F181)/(AV!$N$6))^2,IF(AND(AV!$T$6&lt;RASANTE!F181,F181&lt;AV!$U$6),AV!$P$6*((AV!$U$6-RASANTE!F181)/(AV!$O$6))^2,IF(AND(AV!$S$8&lt;F181,F181&lt;=AV!$T$8),AV!$P$8*((AV!$S$8-RASANTE!F181)/(AV!$N$8))^2,IF(AND(AV!$T$8&lt;RASANTE!F181,F181&lt;AV!$U$8),AV!$P$8*((AV!$U$8-RASANTE!F181)/(AV!$O$8))^2,IF(AND(AV!$S$10&lt;F181,F181&lt;=AV!$T$10),AV!$P$10*((AV!$S$10-RASANTE!F181)/(AV!$N$10))^2,IF(AND(AV!$T$10&lt;RASANTE!F181,F181&lt;AV!$U$10),AV!$P$10*((AV!$U$10-RASANTE!F181)/(AV!$O$10))^2,IF(AND(AV!$S$12&lt;F181,F181&lt;=AV!$T$12),AV!$P$12*((AV!$S$12-RASANTE!F181)/(AV!$N$12))^2,IF(AND(AV!$T$12&lt;RASANTE!F181,F181&lt;AV!$U$12),AV!$P$12*((AV!$U$12-RASANTE!F181)/(AV!$O$12))^2,IF(AND(AV!$S$14&lt;F181,F181&lt;=AV!$T$14),AV!$P$14*((AV!$S$14-RASANTE!F181)/(AV!$N$14))^2,IF(AND(AV!$T$14&lt;RASANTE!F181,F181&lt;AV!$U$14),AV!$P$14*((AV!$U$14-RASANTE!F181)/(AV!$O$14))^2,IF(AND(AV!$S$16&lt;F181,F181&lt;=AV!$T$16),AV!$P$16*((AV!$S$16-RASANTE!F181)/(AV!$N$16))^2,IF(AND(AV!$T$16&lt;RASANTE!F181,F181&lt;AV!$U$16),AV!$P$16*((AV!$U$16-RASANTE!F181)/(AV!$O$16))^2,IF(AND(AV!$S$18&lt;F181,F181&lt;=AV!$T$18),AV!$P$18*((AV!$S$18-RASANTE!F181)/(AV!$N$18))^2,IF(AND(AV!$T$18&lt;RASANTE!F181,F181&lt;AV!$U$18),AV!$P$18*((AV!$U$18-RASANTE!F181)/(AV!$O$18))^2,IF(AND(AV!$S$20&lt;F181,F181&lt;=AV!$T$20),AV!$P$20*((AV!$S$20-RASANTE!F181)/(AV!$N$20))^2,IF(AND(AV!$T$20&lt;RASANTE!F181,F181&lt;AV!$U$20),AV!$P$20*((AV!$U$20-RASANTE!F181)/(AV!$O$20))^2,IF(AND(AV!$S$22&lt;F181,F181&lt;=AV!$T$22),AV!$P$22*((AV!$S$22-RASANTE!F181)/(AV!$N$22))^2,IF(AND(AV!$T$22&lt;RASANTE!F181,F181&lt;AV!$U$22),AV!$P$22*((AV!$U$22-RASANTE!F181)/(AV!$O$22))^2,IF(AND(AV!$S$24&lt;F181,F181&lt;=AV!$T$24),AV!$P$24*((AV!$S$24-RASANTE!F181)/(AV!$N$24))^2,IF(AND(AV!$T$24&lt;RASANTE!F181,F181&lt;AV!$U$24),AV!$P$24*((AV!$U$24-RASANTE!F181)/(AV!$O$24))^2,0))))))))))))))))))))</f>
        <v>0</v>
      </c>
      <c r="L181" s="28">
        <f>+M181+H181%*PERALTE!$C$32</f>
        <v>1615.5490146834804</v>
      </c>
      <c r="M181" s="28">
        <f t="shared" si="7"/>
        <v>1615.6811380375927</v>
      </c>
      <c r="N181" s="28">
        <f>+M181+I181%*PERALTE!$C$32</f>
        <v>1615.8132613917051</v>
      </c>
      <c r="O181" s="92"/>
      <c r="P181" s="84"/>
      <c r="Q181" s="84"/>
      <c r="R181" s="84"/>
      <c r="S181" s="84"/>
      <c r="T181" s="84"/>
      <c r="U181" s="84"/>
      <c r="V181" s="84"/>
      <c r="W181" s="84"/>
      <c r="X181" s="84"/>
      <c r="Y181" s="84"/>
    </row>
    <row r="182" spans="1:25" ht="15.75" customHeight="1" x14ac:dyDescent="0.2">
      <c r="A182" s="90" t="s">
        <v>351</v>
      </c>
      <c r="E182" s="91"/>
      <c r="F182" s="34">
        <f>PERALTE!T14</f>
        <v>1131.0229410243719</v>
      </c>
      <c r="G182" s="88">
        <f>IF(F182&lt;=AV!$T$6,AV!$C$5,IF(RASANTE!F182&lt;=AV!$T$8,AV!$C$7,IF(RASANTE!F182&lt;=AV!$T$10,AV!$C$9,IF(RASANTE!F182&lt;=AV!$T$12,AV!$C$11,IF(RASANTE!F182&lt;=AV!$T$14,AV!$C$13,IF(RASANTE!F182&lt;=AV!$T$16,AV!$C$15, IF(RASANTE!F182&lt;=AV!$T$18,AV!$C$17,IF(RASANTE!F182&lt;=AV!$T$20,AV!$C$19,IF(RASANTE!F182&lt;=AV!$T$22,AV!$C$21,IF(RASANTE!F182&lt;=AV!$T$24,AV!$C$23,AV!$C$25))))))))))</f>
        <v>8.1999999999999993</v>
      </c>
      <c r="H182" s="28">
        <f>+IF(AND(AH!$H$8="Izquierda",RASANTE!F182&lt;=PERALTE!$AB$6),IF(RASANTE!F182&lt;=PERALTE!$S$6,-2,IF(RASANTE!F182&lt;=PERALTE!$U$6,(-6/(PERALTE!$U$6-PERALTE!$S$6)*(RASANTE!F182-PERALTE!$S$6)-2),IF(RASANTE!F182&lt;=PERALTE!$X$6,-8,IF(RASANTE!F182&lt;=PERALTE!$Z$6,(-6/(PERALTE!$X$6-PERALTE!$Z$6)*(RASANTE!F182-PERALTE!$Z$6)-2),IF(RASANTE!F182&lt;=PERALTE!$AB$6,-2))))),IF(AND(AH!$H$8="Derecha",RASANTE!F182&lt;=PERALTE!$AB$6),IF(RASANTE!F182&lt;=PERALTE!$Q$6,-2,IF(RASANTE!F182&lt;=PERALTE!$U$6,(10/(PERALTE!$U$6-PERALTE!$Q$6)*(RASANTE!F182-PERALTE!$Q$6)-2),IF(RASANTE!F182&lt;=PERALTE!$X$6,8,IF(RASANTE!F182&lt;=PERALTE!$AB$6,(10/(PERALTE!$X$6-PERALTE!$AB$6)*(RASANTE!F182-PERALTE!$AB$6)-2))))),IF(AND(AH!$H$10="Izquierda",RASANTE!F182&lt;=PERALTE!$AB$8),IF(RASANTE!F182&lt;=PERALTE!$S$8,-2,IF(RASANTE!F182&lt;=PERALTE!$U$8,(-6/(PERALTE!$U$8-PERALTE!$S$8)*(RASANTE!F182-PERALTE!$S$8)-2),IF(RASANTE!F182&lt;=PERALTE!$X$8,-8,IF(RASANTE!F182&lt;=PERALTE!$Z$8,(-6/(PERALTE!$X$8-PERALTE!$Z$8)*(RASANTE!F182-PERALTE!$Z$8)-2),IF(RASANTE!F182&lt;=PERALTE!$AB$8,-2))))),IF(AND(AH!$H$10="Derecha",RASANTE!F182&lt;=PERALTE!$AB$8),IF(RASANTE!F182&lt;=PERALTE!$Q$8,-2,IF(RASANTE!F182&lt;=PERALTE!$U$8,(10/(PERALTE!$U$8-PERALTE!$Q$8)*(RASANTE!F182-PERALTE!$Q$8)-2),IF(RASANTE!F182&lt;=PERALTE!$X$8,8,IF(RASANTE!F182&lt;=PERALTE!$AB$8,(10/(PERALTE!$X$8-PERALTE!$AB$8)*(RASANTE!F182-PERALTE!$AB$8)-2))))),IF(AND(AH!$H$12="Izquierda",RASANTE!F182&lt;=PERALTE!$AB$10),IF(RASANTE!F182&lt;=PERALTE!$S$10,-2,IF(RASANTE!F182&lt;=PERALTE!$U$10,(-6/(PERALTE!$U$10-PERALTE!$S$10)*(RASANTE!F182-PERALTE!$S$10)-2),IF(RASANTE!F182&lt;=PERALTE!$X$10,-8,IF(RASANTE!F182&lt;=PERALTE!$Z$10,(-6/(PERALTE!$X$10-PERALTE!$Z$10)*(RASANTE!F182-PERALTE!$Z$10)-2),IF(RASANTE!F182&lt;=PERALTE!$AB$10,-2))))),IF(AND(AH!$H$12="Derecha",RASANTE!F182&lt;=PERALTE!$AB$10),IF(RASANTE!F182&lt;=PERALTE!$Q$10,-2,IF(RASANTE!F182&lt;=PERALTE!$U$10,(10/(PERALTE!$U$10-PERALTE!$Q$10)*(RASANTE!F182-PERALTE!$Q$10)-2),IF(RASANTE!F182&lt;=PERALTE!$X$10,8,IF(RASANTE!F182&lt;=PERALTE!$AB$10,(10/(PERALTE!$X$10-PERALTE!$AB$10)*(RASANTE!F182-PERALTE!$AB$10)-2))))),IF(AND(AH!$H$14="Izquierda",RASANTE!F182&lt;=PERALTE!$AB$12),IF(RASANTE!F182&lt;=PERALTE!$S$12,-2,IF(RASANTE!F182&lt;=PERALTE!$U$12,(-6/(PERALTE!$U$12-PERALTE!$S$12)*(RASANTE!F182-PERALTE!$S$12)-2),IF(RASANTE!F182&lt;=PERALTE!$X$12,-8,IF(RASANTE!F182&lt;=PERALTE!$Z$12,(-6/(PERALTE!$X$12-PERALTE!$Z$12)*(RASANTE!F182-PERALTE!$Z$12)-2),IF(RASANTE!F182&lt;=PERALTE!$AB$12,-2))))),IF(AND(AH!$H$14="Derecha",RASANTE!F182&lt;=PERALTE!$AB$12),IF(RASANTE!F182&lt;=PERALTE!$Q$12,-2,IF(RASANTE!F182&lt;=PERALTE!$U$12,(10/(PERALTE!$U$12-PERALTE!$Q$12)*(RASANTE!F182-PERALTE!$Q$12)-2),IF(RASANTE!F182&lt;=PERALTE!$X$12,8,IF(RASANTE!F182&lt;=PERALTE!$AB$12,(10/(PERALTE!$X$12-PERALTE!$AB$12)*(RASANTE!F182-PERALTE!$AB$12)-2))))),IF(AND(AH!$H$16="Izquierda",RASANTE!F182&lt;=PERALTE!$AB$14),IF(RASANTE!F182&lt;=PERALTE!$S$14,-2,IF(RASANTE!F182&lt;=PERALTE!$U$14,(-6/(PERALTE!$U$14-PERALTE!$S$14)*(RASANTE!F182-PERALTE!$S$14)-2),IF(RASANTE!F182&lt;=PERALTE!$X$14,-8,IF(RASANTE!F182&lt;=PERALTE!$Z$14,(-6/(PERALTE!$X$14-PERALTE!$Z$14)*(RASANTE!F182-PERALTE!$Z$14)-2),IF(RASANTE!F182&lt;=PERALTE!$AB$14,-2))))),IF(AND(AH!$H$16="Derecha",RASANTE!F182&lt;=PERALTE!$AB$14),IF(RASANTE!F182&lt;=PERALTE!$Q$14,-2,IF(RASANTE!F182&lt;=PERALTE!$U$14,(10/(PERALTE!$U$14-PERALTE!$Q$14)*(RASANTE!F182-PERALTE!$Q$14)-2),IF(RASANTE!F182&lt;=PERALTE!$X$14,8,IF(RASANTE!F182&lt;=PERALTE!$AB$14,(10/(PERALTE!$X$14-PERALTE!$AB$14)*(RASANTE!F182-PERALTE!$AB$14)-2))))),IF(AND(AH!$H$18="Izquierda",RASANTE!F182&lt;=PERALTE!$AB$16),IF(RASANTE!F182&lt;=PERALTE!$S$16,-2,IF(RASANTE!F182&lt;=PERALTE!$U$16,(-6/(PERALTE!$U$16-PERALTE!$S$16)*(RASANTE!F182-PERALTE!$S$16)-2),IF(RASANTE!F182&lt;=PERALTE!$X$16,-8,IF(RASANTE!F182&lt;=PERALTE!$Z$16,(-6/(PERALTE!$X$16-PERALTE!$Z$16)*(RASANTE!F182-PERALTE!$Z$16)-2),IF(RASANTE!F182&lt;=PERALTE!$AB$16,-2))))),IF(AND(AH!$H$18="Derecha",RASANTE!F182&lt;=PERALTE!$AB$16),IF(RASANTE!F182&lt;=PERALTE!$Q$16,-2,IF(RASANTE!F182&lt;=PERALTE!$U$16,(10/(PERALTE!$U$16-PERALTE!$Q$16)*(RASANTE!F182-PERALTE!$Q$16)-2),IF(RASANTE!F182&lt;=PERALTE!$X$16,8,IF(RASANTE!F182&lt;=PERALTE!$AB$16,(10/(PERALTE!$X$16-PERALTE!$AB$16)*(RASANTE!F182-PERALTE!$AB$16)-2))))),IF(AND(AH!$H$20="Izquierda",RASANTE!F182&lt;=PERALTE!$AB$18),IF(RASANTE!F182&lt;=PERALTE!$S$18,-2,IF(RASANTE!F182&lt;=PERALTE!$U$18,(-6/(PERALTE!$U$18-PERALTE!$S$18)*(RASANTE!F182-PERALTE!$S$18)-2),IF(RASANTE!F182&lt;=PERALTE!$X$18,-8,IF(RASANTE!F182&lt;=PERALTE!$Z$18,(-6/(PERALTE!$X$18-PERALTE!$Z$18)*(RASANTE!F182-PERALTE!$Z$18)-2),IF(RASANTE!F182&lt;=PERALTE!$AB$18,-2))))),IF(AND(AH!$H$20="Derecha",RASANTE!F182&lt;=PERALTE!$AB$18),IF(RASANTE!F182&lt;=PERALTE!$Q$18,-2,IF(RASANTE!F182&lt;=PERALTE!$U$18,(10/(PERALTE!$U$18-PERALTE!$Q$18)*(RASANTE!F182-PERALTE!$Q$18)-2),IF(RASANTE!F182&lt;=PERALTE!$X$18,8,IF(RASANTE!F182&lt;=PERALTE!$AB$18,(10/(PERALTE!$X$18-PERALTE!$AB$18)*(RASANTE!F182-PERALTE!$AB$18)-2))))),IF(AND(AH!$H$24="Izquierda",RASANTE!F182&lt;=PERALTE!$AB$22),IF(RASANTE!F182&lt;=PERALTE!$S$22,-2,IF(RASANTE!F182&lt;=PERALTE!$U$22,(-6/(PERALTE!$U$22-PERALTE!$S$22)*(RASANTE!F182-PERALTE!$S$22)-2),IF(RASANTE!F182&lt;=PERALTE!$X$22,-8,IF(RASANTE!F182&lt;=PERALTE!$Z$22,(-6/(PERALTE!$X$22-PERALTE!$Z$22)*(RASANTE!F182-PERALTE!$Z$22)-2),IF(RASANTE!F182&lt;=PERALTE!$AB$22,-2))))),IF(AND(AH!$H$24="Derecha",RASANTE!F182&lt;=PERALTE!$AB$22),IF(RASANTE!F182&lt;=PERALTE!$Q$22,-2,IF(RASANTE!F182&lt;=PERALTE!$U$22,(10/(PERALTE!$U$22-PERALTE!$Q$22)*(RASANTE!F182-PERALTE!$Q$22)-2),IF(RASANTE!F182&lt;=PERALTE!$X$22,8,IF(RASANTE!F182&lt;=PERALTE!$AB$22,(10/(PERALTE!$X$22-PERALTE!$AB$22)*(RASANTE!F182-PERALTE!$AB$22)-2))))),IF(AND(AH!#REF!="Izquierda",RASANTE!F182&lt;=PERALTE!#REF!),IF(RASANTE!F182&lt;=PERALTE!#REF!,-2,IF(RASANTE!F182&lt;=PERALTE!#REF!,(-6/(PERALTE!#REF!-PERALTE!#REF!)*(RASANTE!F182-PERALTE!#REF!)-2),IF(RASANTE!F182&lt;=PERALTE!#REF!,-8,IF(RASANTE!F182&lt;=PERALTE!#REF!,(-6/(PERALTE!#REF!-PERALTE!#REF!)*(RASANTE!F182-PERALTE!#REF!)-2),IF(RASANTE!F182&lt;=PERALTE!#REF!,-2))))),IF(AND(AH!#REF!="Derecha",RASANTE!F182&lt;=PERALTE!#REF!),IF(RASANTE!F182&lt;=PERALTE!#REF!,-2,IF(RASANTE!F182&lt;=PERALTE!#REF!,(10/(PERALTE!#REF!-PERALTE!#REF!)*(RASANTE!F182-PERALTE!#REF!)-2),IF(RASANTE!F182&lt;=PERALTE!#REF!,8,IF(RASANTE!F182&lt;=PERALTE!#REF!,(10/(PERALTE!#REF!-PERALTE!#REF!)*(RASANTE!F182-PERALTE!#REF!)-2))))),IF(AND(AH!#REF!="Izquierda",RASANTE!F182&lt;=PERALTE!$AB$26),IF(RASANTE!F182&lt;=PERALTE!$S$26,-2,IF(RASANTE!F182&lt;=PERALTE!$U$26,(-6/(PERALTE!$U$26-PERALTE!$S$26)*(RASANTE!F182-PERALTE!$S$26)-2),IF(RASANTE!F182&lt;=PERALTE!$X$26,-8,IF(RASANTE!F182&lt;=PERALTE!$Z$26,(-6/(PERALTE!$X$26-PERALTE!$Z$26)*(RASANTE!F182-PERALTE!$Z$26)-2),IF(RASANTE!F182&lt;=PERALTE!$AB$26,-2))))),IF(AND(AH!#REF!="Derecha",RASANTE!F182&lt;=PERALTE!$AB$26),IF(RASANTE!F182&lt;=PERALTE!$Q$26,-2,IF(RASANTE!F182&lt;=PERALTE!$U$26,(10/(PERALTE!$U$26-PERALTE!$Q$26)*(RASANTE!F182-PERALTE!$Q$26)-2),IF(RASANTE!F182&lt;=PERALTE!$X$26,8,IF(RASANTE!F182&lt;=PERALTE!$AB$26,(10/(PERALTE!$X$26-PERALTE!$AB$26)*(RASANTE!F182-PERALTE!$AB$26)-2))))),IF(F182&lt;=PERALTE!#REF!,-2,"Abscisa fuera de la vía")))))))))))))))))))))</f>
        <v>-4.0000000000000338</v>
      </c>
      <c r="I182" s="28">
        <f>+IF(AND(AH!$H$8="Derecha",RASANTE!F182&lt;=PERALTE!$AB$6),IF(RASANTE!F182&lt;=PERALTE!$S$6,-2,IF(RASANTE!F182&lt;=PERALTE!$U$6,(-6/(PERALTE!$U$6-PERALTE!$S$6)*(RASANTE!F182-PERALTE!$S$6)-2),IF(RASANTE!F182&lt;=PERALTE!$X$6,-8,IF(RASANTE!F182&lt;=PERALTE!$Z$6,(-6/(PERALTE!$X$6-PERALTE!$Z$6)*(RASANTE!F182-PERALTE!$Z$6)-2),IF(RASANTE!F182&lt;=PERALTE!$AB$6,-2))))),IF(AND(AH!$H$8="Izquierda",RASANTE!F182&lt;=PERALTE!$AB$6),IF(RASANTE!F182&lt;=PERALTE!$Q$6,-2,IF(RASANTE!F182&lt;=PERALTE!$U$6,(10/(PERALTE!$U$6-PERALTE!$Q$6)*(RASANTE!F182-PERALTE!$Q$6)-2),IF(RASANTE!F182&lt;=PERALTE!$X$6,8,IF(RASANTE!F182&lt;=PERALTE!$AB$6,(10/(PERALTE!$X$6-PERALTE!$AB$6)*(RASANTE!F182-PERALTE!$AB$6)-2))))),IF(AND(AH!$H$10="Derecha",RASANTE!F182&lt;=PERALTE!$AB$8),IF(RASANTE!F182&lt;=PERALTE!$S$8,-2,IF(RASANTE!F182&lt;=PERALTE!$U$8,(-6/(PERALTE!$U$8-PERALTE!$S$8)*(RASANTE!F182-PERALTE!$S$8)-2),IF(RASANTE!F182&lt;=PERALTE!$X$8,-8,IF(RASANTE!F182&lt;=PERALTE!$Z$8,(-6/(PERALTE!$X$8-PERALTE!$Z$8)*(RASANTE!F182-PERALTE!$Z$8)-2),IF(RASANTE!F182&lt;=PERALTE!$AB$8,-2))))),IF(AND(AH!$H$10="Izquierda",RASANTE!F182&lt;=PERALTE!$AB$8),IF(RASANTE!F182&lt;=PERALTE!$Q$8,-2,IF(RASANTE!F182&lt;=PERALTE!$U$8,(10/(PERALTE!$U$8-PERALTE!$Q$8)*(RASANTE!F182-PERALTE!$Q$8)-2),IF(RASANTE!F182&lt;=PERALTE!$X$8,8,IF(RASANTE!F182&lt;=PERALTE!$AB$8,(10/(PERALTE!$X$8-PERALTE!$AB$8)*(RASANTE!F182-PERALTE!$AB$8)-2))))),IF(AND(AH!$H$12="Derecha",RASANTE!F182&lt;=PERALTE!$AB$10),IF(RASANTE!F182&lt;=PERALTE!$S$10,-2,IF(RASANTE!F182&lt;=PERALTE!$U$10,(-6/(PERALTE!$U$10-PERALTE!$S$10)*(RASANTE!F182-PERALTE!$S$10)-2),IF(RASANTE!F182&lt;=PERALTE!$X$10,-8,IF(RASANTE!F182&lt;=PERALTE!$Z$10,(-6/(PERALTE!$X$10-PERALTE!$Z$10)*(RASANTE!F182-PERALTE!$Z$10)-2),IF(RASANTE!F182&lt;=PERALTE!$AB$10,-2))))),IF(AND(AH!$H$12="Izquierda",RASANTE!F182&lt;=PERALTE!$AB$10),IF(RASANTE!F182&lt;=PERALTE!$Q$10,-2,IF(RASANTE!F182&lt;=PERALTE!$U$10,(10/(PERALTE!$U$10-PERALTE!$Q$10)*(RASANTE!F182-PERALTE!$Q$10)-2),IF(RASANTE!F182&lt;=PERALTE!$X$10,8,IF(RASANTE!F182&lt;=PERALTE!$AB$10,(10/(PERALTE!$X$10-PERALTE!$AB$10)*(RASANTE!F182-PERALTE!$AB$10)-2))))),IF(AND(AH!$H$14="Derecha",RASANTE!F182&lt;=PERALTE!$AB$12),IF(RASANTE!F182&lt;=PERALTE!$S$12,-2,IF(RASANTE!F182&lt;=PERALTE!$U$12,(-6/(PERALTE!$U$12-PERALTE!$S$12)*(RASANTE!F182-PERALTE!$S$12)-2),IF(RASANTE!F182&lt;=PERALTE!$X$12,-8,IF(RASANTE!F182&lt;=PERALTE!$Z$12,(-6/(PERALTE!$X$12-PERALTE!$Z$12)*(RASANTE!F182-PERALTE!$Z$12)-2),IF(RASANTE!F182&lt;=PERALTE!$AB$12,-2))))),IF(AND(AH!$H$14="Izquierda",RASANTE!F182&lt;=PERALTE!$AB$12),IF(RASANTE!F182&lt;=PERALTE!$Q$12,-2,IF(RASANTE!F182&lt;=PERALTE!$U$12,(10/(PERALTE!$U$12-PERALTE!$Q$12)*(RASANTE!F182-PERALTE!$Q$12)-2),IF(RASANTE!F182&lt;=PERALTE!$X$12,8,IF(RASANTE!F182&lt;=PERALTE!$AB$12,(10/(PERALTE!$X$12-PERALTE!$AB$12)*(RASANTE!F182-PERALTE!$AB$12)-2))))),IF(AND(AH!$H$16="Derecha",RASANTE!F182&lt;=PERALTE!$AB$14),IF(RASANTE!F182&lt;=PERALTE!$S$14,-2,IF(RASANTE!F182&lt;=PERALTE!$U$14,(-6/(PERALTE!$U$14-PERALTE!$S$14)*(RASANTE!F182-PERALTE!$S$14)-2),IF(RASANTE!F182&lt;=PERALTE!$X$14,-8,IF(RASANTE!F182&lt;=PERALTE!$Z$14,(-6/(PERALTE!$X$14-PERALTE!$Z$14)*(RASANTE!F182-PERALTE!$Z$14)-2),IF(RASANTE!F182&lt;=PERALTE!$AB$14,-2))))),IF(AND(AH!$H$16="Izquierda",RASANTE!F182&lt;=PERALTE!$AB$14),IF(RASANTE!F182&lt;=PERALTE!$Q$14,-2,IF(RASANTE!F182&lt;=PERALTE!$U$14,(10/(PERALTE!$U$14-PERALTE!$Q$14)*(RASANTE!F182-PERALTE!$Q$14)-2),IF(RASANTE!F182&lt;=PERALTE!$X$14,8,IF(RASANTE!F182&lt;=PERALTE!$AB$14,(10/(PERALTE!$X$14-PERALTE!$AB$14)*(RASANTE!F182-PERALTE!$AB$14)-2))))),IF(AND(AH!$H$18="Derecha",RASANTE!F182&lt;=PERALTE!$AB$16),IF(RASANTE!F182&lt;=PERALTE!$S$16,-2,IF(RASANTE!F182&lt;=PERALTE!$U$16,(-6/(PERALTE!$U$16-PERALTE!$S$16)*(RASANTE!F182-PERALTE!$S$16)-2),IF(RASANTE!F182&lt;=PERALTE!$X$16,-8,IF(RASANTE!F182&lt;=PERALTE!$Z$16,(-6/(PERALTE!$X$16-PERALTE!$Z$16)*(RASANTE!F182-PERALTE!$Z$16)-2),IF(RASANTE!F182&lt;=PERALTE!$AB$16,-2))))),IF(AND(AH!$H$18="Izquierda",RASANTE!F182&lt;=PERALTE!$AB$16),IF(RASANTE!F182&lt;=PERALTE!$Q$16,-2,IF(RASANTE!F182&lt;=PERALTE!$U$16,(10/(PERALTE!$U$16-PERALTE!$Q$16)*(RASANTE!F182-PERALTE!$Q$16)-2),IF(RASANTE!F182&lt;=PERALTE!$X$16,8,IF(RASANTE!F182&lt;=PERALTE!$AB$16,(10/(PERALTE!$X$16-PERALTE!$AB$16)*(RASANTE!F182-PERALTE!$AB$16)-2))))),IF(AND(AH!$H$20="Derecha",RASANTE!F182&lt;=PERALTE!$AB$18),IF(RASANTE!F182&lt;=PERALTE!$S$18,-2,IF(RASANTE!F182&lt;=PERALTE!$U$18,(-6/(PERALTE!$U$18-PERALTE!$S$18)*(RASANTE!F182-PERALTE!$S$18)-2),IF(RASANTE!F182&lt;=PERALTE!$X$18,-8,IF(RASANTE!F182&lt;=PERALTE!$Z$18,(-6/(PERALTE!$X$18-PERALTE!$Z$18)*(RASANTE!F182-PERALTE!$Z$18)-2),IF(RASANTE!F182&lt;=PERALTE!$AB$18,-2))))),IF(AND(AH!$H$20="Izquierda",RASANTE!F182&lt;=PERALTE!$AB$18),IF(RASANTE!F182&lt;=PERALTE!$Q$18,-2,IF(RASANTE!F182&lt;=PERALTE!$U$18,(10/(PERALTE!$U$18-PERALTE!$Q$18)*(RASANTE!F182-PERALTE!$Q$18)-2),IF(RASANTE!F182&lt;=PERALTE!$X$18,8,IF(RASANTE!F182&lt;=PERALTE!$AB$18,(10/(PERALTE!$X$18-PERALTE!$AB$18)*(RASANTE!F182-PERALTE!$AB$18)-2))))),IF(AND(AH!$H$24="Derecha",RASANTE!F182&lt;=PERALTE!$AB$22),IF(RASANTE!F182&lt;=PERALTE!$S$22,-2,IF(RASANTE!F182&lt;=PERALTE!$U$22,(-6/(PERALTE!$U$22-PERALTE!$S$22)*(RASANTE!F182-PERALTE!$S$22)-2),IF(RASANTE!F182&lt;=PERALTE!$X$22,-8,IF(RASANTE!F182&lt;=PERALTE!$Z$22,(-6/(PERALTE!$X$22-PERALTE!$Z$22)*(RASANTE!F182-PERALTE!$Z$22)-2),IF(RASANTE!F182&lt;=PERALTE!$AB$22,-2))))),IF(AND(AH!$H$24="Izquierda",RASANTE!F182&lt;=PERALTE!$AB$22),IF(RASANTE!F182&lt;=PERALTE!$Q$22,-2,IF(RASANTE!F182&lt;=PERALTE!$U$22,(10/(PERALTE!$U$22-PERALTE!$Q$22)*(RASANTE!F182-PERALTE!$Q$22)-2),IF(RASANTE!F182&lt;=PERALTE!$X$22,8,IF(RASANTE!F182&lt;=PERALTE!$AB$22,(10/(PERALTE!$X$22-PERALTE!$AB$22)*(RASANTE!F182-PERALTE!$AB$22)-2))))),IF(AND(AH!#REF!="Derecha",RASANTE!F182&lt;=PERALTE!#REF!),IF(RASANTE!F182&lt;=PERALTE!#REF!,-2,IF(RASANTE!F182&lt;=PERALTE!#REF!,(-6/(PERALTE!#REF!-PERALTE!#REF!)*(RASANTE!F182-PERALTE!#REF!)-2),IF(RASANTE!F182&lt;=PERALTE!#REF!,-8,IF(RASANTE!F182&lt;=PERALTE!#REF!,(-6/(PERALTE!#REF!-PERALTE!#REF!)*(RASANTE!F182-PERALTE!#REF!)-2),IF(RASANTE!F182&lt;=PERALTE!#REF!,-2))))),IF(AND(AH!#REF!="Izquierda",RASANTE!F182&lt;=PERALTE!#REF!),IF(RASANTE!F182&lt;=PERALTE!#REF!,-2,IF(RASANTE!F182&lt;=PERALTE!#REF!,(10/(PERALTE!#REF!-PERALTE!#REF!)*(RASANTE!F182-PERALTE!#REF!)-2),IF(RASANTE!F182&lt;=PERALTE!#REF!,8,IF(RASANTE!F182&lt;=PERALTE!#REF!,(10/(PERALTE!#REF!-PERALTE!#REF!)*(RASANTE!F182-PERALTE!#REF!)-2))))),IF(AND(AH!#REF!="Derecha",RASANTE!F182&lt;=PERALTE!$AB$26),IF(RASANTE!F182&lt;=PERALTE!$S$26,-2,IF(RASANTE!F182&lt;=PERALTE!$U$26,(-6/(PERALTE!$U$26-PERALTE!$S$26)*(RASANTE!F182-PERALTE!$S$26)-2),IF(RASANTE!F182&lt;=PERALTE!$X$26,-8,IF(RASANTE!F182&lt;=PERALTE!$Z$26,(-6/(PERALTE!$X$26-PERALTE!$Z$26)*(RASANTE!F182-PERALTE!$Z$26)-2),IF(RASANTE!F182&lt;=PERALTE!$AB$26,-2))))),IF(AND(AH!#REF!="Izquierda",RASANTE!F182&lt;=PERALTE!$AB$26),IF(RASANTE!F182&lt;=PERALTE!$Q$26,-2,IF(RASANTE!F182&lt;=PERALTE!$U$26,(10/(PERALTE!$U$26-PERALTE!$Q$26)*(RASANTE!F182-PERALTE!$Q$26)-2),IF(RASANTE!F182&lt;=PERALTE!$X$26,8,IF(RASANTE!F182&lt;=PERALTE!$AB$26,(10/(PERALTE!$X$26-PERALTE!$AB$26)*(RASANTE!F182-PERALTE!$AB$26)-2))))),IF(F182&lt;=PERALTE!#REF!,-2,"Abscisa fuera de la vía")))))))))))))))))))))</f>
        <v>4.0000000000000195</v>
      </c>
      <c r="J182" s="28">
        <f t="shared" si="6"/>
        <v>1615.7650192015913</v>
      </c>
      <c r="K182" s="28">
        <f>+IF(AND(AV!$S$6&lt;F182,F182&lt;=AV!$T$6),AV!$P$6*((AV!$S$6-RASANTE!F182)/(AV!$N$6))^2,IF(AND(AV!$T$6&lt;RASANTE!F182,F182&lt;AV!$U$6),AV!$P$6*((AV!$U$6-RASANTE!F182)/(AV!$O$6))^2,IF(AND(AV!$S$8&lt;F182,F182&lt;=AV!$T$8),AV!$P$8*((AV!$S$8-RASANTE!F182)/(AV!$N$8))^2,IF(AND(AV!$T$8&lt;RASANTE!F182,F182&lt;AV!$U$8),AV!$P$8*((AV!$U$8-RASANTE!F182)/(AV!$O$8))^2,IF(AND(AV!$S$10&lt;F182,F182&lt;=AV!$T$10),AV!$P$10*((AV!$S$10-RASANTE!F182)/(AV!$N$10))^2,IF(AND(AV!$T$10&lt;RASANTE!F182,F182&lt;AV!$U$10),AV!$P$10*((AV!$U$10-RASANTE!F182)/(AV!$O$10))^2,IF(AND(AV!$S$12&lt;F182,F182&lt;=AV!$T$12),AV!$P$12*((AV!$S$12-RASANTE!F182)/(AV!$N$12))^2,IF(AND(AV!$T$12&lt;RASANTE!F182,F182&lt;AV!$U$12),AV!$P$12*((AV!$U$12-RASANTE!F182)/(AV!$O$12))^2,IF(AND(AV!$S$14&lt;F182,F182&lt;=AV!$T$14),AV!$P$14*((AV!$S$14-RASANTE!F182)/(AV!$N$14))^2,IF(AND(AV!$T$14&lt;RASANTE!F182,F182&lt;AV!$U$14),AV!$P$14*((AV!$U$14-RASANTE!F182)/(AV!$O$14))^2,IF(AND(AV!$S$16&lt;F182,F182&lt;=AV!$T$16),AV!$P$16*((AV!$S$16-RASANTE!F182)/(AV!$N$16))^2,IF(AND(AV!$T$16&lt;RASANTE!F182,F182&lt;AV!$U$16),AV!$P$16*((AV!$U$16-RASANTE!F182)/(AV!$O$16))^2,IF(AND(AV!$S$18&lt;F182,F182&lt;=AV!$T$18),AV!$P$18*((AV!$S$18-RASANTE!F182)/(AV!$N$18))^2,IF(AND(AV!$T$18&lt;RASANTE!F182,F182&lt;AV!$U$18),AV!$P$18*((AV!$U$18-RASANTE!F182)/(AV!$O$18))^2,IF(AND(AV!$S$20&lt;F182,F182&lt;=AV!$T$20),AV!$P$20*((AV!$S$20-RASANTE!F182)/(AV!$N$20))^2,IF(AND(AV!$T$20&lt;RASANTE!F182,F182&lt;AV!$U$20),AV!$P$20*((AV!$U$20-RASANTE!F182)/(AV!$O$20))^2,IF(AND(AV!$S$22&lt;F182,F182&lt;=AV!$T$22),AV!$P$22*((AV!$S$22-RASANTE!F182)/(AV!$N$22))^2,IF(AND(AV!$T$22&lt;RASANTE!F182,F182&lt;AV!$U$22),AV!$P$22*((AV!$U$22-RASANTE!F182)/(AV!$O$22))^2,IF(AND(AV!$S$24&lt;F182,F182&lt;=AV!$T$24),AV!$P$24*((AV!$S$24-RASANTE!F182)/(AV!$N$24))^2,IF(AND(AV!$T$24&lt;RASANTE!F182,F182&lt;AV!$U$24),AV!$P$24*((AV!$U$24-RASANTE!F182)/(AV!$O$24))^2,0))))))))))))))))))))</f>
        <v>0</v>
      </c>
      <c r="L182" s="28">
        <f>+M182+H182%*PERALTE!$C$32</f>
        <v>1615.6250192015912</v>
      </c>
      <c r="M182" s="28">
        <f t="shared" si="7"/>
        <v>1615.7650192015913</v>
      </c>
      <c r="N182" s="28">
        <f>+M182+I182%*PERALTE!$C$32</f>
        <v>1615.9050192015914</v>
      </c>
      <c r="O182" s="92"/>
      <c r="P182" s="84"/>
      <c r="Q182" s="84"/>
      <c r="R182" s="84"/>
      <c r="S182" s="84"/>
      <c r="T182" s="84"/>
      <c r="U182" s="84"/>
      <c r="V182" s="84"/>
      <c r="W182" s="84"/>
      <c r="X182" s="84"/>
      <c r="Y182" s="84"/>
    </row>
    <row r="183" spans="1:25" ht="15.75" customHeight="1" x14ac:dyDescent="0.2">
      <c r="A183" s="90"/>
      <c r="E183" s="91"/>
      <c r="F183" s="34">
        <v>1140</v>
      </c>
      <c r="G183" s="88">
        <f>IF(F183&lt;=AV!$T$6,AV!$C$5,IF(RASANTE!F183&lt;=AV!$T$8,AV!$C$7,IF(RASANTE!F183&lt;=AV!$T$10,AV!$C$9,IF(RASANTE!F183&lt;=AV!$T$12,AV!$C$11,IF(RASANTE!F183&lt;=AV!$T$14,AV!$C$13,IF(RASANTE!F183&lt;=AV!$T$16,AV!$C$15, IF(RASANTE!F183&lt;=AV!$T$18,AV!$C$17,IF(RASANTE!F183&lt;=AV!$T$20,AV!$C$19,IF(RASANTE!F183&lt;=AV!$T$22,AV!$C$21,IF(RASANTE!F183&lt;=AV!$T$24,AV!$C$23,AV!$C$25))))))))))</f>
        <v>8.1999999999999993</v>
      </c>
      <c r="H183" s="28">
        <f>+IF(AND(AH!$H$8="Izquierda",RASANTE!F183&lt;=PERALTE!$AB$6),IF(RASANTE!F183&lt;=PERALTE!$S$6,-2,IF(RASANTE!F183&lt;=PERALTE!$U$6,(-6/(PERALTE!$U$6-PERALTE!$S$6)*(RASANTE!F183-PERALTE!$S$6)-2),IF(RASANTE!F183&lt;=PERALTE!$X$6,-8,IF(RASANTE!F183&lt;=PERALTE!$Z$6,(-6/(PERALTE!$X$6-PERALTE!$Z$6)*(RASANTE!F183-PERALTE!$Z$6)-2),IF(RASANTE!F183&lt;=PERALTE!$AB$6,-2))))),IF(AND(AH!$H$8="Derecha",RASANTE!F183&lt;=PERALTE!$AB$6),IF(RASANTE!F183&lt;=PERALTE!$Q$6,-2,IF(RASANTE!F183&lt;=PERALTE!$U$6,(10/(PERALTE!$U$6-PERALTE!$Q$6)*(RASANTE!F183-PERALTE!$Q$6)-2),IF(RASANTE!F183&lt;=PERALTE!$X$6,8,IF(RASANTE!F183&lt;=PERALTE!$AB$6,(10/(PERALTE!$X$6-PERALTE!$AB$6)*(RASANTE!F183-PERALTE!$AB$6)-2))))),IF(AND(AH!$H$10="Izquierda",RASANTE!F183&lt;=PERALTE!$AB$8),IF(RASANTE!F183&lt;=PERALTE!$S$8,-2,IF(RASANTE!F183&lt;=PERALTE!$U$8,(-6/(PERALTE!$U$8-PERALTE!$S$8)*(RASANTE!F183-PERALTE!$S$8)-2),IF(RASANTE!F183&lt;=PERALTE!$X$8,-8,IF(RASANTE!F183&lt;=PERALTE!$Z$8,(-6/(PERALTE!$X$8-PERALTE!$Z$8)*(RASANTE!F183-PERALTE!$Z$8)-2),IF(RASANTE!F183&lt;=PERALTE!$AB$8,-2))))),IF(AND(AH!$H$10="Derecha",RASANTE!F183&lt;=PERALTE!$AB$8),IF(RASANTE!F183&lt;=PERALTE!$Q$8,-2,IF(RASANTE!F183&lt;=PERALTE!$U$8,(10/(PERALTE!$U$8-PERALTE!$Q$8)*(RASANTE!F183-PERALTE!$Q$8)-2),IF(RASANTE!F183&lt;=PERALTE!$X$8,8,IF(RASANTE!F183&lt;=PERALTE!$AB$8,(10/(PERALTE!$X$8-PERALTE!$AB$8)*(RASANTE!F183-PERALTE!$AB$8)-2))))),IF(AND(AH!$H$12="Izquierda",RASANTE!F183&lt;=PERALTE!$AB$10),IF(RASANTE!F183&lt;=PERALTE!$S$10,-2,IF(RASANTE!F183&lt;=PERALTE!$U$10,(-6/(PERALTE!$U$10-PERALTE!$S$10)*(RASANTE!F183-PERALTE!$S$10)-2),IF(RASANTE!F183&lt;=PERALTE!$X$10,-8,IF(RASANTE!F183&lt;=PERALTE!$Z$10,(-6/(PERALTE!$X$10-PERALTE!$Z$10)*(RASANTE!F183-PERALTE!$Z$10)-2),IF(RASANTE!F183&lt;=PERALTE!$AB$10,-2))))),IF(AND(AH!$H$12="Derecha",RASANTE!F183&lt;=PERALTE!$AB$10),IF(RASANTE!F183&lt;=PERALTE!$Q$10,-2,IF(RASANTE!F183&lt;=PERALTE!$U$10,(10/(PERALTE!$U$10-PERALTE!$Q$10)*(RASANTE!F183-PERALTE!$Q$10)-2),IF(RASANTE!F183&lt;=PERALTE!$X$10,8,IF(RASANTE!F183&lt;=PERALTE!$AB$10,(10/(PERALTE!$X$10-PERALTE!$AB$10)*(RASANTE!F183-PERALTE!$AB$10)-2))))),IF(AND(AH!$H$14="Izquierda",RASANTE!F183&lt;=PERALTE!$AB$12),IF(RASANTE!F183&lt;=PERALTE!$S$12,-2,IF(RASANTE!F183&lt;=PERALTE!$U$12,(-6/(PERALTE!$U$12-PERALTE!$S$12)*(RASANTE!F183-PERALTE!$S$12)-2),IF(RASANTE!F183&lt;=PERALTE!$X$12,-8,IF(RASANTE!F183&lt;=PERALTE!$Z$12,(-6/(PERALTE!$X$12-PERALTE!$Z$12)*(RASANTE!F183-PERALTE!$Z$12)-2),IF(RASANTE!F183&lt;=PERALTE!$AB$12,-2))))),IF(AND(AH!$H$14="Derecha",RASANTE!F183&lt;=PERALTE!$AB$12),IF(RASANTE!F183&lt;=PERALTE!$Q$12,-2,IF(RASANTE!F183&lt;=PERALTE!$U$12,(10/(PERALTE!$U$12-PERALTE!$Q$12)*(RASANTE!F183-PERALTE!$Q$12)-2),IF(RASANTE!F183&lt;=PERALTE!$X$12,8,IF(RASANTE!F183&lt;=PERALTE!$AB$12,(10/(PERALTE!$X$12-PERALTE!$AB$12)*(RASANTE!F183-PERALTE!$AB$12)-2))))),IF(AND(AH!$H$16="Izquierda",RASANTE!F183&lt;=PERALTE!$AB$14),IF(RASANTE!F183&lt;=PERALTE!$S$14,-2,IF(RASANTE!F183&lt;=PERALTE!$U$14,(-6/(PERALTE!$U$14-PERALTE!$S$14)*(RASANTE!F183-PERALTE!$S$14)-2),IF(RASANTE!F183&lt;=PERALTE!$X$14,-8,IF(RASANTE!F183&lt;=PERALTE!$Z$14,(-6/(PERALTE!$X$14-PERALTE!$Z$14)*(RASANTE!F183-PERALTE!$Z$14)-2),IF(RASANTE!F183&lt;=PERALTE!$AB$14,-2))))),IF(AND(AH!$H$16="Derecha",RASANTE!F183&lt;=PERALTE!$AB$14),IF(RASANTE!F183&lt;=PERALTE!$Q$14,-2,IF(RASANTE!F183&lt;=PERALTE!$U$14,(10/(PERALTE!$U$14-PERALTE!$Q$14)*(RASANTE!F183-PERALTE!$Q$14)-2),IF(RASANTE!F183&lt;=PERALTE!$X$14,8,IF(RASANTE!F183&lt;=PERALTE!$AB$14,(10/(PERALTE!$X$14-PERALTE!$AB$14)*(RASANTE!F183-PERALTE!$AB$14)-2))))),IF(AND(AH!$H$18="Izquierda",RASANTE!F183&lt;=PERALTE!$AB$16),IF(RASANTE!F183&lt;=PERALTE!$S$16,-2,IF(RASANTE!F183&lt;=PERALTE!$U$16,(-6/(PERALTE!$U$16-PERALTE!$S$16)*(RASANTE!F183-PERALTE!$S$16)-2),IF(RASANTE!F183&lt;=PERALTE!$X$16,-8,IF(RASANTE!F183&lt;=PERALTE!$Z$16,(-6/(PERALTE!$X$16-PERALTE!$Z$16)*(RASANTE!F183-PERALTE!$Z$16)-2),IF(RASANTE!F183&lt;=PERALTE!$AB$16,-2))))),IF(AND(AH!$H$18="Derecha",RASANTE!F183&lt;=PERALTE!$AB$16),IF(RASANTE!F183&lt;=PERALTE!$Q$16,-2,IF(RASANTE!F183&lt;=PERALTE!$U$16,(10/(PERALTE!$U$16-PERALTE!$Q$16)*(RASANTE!F183-PERALTE!$Q$16)-2),IF(RASANTE!F183&lt;=PERALTE!$X$16,8,IF(RASANTE!F183&lt;=PERALTE!$AB$16,(10/(PERALTE!$X$16-PERALTE!$AB$16)*(RASANTE!F183-PERALTE!$AB$16)-2))))),IF(AND(AH!$H$20="Izquierda",RASANTE!F183&lt;=PERALTE!$AB$18),IF(RASANTE!F183&lt;=PERALTE!$S$18,-2,IF(RASANTE!F183&lt;=PERALTE!$U$18,(-6/(PERALTE!$U$18-PERALTE!$S$18)*(RASANTE!F183-PERALTE!$S$18)-2),IF(RASANTE!F183&lt;=PERALTE!$X$18,-8,IF(RASANTE!F183&lt;=PERALTE!$Z$18,(-6/(PERALTE!$X$18-PERALTE!$Z$18)*(RASANTE!F183-PERALTE!$Z$18)-2),IF(RASANTE!F183&lt;=PERALTE!$AB$18,-2))))),IF(AND(AH!$H$20="Derecha",RASANTE!F183&lt;=PERALTE!$AB$18),IF(RASANTE!F183&lt;=PERALTE!$Q$18,-2,IF(RASANTE!F183&lt;=PERALTE!$U$18,(10/(PERALTE!$U$18-PERALTE!$Q$18)*(RASANTE!F183-PERALTE!$Q$18)-2),IF(RASANTE!F183&lt;=PERALTE!$X$18,8,IF(RASANTE!F183&lt;=PERALTE!$AB$18,(10/(PERALTE!$X$18-PERALTE!$AB$18)*(RASANTE!F183-PERALTE!$AB$18)-2))))),IF(AND(AH!$H$24="Izquierda",RASANTE!F183&lt;=PERALTE!$AB$22),IF(RASANTE!F183&lt;=PERALTE!$S$22,-2,IF(RASANTE!F183&lt;=PERALTE!$U$22,(-6/(PERALTE!$U$22-PERALTE!$S$22)*(RASANTE!F183-PERALTE!$S$22)-2),IF(RASANTE!F183&lt;=PERALTE!$X$22,-8,IF(RASANTE!F183&lt;=PERALTE!$Z$22,(-6/(PERALTE!$X$22-PERALTE!$Z$22)*(RASANTE!F183-PERALTE!$Z$22)-2),IF(RASANTE!F183&lt;=PERALTE!$AB$22,-2))))),IF(AND(AH!$H$24="Derecha",RASANTE!F183&lt;=PERALTE!$AB$22),IF(RASANTE!F183&lt;=PERALTE!$Q$22,-2,IF(RASANTE!F183&lt;=PERALTE!$U$22,(10/(PERALTE!$U$22-PERALTE!$Q$22)*(RASANTE!F183-PERALTE!$Q$22)-2),IF(RASANTE!F183&lt;=PERALTE!$X$22,8,IF(RASANTE!F183&lt;=PERALTE!$AB$22,(10/(PERALTE!$X$22-PERALTE!$AB$22)*(RASANTE!F183-PERALTE!$AB$22)-2))))),IF(AND(AH!#REF!="Izquierda",RASANTE!F183&lt;=PERALTE!#REF!),IF(RASANTE!F183&lt;=PERALTE!#REF!,-2,IF(RASANTE!F183&lt;=PERALTE!#REF!,(-6/(PERALTE!#REF!-PERALTE!#REF!)*(RASANTE!F183-PERALTE!#REF!)-2),IF(RASANTE!F183&lt;=PERALTE!#REF!,-8,IF(RASANTE!F183&lt;=PERALTE!#REF!,(-6/(PERALTE!#REF!-PERALTE!#REF!)*(RASANTE!F183-PERALTE!#REF!)-2),IF(RASANTE!F183&lt;=PERALTE!#REF!,-2))))),IF(AND(AH!#REF!="Derecha",RASANTE!F183&lt;=PERALTE!#REF!),IF(RASANTE!F183&lt;=PERALTE!#REF!,-2,IF(RASANTE!F183&lt;=PERALTE!#REF!,(10/(PERALTE!#REF!-PERALTE!#REF!)*(RASANTE!F183-PERALTE!#REF!)-2),IF(RASANTE!F183&lt;=PERALTE!#REF!,8,IF(RASANTE!F183&lt;=PERALTE!#REF!,(10/(PERALTE!#REF!-PERALTE!#REF!)*(RASANTE!F183-PERALTE!#REF!)-2))))),IF(AND(AH!#REF!="Izquierda",RASANTE!F183&lt;=PERALTE!$AB$26),IF(RASANTE!F183&lt;=PERALTE!$S$26,-2,IF(RASANTE!F183&lt;=PERALTE!$U$26,(-6/(PERALTE!$U$26-PERALTE!$S$26)*(RASANTE!F183-PERALTE!$S$26)-2),IF(RASANTE!F183&lt;=PERALTE!$X$26,-8,IF(RASANTE!F183&lt;=PERALTE!$Z$26,(-6/(PERALTE!$X$26-PERALTE!$Z$26)*(RASANTE!F183-PERALTE!$Z$26)-2),IF(RASANTE!F183&lt;=PERALTE!$AB$26,-2))))),IF(AND(AH!#REF!="Derecha",RASANTE!F183&lt;=PERALTE!$AB$26),IF(RASANTE!F183&lt;=PERALTE!$Q$26,-2,IF(RASANTE!F183&lt;=PERALTE!$U$26,(10/(PERALTE!$U$26-PERALTE!$Q$26)*(RASANTE!F183-PERALTE!$Q$26)-2),IF(RASANTE!F183&lt;=PERALTE!$X$26,8,IF(RASANTE!F183&lt;=PERALTE!$AB$26,(10/(PERALTE!$X$26-PERALTE!$AB$26)*(RASANTE!F183-PERALTE!$AB$26)-2))))),IF(F183&lt;=PERALTE!#REF!,-2,"Abscisa fuera de la vía")))))))))))))))))))))</f>
        <v>-5.9749529746382164</v>
      </c>
      <c r="I183" s="28">
        <f>+IF(AND(AH!$H$8="Derecha",RASANTE!F183&lt;=PERALTE!$AB$6),IF(RASANTE!F183&lt;=PERALTE!$S$6,-2,IF(RASANTE!F183&lt;=PERALTE!$U$6,(-6/(PERALTE!$U$6-PERALTE!$S$6)*(RASANTE!F183-PERALTE!$S$6)-2),IF(RASANTE!F183&lt;=PERALTE!$X$6,-8,IF(RASANTE!F183&lt;=PERALTE!$Z$6,(-6/(PERALTE!$X$6-PERALTE!$Z$6)*(RASANTE!F183-PERALTE!$Z$6)-2),IF(RASANTE!F183&lt;=PERALTE!$AB$6,-2))))),IF(AND(AH!$H$8="Izquierda",RASANTE!F183&lt;=PERALTE!$AB$6),IF(RASANTE!F183&lt;=PERALTE!$Q$6,-2,IF(RASANTE!F183&lt;=PERALTE!$U$6,(10/(PERALTE!$U$6-PERALTE!$Q$6)*(RASANTE!F183-PERALTE!$Q$6)-2),IF(RASANTE!F183&lt;=PERALTE!$X$6,8,IF(RASANTE!F183&lt;=PERALTE!$AB$6,(10/(PERALTE!$X$6-PERALTE!$AB$6)*(RASANTE!F183-PERALTE!$AB$6)-2))))),IF(AND(AH!$H$10="Derecha",RASANTE!F183&lt;=PERALTE!$AB$8),IF(RASANTE!F183&lt;=PERALTE!$S$8,-2,IF(RASANTE!F183&lt;=PERALTE!$U$8,(-6/(PERALTE!$U$8-PERALTE!$S$8)*(RASANTE!F183-PERALTE!$S$8)-2),IF(RASANTE!F183&lt;=PERALTE!$X$8,-8,IF(RASANTE!F183&lt;=PERALTE!$Z$8,(-6/(PERALTE!$X$8-PERALTE!$Z$8)*(RASANTE!F183-PERALTE!$Z$8)-2),IF(RASANTE!F183&lt;=PERALTE!$AB$8,-2))))),IF(AND(AH!$H$10="Izquierda",RASANTE!F183&lt;=PERALTE!$AB$8),IF(RASANTE!F183&lt;=PERALTE!$Q$8,-2,IF(RASANTE!F183&lt;=PERALTE!$U$8,(10/(PERALTE!$U$8-PERALTE!$Q$8)*(RASANTE!F183-PERALTE!$Q$8)-2),IF(RASANTE!F183&lt;=PERALTE!$X$8,8,IF(RASANTE!F183&lt;=PERALTE!$AB$8,(10/(PERALTE!$X$8-PERALTE!$AB$8)*(RASANTE!F183-PERALTE!$AB$8)-2))))),IF(AND(AH!$H$12="Derecha",RASANTE!F183&lt;=PERALTE!$AB$10),IF(RASANTE!F183&lt;=PERALTE!$S$10,-2,IF(RASANTE!F183&lt;=PERALTE!$U$10,(-6/(PERALTE!$U$10-PERALTE!$S$10)*(RASANTE!F183-PERALTE!$S$10)-2),IF(RASANTE!F183&lt;=PERALTE!$X$10,-8,IF(RASANTE!F183&lt;=PERALTE!$Z$10,(-6/(PERALTE!$X$10-PERALTE!$Z$10)*(RASANTE!F183-PERALTE!$Z$10)-2),IF(RASANTE!F183&lt;=PERALTE!$AB$10,-2))))),IF(AND(AH!$H$12="Izquierda",RASANTE!F183&lt;=PERALTE!$AB$10),IF(RASANTE!F183&lt;=PERALTE!$Q$10,-2,IF(RASANTE!F183&lt;=PERALTE!$U$10,(10/(PERALTE!$U$10-PERALTE!$Q$10)*(RASANTE!F183-PERALTE!$Q$10)-2),IF(RASANTE!F183&lt;=PERALTE!$X$10,8,IF(RASANTE!F183&lt;=PERALTE!$AB$10,(10/(PERALTE!$X$10-PERALTE!$AB$10)*(RASANTE!F183-PERALTE!$AB$10)-2))))),IF(AND(AH!$H$14="Derecha",RASANTE!F183&lt;=PERALTE!$AB$12),IF(RASANTE!F183&lt;=PERALTE!$S$12,-2,IF(RASANTE!F183&lt;=PERALTE!$U$12,(-6/(PERALTE!$U$12-PERALTE!$S$12)*(RASANTE!F183-PERALTE!$S$12)-2),IF(RASANTE!F183&lt;=PERALTE!$X$12,-8,IF(RASANTE!F183&lt;=PERALTE!$Z$12,(-6/(PERALTE!$X$12-PERALTE!$Z$12)*(RASANTE!F183-PERALTE!$Z$12)-2),IF(RASANTE!F183&lt;=PERALTE!$AB$12,-2))))),IF(AND(AH!$H$14="Izquierda",RASANTE!F183&lt;=PERALTE!$AB$12),IF(RASANTE!F183&lt;=PERALTE!$Q$12,-2,IF(RASANTE!F183&lt;=PERALTE!$U$12,(10/(PERALTE!$U$12-PERALTE!$Q$12)*(RASANTE!F183-PERALTE!$Q$12)-2),IF(RASANTE!F183&lt;=PERALTE!$X$12,8,IF(RASANTE!F183&lt;=PERALTE!$AB$12,(10/(PERALTE!$X$12-PERALTE!$AB$12)*(RASANTE!F183-PERALTE!$AB$12)-2))))),IF(AND(AH!$H$16="Derecha",RASANTE!F183&lt;=PERALTE!$AB$14),IF(RASANTE!F183&lt;=PERALTE!$S$14,-2,IF(RASANTE!F183&lt;=PERALTE!$U$14,(-6/(PERALTE!$U$14-PERALTE!$S$14)*(RASANTE!F183-PERALTE!$S$14)-2),IF(RASANTE!F183&lt;=PERALTE!$X$14,-8,IF(RASANTE!F183&lt;=PERALTE!$Z$14,(-6/(PERALTE!$X$14-PERALTE!$Z$14)*(RASANTE!F183-PERALTE!$Z$14)-2),IF(RASANTE!F183&lt;=PERALTE!$AB$14,-2))))),IF(AND(AH!$H$16="Izquierda",RASANTE!F183&lt;=PERALTE!$AB$14),IF(RASANTE!F183&lt;=PERALTE!$Q$14,-2,IF(RASANTE!F183&lt;=PERALTE!$U$14,(10/(PERALTE!$U$14-PERALTE!$Q$14)*(RASANTE!F183-PERALTE!$Q$14)-2),IF(RASANTE!F183&lt;=PERALTE!$X$14,8,IF(RASANTE!F183&lt;=PERALTE!$AB$14,(10/(PERALTE!$X$14-PERALTE!$AB$14)*(RASANTE!F183-PERALTE!$AB$14)-2))))),IF(AND(AH!$H$18="Derecha",RASANTE!F183&lt;=PERALTE!$AB$16),IF(RASANTE!F183&lt;=PERALTE!$S$16,-2,IF(RASANTE!F183&lt;=PERALTE!$U$16,(-6/(PERALTE!$U$16-PERALTE!$S$16)*(RASANTE!F183-PERALTE!$S$16)-2),IF(RASANTE!F183&lt;=PERALTE!$X$16,-8,IF(RASANTE!F183&lt;=PERALTE!$Z$16,(-6/(PERALTE!$X$16-PERALTE!$Z$16)*(RASANTE!F183-PERALTE!$Z$16)-2),IF(RASANTE!F183&lt;=PERALTE!$AB$16,-2))))),IF(AND(AH!$H$18="Izquierda",RASANTE!F183&lt;=PERALTE!$AB$16),IF(RASANTE!F183&lt;=PERALTE!$Q$16,-2,IF(RASANTE!F183&lt;=PERALTE!$U$16,(10/(PERALTE!$U$16-PERALTE!$Q$16)*(RASANTE!F183-PERALTE!$Q$16)-2),IF(RASANTE!F183&lt;=PERALTE!$X$16,8,IF(RASANTE!F183&lt;=PERALTE!$AB$16,(10/(PERALTE!$X$16-PERALTE!$AB$16)*(RASANTE!F183-PERALTE!$AB$16)-2))))),IF(AND(AH!$H$20="Derecha",RASANTE!F183&lt;=PERALTE!$AB$18),IF(RASANTE!F183&lt;=PERALTE!$S$18,-2,IF(RASANTE!F183&lt;=PERALTE!$U$18,(-6/(PERALTE!$U$18-PERALTE!$S$18)*(RASANTE!F183-PERALTE!$S$18)-2),IF(RASANTE!F183&lt;=PERALTE!$X$18,-8,IF(RASANTE!F183&lt;=PERALTE!$Z$18,(-6/(PERALTE!$X$18-PERALTE!$Z$18)*(RASANTE!F183-PERALTE!$Z$18)-2),IF(RASANTE!F183&lt;=PERALTE!$AB$18,-2))))),IF(AND(AH!$H$20="Izquierda",RASANTE!F183&lt;=PERALTE!$AB$18),IF(RASANTE!F183&lt;=PERALTE!$Q$18,-2,IF(RASANTE!F183&lt;=PERALTE!$U$18,(10/(PERALTE!$U$18-PERALTE!$Q$18)*(RASANTE!F183-PERALTE!$Q$18)-2),IF(RASANTE!F183&lt;=PERALTE!$X$18,8,IF(RASANTE!F183&lt;=PERALTE!$AB$18,(10/(PERALTE!$X$18-PERALTE!$AB$18)*(RASANTE!F183-PERALTE!$AB$18)-2))))),IF(AND(AH!$H$24="Derecha",RASANTE!F183&lt;=PERALTE!$AB$22),IF(RASANTE!F183&lt;=PERALTE!$S$22,-2,IF(RASANTE!F183&lt;=PERALTE!$U$22,(-6/(PERALTE!$U$22-PERALTE!$S$22)*(RASANTE!F183-PERALTE!$S$22)-2),IF(RASANTE!F183&lt;=PERALTE!$X$22,-8,IF(RASANTE!F183&lt;=PERALTE!$Z$22,(-6/(PERALTE!$X$22-PERALTE!$Z$22)*(RASANTE!F183-PERALTE!$Z$22)-2),IF(RASANTE!F183&lt;=PERALTE!$AB$22,-2))))),IF(AND(AH!$H$24="Izquierda",RASANTE!F183&lt;=PERALTE!$AB$22),IF(RASANTE!F183&lt;=PERALTE!$Q$22,-2,IF(RASANTE!F183&lt;=PERALTE!$U$22,(10/(PERALTE!$U$22-PERALTE!$Q$22)*(RASANTE!F183-PERALTE!$Q$22)-2),IF(RASANTE!F183&lt;=PERALTE!$X$22,8,IF(RASANTE!F183&lt;=PERALTE!$AB$22,(10/(PERALTE!$X$22-PERALTE!$AB$22)*(RASANTE!F183-PERALTE!$AB$22)-2))))),IF(AND(AH!#REF!="Derecha",RASANTE!F183&lt;=PERALTE!#REF!),IF(RASANTE!F183&lt;=PERALTE!#REF!,-2,IF(RASANTE!F183&lt;=PERALTE!#REF!,(-6/(PERALTE!#REF!-PERALTE!#REF!)*(RASANTE!F183-PERALTE!#REF!)-2),IF(RASANTE!F183&lt;=PERALTE!#REF!,-8,IF(RASANTE!F183&lt;=PERALTE!#REF!,(-6/(PERALTE!#REF!-PERALTE!#REF!)*(RASANTE!F183-PERALTE!#REF!)-2),IF(RASANTE!F183&lt;=PERALTE!#REF!,-2))))),IF(AND(AH!#REF!="Izquierda",RASANTE!F183&lt;=PERALTE!#REF!),IF(RASANTE!F183&lt;=PERALTE!#REF!,-2,IF(RASANTE!F183&lt;=PERALTE!#REF!,(10/(PERALTE!#REF!-PERALTE!#REF!)*(RASANTE!F183-PERALTE!#REF!)-2),IF(RASANTE!F183&lt;=PERALTE!#REF!,8,IF(RASANTE!F183&lt;=PERALTE!#REF!,(10/(PERALTE!#REF!-PERALTE!#REF!)*(RASANTE!F183-PERALTE!#REF!)-2))))),IF(AND(AH!#REF!="Derecha",RASANTE!F183&lt;=PERALTE!$AB$26),IF(RASANTE!F183&lt;=PERALTE!$S$26,-2,IF(RASANTE!F183&lt;=PERALTE!$U$26,(-6/(PERALTE!$U$26-PERALTE!$S$26)*(RASANTE!F183-PERALTE!$S$26)-2),IF(RASANTE!F183&lt;=PERALTE!$X$26,-8,IF(RASANTE!F183&lt;=PERALTE!$Z$26,(-6/(PERALTE!$X$26-PERALTE!$Z$26)*(RASANTE!F183-PERALTE!$Z$26)-2),IF(RASANTE!F183&lt;=PERALTE!$AB$26,-2))))),IF(AND(AH!#REF!="Izquierda",RASANTE!F183&lt;=PERALTE!$AB$26),IF(RASANTE!F183&lt;=PERALTE!$Q$26,-2,IF(RASANTE!F183&lt;=PERALTE!$U$26,(10/(PERALTE!$U$26-PERALTE!$Q$26)*(RASANTE!F183-PERALTE!$Q$26)-2),IF(RASANTE!F183&lt;=PERALTE!$X$26,8,IF(RASANTE!F183&lt;=PERALTE!$AB$26,(10/(PERALTE!$X$26-PERALTE!$AB$26)*(RASANTE!F183-PERALTE!$AB$26)-2))))),IF(F183&lt;=PERALTE!#REF!,-2,"Abscisa fuera de la vía")))))))))))))))))))))</f>
        <v>5.9749529746382093</v>
      </c>
      <c r="J183" s="28">
        <f t="shared" si="6"/>
        <v>1616.5011380375927</v>
      </c>
      <c r="K183" s="28">
        <f>+IF(AND(AV!$S$6&lt;F183,F183&lt;=AV!$T$6),AV!$P$6*((AV!$S$6-RASANTE!F183)/(AV!$N$6))^2,IF(AND(AV!$T$6&lt;RASANTE!F183,F183&lt;AV!$U$6),AV!$P$6*((AV!$U$6-RASANTE!F183)/(AV!$O$6))^2,IF(AND(AV!$S$8&lt;F183,F183&lt;=AV!$T$8),AV!$P$8*((AV!$S$8-RASANTE!F183)/(AV!$N$8))^2,IF(AND(AV!$T$8&lt;RASANTE!F183,F183&lt;AV!$U$8),AV!$P$8*((AV!$U$8-RASANTE!F183)/(AV!$O$8))^2,IF(AND(AV!$S$10&lt;F183,F183&lt;=AV!$T$10),AV!$P$10*((AV!$S$10-RASANTE!F183)/(AV!$N$10))^2,IF(AND(AV!$T$10&lt;RASANTE!F183,F183&lt;AV!$U$10),AV!$P$10*((AV!$U$10-RASANTE!F183)/(AV!$O$10))^2,IF(AND(AV!$S$12&lt;F183,F183&lt;=AV!$T$12),AV!$P$12*((AV!$S$12-RASANTE!F183)/(AV!$N$12))^2,IF(AND(AV!$T$12&lt;RASANTE!F183,F183&lt;AV!$U$12),AV!$P$12*((AV!$U$12-RASANTE!F183)/(AV!$O$12))^2,IF(AND(AV!$S$14&lt;F183,F183&lt;=AV!$T$14),AV!$P$14*((AV!$S$14-RASANTE!F183)/(AV!$N$14))^2,IF(AND(AV!$T$14&lt;RASANTE!F183,F183&lt;AV!$U$14),AV!$P$14*((AV!$U$14-RASANTE!F183)/(AV!$O$14))^2,IF(AND(AV!$S$16&lt;F183,F183&lt;=AV!$T$16),AV!$P$16*((AV!$S$16-RASANTE!F183)/(AV!$N$16))^2,IF(AND(AV!$T$16&lt;RASANTE!F183,F183&lt;AV!$U$16),AV!$P$16*((AV!$U$16-RASANTE!F183)/(AV!$O$16))^2,IF(AND(AV!$S$18&lt;F183,F183&lt;=AV!$T$18),AV!$P$18*((AV!$S$18-RASANTE!F183)/(AV!$N$18))^2,IF(AND(AV!$T$18&lt;RASANTE!F183,F183&lt;AV!$U$18),AV!$P$18*((AV!$U$18-RASANTE!F183)/(AV!$O$18))^2,IF(AND(AV!$S$20&lt;F183,F183&lt;=AV!$T$20),AV!$P$20*((AV!$S$20-RASANTE!F183)/(AV!$N$20))^2,IF(AND(AV!$T$20&lt;RASANTE!F183,F183&lt;AV!$U$20),AV!$P$20*((AV!$U$20-RASANTE!F183)/(AV!$O$20))^2,IF(AND(AV!$S$22&lt;F183,F183&lt;=AV!$T$22),AV!$P$22*((AV!$S$22-RASANTE!F183)/(AV!$N$22))^2,IF(AND(AV!$T$22&lt;RASANTE!F183,F183&lt;AV!$U$22),AV!$P$22*((AV!$U$22-RASANTE!F183)/(AV!$O$22))^2,IF(AND(AV!$S$24&lt;F183,F183&lt;=AV!$T$24),AV!$P$24*((AV!$S$24-RASANTE!F183)/(AV!$N$24))^2,IF(AND(AV!$T$24&lt;RASANTE!F183,F183&lt;AV!$U$24),AV!$P$24*((AV!$U$24-RASANTE!F183)/(AV!$O$24))^2,0))))))))))))))))))))</f>
        <v>0</v>
      </c>
      <c r="L183" s="28">
        <f>+M183+H183%*PERALTE!$C$32</f>
        <v>1616.2920146834804</v>
      </c>
      <c r="M183" s="28">
        <f t="shared" si="7"/>
        <v>1616.5011380375927</v>
      </c>
      <c r="N183" s="28">
        <f>+M183+I183%*PERALTE!$C$32</f>
        <v>1616.710261391705</v>
      </c>
      <c r="O183" s="92"/>
      <c r="P183" s="84"/>
      <c r="Q183" s="84"/>
      <c r="R183" s="84"/>
      <c r="S183" s="84"/>
      <c r="T183" s="84"/>
      <c r="U183" s="84"/>
      <c r="V183" s="84"/>
      <c r="W183" s="84"/>
      <c r="X183" s="84"/>
      <c r="Y183" s="84"/>
    </row>
    <row r="184" spans="1:25" ht="15.75" customHeight="1" x14ac:dyDescent="0.2">
      <c r="A184" s="90" t="s">
        <v>352</v>
      </c>
      <c r="B184" s="99"/>
      <c r="C184" s="99"/>
      <c r="D184" s="99"/>
      <c r="E184" s="91"/>
      <c r="F184" s="34">
        <f>PERALTE!U14</f>
        <v>1149.2047592061899</v>
      </c>
      <c r="G184" s="88">
        <f>IF(F184&lt;=AV!$T$6,AV!$C$5,IF(RASANTE!F184&lt;=AV!$T$8,AV!$C$7,IF(RASANTE!F184&lt;=AV!$T$10,AV!$C$9,IF(RASANTE!F184&lt;=AV!$T$12,AV!$C$11,IF(RASANTE!F184&lt;=AV!$T$14,AV!$C$13,IF(RASANTE!F184&lt;=AV!$T$16,AV!$C$15, IF(RASANTE!F184&lt;=AV!$T$18,AV!$C$17,IF(RASANTE!F184&lt;=AV!$T$20,AV!$C$19,IF(RASANTE!F184&lt;=AV!$T$22,AV!$C$21,IF(RASANTE!F184&lt;=AV!$T$24,AV!$C$23,AV!$C$25))))))))))</f>
        <v>8.1999999999999993</v>
      </c>
      <c r="H184" s="28">
        <f>+IF(AND(AH!$H$8="Izquierda",RASANTE!F184&lt;=PERALTE!$AB$6),IF(RASANTE!F184&lt;=PERALTE!$S$6,-2,IF(RASANTE!F184&lt;=PERALTE!$U$6,(-6/(PERALTE!$U$6-PERALTE!$S$6)*(RASANTE!F184-PERALTE!$S$6)-2),IF(RASANTE!F184&lt;=PERALTE!$X$6,-8,IF(RASANTE!F184&lt;=PERALTE!$Z$6,(-6/(PERALTE!$X$6-PERALTE!$Z$6)*(RASANTE!F184-PERALTE!$Z$6)-2),IF(RASANTE!F184&lt;=PERALTE!$AB$6,-2))))),IF(AND(AH!$H$8="Derecha",RASANTE!F184&lt;=PERALTE!$AB$6),IF(RASANTE!F184&lt;=PERALTE!$Q$6,-2,IF(RASANTE!F184&lt;=PERALTE!$U$6,(10/(PERALTE!$U$6-PERALTE!$Q$6)*(RASANTE!F184-PERALTE!$Q$6)-2),IF(RASANTE!F184&lt;=PERALTE!$X$6,8,IF(RASANTE!F184&lt;=PERALTE!$AB$6,(10/(PERALTE!$X$6-PERALTE!$AB$6)*(RASANTE!F184-PERALTE!$AB$6)-2))))),IF(AND(AH!$H$10="Izquierda",RASANTE!F184&lt;=PERALTE!$AB$8),IF(RASANTE!F184&lt;=PERALTE!$S$8,-2,IF(RASANTE!F184&lt;=PERALTE!$U$8,(-6/(PERALTE!$U$8-PERALTE!$S$8)*(RASANTE!F184-PERALTE!$S$8)-2),IF(RASANTE!F184&lt;=PERALTE!$X$8,-8,IF(RASANTE!F184&lt;=PERALTE!$Z$8,(-6/(PERALTE!$X$8-PERALTE!$Z$8)*(RASANTE!F184-PERALTE!$Z$8)-2),IF(RASANTE!F184&lt;=PERALTE!$AB$8,-2))))),IF(AND(AH!$H$10="Derecha",RASANTE!F184&lt;=PERALTE!$AB$8),IF(RASANTE!F184&lt;=PERALTE!$Q$8,-2,IF(RASANTE!F184&lt;=PERALTE!$U$8,(10/(PERALTE!$U$8-PERALTE!$Q$8)*(RASANTE!F184-PERALTE!$Q$8)-2),IF(RASANTE!F184&lt;=PERALTE!$X$8,8,IF(RASANTE!F184&lt;=PERALTE!$AB$8,(10/(PERALTE!$X$8-PERALTE!$AB$8)*(RASANTE!F184-PERALTE!$AB$8)-2))))),IF(AND(AH!$H$12="Izquierda",RASANTE!F184&lt;=PERALTE!$AB$10),IF(RASANTE!F184&lt;=PERALTE!$S$10,-2,IF(RASANTE!F184&lt;=PERALTE!$U$10,(-6/(PERALTE!$U$10-PERALTE!$S$10)*(RASANTE!F184-PERALTE!$S$10)-2),IF(RASANTE!F184&lt;=PERALTE!$X$10,-8,IF(RASANTE!F184&lt;=PERALTE!$Z$10,(-6/(PERALTE!$X$10-PERALTE!$Z$10)*(RASANTE!F184-PERALTE!$Z$10)-2),IF(RASANTE!F184&lt;=PERALTE!$AB$10,-2))))),IF(AND(AH!$H$12="Derecha",RASANTE!F184&lt;=PERALTE!$AB$10),IF(RASANTE!F184&lt;=PERALTE!$Q$10,-2,IF(RASANTE!F184&lt;=PERALTE!$U$10,(10/(PERALTE!$U$10-PERALTE!$Q$10)*(RASANTE!F184-PERALTE!$Q$10)-2),IF(RASANTE!F184&lt;=PERALTE!$X$10,8,IF(RASANTE!F184&lt;=PERALTE!$AB$10,(10/(PERALTE!$X$10-PERALTE!$AB$10)*(RASANTE!F184-PERALTE!$AB$10)-2))))),IF(AND(AH!$H$14="Izquierda",RASANTE!F184&lt;=PERALTE!$AB$12),IF(RASANTE!F184&lt;=PERALTE!$S$12,-2,IF(RASANTE!F184&lt;=PERALTE!$U$12,(-6/(PERALTE!$U$12-PERALTE!$S$12)*(RASANTE!F184-PERALTE!$S$12)-2),IF(RASANTE!F184&lt;=PERALTE!$X$12,-8,IF(RASANTE!F184&lt;=PERALTE!$Z$12,(-6/(PERALTE!$X$12-PERALTE!$Z$12)*(RASANTE!F184-PERALTE!$Z$12)-2),IF(RASANTE!F184&lt;=PERALTE!$AB$12,-2))))),IF(AND(AH!$H$14="Derecha",RASANTE!F184&lt;=PERALTE!$AB$12),IF(RASANTE!F184&lt;=PERALTE!$Q$12,-2,IF(RASANTE!F184&lt;=PERALTE!$U$12,(10/(PERALTE!$U$12-PERALTE!$Q$12)*(RASANTE!F184-PERALTE!$Q$12)-2),IF(RASANTE!F184&lt;=PERALTE!$X$12,8,IF(RASANTE!F184&lt;=PERALTE!$AB$12,(10/(PERALTE!$X$12-PERALTE!$AB$12)*(RASANTE!F184-PERALTE!$AB$12)-2))))),IF(AND(AH!$H$16="Izquierda",RASANTE!F184&lt;=PERALTE!$AB$14),IF(RASANTE!F184&lt;=PERALTE!$S$14,-2,IF(RASANTE!F184&lt;=PERALTE!$U$14,(-6/(PERALTE!$U$14-PERALTE!$S$14)*(RASANTE!F184-PERALTE!$S$14)-2),IF(RASANTE!F184&lt;=PERALTE!$X$14,-8,IF(RASANTE!F184&lt;=PERALTE!$Z$14,(-6/(PERALTE!$X$14-PERALTE!$Z$14)*(RASANTE!F184-PERALTE!$Z$14)-2),IF(RASANTE!F184&lt;=PERALTE!$AB$14,-2))))),IF(AND(AH!$H$16="Derecha",RASANTE!F184&lt;=PERALTE!$AB$14),IF(RASANTE!F184&lt;=PERALTE!$Q$14,-2,IF(RASANTE!F184&lt;=PERALTE!$U$14,(10/(PERALTE!$U$14-PERALTE!$Q$14)*(RASANTE!F184-PERALTE!$Q$14)-2),IF(RASANTE!F184&lt;=PERALTE!$X$14,8,IF(RASANTE!F184&lt;=PERALTE!$AB$14,(10/(PERALTE!$X$14-PERALTE!$AB$14)*(RASANTE!F184-PERALTE!$AB$14)-2))))),IF(AND(AH!$H$18="Izquierda",RASANTE!F184&lt;=PERALTE!$AB$16),IF(RASANTE!F184&lt;=PERALTE!$S$16,-2,IF(RASANTE!F184&lt;=PERALTE!$U$16,(-6/(PERALTE!$U$16-PERALTE!$S$16)*(RASANTE!F184-PERALTE!$S$16)-2),IF(RASANTE!F184&lt;=PERALTE!$X$16,-8,IF(RASANTE!F184&lt;=PERALTE!$Z$16,(-6/(PERALTE!$X$16-PERALTE!$Z$16)*(RASANTE!F184-PERALTE!$Z$16)-2),IF(RASANTE!F184&lt;=PERALTE!$AB$16,-2))))),IF(AND(AH!$H$18="Derecha",RASANTE!F184&lt;=PERALTE!$AB$16),IF(RASANTE!F184&lt;=PERALTE!$Q$16,-2,IF(RASANTE!F184&lt;=PERALTE!$U$16,(10/(PERALTE!$U$16-PERALTE!$Q$16)*(RASANTE!F184-PERALTE!$Q$16)-2),IF(RASANTE!F184&lt;=PERALTE!$X$16,8,IF(RASANTE!F184&lt;=PERALTE!$AB$16,(10/(PERALTE!$X$16-PERALTE!$AB$16)*(RASANTE!F184-PERALTE!$AB$16)-2))))),IF(AND(AH!$H$20="Izquierda",RASANTE!F184&lt;=PERALTE!$AB$18),IF(RASANTE!F184&lt;=PERALTE!$S$18,-2,IF(RASANTE!F184&lt;=PERALTE!$U$18,(-6/(PERALTE!$U$18-PERALTE!$S$18)*(RASANTE!F184-PERALTE!$S$18)-2),IF(RASANTE!F184&lt;=PERALTE!$X$18,-8,IF(RASANTE!F184&lt;=PERALTE!$Z$18,(-6/(PERALTE!$X$18-PERALTE!$Z$18)*(RASANTE!F184-PERALTE!$Z$18)-2),IF(RASANTE!F184&lt;=PERALTE!$AB$18,-2))))),IF(AND(AH!$H$20="Derecha",RASANTE!F184&lt;=PERALTE!$AB$18),IF(RASANTE!F184&lt;=PERALTE!$Q$18,-2,IF(RASANTE!F184&lt;=PERALTE!$U$18,(10/(PERALTE!$U$18-PERALTE!$Q$18)*(RASANTE!F184-PERALTE!$Q$18)-2),IF(RASANTE!F184&lt;=PERALTE!$X$18,8,IF(RASANTE!F184&lt;=PERALTE!$AB$18,(10/(PERALTE!$X$18-PERALTE!$AB$18)*(RASANTE!F184-PERALTE!$AB$18)-2))))),IF(AND(AH!$H$24="Izquierda",RASANTE!F184&lt;=PERALTE!$AB$22),IF(RASANTE!F184&lt;=PERALTE!$S$22,-2,IF(RASANTE!F184&lt;=PERALTE!$U$22,(-6/(PERALTE!$U$22-PERALTE!$S$22)*(RASANTE!F184-PERALTE!$S$22)-2),IF(RASANTE!F184&lt;=PERALTE!$X$22,-8,IF(RASANTE!F184&lt;=PERALTE!$Z$22,(-6/(PERALTE!$X$22-PERALTE!$Z$22)*(RASANTE!F184-PERALTE!$Z$22)-2),IF(RASANTE!F184&lt;=PERALTE!$AB$22,-2))))),IF(AND(AH!$H$24="Derecha",RASANTE!F184&lt;=PERALTE!$AB$22),IF(RASANTE!F184&lt;=PERALTE!$Q$22,-2,IF(RASANTE!F184&lt;=PERALTE!$U$22,(10/(PERALTE!$U$22-PERALTE!$Q$22)*(RASANTE!F184-PERALTE!$Q$22)-2),IF(RASANTE!F184&lt;=PERALTE!$X$22,8,IF(RASANTE!F184&lt;=PERALTE!$AB$22,(10/(PERALTE!$X$22-PERALTE!$AB$22)*(RASANTE!F184-PERALTE!$AB$22)-2))))),IF(AND(AH!#REF!="Izquierda",RASANTE!F184&lt;=PERALTE!#REF!),IF(RASANTE!F184&lt;=PERALTE!#REF!,-2,IF(RASANTE!F184&lt;=PERALTE!#REF!,(-6/(PERALTE!#REF!-PERALTE!#REF!)*(RASANTE!F184-PERALTE!#REF!)-2),IF(RASANTE!F184&lt;=PERALTE!#REF!,-8,IF(RASANTE!F184&lt;=PERALTE!#REF!,(-6/(PERALTE!#REF!-PERALTE!#REF!)*(RASANTE!F184-PERALTE!#REF!)-2),IF(RASANTE!F184&lt;=PERALTE!#REF!,-2))))),IF(AND(AH!#REF!="Derecha",RASANTE!F184&lt;=PERALTE!#REF!),IF(RASANTE!F184&lt;=PERALTE!#REF!,-2,IF(RASANTE!F184&lt;=PERALTE!#REF!,(10/(PERALTE!#REF!-PERALTE!#REF!)*(RASANTE!F184-PERALTE!#REF!)-2),IF(RASANTE!F184&lt;=PERALTE!#REF!,8,IF(RASANTE!F184&lt;=PERALTE!#REF!,(10/(PERALTE!#REF!-PERALTE!#REF!)*(RASANTE!F184-PERALTE!#REF!)-2))))),IF(AND(AH!#REF!="Izquierda",RASANTE!F184&lt;=PERALTE!$AB$26),IF(RASANTE!F184&lt;=PERALTE!$S$26,-2,IF(RASANTE!F184&lt;=PERALTE!$U$26,(-6/(PERALTE!$U$26-PERALTE!$S$26)*(RASANTE!F184-PERALTE!$S$26)-2),IF(RASANTE!F184&lt;=PERALTE!$X$26,-8,IF(RASANTE!F184&lt;=PERALTE!$Z$26,(-6/(PERALTE!$X$26-PERALTE!$Z$26)*(RASANTE!F184-PERALTE!$Z$26)-2),IF(RASANTE!F184&lt;=PERALTE!$AB$26,-2))))),IF(AND(AH!#REF!="Derecha",RASANTE!F184&lt;=PERALTE!$AB$26),IF(RASANTE!F184&lt;=PERALTE!$Q$26,-2,IF(RASANTE!F184&lt;=PERALTE!$U$26,(10/(PERALTE!$U$26-PERALTE!$Q$26)*(RASANTE!F184-PERALTE!$Q$26)-2),IF(RASANTE!F184&lt;=PERALTE!$X$26,8,IF(RASANTE!F184&lt;=PERALTE!$AB$26,(10/(PERALTE!$X$26-PERALTE!$AB$26)*(RASANTE!F184-PERALTE!$AB$26)-2))))),IF(F184&lt;=PERALTE!#REF!,-2,"Abscisa fuera de la vía")))))))))))))))))))))</f>
        <v>-8</v>
      </c>
      <c r="I184" s="28">
        <f>+IF(AND(AH!$H$8="Derecha",RASANTE!F184&lt;=PERALTE!$AB$6),IF(RASANTE!F184&lt;=PERALTE!$S$6,-2,IF(RASANTE!F184&lt;=PERALTE!$U$6,(-6/(PERALTE!$U$6-PERALTE!$S$6)*(RASANTE!F184-PERALTE!$S$6)-2),IF(RASANTE!F184&lt;=PERALTE!$X$6,-8,IF(RASANTE!F184&lt;=PERALTE!$Z$6,(-6/(PERALTE!$X$6-PERALTE!$Z$6)*(RASANTE!F184-PERALTE!$Z$6)-2),IF(RASANTE!F184&lt;=PERALTE!$AB$6,-2))))),IF(AND(AH!$H$8="Izquierda",RASANTE!F184&lt;=PERALTE!$AB$6),IF(RASANTE!F184&lt;=PERALTE!$Q$6,-2,IF(RASANTE!F184&lt;=PERALTE!$U$6,(10/(PERALTE!$U$6-PERALTE!$Q$6)*(RASANTE!F184-PERALTE!$Q$6)-2),IF(RASANTE!F184&lt;=PERALTE!$X$6,8,IF(RASANTE!F184&lt;=PERALTE!$AB$6,(10/(PERALTE!$X$6-PERALTE!$AB$6)*(RASANTE!F184-PERALTE!$AB$6)-2))))),IF(AND(AH!$H$10="Derecha",RASANTE!F184&lt;=PERALTE!$AB$8),IF(RASANTE!F184&lt;=PERALTE!$S$8,-2,IF(RASANTE!F184&lt;=PERALTE!$U$8,(-6/(PERALTE!$U$8-PERALTE!$S$8)*(RASANTE!F184-PERALTE!$S$8)-2),IF(RASANTE!F184&lt;=PERALTE!$X$8,-8,IF(RASANTE!F184&lt;=PERALTE!$Z$8,(-6/(PERALTE!$X$8-PERALTE!$Z$8)*(RASANTE!F184-PERALTE!$Z$8)-2),IF(RASANTE!F184&lt;=PERALTE!$AB$8,-2))))),IF(AND(AH!$H$10="Izquierda",RASANTE!F184&lt;=PERALTE!$AB$8),IF(RASANTE!F184&lt;=PERALTE!$Q$8,-2,IF(RASANTE!F184&lt;=PERALTE!$U$8,(10/(PERALTE!$U$8-PERALTE!$Q$8)*(RASANTE!F184-PERALTE!$Q$8)-2),IF(RASANTE!F184&lt;=PERALTE!$X$8,8,IF(RASANTE!F184&lt;=PERALTE!$AB$8,(10/(PERALTE!$X$8-PERALTE!$AB$8)*(RASANTE!F184-PERALTE!$AB$8)-2))))),IF(AND(AH!$H$12="Derecha",RASANTE!F184&lt;=PERALTE!$AB$10),IF(RASANTE!F184&lt;=PERALTE!$S$10,-2,IF(RASANTE!F184&lt;=PERALTE!$U$10,(-6/(PERALTE!$U$10-PERALTE!$S$10)*(RASANTE!F184-PERALTE!$S$10)-2),IF(RASANTE!F184&lt;=PERALTE!$X$10,-8,IF(RASANTE!F184&lt;=PERALTE!$Z$10,(-6/(PERALTE!$X$10-PERALTE!$Z$10)*(RASANTE!F184-PERALTE!$Z$10)-2),IF(RASANTE!F184&lt;=PERALTE!$AB$10,-2))))),IF(AND(AH!$H$12="Izquierda",RASANTE!F184&lt;=PERALTE!$AB$10),IF(RASANTE!F184&lt;=PERALTE!$Q$10,-2,IF(RASANTE!F184&lt;=PERALTE!$U$10,(10/(PERALTE!$U$10-PERALTE!$Q$10)*(RASANTE!F184-PERALTE!$Q$10)-2),IF(RASANTE!F184&lt;=PERALTE!$X$10,8,IF(RASANTE!F184&lt;=PERALTE!$AB$10,(10/(PERALTE!$X$10-PERALTE!$AB$10)*(RASANTE!F184-PERALTE!$AB$10)-2))))),IF(AND(AH!$H$14="Derecha",RASANTE!F184&lt;=PERALTE!$AB$12),IF(RASANTE!F184&lt;=PERALTE!$S$12,-2,IF(RASANTE!F184&lt;=PERALTE!$U$12,(-6/(PERALTE!$U$12-PERALTE!$S$12)*(RASANTE!F184-PERALTE!$S$12)-2),IF(RASANTE!F184&lt;=PERALTE!$X$12,-8,IF(RASANTE!F184&lt;=PERALTE!$Z$12,(-6/(PERALTE!$X$12-PERALTE!$Z$12)*(RASANTE!F184-PERALTE!$Z$12)-2),IF(RASANTE!F184&lt;=PERALTE!$AB$12,-2))))),IF(AND(AH!$H$14="Izquierda",RASANTE!F184&lt;=PERALTE!$AB$12),IF(RASANTE!F184&lt;=PERALTE!$Q$12,-2,IF(RASANTE!F184&lt;=PERALTE!$U$12,(10/(PERALTE!$U$12-PERALTE!$Q$12)*(RASANTE!F184-PERALTE!$Q$12)-2),IF(RASANTE!F184&lt;=PERALTE!$X$12,8,IF(RASANTE!F184&lt;=PERALTE!$AB$12,(10/(PERALTE!$X$12-PERALTE!$AB$12)*(RASANTE!F184-PERALTE!$AB$12)-2))))),IF(AND(AH!$H$16="Derecha",RASANTE!F184&lt;=PERALTE!$AB$14),IF(RASANTE!F184&lt;=PERALTE!$S$14,-2,IF(RASANTE!F184&lt;=PERALTE!$U$14,(-6/(PERALTE!$U$14-PERALTE!$S$14)*(RASANTE!F184-PERALTE!$S$14)-2),IF(RASANTE!F184&lt;=PERALTE!$X$14,-8,IF(RASANTE!F184&lt;=PERALTE!$Z$14,(-6/(PERALTE!$X$14-PERALTE!$Z$14)*(RASANTE!F184-PERALTE!$Z$14)-2),IF(RASANTE!F184&lt;=PERALTE!$AB$14,-2))))),IF(AND(AH!$H$16="Izquierda",RASANTE!F184&lt;=PERALTE!$AB$14),IF(RASANTE!F184&lt;=PERALTE!$Q$14,-2,IF(RASANTE!F184&lt;=PERALTE!$U$14,(10/(PERALTE!$U$14-PERALTE!$Q$14)*(RASANTE!F184-PERALTE!$Q$14)-2),IF(RASANTE!F184&lt;=PERALTE!$X$14,8,IF(RASANTE!F184&lt;=PERALTE!$AB$14,(10/(PERALTE!$X$14-PERALTE!$AB$14)*(RASANTE!F184-PERALTE!$AB$14)-2))))),IF(AND(AH!$H$18="Derecha",RASANTE!F184&lt;=PERALTE!$AB$16),IF(RASANTE!F184&lt;=PERALTE!$S$16,-2,IF(RASANTE!F184&lt;=PERALTE!$U$16,(-6/(PERALTE!$U$16-PERALTE!$S$16)*(RASANTE!F184-PERALTE!$S$16)-2),IF(RASANTE!F184&lt;=PERALTE!$X$16,-8,IF(RASANTE!F184&lt;=PERALTE!$Z$16,(-6/(PERALTE!$X$16-PERALTE!$Z$16)*(RASANTE!F184-PERALTE!$Z$16)-2),IF(RASANTE!F184&lt;=PERALTE!$AB$16,-2))))),IF(AND(AH!$H$18="Izquierda",RASANTE!F184&lt;=PERALTE!$AB$16),IF(RASANTE!F184&lt;=PERALTE!$Q$16,-2,IF(RASANTE!F184&lt;=PERALTE!$U$16,(10/(PERALTE!$U$16-PERALTE!$Q$16)*(RASANTE!F184-PERALTE!$Q$16)-2),IF(RASANTE!F184&lt;=PERALTE!$X$16,8,IF(RASANTE!F184&lt;=PERALTE!$AB$16,(10/(PERALTE!$X$16-PERALTE!$AB$16)*(RASANTE!F184-PERALTE!$AB$16)-2))))),IF(AND(AH!$H$20="Derecha",RASANTE!F184&lt;=PERALTE!$AB$18),IF(RASANTE!F184&lt;=PERALTE!$S$18,-2,IF(RASANTE!F184&lt;=PERALTE!$U$18,(-6/(PERALTE!$U$18-PERALTE!$S$18)*(RASANTE!F184-PERALTE!$S$18)-2),IF(RASANTE!F184&lt;=PERALTE!$X$18,-8,IF(RASANTE!F184&lt;=PERALTE!$Z$18,(-6/(PERALTE!$X$18-PERALTE!$Z$18)*(RASANTE!F184-PERALTE!$Z$18)-2),IF(RASANTE!F184&lt;=PERALTE!$AB$18,-2))))),IF(AND(AH!$H$20="Izquierda",RASANTE!F184&lt;=PERALTE!$AB$18),IF(RASANTE!F184&lt;=PERALTE!$Q$18,-2,IF(RASANTE!F184&lt;=PERALTE!$U$18,(10/(PERALTE!$U$18-PERALTE!$Q$18)*(RASANTE!F184-PERALTE!$Q$18)-2),IF(RASANTE!F184&lt;=PERALTE!$X$18,8,IF(RASANTE!F184&lt;=PERALTE!$AB$18,(10/(PERALTE!$X$18-PERALTE!$AB$18)*(RASANTE!F184-PERALTE!$AB$18)-2))))),IF(AND(AH!$H$24="Derecha",RASANTE!F184&lt;=PERALTE!$AB$22),IF(RASANTE!F184&lt;=PERALTE!$S$22,-2,IF(RASANTE!F184&lt;=PERALTE!$U$22,(-6/(PERALTE!$U$22-PERALTE!$S$22)*(RASANTE!F184-PERALTE!$S$22)-2),IF(RASANTE!F184&lt;=PERALTE!$X$22,-8,IF(RASANTE!F184&lt;=PERALTE!$Z$22,(-6/(PERALTE!$X$22-PERALTE!$Z$22)*(RASANTE!F184-PERALTE!$Z$22)-2),IF(RASANTE!F184&lt;=PERALTE!$AB$22,-2))))),IF(AND(AH!$H$24="Izquierda",RASANTE!F184&lt;=PERALTE!$AB$22),IF(RASANTE!F184&lt;=PERALTE!$Q$22,-2,IF(RASANTE!F184&lt;=PERALTE!$U$22,(10/(PERALTE!$U$22-PERALTE!$Q$22)*(RASANTE!F184-PERALTE!$Q$22)-2),IF(RASANTE!F184&lt;=PERALTE!$X$22,8,IF(RASANTE!F184&lt;=PERALTE!$AB$22,(10/(PERALTE!$X$22-PERALTE!$AB$22)*(RASANTE!F184-PERALTE!$AB$22)-2))))),IF(AND(AH!#REF!="Derecha",RASANTE!F184&lt;=PERALTE!#REF!),IF(RASANTE!F184&lt;=PERALTE!#REF!,-2,IF(RASANTE!F184&lt;=PERALTE!#REF!,(-6/(PERALTE!#REF!-PERALTE!#REF!)*(RASANTE!F184-PERALTE!#REF!)-2),IF(RASANTE!F184&lt;=PERALTE!#REF!,-8,IF(RASANTE!F184&lt;=PERALTE!#REF!,(-6/(PERALTE!#REF!-PERALTE!#REF!)*(RASANTE!F184-PERALTE!#REF!)-2),IF(RASANTE!F184&lt;=PERALTE!#REF!,-2))))),IF(AND(AH!#REF!="Izquierda",RASANTE!F184&lt;=PERALTE!#REF!),IF(RASANTE!F184&lt;=PERALTE!#REF!,-2,IF(RASANTE!F184&lt;=PERALTE!#REF!,(10/(PERALTE!#REF!-PERALTE!#REF!)*(RASANTE!F184-PERALTE!#REF!)-2),IF(RASANTE!F184&lt;=PERALTE!#REF!,8,IF(RASANTE!F184&lt;=PERALTE!#REF!,(10/(PERALTE!#REF!-PERALTE!#REF!)*(RASANTE!F184-PERALTE!#REF!)-2))))),IF(AND(AH!#REF!="Derecha",RASANTE!F184&lt;=PERALTE!$AB$26),IF(RASANTE!F184&lt;=PERALTE!$S$26,-2,IF(RASANTE!F184&lt;=PERALTE!$U$26,(-6/(PERALTE!$U$26-PERALTE!$S$26)*(RASANTE!F184-PERALTE!$S$26)-2),IF(RASANTE!F184&lt;=PERALTE!$X$26,-8,IF(RASANTE!F184&lt;=PERALTE!$Z$26,(-6/(PERALTE!$X$26-PERALTE!$Z$26)*(RASANTE!F184-PERALTE!$Z$26)-2),IF(RASANTE!F184&lt;=PERALTE!$AB$26,-2))))),IF(AND(AH!#REF!="Izquierda",RASANTE!F184&lt;=PERALTE!$AB$26),IF(RASANTE!F184&lt;=PERALTE!$Q$26,-2,IF(RASANTE!F184&lt;=PERALTE!$U$26,(10/(PERALTE!$U$26-PERALTE!$Q$26)*(RASANTE!F184-PERALTE!$Q$26)-2),IF(RASANTE!F184&lt;=PERALTE!$X$26,8,IF(RASANTE!F184&lt;=PERALTE!$AB$26,(10/(PERALTE!$X$26-PERALTE!$AB$26)*(RASANTE!F184-PERALTE!$AB$26)-2))))),IF(F184&lt;=PERALTE!#REF!,-2,"Abscisa fuera de la vía")))))))))))))))))))))</f>
        <v>8</v>
      </c>
      <c r="J184" s="28">
        <f t="shared" si="6"/>
        <v>1617.2559282925004</v>
      </c>
      <c r="K184" s="28">
        <f>+IF(AND(AV!$S$6&lt;F184,F184&lt;=AV!$T$6),AV!$P$6*((AV!$S$6-RASANTE!F184)/(AV!$N$6))^2,IF(AND(AV!$T$6&lt;RASANTE!F184,F184&lt;AV!$U$6),AV!$P$6*((AV!$U$6-RASANTE!F184)/(AV!$O$6))^2,IF(AND(AV!$S$8&lt;F184,F184&lt;=AV!$T$8),AV!$P$8*((AV!$S$8-RASANTE!F184)/(AV!$N$8))^2,IF(AND(AV!$T$8&lt;RASANTE!F184,F184&lt;AV!$U$8),AV!$P$8*((AV!$U$8-RASANTE!F184)/(AV!$O$8))^2,IF(AND(AV!$S$10&lt;F184,F184&lt;=AV!$T$10),AV!$P$10*((AV!$S$10-RASANTE!F184)/(AV!$N$10))^2,IF(AND(AV!$T$10&lt;RASANTE!F184,F184&lt;AV!$U$10),AV!$P$10*((AV!$U$10-RASANTE!F184)/(AV!$O$10))^2,IF(AND(AV!$S$12&lt;F184,F184&lt;=AV!$T$12),AV!$P$12*((AV!$S$12-RASANTE!F184)/(AV!$N$12))^2,IF(AND(AV!$T$12&lt;RASANTE!F184,F184&lt;AV!$U$12),AV!$P$12*((AV!$U$12-RASANTE!F184)/(AV!$O$12))^2,IF(AND(AV!$S$14&lt;F184,F184&lt;=AV!$T$14),AV!$P$14*((AV!$S$14-RASANTE!F184)/(AV!$N$14))^2,IF(AND(AV!$T$14&lt;RASANTE!F184,F184&lt;AV!$U$14),AV!$P$14*((AV!$U$14-RASANTE!F184)/(AV!$O$14))^2,IF(AND(AV!$S$16&lt;F184,F184&lt;=AV!$T$16),AV!$P$16*((AV!$S$16-RASANTE!F184)/(AV!$N$16))^2,IF(AND(AV!$T$16&lt;RASANTE!F184,F184&lt;AV!$U$16),AV!$P$16*((AV!$U$16-RASANTE!F184)/(AV!$O$16))^2,IF(AND(AV!$S$18&lt;F184,F184&lt;=AV!$T$18),AV!$P$18*((AV!$S$18-RASANTE!F184)/(AV!$N$18))^2,IF(AND(AV!$T$18&lt;RASANTE!F184,F184&lt;AV!$U$18),AV!$P$18*((AV!$U$18-RASANTE!F184)/(AV!$O$18))^2,IF(AND(AV!$S$20&lt;F184,F184&lt;=AV!$T$20),AV!$P$20*((AV!$S$20-RASANTE!F184)/(AV!$N$20))^2,IF(AND(AV!$T$20&lt;RASANTE!F184,F184&lt;AV!$U$20),AV!$P$20*((AV!$U$20-RASANTE!F184)/(AV!$O$20))^2,IF(AND(AV!$S$22&lt;F184,F184&lt;=AV!$T$22),AV!$P$22*((AV!$S$22-RASANTE!F184)/(AV!$N$22))^2,IF(AND(AV!$T$22&lt;RASANTE!F184,F184&lt;AV!$U$22),AV!$P$22*((AV!$U$22-RASANTE!F184)/(AV!$O$22))^2,IF(AND(AV!$S$24&lt;F184,F184&lt;=AV!$T$24),AV!$P$24*((AV!$S$24-RASANTE!F184)/(AV!$N$24))^2,IF(AND(AV!$T$24&lt;RASANTE!F184,F184&lt;AV!$U$24),AV!$P$24*((AV!$U$24-RASANTE!F184)/(AV!$O$24))^2,0))))))))))))))))))))</f>
        <v>0</v>
      </c>
      <c r="L184" s="28">
        <f>+M184+H184%*PERALTE!$C$32</f>
        <v>1616.9759282925004</v>
      </c>
      <c r="M184" s="28">
        <f t="shared" si="7"/>
        <v>1617.2559282925004</v>
      </c>
      <c r="N184" s="28">
        <f>+M184+I184%*PERALTE!$C$32</f>
        <v>1617.5359282925003</v>
      </c>
      <c r="O184" s="92"/>
      <c r="P184" s="84"/>
      <c r="Q184" s="84"/>
      <c r="R184" s="84"/>
      <c r="S184" s="84"/>
      <c r="T184" s="84"/>
      <c r="U184" s="84"/>
      <c r="V184" s="84"/>
      <c r="W184" s="84"/>
      <c r="X184" s="84"/>
      <c r="Y184" s="84"/>
    </row>
    <row r="185" spans="1:25" ht="15.75" customHeight="1" x14ac:dyDescent="0.2">
      <c r="A185" s="109" t="s">
        <v>215</v>
      </c>
      <c r="B185" s="372" t="s">
        <v>216</v>
      </c>
      <c r="C185" s="373"/>
      <c r="D185" s="374"/>
      <c r="F185" s="34">
        <f>PERALTE!V14</f>
        <v>1149.2047592061904</v>
      </c>
      <c r="G185" s="88">
        <f>IF(F185&lt;=AV!$T$6,AV!$C$5,IF(RASANTE!F185&lt;=AV!$T$8,AV!$C$7,IF(RASANTE!F185&lt;=AV!$T$10,AV!$C$9,IF(RASANTE!F185&lt;=AV!$T$12,AV!$C$11,IF(RASANTE!F185&lt;=AV!$T$14,AV!$C$13,IF(RASANTE!F185&lt;=AV!$T$16,AV!$C$15, IF(RASANTE!F185&lt;=AV!$T$18,AV!$C$17,IF(RASANTE!F185&lt;=AV!$T$20,AV!$C$19,IF(RASANTE!F185&lt;=AV!$T$22,AV!$C$21,IF(RASANTE!F185&lt;=AV!$T$24,AV!$C$23,AV!$C$25))))))))))</f>
        <v>8.1999999999999993</v>
      </c>
      <c r="H185" s="28">
        <f>+IF(AND(AH!$H$8="Izquierda",RASANTE!F185&lt;=PERALTE!$AB$6),IF(RASANTE!F185&lt;=PERALTE!$S$6,-2,IF(RASANTE!F185&lt;=PERALTE!$U$6,(-6/(PERALTE!$U$6-PERALTE!$S$6)*(RASANTE!F185-PERALTE!$S$6)-2),IF(RASANTE!F185&lt;=PERALTE!$X$6,-8,IF(RASANTE!F185&lt;=PERALTE!$Z$6,(-6/(PERALTE!$X$6-PERALTE!$Z$6)*(RASANTE!F185-PERALTE!$Z$6)-2),IF(RASANTE!F185&lt;=PERALTE!$AB$6,-2))))),IF(AND(AH!$H$8="Derecha",RASANTE!F185&lt;=PERALTE!$AB$6),IF(RASANTE!F185&lt;=PERALTE!$Q$6,-2,IF(RASANTE!F185&lt;=PERALTE!$U$6,(10/(PERALTE!$U$6-PERALTE!$Q$6)*(RASANTE!F185-PERALTE!$Q$6)-2),IF(RASANTE!F185&lt;=PERALTE!$X$6,8,IF(RASANTE!F185&lt;=PERALTE!$AB$6,(10/(PERALTE!$X$6-PERALTE!$AB$6)*(RASANTE!F185-PERALTE!$AB$6)-2))))),IF(AND(AH!$H$10="Izquierda",RASANTE!F185&lt;=PERALTE!$AB$8),IF(RASANTE!F185&lt;=PERALTE!$S$8,-2,IF(RASANTE!F185&lt;=PERALTE!$U$8,(-6/(PERALTE!$U$8-PERALTE!$S$8)*(RASANTE!F185-PERALTE!$S$8)-2),IF(RASANTE!F185&lt;=PERALTE!$X$8,-8,IF(RASANTE!F185&lt;=PERALTE!$Z$8,(-6/(PERALTE!$X$8-PERALTE!$Z$8)*(RASANTE!F185-PERALTE!$Z$8)-2),IF(RASANTE!F185&lt;=PERALTE!$AB$8,-2))))),IF(AND(AH!$H$10="Derecha",RASANTE!F185&lt;=PERALTE!$AB$8),IF(RASANTE!F185&lt;=PERALTE!$Q$8,-2,IF(RASANTE!F185&lt;=PERALTE!$U$8,(10/(PERALTE!$U$8-PERALTE!$Q$8)*(RASANTE!F185-PERALTE!$Q$8)-2),IF(RASANTE!F185&lt;=PERALTE!$X$8,8,IF(RASANTE!F185&lt;=PERALTE!$AB$8,(10/(PERALTE!$X$8-PERALTE!$AB$8)*(RASANTE!F185-PERALTE!$AB$8)-2))))),IF(AND(AH!$H$12="Izquierda",RASANTE!F185&lt;=PERALTE!$AB$10),IF(RASANTE!F185&lt;=PERALTE!$S$10,-2,IF(RASANTE!F185&lt;=PERALTE!$U$10,(-6/(PERALTE!$U$10-PERALTE!$S$10)*(RASANTE!F185-PERALTE!$S$10)-2),IF(RASANTE!F185&lt;=PERALTE!$X$10,-8,IF(RASANTE!F185&lt;=PERALTE!$Z$10,(-6/(PERALTE!$X$10-PERALTE!$Z$10)*(RASANTE!F185-PERALTE!$Z$10)-2),IF(RASANTE!F185&lt;=PERALTE!$AB$10,-2))))),IF(AND(AH!$H$12="Derecha",RASANTE!F185&lt;=PERALTE!$AB$10),IF(RASANTE!F185&lt;=PERALTE!$Q$10,-2,IF(RASANTE!F185&lt;=PERALTE!$U$10,(10/(PERALTE!$U$10-PERALTE!$Q$10)*(RASANTE!F185-PERALTE!$Q$10)-2),IF(RASANTE!F185&lt;=PERALTE!$X$10,8,IF(RASANTE!F185&lt;=PERALTE!$AB$10,(10/(PERALTE!$X$10-PERALTE!$AB$10)*(RASANTE!F185-PERALTE!$AB$10)-2))))),IF(AND(AH!$H$14="Izquierda",RASANTE!F185&lt;=PERALTE!$AB$12),IF(RASANTE!F185&lt;=PERALTE!$S$12,-2,IF(RASANTE!F185&lt;=PERALTE!$U$12,(-6/(PERALTE!$U$12-PERALTE!$S$12)*(RASANTE!F185-PERALTE!$S$12)-2),IF(RASANTE!F185&lt;=PERALTE!$X$12,-8,IF(RASANTE!F185&lt;=PERALTE!$Z$12,(-6/(PERALTE!$X$12-PERALTE!$Z$12)*(RASANTE!F185-PERALTE!$Z$12)-2),IF(RASANTE!F185&lt;=PERALTE!$AB$12,-2))))),IF(AND(AH!$H$14="Derecha",RASANTE!F185&lt;=PERALTE!$AB$12),IF(RASANTE!F185&lt;=PERALTE!$Q$12,-2,IF(RASANTE!F185&lt;=PERALTE!$U$12,(10/(PERALTE!$U$12-PERALTE!$Q$12)*(RASANTE!F185-PERALTE!$Q$12)-2),IF(RASANTE!F185&lt;=PERALTE!$X$12,8,IF(RASANTE!F185&lt;=PERALTE!$AB$12,(10/(PERALTE!$X$12-PERALTE!$AB$12)*(RASANTE!F185-PERALTE!$AB$12)-2))))),IF(AND(AH!$H$16="Izquierda",RASANTE!F185&lt;=PERALTE!$AB$14),IF(RASANTE!F185&lt;=PERALTE!$S$14,-2,IF(RASANTE!F185&lt;=PERALTE!$U$14,(-6/(PERALTE!$U$14-PERALTE!$S$14)*(RASANTE!F185-PERALTE!$S$14)-2),IF(RASANTE!F185&lt;=PERALTE!$X$14,-8,IF(RASANTE!F185&lt;=PERALTE!$Z$14,(-6/(PERALTE!$X$14-PERALTE!$Z$14)*(RASANTE!F185-PERALTE!$Z$14)-2),IF(RASANTE!F185&lt;=PERALTE!$AB$14,-2))))),IF(AND(AH!$H$16="Derecha",RASANTE!F185&lt;=PERALTE!$AB$14),IF(RASANTE!F185&lt;=PERALTE!$Q$14,-2,IF(RASANTE!F185&lt;=PERALTE!$U$14,(10/(PERALTE!$U$14-PERALTE!$Q$14)*(RASANTE!F185-PERALTE!$Q$14)-2),IF(RASANTE!F185&lt;=PERALTE!$X$14,8,IF(RASANTE!F185&lt;=PERALTE!$AB$14,(10/(PERALTE!$X$14-PERALTE!$AB$14)*(RASANTE!F185-PERALTE!$AB$14)-2))))),IF(AND(AH!$H$18="Izquierda",RASANTE!F185&lt;=PERALTE!$AB$16),IF(RASANTE!F185&lt;=PERALTE!$S$16,-2,IF(RASANTE!F185&lt;=PERALTE!$U$16,(-6/(PERALTE!$U$16-PERALTE!$S$16)*(RASANTE!F185-PERALTE!$S$16)-2),IF(RASANTE!F185&lt;=PERALTE!$X$16,-8,IF(RASANTE!F185&lt;=PERALTE!$Z$16,(-6/(PERALTE!$X$16-PERALTE!$Z$16)*(RASANTE!F185-PERALTE!$Z$16)-2),IF(RASANTE!F185&lt;=PERALTE!$AB$16,-2))))),IF(AND(AH!$H$18="Derecha",RASANTE!F185&lt;=PERALTE!$AB$16),IF(RASANTE!F185&lt;=PERALTE!$Q$16,-2,IF(RASANTE!F185&lt;=PERALTE!$U$16,(10/(PERALTE!$U$16-PERALTE!$Q$16)*(RASANTE!F185-PERALTE!$Q$16)-2),IF(RASANTE!F185&lt;=PERALTE!$X$16,8,IF(RASANTE!F185&lt;=PERALTE!$AB$16,(10/(PERALTE!$X$16-PERALTE!$AB$16)*(RASANTE!F185-PERALTE!$AB$16)-2))))),IF(AND(AH!$H$20="Izquierda",RASANTE!F185&lt;=PERALTE!$AB$18),IF(RASANTE!F185&lt;=PERALTE!$S$18,-2,IF(RASANTE!F185&lt;=PERALTE!$U$18,(-6/(PERALTE!$U$18-PERALTE!$S$18)*(RASANTE!F185-PERALTE!$S$18)-2),IF(RASANTE!F185&lt;=PERALTE!$X$18,-8,IF(RASANTE!F185&lt;=PERALTE!$Z$18,(-6/(PERALTE!$X$18-PERALTE!$Z$18)*(RASANTE!F185-PERALTE!$Z$18)-2),IF(RASANTE!F185&lt;=PERALTE!$AB$18,-2))))),IF(AND(AH!$H$20="Derecha",RASANTE!F185&lt;=PERALTE!$AB$18),IF(RASANTE!F185&lt;=PERALTE!$Q$18,-2,IF(RASANTE!F185&lt;=PERALTE!$U$18,(10/(PERALTE!$U$18-PERALTE!$Q$18)*(RASANTE!F185-PERALTE!$Q$18)-2),IF(RASANTE!F185&lt;=PERALTE!$X$18,8,IF(RASANTE!F185&lt;=PERALTE!$AB$18,(10/(PERALTE!$X$18-PERALTE!$AB$18)*(RASANTE!F185-PERALTE!$AB$18)-2))))),IF(AND(AH!$H$24="Izquierda",RASANTE!F185&lt;=PERALTE!$AB$22),IF(RASANTE!F185&lt;=PERALTE!$S$22,-2,IF(RASANTE!F185&lt;=PERALTE!$U$22,(-6/(PERALTE!$U$22-PERALTE!$S$22)*(RASANTE!F185-PERALTE!$S$22)-2),IF(RASANTE!F185&lt;=PERALTE!$X$22,-8,IF(RASANTE!F185&lt;=PERALTE!$Z$22,(-6/(PERALTE!$X$22-PERALTE!$Z$22)*(RASANTE!F185-PERALTE!$Z$22)-2),IF(RASANTE!F185&lt;=PERALTE!$AB$22,-2))))),IF(AND(AH!$H$24="Derecha",RASANTE!F185&lt;=PERALTE!$AB$22),IF(RASANTE!F185&lt;=PERALTE!$Q$22,-2,IF(RASANTE!F185&lt;=PERALTE!$U$22,(10/(PERALTE!$U$22-PERALTE!$Q$22)*(RASANTE!F185-PERALTE!$Q$22)-2),IF(RASANTE!F185&lt;=PERALTE!$X$22,8,IF(RASANTE!F185&lt;=PERALTE!$AB$22,(10/(PERALTE!$X$22-PERALTE!$AB$22)*(RASANTE!F185-PERALTE!$AB$22)-2))))),IF(AND(AH!#REF!="Izquierda",RASANTE!F185&lt;=PERALTE!#REF!),IF(RASANTE!F185&lt;=PERALTE!#REF!,-2,IF(RASANTE!F185&lt;=PERALTE!#REF!,(-6/(PERALTE!#REF!-PERALTE!#REF!)*(RASANTE!F185-PERALTE!#REF!)-2),IF(RASANTE!F185&lt;=PERALTE!#REF!,-8,IF(RASANTE!F185&lt;=PERALTE!#REF!,(-6/(PERALTE!#REF!-PERALTE!#REF!)*(RASANTE!F185-PERALTE!#REF!)-2),IF(RASANTE!F185&lt;=PERALTE!#REF!,-2))))),IF(AND(AH!#REF!="Derecha",RASANTE!F185&lt;=PERALTE!#REF!),IF(RASANTE!F185&lt;=PERALTE!#REF!,-2,IF(RASANTE!F185&lt;=PERALTE!#REF!,(10/(PERALTE!#REF!-PERALTE!#REF!)*(RASANTE!F185-PERALTE!#REF!)-2),IF(RASANTE!F185&lt;=PERALTE!#REF!,8,IF(RASANTE!F185&lt;=PERALTE!#REF!,(10/(PERALTE!#REF!-PERALTE!#REF!)*(RASANTE!F185-PERALTE!#REF!)-2))))),IF(AND(AH!#REF!="Izquierda",RASANTE!F185&lt;=PERALTE!$AB$26),IF(RASANTE!F185&lt;=PERALTE!$S$26,-2,IF(RASANTE!F185&lt;=PERALTE!$U$26,(-6/(PERALTE!$U$26-PERALTE!$S$26)*(RASANTE!F185-PERALTE!$S$26)-2),IF(RASANTE!F185&lt;=PERALTE!$X$26,-8,IF(RASANTE!F185&lt;=PERALTE!$Z$26,(-6/(PERALTE!$X$26-PERALTE!$Z$26)*(RASANTE!F185-PERALTE!$Z$26)-2),IF(RASANTE!F185&lt;=PERALTE!$AB$26,-2))))),IF(AND(AH!#REF!="Derecha",RASANTE!F185&lt;=PERALTE!$AB$26),IF(RASANTE!F185&lt;=PERALTE!$Q$26,-2,IF(RASANTE!F185&lt;=PERALTE!$U$26,(10/(PERALTE!$U$26-PERALTE!$Q$26)*(RASANTE!F185-PERALTE!$Q$26)-2),IF(RASANTE!F185&lt;=PERALTE!$X$26,8,IF(RASANTE!F185&lt;=PERALTE!$AB$26,(10/(PERALTE!$X$26-PERALTE!$AB$26)*(RASANTE!F185-PERALTE!$AB$26)-2))))),IF(F185&lt;=PERALTE!#REF!,-2,"Abscisa fuera de la vía")))))))))))))))))))))</f>
        <v>-8.0000000000000995</v>
      </c>
      <c r="I185" s="28">
        <f>+IF(AND(AH!$H$8="Derecha",RASANTE!F185&lt;=PERALTE!$AB$6),IF(RASANTE!F185&lt;=PERALTE!$S$6,-2,IF(RASANTE!F185&lt;=PERALTE!$U$6,(-6/(PERALTE!$U$6-PERALTE!$S$6)*(RASANTE!F185-PERALTE!$S$6)-2),IF(RASANTE!F185&lt;=PERALTE!$X$6,-8,IF(RASANTE!F185&lt;=PERALTE!$Z$6,(-6/(PERALTE!$X$6-PERALTE!$Z$6)*(RASANTE!F185-PERALTE!$Z$6)-2),IF(RASANTE!F185&lt;=PERALTE!$AB$6,-2))))),IF(AND(AH!$H$8="Izquierda",RASANTE!F185&lt;=PERALTE!$AB$6),IF(RASANTE!F185&lt;=PERALTE!$Q$6,-2,IF(RASANTE!F185&lt;=PERALTE!$U$6,(10/(PERALTE!$U$6-PERALTE!$Q$6)*(RASANTE!F185-PERALTE!$Q$6)-2),IF(RASANTE!F185&lt;=PERALTE!$X$6,8,IF(RASANTE!F185&lt;=PERALTE!$AB$6,(10/(PERALTE!$X$6-PERALTE!$AB$6)*(RASANTE!F185-PERALTE!$AB$6)-2))))),IF(AND(AH!$H$10="Derecha",RASANTE!F185&lt;=PERALTE!$AB$8),IF(RASANTE!F185&lt;=PERALTE!$S$8,-2,IF(RASANTE!F185&lt;=PERALTE!$U$8,(-6/(PERALTE!$U$8-PERALTE!$S$8)*(RASANTE!F185-PERALTE!$S$8)-2),IF(RASANTE!F185&lt;=PERALTE!$X$8,-8,IF(RASANTE!F185&lt;=PERALTE!$Z$8,(-6/(PERALTE!$X$8-PERALTE!$Z$8)*(RASANTE!F185-PERALTE!$Z$8)-2),IF(RASANTE!F185&lt;=PERALTE!$AB$8,-2))))),IF(AND(AH!$H$10="Izquierda",RASANTE!F185&lt;=PERALTE!$AB$8),IF(RASANTE!F185&lt;=PERALTE!$Q$8,-2,IF(RASANTE!F185&lt;=PERALTE!$U$8,(10/(PERALTE!$U$8-PERALTE!$Q$8)*(RASANTE!F185-PERALTE!$Q$8)-2),IF(RASANTE!F185&lt;=PERALTE!$X$8,8,IF(RASANTE!F185&lt;=PERALTE!$AB$8,(10/(PERALTE!$X$8-PERALTE!$AB$8)*(RASANTE!F185-PERALTE!$AB$8)-2))))),IF(AND(AH!$H$12="Derecha",RASANTE!F185&lt;=PERALTE!$AB$10),IF(RASANTE!F185&lt;=PERALTE!$S$10,-2,IF(RASANTE!F185&lt;=PERALTE!$U$10,(-6/(PERALTE!$U$10-PERALTE!$S$10)*(RASANTE!F185-PERALTE!$S$10)-2),IF(RASANTE!F185&lt;=PERALTE!$X$10,-8,IF(RASANTE!F185&lt;=PERALTE!$Z$10,(-6/(PERALTE!$X$10-PERALTE!$Z$10)*(RASANTE!F185-PERALTE!$Z$10)-2),IF(RASANTE!F185&lt;=PERALTE!$AB$10,-2))))),IF(AND(AH!$H$12="Izquierda",RASANTE!F185&lt;=PERALTE!$AB$10),IF(RASANTE!F185&lt;=PERALTE!$Q$10,-2,IF(RASANTE!F185&lt;=PERALTE!$U$10,(10/(PERALTE!$U$10-PERALTE!$Q$10)*(RASANTE!F185-PERALTE!$Q$10)-2),IF(RASANTE!F185&lt;=PERALTE!$X$10,8,IF(RASANTE!F185&lt;=PERALTE!$AB$10,(10/(PERALTE!$X$10-PERALTE!$AB$10)*(RASANTE!F185-PERALTE!$AB$10)-2))))),IF(AND(AH!$H$14="Derecha",RASANTE!F185&lt;=PERALTE!$AB$12),IF(RASANTE!F185&lt;=PERALTE!$S$12,-2,IF(RASANTE!F185&lt;=PERALTE!$U$12,(-6/(PERALTE!$U$12-PERALTE!$S$12)*(RASANTE!F185-PERALTE!$S$12)-2),IF(RASANTE!F185&lt;=PERALTE!$X$12,-8,IF(RASANTE!F185&lt;=PERALTE!$Z$12,(-6/(PERALTE!$X$12-PERALTE!$Z$12)*(RASANTE!F185-PERALTE!$Z$12)-2),IF(RASANTE!F185&lt;=PERALTE!$AB$12,-2))))),IF(AND(AH!$H$14="Izquierda",RASANTE!F185&lt;=PERALTE!$AB$12),IF(RASANTE!F185&lt;=PERALTE!$Q$12,-2,IF(RASANTE!F185&lt;=PERALTE!$U$12,(10/(PERALTE!$U$12-PERALTE!$Q$12)*(RASANTE!F185-PERALTE!$Q$12)-2),IF(RASANTE!F185&lt;=PERALTE!$X$12,8,IF(RASANTE!F185&lt;=PERALTE!$AB$12,(10/(PERALTE!$X$12-PERALTE!$AB$12)*(RASANTE!F185-PERALTE!$AB$12)-2))))),IF(AND(AH!$H$16="Derecha",RASANTE!F185&lt;=PERALTE!$AB$14),IF(RASANTE!F185&lt;=PERALTE!$S$14,-2,IF(RASANTE!F185&lt;=PERALTE!$U$14,(-6/(PERALTE!$U$14-PERALTE!$S$14)*(RASANTE!F185-PERALTE!$S$14)-2),IF(RASANTE!F185&lt;=PERALTE!$X$14,-8,IF(RASANTE!F185&lt;=PERALTE!$Z$14,(-6/(PERALTE!$X$14-PERALTE!$Z$14)*(RASANTE!F185-PERALTE!$Z$14)-2),IF(RASANTE!F185&lt;=PERALTE!$AB$14,-2))))),IF(AND(AH!$H$16="Izquierda",RASANTE!F185&lt;=PERALTE!$AB$14),IF(RASANTE!F185&lt;=PERALTE!$Q$14,-2,IF(RASANTE!F185&lt;=PERALTE!$U$14,(10/(PERALTE!$U$14-PERALTE!$Q$14)*(RASANTE!F185-PERALTE!$Q$14)-2),IF(RASANTE!F185&lt;=PERALTE!$X$14,8,IF(RASANTE!F185&lt;=PERALTE!$AB$14,(10/(PERALTE!$X$14-PERALTE!$AB$14)*(RASANTE!F185-PERALTE!$AB$14)-2))))),IF(AND(AH!$H$18="Derecha",RASANTE!F185&lt;=PERALTE!$AB$16),IF(RASANTE!F185&lt;=PERALTE!$S$16,-2,IF(RASANTE!F185&lt;=PERALTE!$U$16,(-6/(PERALTE!$U$16-PERALTE!$S$16)*(RASANTE!F185-PERALTE!$S$16)-2),IF(RASANTE!F185&lt;=PERALTE!$X$16,-8,IF(RASANTE!F185&lt;=PERALTE!$Z$16,(-6/(PERALTE!$X$16-PERALTE!$Z$16)*(RASANTE!F185-PERALTE!$Z$16)-2),IF(RASANTE!F185&lt;=PERALTE!$AB$16,-2))))),IF(AND(AH!$H$18="Izquierda",RASANTE!F185&lt;=PERALTE!$AB$16),IF(RASANTE!F185&lt;=PERALTE!$Q$16,-2,IF(RASANTE!F185&lt;=PERALTE!$U$16,(10/(PERALTE!$U$16-PERALTE!$Q$16)*(RASANTE!F185-PERALTE!$Q$16)-2),IF(RASANTE!F185&lt;=PERALTE!$X$16,8,IF(RASANTE!F185&lt;=PERALTE!$AB$16,(10/(PERALTE!$X$16-PERALTE!$AB$16)*(RASANTE!F185-PERALTE!$AB$16)-2))))),IF(AND(AH!$H$20="Derecha",RASANTE!F185&lt;=PERALTE!$AB$18),IF(RASANTE!F185&lt;=PERALTE!$S$18,-2,IF(RASANTE!F185&lt;=PERALTE!$U$18,(-6/(PERALTE!$U$18-PERALTE!$S$18)*(RASANTE!F185-PERALTE!$S$18)-2),IF(RASANTE!F185&lt;=PERALTE!$X$18,-8,IF(RASANTE!F185&lt;=PERALTE!$Z$18,(-6/(PERALTE!$X$18-PERALTE!$Z$18)*(RASANTE!F185-PERALTE!$Z$18)-2),IF(RASANTE!F185&lt;=PERALTE!$AB$18,-2))))),IF(AND(AH!$H$20="Izquierda",RASANTE!F185&lt;=PERALTE!$AB$18),IF(RASANTE!F185&lt;=PERALTE!$Q$18,-2,IF(RASANTE!F185&lt;=PERALTE!$U$18,(10/(PERALTE!$U$18-PERALTE!$Q$18)*(RASANTE!F185-PERALTE!$Q$18)-2),IF(RASANTE!F185&lt;=PERALTE!$X$18,8,IF(RASANTE!F185&lt;=PERALTE!$AB$18,(10/(PERALTE!$X$18-PERALTE!$AB$18)*(RASANTE!F185-PERALTE!$AB$18)-2))))),IF(AND(AH!$H$24="Derecha",RASANTE!F185&lt;=PERALTE!$AB$22),IF(RASANTE!F185&lt;=PERALTE!$S$22,-2,IF(RASANTE!F185&lt;=PERALTE!$U$22,(-6/(PERALTE!$U$22-PERALTE!$S$22)*(RASANTE!F185-PERALTE!$S$22)-2),IF(RASANTE!F185&lt;=PERALTE!$X$22,-8,IF(RASANTE!F185&lt;=PERALTE!$Z$22,(-6/(PERALTE!$X$22-PERALTE!$Z$22)*(RASANTE!F185-PERALTE!$Z$22)-2),IF(RASANTE!F185&lt;=PERALTE!$AB$22,-2))))),IF(AND(AH!$H$24="Izquierda",RASANTE!F185&lt;=PERALTE!$AB$22),IF(RASANTE!F185&lt;=PERALTE!$Q$22,-2,IF(RASANTE!F185&lt;=PERALTE!$U$22,(10/(PERALTE!$U$22-PERALTE!$Q$22)*(RASANTE!F185-PERALTE!$Q$22)-2),IF(RASANTE!F185&lt;=PERALTE!$X$22,8,IF(RASANTE!F185&lt;=PERALTE!$AB$22,(10/(PERALTE!$X$22-PERALTE!$AB$22)*(RASANTE!F185-PERALTE!$AB$22)-2))))),IF(AND(AH!#REF!="Derecha",RASANTE!F185&lt;=PERALTE!#REF!),IF(RASANTE!F185&lt;=PERALTE!#REF!,-2,IF(RASANTE!F185&lt;=PERALTE!#REF!,(-6/(PERALTE!#REF!-PERALTE!#REF!)*(RASANTE!F185-PERALTE!#REF!)-2),IF(RASANTE!F185&lt;=PERALTE!#REF!,-8,IF(RASANTE!F185&lt;=PERALTE!#REF!,(-6/(PERALTE!#REF!-PERALTE!#REF!)*(RASANTE!F185-PERALTE!#REF!)-2),IF(RASANTE!F185&lt;=PERALTE!#REF!,-2))))),IF(AND(AH!#REF!="Izquierda",RASANTE!F185&lt;=PERALTE!#REF!),IF(RASANTE!F185&lt;=PERALTE!#REF!,-2,IF(RASANTE!F185&lt;=PERALTE!#REF!,(10/(PERALTE!#REF!-PERALTE!#REF!)*(RASANTE!F185-PERALTE!#REF!)-2),IF(RASANTE!F185&lt;=PERALTE!#REF!,8,IF(RASANTE!F185&lt;=PERALTE!#REF!,(10/(PERALTE!#REF!-PERALTE!#REF!)*(RASANTE!F185-PERALTE!#REF!)-2))))),IF(AND(AH!#REF!="Derecha",RASANTE!F185&lt;=PERALTE!$AB$26),IF(RASANTE!F185&lt;=PERALTE!$S$26,-2,IF(RASANTE!F185&lt;=PERALTE!$U$26,(-6/(PERALTE!$U$26-PERALTE!$S$26)*(RASANTE!F185-PERALTE!$S$26)-2),IF(RASANTE!F185&lt;=PERALTE!$X$26,-8,IF(RASANTE!F185&lt;=PERALTE!$Z$26,(-6/(PERALTE!$X$26-PERALTE!$Z$26)*(RASANTE!F185-PERALTE!$Z$26)-2),IF(RASANTE!F185&lt;=PERALTE!$AB$26,-2))))),IF(AND(AH!#REF!="Izquierda",RASANTE!F185&lt;=PERALTE!$AB$26),IF(RASANTE!F185&lt;=PERALTE!$Q$26,-2,IF(RASANTE!F185&lt;=PERALTE!$U$26,(10/(PERALTE!$U$26-PERALTE!$Q$26)*(RASANTE!F185-PERALTE!$Q$26)-2),IF(RASANTE!F185&lt;=PERALTE!$X$26,8,IF(RASANTE!F185&lt;=PERALTE!$AB$26,(10/(PERALTE!$X$26-PERALTE!$AB$26)*(RASANTE!F185-PERALTE!$AB$26)-2))))),IF(F185&lt;=PERALTE!#REF!,-2,"Abscisa fuera de la vía")))))))))))))))))))))</f>
        <v>8.0000000000000995</v>
      </c>
      <c r="J185" s="28">
        <f t="shared" si="6"/>
        <v>1617.2559282925004</v>
      </c>
      <c r="K185" s="28">
        <f>+IF(AND(AV!$S$6&lt;F185,F185&lt;=AV!$T$6),AV!$P$6*((AV!$S$6-RASANTE!F185)/(AV!$N$6))^2,IF(AND(AV!$T$6&lt;RASANTE!F185,F185&lt;AV!$U$6),AV!$P$6*((AV!$U$6-RASANTE!F185)/(AV!$O$6))^2,IF(AND(AV!$S$8&lt;F185,F185&lt;=AV!$T$8),AV!$P$8*((AV!$S$8-RASANTE!F185)/(AV!$N$8))^2,IF(AND(AV!$T$8&lt;RASANTE!F185,F185&lt;AV!$U$8),AV!$P$8*((AV!$U$8-RASANTE!F185)/(AV!$O$8))^2,IF(AND(AV!$S$10&lt;F185,F185&lt;=AV!$T$10),AV!$P$10*((AV!$S$10-RASANTE!F185)/(AV!$N$10))^2,IF(AND(AV!$T$10&lt;RASANTE!F185,F185&lt;AV!$U$10),AV!$P$10*((AV!$U$10-RASANTE!F185)/(AV!$O$10))^2,IF(AND(AV!$S$12&lt;F185,F185&lt;=AV!$T$12),AV!$P$12*((AV!$S$12-RASANTE!F185)/(AV!$N$12))^2,IF(AND(AV!$T$12&lt;RASANTE!F185,F185&lt;AV!$U$12),AV!$P$12*((AV!$U$12-RASANTE!F185)/(AV!$O$12))^2,IF(AND(AV!$S$14&lt;F185,F185&lt;=AV!$T$14),AV!$P$14*((AV!$S$14-RASANTE!F185)/(AV!$N$14))^2,IF(AND(AV!$T$14&lt;RASANTE!F185,F185&lt;AV!$U$14),AV!$P$14*((AV!$U$14-RASANTE!F185)/(AV!$O$14))^2,IF(AND(AV!$S$16&lt;F185,F185&lt;=AV!$T$16),AV!$P$16*((AV!$S$16-RASANTE!F185)/(AV!$N$16))^2,IF(AND(AV!$T$16&lt;RASANTE!F185,F185&lt;AV!$U$16),AV!$P$16*((AV!$U$16-RASANTE!F185)/(AV!$O$16))^2,IF(AND(AV!$S$18&lt;F185,F185&lt;=AV!$T$18),AV!$P$18*((AV!$S$18-RASANTE!F185)/(AV!$N$18))^2,IF(AND(AV!$T$18&lt;RASANTE!F185,F185&lt;AV!$U$18),AV!$P$18*((AV!$U$18-RASANTE!F185)/(AV!$O$18))^2,IF(AND(AV!$S$20&lt;F185,F185&lt;=AV!$T$20),AV!$P$20*((AV!$S$20-RASANTE!F185)/(AV!$N$20))^2,IF(AND(AV!$T$20&lt;RASANTE!F185,F185&lt;AV!$U$20),AV!$P$20*((AV!$U$20-RASANTE!F185)/(AV!$O$20))^2,IF(AND(AV!$S$22&lt;F185,F185&lt;=AV!$T$22),AV!$P$22*((AV!$S$22-RASANTE!F185)/(AV!$N$22))^2,IF(AND(AV!$T$22&lt;RASANTE!F185,F185&lt;AV!$U$22),AV!$P$22*((AV!$U$22-RASANTE!F185)/(AV!$O$22))^2,IF(AND(AV!$S$24&lt;F185,F185&lt;=AV!$T$24),AV!$P$24*((AV!$S$24-RASANTE!F185)/(AV!$N$24))^2,IF(AND(AV!$T$24&lt;RASANTE!F185,F185&lt;AV!$U$24),AV!$P$24*((AV!$U$24-RASANTE!F185)/(AV!$O$24))^2,0))))))))))))))))))))</f>
        <v>0</v>
      </c>
      <c r="L185" s="28">
        <f>+M185+H185%*PERALTE!$C$32</f>
        <v>1616.9759282925004</v>
      </c>
      <c r="M185" s="28">
        <f t="shared" si="7"/>
        <v>1617.2559282925004</v>
      </c>
      <c r="N185" s="28">
        <f>+M185+I185%*PERALTE!$C$32</f>
        <v>1617.5359282925003</v>
      </c>
      <c r="O185" s="92"/>
      <c r="P185" s="84"/>
      <c r="Q185" s="84"/>
      <c r="R185" s="84"/>
      <c r="S185" s="84"/>
      <c r="T185" s="84"/>
      <c r="U185" s="84"/>
      <c r="V185" s="84"/>
      <c r="W185" s="84"/>
      <c r="X185" s="84"/>
      <c r="Y185" s="84"/>
    </row>
    <row r="186" spans="1:25" ht="15.75" customHeight="1" x14ac:dyDescent="0.2">
      <c r="A186" s="90"/>
      <c r="B186" s="181">
        <f>AH!L16</f>
        <v>2.5936761652864653</v>
      </c>
      <c r="C186" s="182">
        <f>AH!V16</f>
        <v>88.926039952678806</v>
      </c>
      <c r="D186" s="183"/>
      <c r="E186" s="91"/>
      <c r="F186" s="34">
        <v>1150</v>
      </c>
      <c r="G186" s="88">
        <f>IF(F186&lt;=AV!$T$6,AV!$C$5,IF(RASANTE!F186&lt;=AV!$T$8,AV!$C$7,IF(RASANTE!F186&lt;=AV!$T$10,AV!$C$9,IF(RASANTE!F186&lt;=AV!$T$12,AV!$C$11,IF(RASANTE!F186&lt;=AV!$T$14,AV!$C$13,IF(RASANTE!F186&lt;=AV!$T$16,AV!$C$15, IF(RASANTE!F186&lt;=AV!$T$18,AV!$C$17,IF(RASANTE!F186&lt;=AV!$T$20,AV!$C$19,IF(RASANTE!F186&lt;=AV!$T$22,AV!$C$21,IF(RASANTE!F186&lt;=AV!$T$24,AV!$C$23,AV!$C$25))))))))))</f>
        <v>8.1999999999999993</v>
      </c>
      <c r="H186" s="28">
        <f>+IF(AND(AH!$H$8="Izquierda",RASANTE!F186&lt;=PERALTE!$AB$6),IF(RASANTE!F186&lt;=PERALTE!$S$6,-2,IF(RASANTE!F186&lt;=PERALTE!$U$6,(-6/(PERALTE!$U$6-PERALTE!$S$6)*(RASANTE!F186-PERALTE!$S$6)-2),IF(RASANTE!F186&lt;=PERALTE!$X$6,-8,IF(RASANTE!F186&lt;=PERALTE!$Z$6,(-6/(PERALTE!$X$6-PERALTE!$Z$6)*(RASANTE!F186-PERALTE!$Z$6)-2),IF(RASANTE!F186&lt;=PERALTE!$AB$6,-2))))),IF(AND(AH!$H$8="Derecha",RASANTE!F186&lt;=PERALTE!$AB$6),IF(RASANTE!F186&lt;=PERALTE!$Q$6,-2,IF(RASANTE!F186&lt;=PERALTE!$U$6,(10/(PERALTE!$U$6-PERALTE!$Q$6)*(RASANTE!F186-PERALTE!$Q$6)-2),IF(RASANTE!F186&lt;=PERALTE!$X$6,8,IF(RASANTE!F186&lt;=PERALTE!$AB$6,(10/(PERALTE!$X$6-PERALTE!$AB$6)*(RASANTE!F186-PERALTE!$AB$6)-2))))),IF(AND(AH!$H$10="Izquierda",RASANTE!F186&lt;=PERALTE!$AB$8),IF(RASANTE!F186&lt;=PERALTE!$S$8,-2,IF(RASANTE!F186&lt;=PERALTE!$U$8,(-6/(PERALTE!$U$8-PERALTE!$S$8)*(RASANTE!F186-PERALTE!$S$8)-2),IF(RASANTE!F186&lt;=PERALTE!$X$8,-8,IF(RASANTE!F186&lt;=PERALTE!$Z$8,(-6/(PERALTE!$X$8-PERALTE!$Z$8)*(RASANTE!F186-PERALTE!$Z$8)-2),IF(RASANTE!F186&lt;=PERALTE!$AB$8,-2))))),IF(AND(AH!$H$10="Derecha",RASANTE!F186&lt;=PERALTE!$AB$8),IF(RASANTE!F186&lt;=PERALTE!$Q$8,-2,IF(RASANTE!F186&lt;=PERALTE!$U$8,(10/(PERALTE!$U$8-PERALTE!$Q$8)*(RASANTE!F186-PERALTE!$Q$8)-2),IF(RASANTE!F186&lt;=PERALTE!$X$8,8,IF(RASANTE!F186&lt;=PERALTE!$AB$8,(10/(PERALTE!$X$8-PERALTE!$AB$8)*(RASANTE!F186-PERALTE!$AB$8)-2))))),IF(AND(AH!$H$12="Izquierda",RASANTE!F186&lt;=PERALTE!$AB$10),IF(RASANTE!F186&lt;=PERALTE!$S$10,-2,IF(RASANTE!F186&lt;=PERALTE!$U$10,(-6/(PERALTE!$U$10-PERALTE!$S$10)*(RASANTE!F186-PERALTE!$S$10)-2),IF(RASANTE!F186&lt;=PERALTE!$X$10,-8,IF(RASANTE!F186&lt;=PERALTE!$Z$10,(-6/(PERALTE!$X$10-PERALTE!$Z$10)*(RASANTE!F186-PERALTE!$Z$10)-2),IF(RASANTE!F186&lt;=PERALTE!$AB$10,-2))))),IF(AND(AH!$H$12="Derecha",RASANTE!F186&lt;=PERALTE!$AB$10),IF(RASANTE!F186&lt;=PERALTE!$Q$10,-2,IF(RASANTE!F186&lt;=PERALTE!$U$10,(10/(PERALTE!$U$10-PERALTE!$Q$10)*(RASANTE!F186-PERALTE!$Q$10)-2),IF(RASANTE!F186&lt;=PERALTE!$X$10,8,IF(RASANTE!F186&lt;=PERALTE!$AB$10,(10/(PERALTE!$X$10-PERALTE!$AB$10)*(RASANTE!F186-PERALTE!$AB$10)-2))))),IF(AND(AH!$H$14="Izquierda",RASANTE!F186&lt;=PERALTE!$AB$12),IF(RASANTE!F186&lt;=PERALTE!$S$12,-2,IF(RASANTE!F186&lt;=PERALTE!$U$12,(-6/(PERALTE!$U$12-PERALTE!$S$12)*(RASANTE!F186-PERALTE!$S$12)-2),IF(RASANTE!F186&lt;=PERALTE!$X$12,-8,IF(RASANTE!F186&lt;=PERALTE!$Z$12,(-6/(PERALTE!$X$12-PERALTE!$Z$12)*(RASANTE!F186-PERALTE!$Z$12)-2),IF(RASANTE!F186&lt;=PERALTE!$AB$12,-2))))),IF(AND(AH!$H$14="Derecha",RASANTE!F186&lt;=PERALTE!$AB$12),IF(RASANTE!F186&lt;=PERALTE!$Q$12,-2,IF(RASANTE!F186&lt;=PERALTE!$U$12,(10/(PERALTE!$U$12-PERALTE!$Q$12)*(RASANTE!F186-PERALTE!$Q$12)-2),IF(RASANTE!F186&lt;=PERALTE!$X$12,8,IF(RASANTE!F186&lt;=PERALTE!$AB$12,(10/(PERALTE!$X$12-PERALTE!$AB$12)*(RASANTE!F186-PERALTE!$AB$12)-2))))),IF(AND(AH!$H$16="Izquierda",RASANTE!F186&lt;=PERALTE!$AB$14),IF(RASANTE!F186&lt;=PERALTE!$S$14,-2,IF(RASANTE!F186&lt;=PERALTE!$U$14,(-6/(PERALTE!$U$14-PERALTE!$S$14)*(RASANTE!F186-PERALTE!$S$14)-2),IF(RASANTE!F186&lt;=PERALTE!$X$14,-8,IF(RASANTE!F186&lt;=PERALTE!$Z$14,(-6/(PERALTE!$X$14-PERALTE!$Z$14)*(RASANTE!F186-PERALTE!$Z$14)-2),IF(RASANTE!F186&lt;=PERALTE!$AB$14,-2))))),IF(AND(AH!$H$16="Derecha",RASANTE!F186&lt;=PERALTE!$AB$14),IF(RASANTE!F186&lt;=PERALTE!$Q$14,-2,IF(RASANTE!F186&lt;=PERALTE!$U$14,(10/(PERALTE!$U$14-PERALTE!$Q$14)*(RASANTE!F186-PERALTE!$Q$14)-2),IF(RASANTE!F186&lt;=PERALTE!$X$14,8,IF(RASANTE!F186&lt;=PERALTE!$AB$14,(10/(PERALTE!$X$14-PERALTE!$AB$14)*(RASANTE!F186-PERALTE!$AB$14)-2))))),IF(AND(AH!$H$18="Izquierda",RASANTE!F186&lt;=PERALTE!$AB$16),IF(RASANTE!F186&lt;=PERALTE!$S$16,-2,IF(RASANTE!F186&lt;=PERALTE!$U$16,(-6/(PERALTE!$U$16-PERALTE!$S$16)*(RASANTE!F186-PERALTE!$S$16)-2),IF(RASANTE!F186&lt;=PERALTE!$X$16,-8,IF(RASANTE!F186&lt;=PERALTE!$Z$16,(-6/(PERALTE!$X$16-PERALTE!$Z$16)*(RASANTE!F186-PERALTE!$Z$16)-2),IF(RASANTE!F186&lt;=PERALTE!$AB$16,-2))))),IF(AND(AH!$H$18="Derecha",RASANTE!F186&lt;=PERALTE!$AB$16),IF(RASANTE!F186&lt;=PERALTE!$Q$16,-2,IF(RASANTE!F186&lt;=PERALTE!$U$16,(10/(PERALTE!$U$16-PERALTE!$Q$16)*(RASANTE!F186-PERALTE!$Q$16)-2),IF(RASANTE!F186&lt;=PERALTE!$X$16,8,IF(RASANTE!F186&lt;=PERALTE!$AB$16,(10/(PERALTE!$X$16-PERALTE!$AB$16)*(RASANTE!F186-PERALTE!$AB$16)-2))))),IF(AND(AH!$H$20="Izquierda",RASANTE!F186&lt;=PERALTE!$AB$18),IF(RASANTE!F186&lt;=PERALTE!$S$18,-2,IF(RASANTE!F186&lt;=PERALTE!$U$18,(-6/(PERALTE!$U$18-PERALTE!$S$18)*(RASANTE!F186-PERALTE!$S$18)-2),IF(RASANTE!F186&lt;=PERALTE!$X$18,-8,IF(RASANTE!F186&lt;=PERALTE!$Z$18,(-6/(PERALTE!$X$18-PERALTE!$Z$18)*(RASANTE!F186-PERALTE!$Z$18)-2),IF(RASANTE!F186&lt;=PERALTE!$AB$18,-2))))),IF(AND(AH!$H$20="Derecha",RASANTE!F186&lt;=PERALTE!$AB$18),IF(RASANTE!F186&lt;=PERALTE!$Q$18,-2,IF(RASANTE!F186&lt;=PERALTE!$U$18,(10/(PERALTE!$U$18-PERALTE!$Q$18)*(RASANTE!F186-PERALTE!$Q$18)-2),IF(RASANTE!F186&lt;=PERALTE!$X$18,8,IF(RASANTE!F186&lt;=PERALTE!$AB$18,(10/(PERALTE!$X$18-PERALTE!$AB$18)*(RASANTE!F186-PERALTE!$AB$18)-2))))),IF(AND(AH!$H$24="Izquierda",RASANTE!F186&lt;=PERALTE!$AB$22),IF(RASANTE!F186&lt;=PERALTE!$S$22,-2,IF(RASANTE!F186&lt;=PERALTE!$U$22,(-6/(PERALTE!$U$22-PERALTE!$S$22)*(RASANTE!F186-PERALTE!$S$22)-2),IF(RASANTE!F186&lt;=PERALTE!$X$22,-8,IF(RASANTE!F186&lt;=PERALTE!$Z$22,(-6/(PERALTE!$X$22-PERALTE!$Z$22)*(RASANTE!F186-PERALTE!$Z$22)-2),IF(RASANTE!F186&lt;=PERALTE!$AB$22,-2))))),IF(AND(AH!$H$24="Derecha",RASANTE!F186&lt;=PERALTE!$AB$22),IF(RASANTE!F186&lt;=PERALTE!$Q$22,-2,IF(RASANTE!F186&lt;=PERALTE!$U$22,(10/(PERALTE!$U$22-PERALTE!$Q$22)*(RASANTE!F186-PERALTE!$Q$22)-2),IF(RASANTE!F186&lt;=PERALTE!$X$22,8,IF(RASANTE!F186&lt;=PERALTE!$AB$22,(10/(PERALTE!$X$22-PERALTE!$AB$22)*(RASANTE!F186-PERALTE!$AB$22)-2))))),IF(AND(AH!#REF!="Izquierda",RASANTE!F186&lt;=PERALTE!#REF!),IF(RASANTE!F186&lt;=PERALTE!#REF!,-2,IF(RASANTE!F186&lt;=PERALTE!#REF!,(-6/(PERALTE!#REF!-PERALTE!#REF!)*(RASANTE!F186-PERALTE!#REF!)-2),IF(RASANTE!F186&lt;=PERALTE!#REF!,-8,IF(RASANTE!F186&lt;=PERALTE!#REF!,(-6/(PERALTE!#REF!-PERALTE!#REF!)*(RASANTE!F186-PERALTE!#REF!)-2),IF(RASANTE!F186&lt;=PERALTE!#REF!,-2))))),IF(AND(AH!#REF!="Derecha",RASANTE!F186&lt;=PERALTE!#REF!),IF(RASANTE!F186&lt;=PERALTE!#REF!,-2,IF(RASANTE!F186&lt;=PERALTE!#REF!,(10/(PERALTE!#REF!-PERALTE!#REF!)*(RASANTE!F186-PERALTE!#REF!)-2),IF(RASANTE!F186&lt;=PERALTE!#REF!,8,IF(RASANTE!F186&lt;=PERALTE!#REF!,(10/(PERALTE!#REF!-PERALTE!#REF!)*(RASANTE!F186-PERALTE!#REF!)-2))))),IF(AND(AH!#REF!="Izquierda",RASANTE!F186&lt;=PERALTE!$AB$26),IF(RASANTE!F186&lt;=PERALTE!$S$26,-2,IF(RASANTE!F186&lt;=PERALTE!$U$26,(-6/(PERALTE!$U$26-PERALTE!$S$26)*(RASANTE!F186-PERALTE!$S$26)-2),IF(RASANTE!F186&lt;=PERALTE!$X$26,-8,IF(RASANTE!F186&lt;=PERALTE!$Z$26,(-6/(PERALTE!$X$26-PERALTE!$Z$26)*(RASANTE!F186-PERALTE!$Z$26)-2),IF(RASANTE!F186&lt;=PERALTE!$AB$26,-2))))),IF(AND(AH!#REF!="Derecha",RASANTE!F186&lt;=PERALTE!$AB$26),IF(RASANTE!F186&lt;=PERALTE!$Q$26,-2,IF(RASANTE!F186&lt;=PERALTE!$U$26,(10/(PERALTE!$U$26-PERALTE!$Q$26)*(RASANTE!F186-PERALTE!$Q$26)-2),IF(RASANTE!F186&lt;=PERALTE!$X$26,8,IF(RASANTE!F186&lt;=PERALTE!$AB$26,(10/(PERALTE!$X$26-PERALTE!$AB$26)*(RASANTE!F186-PERALTE!$AB$26)-2))))),IF(F186&lt;=PERALTE!#REF!,-2,"Abscisa fuera de la vía")))))))))))))))))))))</f>
        <v>-8</v>
      </c>
      <c r="I186" s="28">
        <f>+IF(AND(AH!$H$8="Derecha",RASANTE!F186&lt;=PERALTE!$AB$6),IF(RASANTE!F186&lt;=PERALTE!$S$6,-2,IF(RASANTE!F186&lt;=PERALTE!$U$6,(-6/(PERALTE!$U$6-PERALTE!$S$6)*(RASANTE!F186-PERALTE!$S$6)-2),IF(RASANTE!F186&lt;=PERALTE!$X$6,-8,IF(RASANTE!F186&lt;=PERALTE!$Z$6,(-6/(PERALTE!$X$6-PERALTE!$Z$6)*(RASANTE!F186-PERALTE!$Z$6)-2),IF(RASANTE!F186&lt;=PERALTE!$AB$6,-2))))),IF(AND(AH!$H$8="Izquierda",RASANTE!F186&lt;=PERALTE!$AB$6),IF(RASANTE!F186&lt;=PERALTE!$Q$6,-2,IF(RASANTE!F186&lt;=PERALTE!$U$6,(10/(PERALTE!$U$6-PERALTE!$Q$6)*(RASANTE!F186-PERALTE!$Q$6)-2),IF(RASANTE!F186&lt;=PERALTE!$X$6,8,IF(RASANTE!F186&lt;=PERALTE!$AB$6,(10/(PERALTE!$X$6-PERALTE!$AB$6)*(RASANTE!F186-PERALTE!$AB$6)-2))))),IF(AND(AH!$H$10="Derecha",RASANTE!F186&lt;=PERALTE!$AB$8),IF(RASANTE!F186&lt;=PERALTE!$S$8,-2,IF(RASANTE!F186&lt;=PERALTE!$U$8,(-6/(PERALTE!$U$8-PERALTE!$S$8)*(RASANTE!F186-PERALTE!$S$8)-2),IF(RASANTE!F186&lt;=PERALTE!$X$8,-8,IF(RASANTE!F186&lt;=PERALTE!$Z$8,(-6/(PERALTE!$X$8-PERALTE!$Z$8)*(RASANTE!F186-PERALTE!$Z$8)-2),IF(RASANTE!F186&lt;=PERALTE!$AB$8,-2))))),IF(AND(AH!$H$10="Izquierda",RASANTE!F186&lt;=PERALTE!$AB$8),IF(RASANTE!F186&lt;=PERALTE!$Q$8,-2,IF(RASANTE!F186&lt;=PERALTE!$U$8,(10/(PERALTE!$U$8-PERALTE!$Q$8)*(RASANTE!F186-PERALTE!$Q$8)-2),IF(RASANTE!F186&lt;=PERALTE!$X$8,8,IF(RASANTE!F186&lt;=PERALTE!$AB$8,(10/(PERALTE!$X$8-PERALTE!$AB$8)*(RASANTE!F186-PERALTE!$AB$8)-2))))),IF(AND(AH!$H$12="Derecha",RASANTE!F186&lt;=PERALTE!$AB$10),IF(RASANTE!F186&lt;=PERALTE!$S$10,-2,IF(RASANTE!F186&lt;=PERALTE!$U$10,(-6/(PERALTE!$U$10-PERALTE!$S$10)*(RASANTE!F186-PERALTE!$S$10)-2),IF(RASANTE!F186&lt;=PERALTE!$X$10,-8,IF(RASANTE!F186&lt;=PERALTE!$Z$10,(-6/(PERALTE!$X$10-PERALTE!$Z$10)*(RASANTE!F186-PERALTE!$Z$10)-2),IF(RASANTE!F186&lt;=PERALTE!$AB$10,-2))))),IF(AND(AH!$H$12="Izquierda",RASANTE!F186&lt;=PERALTE!$AB$10),IF(RASANTE!F186&lt;=PERALTE!$Q$10,-2,IF(RASANTE!F186&lt;=PERALTE!$U$10,(10/(PERALTE!$U$10-PERALTE!$Q$10)*(RASANTE!F186-PERALTE!$Q$10)-2),IF(RASANTE!F186&lt;=PERALTE!$X$10,8,IF(RASANTE!F186&lt;=PERALTE!$AB$10,(10/(PERALTE!$X$10-PERALTE!$AB$10)*(RASANTE!F186-PERALTE!$AB$10)-2))))),IF(AND(AH!$H$14="Derecha",RASANTE!F186&lt;=PERALTE!$AB$12),IF(RASANTE!F186&lt;=PERALTE!$S$12,-2,IF(RASANTE!F186&lt;=PERALTE!$U$12,(-6/(PERALTE!$U$12-PERALTE!$S$12)*(RASANTE!F186-PERALTE!$S$12)-2),IF(RASANTE!F186&lt;=PERALTE!$X$12,-8,IF(RASANTE!F186&lt;=PERALTE!$Z$12,(-6/(PERALTE!$X$12-PERALTE!$Z$12)*(RASANTE!F186-PERALTE!$Z$12)-2),IF(RASANTE!F186&lt;=PERALTE!$AB$12,-2))))),IF(AND(AH!$H$14="Izquierda",RASANTE!F186&lt;=PERALTE!$AB$12),IF(RASANTE!F186&lt;=PERALTE!$Q$12,-2,IF(RASANTE!F186&lt;=PERALTE!$U$12,(10/(PERALTE!$U$12-PERALTE!$Q$12)*(RASANTE!F186-PERALTE!$Q$12)-2),IF(RASANTE!F186&lt;=PERALTE!$X$12,8,IF(RASANTE!F186&lt;=PERALTE!$AB$12,(10/(PERALTE!$X$12-PERALTE!$AB$12)*(RASANTE!F186-PERALTE!$AB$12)-2))))),IF(AND(AH!$H$16="Derecha",RASANTE!F186&lt;=PERALTE!$AB$14),IF(RASANTE!F186&lt;=PERALTE!$S$14,-2,IF(RASANTE!F186&lt;=PERALTE!$U$14,(-6/(PERALTE!$U$14-PERALTE!$S$14)*(RASANTE!F186-PERALTE!$S$14)-2),IF(RASANTE!F186&lt;=PERALTE!$X$14,-8,IF(RASANTE!F186&lt;=PERALTE!$Z$14,(-6/(PERALTE!$X$14-PERALTE!$Z$14)*(RASANTE!F186-PERALTE!$Z$14)-2),IF(RASANTE!F186&lt;=PERALTE!$AB$14,-2))))),IF(AND(AH!$H$16="Izquierda",RASANTE!F186&lt;=PERALTE!$AB$14),IF(RASANTE!F186&lt;=PERALTE!$Q$14,-2,IF(RASANTE!F186&lt;=PERALTE!$U$14,(10/(PERALTE!$U$14-PERALTE!$Q$14)*(RASANTE!F186-PERALTE!$Q$14)-2),IF(RASANTE!F186&lt;=PERALTE!$X$14,8,IF(RASANTE!F186&lt;=PERALTE!$AB$14,(10/(PERALTE!$X$14-PERALTE!$AB$14)*(RASANTE!F186-PERALTE!$AB$14)-2))))),IF(AND(AH!$H$18="Derecha",RASANTE!F186&lt;=PERALTE!$AB$16),IF(RASANTE!F186&lt;=PERALTE!$S$16,-2,IF(RASANTE!F186&lt;=PERALTE!$U$16,(-6/(PERALTE!$U$16-PERALTE!$S$16)*(RASANTE!F186-PERALTE!$S$16)-2),IF(RASANTE!F186&lt;=PERALTE!$X$16,-8,IF(RASANTE!F186&lt;=PERALTE!$Z$16,(-6/(PERALTE!$X$16-PERALTE!$Z$16)*(RASANTE!F186-PERALTE!$Z$16)-2),IF(RASANTE!F186&lt;=PERALTE!$AB$16,-2))))),IF(AND(AH!$H$18="Izquierda",RASANTE!F186&lt;=PERALTE!$AB$16),IF(RASANTE!F186&lt;=PERALTE!$Q$16,-2,IF(RASANTE!F186&lt;=PERALTE!$U$16,(10/(PERALTE!$U$16-PERALTE!$Q$16)*(RASANTE!F186-PERALTE!$Q$16)-2),IF(RASANTE!F186&lt;=PERALTE!$X$16,8,IF(RASANTE!F186&lt;=PERALTE!$AB$16,(10/(PERALTE!$X$16-PERALTE!$AB$16)*(RASANTE!F186-PERALTE!$AB$16)-2))))),IF(AND(AH!$H$20="Derecha",RASANTE!F186&lt;=PERALTE!$AB$18),IF(RASANTE!F186&lt;=PERALTE!$S$18,-2,IF(RASANTE!F186&lt;=PERALTE!$U$18,(-6/(PERALTE!$U$18-PERALTE!$S$18)*(RASANTE!F186-PERALTE!$S$18)-2),IF(RASANTE!F186&lt;=PERALTE!$X$18,-8,IF(RASANTE!F186&lt;=PERALTE!$Z$18,(-6/(PERALTE!$X$18-PERALTE!$Z$18)*(RASANTE!F186-PERALTE!$Z$18)-2),IF(RASANTE!F186&lt;=PERALTE!$AB$18,-2))))),IF(AND(AH!$H$20="Izquierda",RASANTE!F186&lt;=PERALTE!$AB$18),IF(RASANTE!F186&lt;=PERALTE!$Q$18,-2,IF(RASANTE!F186&lt;=PERALTE!$U$18,(10/(PERALTE!$U$18-PERALTE!$Q$18)*(RASANTE!F186-PERALTE!$Q$18)-2),IF(RASANTE!F186&lt;=PERALTE!$X$18,8,IF(RASANTE!F186&lt;=PERALTE!$AB$18,(10/(PERALTE!$X$18-PERALTE!$AB$18)*(RASANTE!F186-PERALTE!$AB$18)-2))))),IF(AND(AH!$H$24="Derecha",RASANTE!F186&lt;=PERALTE!$AB$22),IF(RASANTE!F186&lt;=PERALTE!$S$22,-2,IF(RASANTE!F186&lt;=PERALTE!$U$22,(-6/(PERALTE!$U$22-PERALTE!$S$22)*(RASANTE!F186-PERALTE!$S$22)-2),IF(RASANTE!F186&lt;=PERALTE!$X$22,-8,IF(RASANTE!F186&lt;=PERALTE!$Z$22,(-6/(PERALTE!$X$22-PERALTE!$Z$22)*(RASANTE!F186-PERALTE!$Z$22)-2),IF(RASANTE!F186&lt;=PERALTE!$AB$22,-2))))),IF(AND(AH!$H$24="Izquierda",RASANTE!F186&lt;=PERALTE!$AB$22),IF(RASANTE!F186&lt;=PERALTE!$Q$22,-2,IF(RASANTE!F186&lt;=PERALTE!$U$22,(10/(PERALTE!$U$22-PERALTE!$Q$22)*(RASANTE!F186-PERALTE!$Q$22)-2),IF(RASANTE!F186&lt;=PERALTE!$X$22,8,IF(RASANTE!F186&lt;=PERALTE!$AB$22,(10/(PERALTE!$X$22-PERALTE!$AB$22)*(RASANTE!F186-PERALTE!$AB$22)-2))))),IF(AND(AH!#REF!="Derecha",RASANTE!F186&lt;=PERALTE!#REF!),IF(RASANTE!F186&lt;=PERALTE!#REF!,-2,IF(RASANTE!F186&lt;=PERALTE!#REF!,(-6/(PERALTE!#REF!-PERALTE!#REF!)*(RASANTE!F186-PERALTE!#REF!)-2),IF(RASANTE!F186&lt;=PERALTE!#REF!,-8,IF(RASANTE!F186&lt;=PERALTE!#REF!,(-6/(PERALTE!#REF!-PERALTE!#REF!)*(RASANTE!F186-PERALTE!#REF!)-2),IF(RASANTE!F186&lt;=PERALTE!#REF!,-2))))),IF(AND(AH!#REF!="Izquierda",RASANTE!F186&lt;=PERALTE!#REF!),IF(RASANTE!F186&lt;=PERALTE!#REF!,-2,IF(RASANTE!F186&lt;=PERALTE!#REF!,(10/(PERALTE!#REF!-PERALTE!#REF!)*(RASANTE!F186-PERALTE!#REF!)-2),IF(RASANTE!F186&lt;=PERALTE!#REF!,8,IF(RASANTE!F186&lt;=PERALTE!#REF!,(10/(PERALTE!#REF!-PERALTE!#REF!)*(RASANTE!F186-PERALTE!#REF!)-2))))),IF(AND(AH!#REF!="Derecha",RASANTE!F186&lt;=PERALTE!$AB$26),IF(RASANTE!F186&lt;=PERALTE!$S$26,-2,IF(RASANTE!F186&lt;=PERALTE!$U$26,(-6/(PERALTE!$U$26-PERALTE!$S$26)*(RASANTE!F186-PERALTE!$S$26)-2),IF(RASANTE!F186&lt;=PERALTE!$X$26,-8,IF(RASANTE!F186&lt;=PERALTE!$Z$26,(-6/(PERALTE!$X$26-PERALTE!$Z$26)*(RASANTE!F186-PERALTE!$Z$26)-2),IF(RASANTE!F186&lt;=PERALTE!$AB$26,-2))))),IF(AND(AH!#REF!="Izquierda",RASANTE!F186&lt;=PERALTE!$AB$26),IF(RASANTE!F186&lt;=PERALTE!$Q$26,-2,IF(RASANTE!F186&lt;=PERALTE!$U$26,(10/(PERALTE!$U$26-PERALTE!$Q$26)*(RASANTE!F186-PERALTE!$Q$26)-2),IF(RASANTE!F186&lt;=PERALTE!$X$26,8,IF(RASANTE!F186&lt;=PERALTE!$AB$26,(10/(PERALTE!$X$26-PERALTE!$AB$26)*(RASANTE!F186-PERALTE!$AB$26)-2))))),IF(F186&lt;=PERALTE!#REF!,-2,"Abscisa fuera de la vía")))))))))))))))))))))</f>
        <v>8</v>
      </c>
      <c r="J186" s="28">
        <f t="shared" si="6"/>
        <v>1617.3211380375928</v>
      </c>
      <c r="K186" s="28">
        <f>+IF(AND(AV!$S$6&lt;F186,F186&lt;=AV!$T$6),AV!$P$6*((AV!$S$6-RASANTE!F186)/(AV!$N$6))^2,IF(AND(AV!$T$6&lt;RASANTE!F186,F186&lt;AV!$U$6),AV!$P$6*((AV!$U$6-RASANTE!F186)/(AV!$O$6))^2,IF(AND(AV!$S$8&lt;F186,F186&lt;=AV!$T$8),AV!$P$8*((AV!$S$8-RASANTE!F186)/(AV!$N$8))^2,IF(AND(AV!$T$8&lt;RASANTE!F186,F186&lt;AV!$U$8),AV!$P$8*((AV!$U$8-RASANTE!F186)/(AV!$O$8))^2,IF(AND(AV!$S$10&lt;F186,F186&lt;=AV!$T$10),AV!$P$10*((AV!$S$10-RASANTE!F186)/(AV!$N$10))^2,IF(AND(AV!$T$10&lt;RASANTE!F186,F186&lt;AV!$U$10),AV!$P$10*((AV!$U$10-RASANTE!F186)/(AV!$O$10))^2,IF(AND(AV!$S$12&lt;F186,F186&lt;=AV!$T$12),AV!$P$12*((AV!$S$12-RASANTE!F186)/(AV!$N$12))^2,IF(AND(AV!$T$12&lt;RASANTE!F186,F186&lt;AV!$U$12),AV!$P$12*((AV!$U$12-RASANTE!F186)/(AV!$O$12))^2,IF(AND(AV!$S$14&lt;F186,F186&lt;=AV!$T$14),AV!$P$14*((AV!$S$14-RASANTE!F186)/(AV!$N$14))^2,IF(AND(AV!$T$14&lt;RASANTE!F186,F186&lt;AV!$U$14),AV!$P$14*((AV!$U$14-RASANTE!F186)/(AV!$O$14))^2,IF(AND(AV!$S$16&lt;F186,F186&lt;=AV!$T$16),AV!$P$16*((AV!$S$16-RASANTE!F186)/(AV!$N$16))^2,IF(AND(AV!$T$16&lt;RASANTE!F186,F186&lt;AV!$U$16),AV!$P$16*((AV!$U$16-RASANTE!F186)/(AV!$O$16))^2,IF(AND(AV!$S$18&lt;F186,F186&lt;=AV!$T$18),AV!$P$18*((AV!$S$18-RASANTE!F186)/(AV!$N$18))^2,IF(AND(AV!$T$18&lt;RASANTE!F186,F186&lt;AV!$U$18),AV!$P$18*((AV!$U$18-RASANTE!F186)/(AV!$O$18))^2,IF(AND(AV!$S$20&lt;F186,F186&lt;=AV!$T$20),AV!$P$20*((AV!$S$20-RASANTE!F186)/(AV!$N$20))^2,IF(AND(AV!$T$20&lt;RASANTE!F186,F186&lt;AV!$U$20),AV!$P$20*((AV!$U$20-RASANTE!F186)/(AV!$O$20))^2,IF(AND(AV!$S$22&lt;F186,F186&lt;=AV!$T$22),AV!$P$22*((AV!$S$22-RASANTE!F186)/(AV!$N$22))^2,IF(AND(AV!$T$22&lt;RASANTE!F186,F186&lt;AV!$U$22),AV!$P$22*((AV!$U$22-RASANTE!F186)/(AV!$O$22))^2,IF(AND(AV!$S$24&lt;F186,F186&lt;=AV!$T$24),AV!$P$24*((AV!$S$24-RASANTE!F186)/(AV!$N$24))^2,IF(AND(AV!$T$24&lt;RASANTE!F186,F186&lt;AV!$U$24),AV!$P$24*((AV!$U$24-RASANTE!F186)/(AV!$O$24))^2,0))))))))))))))))))))</f>
        <v>0</v>
      </c>
      <c r="L186" s="28">
        <f>+M186+H186%*PERALTE!$C$32</f>
        <v>1617.0411380375929</v>
      </c>
      <c r="M186" s="28">
        <f t="shared" si="7"/>
        <v>1617.3211380375928</v>
      </c>
      <c r="N186" s="28">
        <f>+M186+I186%*PERALTE!$C$32</f>
        <v>1617.6011380375928</v>
      </c>
      <c r="O186" s="92"/>
      <c r="P186" s="84"/>
      <c r="Q186" s="84"/>
      <c r="R186" s="84"/>
      <c r="S186" s="84"/>
      <c r="T186" s="84"/>
      <c r="U186" s="84"/>
      <c r="V186" s="84"/>
      <c r="W186" s="84"/>
      <c r="X186" s="84"/>
      <c r="Y186" s="84"/>
    </row>
    <row r="187" spans="1:25" ht="15.75" customHeight="1" x14ac:dyDescent="0.2">
      <c r="A187" s="90"/>
      <c r="B187" s="184">
        <f>AH!R16</f>
        <v>0.14583333333333334</v>
      </c>
      <c r="C187" s="185">
        <f>AH!F2</f>
        <v>5</v>
      </c>
      <c r="D187" s="186"/>
      <c r="E187" s="91"/>
      <c r="F187" s="34">
        <v>1160</v>
      </c>
      <c r="G187" s="88">
        <f>IF(F187&lt;=AV!$T$6,AV!$C$5,IF(RASANTE!F187&lt;=AV!$T$8,AV!$C$7,IF(RASANTE!F187&lt;=AV!$T$10,AV!$C$9,IF(RASANTE!F187&lt;=AV!$T$12,AV!$C$11,IF(RASANTE!F187&lt;=AV!$T$14,AV!$C$13,IF(RASANTE!F187&lt;=AV!$T$16,AV!$C$15, IF(RASANTE!F187&lt;=AV!$T$18,AV!$C$17,IF(RASANTE!F187&lt;=AV!$T$20,AV!$C$19,IF(RASANTE!F187&lt;=AV!$T$22,AV!$C$21,IF(RASANTE!F187&lt;=AV!$T$24,AV!$C$23,AV!$C$25))))))))))</f>
        <v>8.1999999999999993</v>
      </c>
      <c r="H187" s="28">
        <f>+IF(AND(AH!$H$8="Izquierda",RASANTE!F187&lt;=PERALTE!$AB$6),IF(RASANTE!F187&lt;=PERALTE!$S$6,-2,IF(RASANTE!F187&lt;=PERALTE!$U$6,(-6/(PERALTE!$U$6-PERALTE!$S$6)*(RASANTE!F187-PERALTE!$S$6)-2),IF(RASANTE!F187&lt;=PERALTE!$X$6,-8,IF(RASANTE!F187&lt;=PERALTE!$Z$6,(-6/(PERALTE!$X$6-PERALTE!$Z$6)*(RASANTE!F187-PERALTE!$Z$6)-2),IF(RASANTE!F187&lt;=PERALTE!$AB$6,-2))))),IF(AND(AH!$H$8="Derecha",RASANTE!F187&lt;=PERALTE!$AB$6),IF(RASANTE!F187&lt;=PERALTE!$Q$6,-2,IF(RASANTE!F187&lt;=PERALTE!$U$6,(10/(PERALTE!$U$6-PERALTE!$Q$6)*(RASANTE!F187-PERALTE!$Q$6)-2),IF(RASANTE!F187&lt;=PERALTE!$X$6,8,IF(RASANTE!F187&lt;=PERALTE!$AB$6,(10/(PERALTE!$X$6-PERALTE!$AB$6)*(RASANTE!F187-PERALTE!$AB$6)-2))))),IF(AND(AH!$H$10="Izquierda",RASANTE!F187&lt;=PERALTE!$AB$8),IF(RASANTE!F187&lt;=PERALTE!$S$8,-2,IF(RASANTE!F187&lt;=PERALTE!$U$8,(-6/(PERALTE!$U$8-PERALTE!$S$8)*(RASANTE!F187-PERALTE!$S$8)-2),IF(RASANTE!F187&lt;=PERALTE!$X$8,-8,IF(RASANTE!F187&lt;=PERALTE!$Z$8,(-6/(PERALTE!$X$8-PERALTE!$Z$8)*(RASANTE!F187-PERALTE!$Z$8)-2),IF(RASANTE!F187&lt;=PERALTE!$AB$8,-2))))),IF(AND(AH!$H$10="Derecha",RASANTE!F187&lt;=PERALTE!$AB$8),IF(RASANTE!F187&lt;=PERALTE!$Q$8,-2,IF(RASANTE!F187&lt;=PERALTE!$U$8,(10/(PERALTE!$U$8-PERALTE!$Q$8)*(RASANTE!F187-PERALTE!$Q$8)-2),IF(RASANTE!F187&lt;=PERALTE!$X$8,8,IF(RASANTE!F187&lt;=PERALTE!$AB$8,(10/(PERALTE!$X$8-PERALTE!$AB$8)*(RASANTE!F187-PERALTE!$AB$8)-2))))),IF(AND(AH!$H$12="Izquierda",RASANTE!F187&lt;=PERALTE!$AB$10),IF(RASANTE!F187&lt;=PERALTE!$S$10,-2,IF(RASANTE!F187&lt;=PERALTE!$U$10,(-6/(PERALTE!$U$10-PERALTE!$S$10)*(RASANTE!F187-PERALTE!$S$10)-2),IF(RASANTE!F187&lt;=PERALTE!$X$10,-8,IF(RASANTE!F187&lt;=PERALTE!$Z$10,(-6/(PERALTE!$X$10-PERALTE!$Z$10)*(RASANTE!F187-PERALTE!$Z$10)-2),IF(RASANTE!F187&lt;=PERALTE!$AB$10,-2))))),IF(AND(AH!$H$12="Derecha",RASANTE!F187&lt;=PERALTE!$AB$10),IF(RASANTE!F187&lt;=PERALTE!$Q$10,-2,IF(RASANTE!F187&lt;=PERALTE!$U$10,(10/(PERALTE!$U$10-PERALTE!$Q$10)*(RASANTE!F187-PERALTE!$Q$10)-2),IF(RASANTE!F187&lt;=PERALTE!$X$10,8,IF(RASANTE!F187&lt;=PERALTE!$AB$10,(10/(PERALTE!$X$10-PERALTE!$AB$10)*(RASANTE!F187-PERALTE!$AB$10)-2))))),IF(AND(AH!$H$14="Izquierda",RASANTE!F187&lt;=PERALTE!$AB$12),IF(RASANTE!F187&lt;=PERALTE!$S$12,-2,IF(RASANTE!F187&lt;=PERALTE!$U$12,(-6/(PERALTE!$U$12-PERALTE!$S$12)*(RASANTE!F187-PERALTE!$S$12)-2),IF(RASANTE!F187&lt;=PERALTE!$X$12,-8,IF(RASANTE!F187&lt;=PERALTE!$Z$12,(-6/(PERALTE!$X$12-PERALTE!$Z$12)*(RASANTE!F187-PERALTE!$Z$12)-2),IF(RASANTE!F187&lt;=PERALTE!$AB$12,-2))))),IF(AND(AH!$H$14="Derecha",RASANTE!F187&lt;=PERALTE!$AB$12),IF(RASANTE!F187&lt;=PERALTE!$Q$12,-2,IF(RASANTE!F187&lt;=PERALTE!$U$12,(10/(PERALTE!$U$12-PERALTE!$Q$12)*(RASANTE!F187-PERALTE!$Q$12)-2),IF(RASANTE!F187&lt;=PERALTE!$X$12,8,IF(RASANTE!F187&lt;=PERALTE!$AB$12,(10/(PERALTE!$X$12-PERALTE!$AB$12)*(RASANTE!F187-PERALTE!$AB$12)-2))))),IF(AND(AH!$H$16="Izquierda",RASANTE!F187&lt;=PERALTE!$AB$14),IF(RASANTE!F187&lt;=PERALTE!$S$14,-2,IF(RASANTE!F187&lt;=PERALTE!$U$14,(-6/(PERALTE!$U$14-PERALTE!$S$14)*(RASANTE!F187-PERALTE!$S$14)-2),IF(RASANTE!F187&lt;=PERALTE!$X$14,-8,IF(RASANTE!F187&lt;=PERALTE!$Z$14,(-6/(PERALTE!$X$14-PERALTE!$Z$14)*(RASANTE!F187-PERALTE!$Z$14)-2),IF(RASANTE!F187&lt;=PERALTE!$AB$14,-2))))),IF(AND(AH!$H$16="Derecha",RASANTE!F187&lt;=PERALTE!$AB$14),IF(RASANTE!F187&lt;=PERALTE!$Q$14,-2,IF(RASANTE!F187&lt;=PERALTE!$U$14,(10/(PERALTE!$U$14-PERALTE!$Q$14)*(RASANTE!F187-PERALTE!$Q$14)-2),IF(RASANTE!F187&lt;=PERALTE!$X$14,8,IF(RASANTE!F187&lt;=PERALTE!$AB$14,(10/(PERALTE!$X$14-PERALTE!$AB$14)*(RASANTE!F187-PERALTE!$AB$14)-2))))),IF(AND(AH!$H$18="Izquierda",RASANTE!F187&lt;=PERALTE!$AB$16),IF(RASANTE!F187&lt;=PERALTE!$S$16,-2,IF(RASANTE!F187&lt;=PERALTE!$U$16,(-6/(PERALTE!$U$16-PERALTE!$S$16)*(RASANTE!F187-PERALTE!$S$16)-2),IF(RASANTE!F187&lt;=PERALTE!$X$16,-8,IF(RASANTE!F187&lt;=PERALTE!$Z$16,(-6/(PERALTE!$X$16-PERALTE!$Z$16)*(RASANTE!F187-PERALTE!$Z$16)-2),IF(RASANTE!F187&lt;=PERALTE!$AB$16,-2))))),IF(AND(AH!$H$18="Derecha",RASANTE!F187&lt;=PERALTE!$AB$16),IF(RASANTE!F187&lt;=PERALTE!$Q$16,-2,IF(RASANTE!F187&lt;=PERALTE!$U$16,(10/(PERALTE!$U$16-PERALTE!$Q$16)*(RASANTE!F187-PERALTE!$Q$16)-2),IF(RASANTE!F187&lt;=PERALTE!$X$16,8,IF(RASANTE!F187&lt;=PERALTE!$AB$16,(10/(PERALTE!$X$16-PERALTE!$AB$16)*(RASANTE!F187-PERALTE!$AB$16)-2))))),IF(AND(AH!$H$20="Izquierda",RASANTE!F187&lt;=PERALTE!$AB$18),IF(RASANTE!F187&lt;=PERALTE!$S$18,-2,IF(RASANTE!F187&lt;=PERALTE!$U$18,(-6/(PERALTE!$U$18-PERALTE!$S$18)*(RASANTE!F187-PERALTE!$S$18)-2),IF(RASANTE!F187&lt;=PERALTE!$X$18,-8,IF(RASANTE!F187&lt;=PERALTE!$Z$18,(-6/(PERALTE!$X$18-PERALTE!$Z$18)*(RASANTE!F187-PERALTE!$Z$18)-2),IF(RASANTE!F187&lt;=PERALTE!$AB$18,-2))))),IF(AND(AH!$H$20="Derecha",RASANTE!F187&lt;=PERALTE!$AB$18),IF(RASANTE!F187&lt;=PERALTE!$Q$18,-2,IF(RASANTE!F187&lt;=PERALTE!$U$18,(10/(PERALTE!$U$18-PERALTE!$Q$18)*(RASANTE!F187-PERALTE!$Q$18)-2),IF(RASANTE!F187&lt;=PERALTE!$X$18,8,IF(RASANTE!F187&lt;=PERALTE!$AB$18,(10/(PERALTE!$X$18-PERALTE!$AB$18)*(RASANTE!F187-PERALTE!$AB$18)-2))))),IF(AND(AH!$H$24="Izquierda",RASANTE!F187&lt;=PERALTE!$AB$22),IF(RASANTE!F187&lt;=PERALTE!$S$22,-2,IF(RASANTE!F187&lt;=PERALTE!$U$22,(-6/(PERALTE!$U$22-PERALTE!$S$22)*(RASANTE!F187-PERALTE!$S$22)-2),IF(RASANTE!F187&lt;=PERALTE!$X$22,-8,IF(RASANTE!F187&lt;=PERALTE!$Z$22,(-6/(PERALTE!$X$22-PERALTE!$Z$22)*(RASANTE!F187-PERALTE!$Z$22)-2),IF(RASANTE!F187&lt;=PERALTE!$AB$22,-2))))),IF(AND(AH!$H$24="Derecha",RASANTE!F187&lt;=PERALTE!$AB$22),IF(RASANTE!F187&lt;=PERALTE!$Q$22,-2,IF(RASANTE!F187&lt;=PERALTE!$U$22,(10/(PERALTE!$U$22-PERALTE!$Q$22)*(RASANTE!F187-PERALTE!$Q$22)-2),IF(RASANTE!F187&lt;=PERALTE!$X$22,8,IF(RASANTE!F187&lt;=PERALTE!$AB$22,(10/(PERALTE!$X$22-PERALTE!$AB$22)*(RASANTE!F187-PERALTE!$AB$22)-2))))),IF(AND(AH!#REF!="Izquierda",RASANTE!F187&lt;=PERALTE!#REF!),IF(RASANTE!F187&lt;=PERALTE!#REF!,-2,IF(RASANTE!F187&lt;=PERALTE!#REF!,(-6/(PERALTE!#REF!-PERALTE!#REF!)*(RASANTE!F187-PERALTE!#REF!)-2),IF(RASANTE!F187&lt;=PERALTE!#REF!,-8,IF(RASANTE!F187&lt;=PERALTE!#REF!,(-6/(PERALTE!#REF!-PERALTE!#REF!)*(RASANTE!F187-PERALTE!#REF!)-2),IF(RASANTE!F187&lt;=PERALTE!#REF!,-2))))),IF(AND(AH!#REF!="Derecha",RASANTE!F187&lt;=PERALTE!#REF!),IF(RASANTE!F187&lt;=PERALTE!#REF!,-2,IF(RASANTE!F187&lt;=PERALTE!#REF!,(10/(PERALTE!#REF!-PERALTE!#REF!)*(RASANTE!F187-PERALTE!#REF!)-2),IF(RASANTE!F187&lt;=PERALTE!#REF!,8,IF(RASANTE!F187&lt;=PERALTE!#REF!,(10/(PERALTE!#REF!-PERALTE!#REF!)*(RASANTE!F187-PERALTE!#REF!)-2))))),IF(AND(AH!#REF!="Izquierda",RASANTE!F187&lt;=PERALTE!$AB$26),IF(RASANTE!F187&lt;=PERALTE!$S$26,-2,IF(RASANTE!F187&lt;=PERALTE!$U$26,(-6/(PERALTE!$U$26-PERALTE!$S$26)*(RASANTE!F187-PERALTE!$S$26)-2),IF(RASANTE!F187&lt;=PERALTE!$X$26,-8,IF(RASANTE!F187&lt;=PERALTE!$Z$26,(-6/(PERALTE!$X$26-PERALTE!$Z$26)*(RASANTE!F187-PERALTE!$Z$26)-2),IF(RASANTE!F187&lt;=PERALTE!$AB$26,-2))))),IF(AND(AH!#REF!="Derecha",RASANTE!F187&lt;=PERALTE!$AB$26),IF(RASANTE!F187&lt;=PERALTE!$Q$26,-2,IF(RASANTE!F187&lt;=PERALTE!$U$26,(10/(PERALTE!$U$26-PERALTE!$Q$26)*(RASANTE!F187-PERALTE!$Q$26)-2),IF(RASANTE!F187&lt;=PERALTE!$X$26,8,IF(RASANTE!F187&lt;=PERALTE!$AB$26,(10/(PERALTE!$X$26-PERALTE!$AB$26)*(RASANTE!F187-PERALTE!$AB$26)-2))))),IF(F187&lt;=PERALTE!#REF!,-2,"Abscisa fuera de la vía")))))))))))))))))))))</f>
        <v>-8</v>
      </c>
      <c r="I187" s="28">
        <f>+IF(AND(AH!$H$8="Derecha",RASANTE!F187&lt;=PERALTE!$AB$6),IF(RASANTE!F187&lt;=PERALTE!$S$6,-2,IF(RASANTE!F187&lt;=PERALTE!$U$6,(-6/(PERALTE!$U$6-PERALTE!$S$6)*(RASANTE!F187-PERALTE!$S$6)-2),IF(RASANTE!F187&lt;=PERALTE!$X$6,-8,IF(RASANTE!F187&lt;=PERALTE!$Z$6,(-6/(PERALTE!$X$6-PERALTE!$Z$6)*(RASANTE!F187-PERALTE!$Z$6)-2),IF(RASANTE!F187&lt;=PERALTE!$AB$6,-2))))),IF(AND(AH!$H$8="Izquierda",RASANTE!F187&lt;=PERALTE!$AB$6),IF(RASANTE!F187&lt;=PERALTE!$Q$6,-2,IF(RASANTE!F187&lt;=PERALTE!$U$6,(10/(PERALTE!$U$6-PERALTE!$Q$6)*(RASANTE!F187-PERALTE!$Q$6)-2),IF(RASANTE!F187&lt;=PERALTE!$X$6,8,IF(RASANTE!F187&lt;=PERALTE!$AB$6,(10/(PERALTE!$X$6-PERALTE!$AB$6)*(RASANTE!F187-PERALTE!$AB$6)-2))))),IF(AND(AH!$H$10="Derecha",RASANTE!F187&lt;=PERALTE!$AB$8),IF(RASANTE!F187&lt;=PERALTE!$S$8,-2,IF(RASANTE!F187&lt;=PERALTE!$U$8,(-6/(PERALTE!$U$8-PERALTE!$S$8)*(RASANTE!F187-PERALTE!$S$8)-2),IF(RASANTE!F187&lt;=PERALTE!$X$8,-8,IF(RASANTE!F187&lt;=PERALTE!$Z$8,(-6/(PERALTE!$X$8-PERALTE!$Z$8)*(RASANTE!F187-PERALTE!$Z$8)-2),IF(RASANTE!F187&lt;=PERALTE!$AB$8,-2))))),IF(AND(AH!$H$10="Izquierda",RASANTE!F187&lt;=PERALTE!$AB$8),IF(RASANTE!F187&lt;=PERALTE!$Q$8,-2,IF(RASANTE!F187&lt;=PERALTE!$U$8,(10/(PERALTE!$U$8-PERALTE!$Q$8)*(RASANTE!F187-PERALTE!$Q$8)-2),IF(RASANTE!F187&lt;=PERALTE!$X$8,8,IF(RASANTE!F187&lt;=PERALTE!$AB$8,(10/(PERALTE!$X$8-PERALTE!$AB$8)*(RASANTE!F187-PERALTE!$AB$8)-2))))),IF(AND(AH!$H$12="Derecha",RASANTE!F187&lt;=PERALTE!$AB$10),IF(RASANTE!F187&lt;=PERALTE!$S$10,-2,IF(RASANTE!F187&lt;=PERALTE!$U$10,(-6/(PERALTE!$U$10-PERALTE!$S$10)*(RASANTE!F187-PERALTE!$S$10)-2),IF(RASANTE!F187&lt;=PERALTE!$X$10,-8,IF(RASANTE!F187&lt;=PERALTE!$Z$10,(-6/(PERALTE!$X$10-PERALTE!$Z$10)*(RASANTE!F187-PERALTE!$Z$10)-2),IF(RASANTE!F187&lt;=PERALTE!$AB$10,-2))))),IF(AND(AH!$H$12="Izquierda",RASANTE!F187&lt;=PERALTE!$AB$10),IF(RASANTE!F187&lt;=PERALTE!$Q$10,-2,IF(RASANTE!F187&lt;=PERALTE!$U$10,(10/(PERALTE!$U$10-PERALTE!$Q$10)*(RASANTE!F187-PERALTE!$Q$10)-2),IF(RASANTE!F187&lt;=PERALTE!$X$10,8,IF(RASANTE!F187&lt;=PERALTE!$AB$10,(10/(PERALTE!$X$10-PERALTE!$AB$10)*(RASANTE!F187-PERALTE!$AB$10)-2))))),IF(AND(AH!$H$14="Derecha",RASANTE!F187&lt;=PERALTE!$AB$12),IF(RASANTE!F187&lt;=PERALTE!$S$12,-2,IF(RASANTE!F187&lt;=PERALTE!$U$12,(-6/(PERALTE!$U$12-PERALTE!$S$12)*(RASANTE!F187-PERALTE!$S$12)-2),IF(RASANTE!F187&lt;=PERALTE!$X$12,-8,IF(RASANTE!F187&lt;=PERALTE!$Z$12,(-6/(PERALTE!$X$12-PERALTE!$Z$12)*(RASANTE!F187-PERALTE!$Z$12)-2),IF(RASANTE!F187&lt;=PERALTE!$AB$12,-2))))),IF(AND(AH!$H$14="Izquierda",RASANTE!F187&lt;=PERALTE!$AB$12),IF(RASANTE!F187&lt;=PERALTE!$Q$12,-2,IF(RASANTE!F187&lt;=PERALTE!$U$12,(10/(PERALTE!$U$12-PERALTE!$Q$12)*(RASANTE!F187-PERALTE!$Q$12)-2),IF(RASANTE!F187&lt;=PERALTE!$X$12,8,IF(RASANTE!F187&lt;=PERALTE!$AB$12,(10/(PERALTE!$X$12-PERALTE!$AB$12)*(RASANTE!F187-PERALTE!$AB$12)-2))))),IF(AND(AH!$H$16="Derecha",RASANTE!F187&lt;=PERALTE!$AB$14),IF(RASANTE!F187&lt;=PERALTE!$S$14,-2,IF(RASANTE!F187&lt;=PERALTE!$U$14,(-6/(PERALTE!$U$14-PERALTE!$S$14)*(RASANTE!F187-PERALTE!$S$14)-2),IF(RASANTE!F187&lt;=PERALTE!$X$14,-8,IF(RASANTE!F187&lt;=PERALTE!$Z$14,(-6/(PERALTE!$X$14-PERALTE!$Z$14)*(RASANTE!F187-PERALTE!$Z$14)-2),IF(RASANTE!F187&lt;=PERALTE!$AB$14,-2))))),IF(AND(AH!$H$16="Izquierda",RASANTE!F187&lt;=PERALTE!$AB$14),IF(RASANTE!F187&lt;=PERALTE!$Q$14,-2,IF(RASANTE!F187&lt;=PERALTE!$U$14,(10/(PERALTE!$U$14-PERALTE!$Q$14)*(RASANTE!F187-PERALTE!$Q$14)-2),IF(RASANTE!F187&lt;=PERALTE!$X$14,8,IF(RASANTE!F187&lt;=PERALTE!$AB$14,(10/(PERALTE!$X$14-PERALTE!$AB$14)*(RASANTE!F187-PERALTE!$AB$14)-2))))),IF(AND(AH!$H$18="Derecha",RASANTE!F187&lt;=PERALTE!$AB$16),IF(RASANTE!F187&lt;=PERALTE!$S$16,-2,IF(RASANTE!F187&lt;=PERALTE!$U$16,(-6/(PERALTE!$U$16-PERALTE!$S$16)*(RASANTE!F187-PERALTE!$S$16)-2),IF(RASANTE!F187&lt;=PERALTE!$X$16,-8,IF(RASANTE!F187&lt;=PERALTE!$Z$16,(-6/(PERALTE!$X$16-PERALTE!$Z$16)*(RASANTE!F187-PERALTE!$Z$16)-2),IF(RASANTE!F187&lt;=PERALTE!$AB$16,-2))))),IF(AND(AH!$H$18="Izquierda",RASANTE!F187&lt;=PERALTE!$AB$16),IF(RASANTE!F187&lt;=PERALTE!$Q$16,-2,IF(RASANTE!F187&lt;=PERALTE!$U$16,(10/(PERALTE!$U$16-PERALTE!$Q$16)*(RASANTE!F187-PERALTE!$Q$16)-2),IF(RASANTE!F187&lt;=PERALTE!$X$16,8,IF(RASANTE!F187&lt;=PERALTE!$AB$16,(10/(PERALTE!$X$16-PERALTE!$AB$16)*(RASANTE!F187-PERALTE!$AB$16)-2))))),IF(AND(AH!$H$20="Derecha",RASANTE!F187&lt;=PERALTE!$AB$18),IF(RASANTE!F187&lt;=PERALTE!$S$18,-2,IF(RASANTE!F187&lt;=PERALTE!$U$18,(-6/(PERALTE!$U$18-PERALTE!$S$18)*(RASANTE!F187-PERALTE!$S$18)-2),IF(RASANTE!F187&lt;=PERALTE!$X$18,-8,IF(RASANTE!F187&lt;=PERALTE!$Z$18,(-6/(PERALTE!$X$18-PERALTE!$Z$18)*(RASANTE!F187-PERALTE!$Z$18)-2),IF(RASANTE!F187&lt;=PERALTE!$AB$18,-2))))),IF(AND(AH!$H$20="Izquierda",RASANTE!F187&lt;=PERALTE!$AB$18),IF(RASANTE!F187&lt;=PERALTE!$Q$18,-2,IF(RASANTE!F187&lt;=PERALTE!$U$18,(10/(PERALTE!$U$18-PERALTE!$Q$18)*(RASANTE!F187-PERALTE!$Q$18)-2),IF(RASANTE!F187&lt;=PERALTE!$X$18,8,IF(RASANTE!F187&lt;=PERALTE!$AB$18,(10/(PERALTE!$X$18-PERALTE!$AB$18)*(RASANTE!F187-PERALTE!$AB$18)-2))))),IF(AND(AH!$H$24="Derecha",RASANTE!F187&lt;=PERALTE!$AB$22),IF(RASANTE!F187&lt;=PERALTE!$S$22,-2,IF(RASANTE!F187&lt;=PERALTE!$U$22,(-6/(PERALTE!$U$22-PERALTE!$S$22)*(RASANTE!F187-PERALTE!$S$22)-2),IF(RASANTE!F187&lt;=PERALTE!$X$22,-8,IF(RASANTE!F187&lt;=PERALTE!$Z$22,(-6/(PERALTE!$X$22-PERALTE!$Z$22)*(RASANTE!F187-PERALTE!$Z$22)-2),IF(RASANTE!F187&lt;=PERALTE!$AB$22,-2))))),IF(AND(AH!$H$24="Izquierda",RASANTE!F187&lt;=PERALTE!$AB$22),IF(RASANTE!F187&lt;=PERALTE!$Q$22,-2,IF(RASANTE!F187&lt;=PERALTE!$U$22,(10/(PERALTE!$U$22-PERALTE!$Q$22)*(RASANTE!F187-PERALTE!$Q$22)-2),IF(RASANTE!F187&lt;=PERALTE!$X$22,8,IF(RASANTE!F187&lt;=PERALTE!$AB$22,(10/(PERALTE!$X$22-PERALTE!$AB$22)*(RASANTE!F187-PERALTE!$AB$22)-2))))),IF(AND(AH!#REF!="Derecha",RASANTE!F187&lt;=PERALTE!#REF!),IF(RASANTE!F187&lt;=PERALTE!#REF!,-2,IF(RASANTE!F187&lt;=PERALTE!#REF!,(-6/(PERALTE!#REF!-PERALTE!#REF!)*(RASANTE!F187-PERALTE!#REF!)-2),IF(RASANTE!F187&lt;=PERALTE!#REF!,-8,IF(RASANTE!F187&lt;=PERALTE!#REF!,(-6/(PERALTE!#REF!-PERALTE!#REF!)*(RASANTE!F187-PERALTE!#REF!)-2),IF(RASANTE!F187&lt;=PERALTE!#REF!,-2))))),IF(AND(AH!#REF!="Izquierda",RASANTE!F187&lt;=PERALTE!#REF!),IF(RASANTE!F187&lt;=PERALTE!#REF!,-2,IF(RASANTE!F187&lt;=PERALTE!#REF!,(10/(PERALTE!#REF!-PERALTE!#REF!)*(RASANTE!F187-PERALTE!#REF!)-2),IF(RASANTE!F187&lt;=PERALTE!#REF!,8,IF(RASANTE!F187&lt;=PERALTE!#REF!,(10/(PERALTE!#REF!-PERALTE!#REF!)*(RASANTE!F187-PERALTE!#REF!)-2))))),IF(AND(AH!#REF!="Derecha",RASANTE!F187&lt;=PERALTE!$AB$26),IF(RASANTE!F187&lt;=PERALTE!$S$26,-2,IF(RASANTE!F187&lt;=PERALTE!$U$26,(-6/(PERALTE!$U$26-PERALTE!$S$26)*(RASANTE!F187-PERALTE!$S$26)-2),IF(RASANTE!F187&lt;=PERALTE!$X$26,-8,IF(RASANTE!F187&lt;=PERALTE!$Z$26,(-6/(PERALTE!$X$26-PERALTE!$Z$26)*(RASANTE!F187-PERALTE!$Z$26)-2),IF(RASANTE!F187&lt;=PERALTE!$AB$26,-2))))),IF(AND(AH!#REF!="Izquierda",RASANTE!F187&lt;=PERALTE!$AB$26),IF(RASANTE!F187&lt;=PERALTE!$Q$26,-2,IF(RASANTE!F187&lt;=PERALTE!$U$26,(10/(PERALTE!$U$26-PERALTE!$Q$26)*(RASANTE!F187-PERALTE!$Q$26)-2),IF(RASANTE!F187&lt;=PERALTE!$X$26,8,IF(RASANTE!F187&lt;=PERALTE!$AB$26,(10/(PERALTE!$X$26-PERALTE!$AB$26)*(RASANTE!F187-PERALTE!$AB$26)-2))))),IF(F187&lt;=PERALTE!#REF!,-2,"Abscisa fuera de la vía")))))))))))))))))))))</f>
        <v>8</v>
      </c>
      <c r="J187" s="28">
        <f t="shared" si="6"/>
        <v>1618.1411380375928</v>
      </c>
      <c r="K187" s="28">
        <f>+IF(AND(AV!$S$6&lt;F187,F187&lt;=AV!$T$6),AV!$P$6*((AV!$S$6-RASANTE!F187)/(AV!$N$6))^2,IF(AND(AV!$T$6&lt;RASANTE!F187,F187&lt;AV!$U$6),AV!$P$6*((AV!$U$6-RASANTE!F187)/(AV!$O$6))^2,IF(AND(AV!$S$8&lt;F187,F187&lt;=AV!$T$8),AV!$P$8*((AV!$S$8-RASANTE!F187)/(AV!$N$8))^2,IF(AND(AV!$T$8&lt;RASANTE!F187,F187&lt;AV!$U$8),AV!$P$8*((AV!$U$8-RASANTE!F187)/(AV!$O$8))^2,IF(AND(AV!$S$10&lt;F187,F187&lt;=AV!$T$10),AV!$P$10*((AV!$S$10-RASANTE!F187)/(AV!$N$10))^2,IF(AND(AV!$T$10&lt;RASANTE!F187,F187&lt;AV!$U$10),AV!$P$10*((AV!$U$10-RASANTE!F187)/(AV!$O$10))^2,IF(AND(AV!$S$12&lt;F187,F187&lt;=AV!$T$12),AV!$P$12*((AV!$S$12-RASANTE!F187)/(AV!$N$12))^2,IF(AND(AV!$T$12&lt;RASANTE!F187,F187&lt;AV!$U$12),AV!$P$12*((AV!$U$12-RASANTE!F187)/(AV!$O$12))^2,IF(AND(AV!$S$14&lt;F187,F187&lt;=AV!$T$14),AV!$P$14*((AV!$S$14-RASANTE!F187)/(AV!$N$14))^2,IF(AND(AV!$T$14&lt;RASANTE!F187,F187&lt;AV!$U$14),AV!$P$14*((AV!$U$14-RASANTE!F187)/(AV!$O$14))^2,IF(AND(AV!$S$16&lt;F187,F187&lt;=AV!$T$16),AV!$P$16*((AV!$S$16-RASANTE!F187)/(AV!$N$16))^2,IF(AND(AV!$T$16&lt;RASANTE!F187,F187&lt;AV!$U$16),AV!$P$16*((AV!$U$16-RASANTE!F187)/(AV!$O$16))^2,IF(AND(AV!$S$18&lt;F187,F187&lt;=AV!$T$18),AV!$P$18*((AV!$S$18-RASANTE!F187)/(AV!$N$18))^2,IF(AND(AV!$T$18&lt;RASANTE!F187,F187&lt;AV!$U$18),AV!$P$18*((AV!$U$18-RASANTE!F187)/(AV!$O$18))^2,IF(AND(AV!$S$20&lt;F187,F187&lt;=AV!$T$20),AV!$P$20*((AV!$S$20-RASANTE!F187)/(AV!$N$20))^2,IF(AND(AV!$T$20&lt;RASANTE!F187,F187&lt;AV!$U$20),AV!$P$20*((AV!$U$20-RASANTE!F187)/(AV!$O$20))^2,IF(AND(AV!$S$22&lt;F187,F187&lt;=AV!$T$22),AV!$P$22*((AV!$S$22-RASANTE!F187)/(AV!$N$22))^2,IF(AND(AV!$T$22&lt;RASANTE!F187,F187&lt;AV!$U$22),AV!$P$22*((AV!$U$22-RASANTE!F187)/(AV!$O$22))^2,IF(AND(AV!$S$24&lt;F187,F187&lt;=AV!$T$24),AV!$P$24*((AV!$S$24-RASANTE!F187)/(AV!$N$24))^2,IF(AND(AV!$T$24&lt;RASANTE!F187,F187&lt;AV!$U$24),AV!$P$24*((AV!$U$24-RASANTE!F187)/(AV!$O$24))^2,0))))))))))))))))))))</f>
        <v>0</v>
      </c>
      <c r="L187" s="28">
        <f>+M187+H187%*PERALTE!$C$32</f>
        <v>1617.8611380375928</v>
      </c>
      <c r="M187" s="28">
        <f t="shared" si="7"/>
        <v>1618.1411380375928</v>
      </c>
      <c r="N187" s="28">
        <f>+M187+I187%*PERALTE!$C$32</f>
        <v>1618.4211380375928</v>
      </c>
      <c r="O187" s="92"/>
      <c r="P187" s="84"/>
      <c r="Q187" s="84"/>
      <c r="R187" s="84"/>
      <c r="S187" s="84"/>
      <c r="T187" s="84"/>
      <c r="U187" s="84"/>
      <c r="V187" s="84"/>
      <c r="W187" s="84"/>
      <c r="X187" s="84"/>
      <c r="Y187" s="84"/>
    </row>
    <row r="188" spans="1:25" ht="15.75" customHeight="1" x14ac:dyDescent="0.2">
      <c r="A188" s="90"/>
      <c r="B188" s="187">
        <f>AH!S16</f>
        <v>81.863841334485116</v>
      </c>
      <c r="C188" s="188">
        <f>PERALTE!C34</f>
        <v>8</v>
      </c>
      <c r="D188" s="186"/>
      <c r="E188" s="91"/>
      <c r="F188" s="34">
        <v>1170</v>
      </c>
      <c r="G188" s="88">
        <f>IF(F188&lt;=AV!$T$6,AV!$C$5,IF(RASANTE!F188&lt;=AV!$T$8,AV!$C$7,IF(RASANTE!F188&lt;=AV!$T$10,AV!$C$9,IF(RASANTE!F188&lt;=AV!$T$12,AV!$C$11,IF(RASANTE!F188&lt;=AV!$T$14,AV!$C$13,IF(RASANTE!F188&lt;=AV!$T$16,AV!$C$15, IF(RASANTE!F188&lt;=AV!$T$18,AV!$C$17,IF(RASANTE!F188&lt;=AV!$T$20,AV!$C$19,IF(RASANTE!F188&lt;=AV!$T$22,AV!$C$21,IF(RASANTE!F188&lt;=AV!$T$24,AV!$C$23,AV!$C$25))))))))))</f>
        <v>8.1999999999999993</v>
      </c>
      <c r="H188" s="28">
        <f>+IF(AND(AH!$H$8="Izquierda",RASANTE!F188&lt;=PERALTE!$AB$6),IF(RASANTE!F188&lt;=PERALTE!$S$6,-2,IF(RASANTE!F188&lt;=PERALTE!$U$6,(-6/(PERALTE!$U$6-PERALTE!$S$6)*(RASANTE!F188-PERALTE!$S$6)-2),IF(RASANTE!F188&lt;=PERALTE!$X$6,-8,IF(RASANTE!F188&lt;=PERALTE!$Z$6,(-6/(PERALTE!$X$6-PERALTE!$Z$6)*(RASANTE!F188-PERALTE!$Z$6)-2),IF(RASANTE!F188&lt;=PERALTE!$AB$6,-2))))),IF(AND(AH!$H$8="Derecha",RASANTE!F188&lt;=PERALTE!$AB$6),IF(RASANTE!F188&lt;=PERALTE!$Q$6,-2,IF(RASANTE!F188&lt;=PERALTE!$U$6,(10/(PERALTE!$U$6-PERALTE!$Q$6)*(RASANTE!F188-PERALTE!$Q$6)-2),IF(RASANTE!F188&lt;=PERALTE!$X$6,8,IF(RASANTE!F188&lt;=PERALTE!$AB$6,(10/(PERALTE!$X$6-PERALTE!$AB$6)*(RASANTE!F188-PERALTE!$AB$6)-2))))),IF(AND(AH!$H$10="Izquierda",RASANTE!F188&lt;=PERALTE!$AB$8),IF(RASANTE!F188&lt;=PERALTE!$S$8,-2,IF(RASANTE!F188&lt;=PERALTE!$U$8,(-6/(PERALTE!$U$8-PERALTE!$S$8)*(RASANTE!F188-PERALTE!$S$8)-2),IF(RASANTE!F188&lt;=PERALTE!$X$8,-8,IF(RASANTE!F188&lt;=PERALTE!$Z$8,(-6/(PERALTE!$X$8-PERALTE!$Z$8)*(RASANTE!F188-PERALTE!$Z$8)-2),IF(RASANTE!F188&lt;=PERALTE!$AB$8,-2))))),IF(AND(AH!$H$10="Derecha",RASANTE!F188&lt;=PERALTE!$AB$8),IF(RASANTE!F188&lt;=PERALTE!$Q$8,-2,IF(RASANTE!F188&lt;=PERALTE!$U$8,(10/(PERALTE!$U$8-PERALTE!$Q$8)*(RASANTE!F188-PERALTE!$Q$8)-2),IF(RASANTE!F188&lt;=PERALTE!$X$8,8,IF(RASANTE!F188&lt;=PERALTE!$AB$8,(10/(PERALTE!$X$8-PERALTE!$AB$8)*(RASANTE!F188-PERALTE!$AB$8)-2))))),IF(AND(AH!$H$12="Izquierda",RASANTE!F188&lt;=PERALTE!$AB$10),IF(RASANTE!F188&lt;=PERALTE!$S$10,-2,IF(RASANTE!F188&lt;=PERALTE!$U$10,(-6/(PERALTE!$U$10-PERALTE!$S$10)*(RASANTE!F188-PERALTE!$S$10)-2),IF(RASANTE!F188&lt;=PERALTE!$X$10,-8,IF(RASANTE!F188&lt;=PERALTE!$Z$10,(-6/(PERALTE!$X$10-PERALTE!$Z$10)*(RASANTE!F188-PERALTE!$Z$10)-2),IF(RASANTE!F188&lt;=PERALTE!$AB$10,-2))))),IF(AND(AH!$H$12="Derecha",RASANTE!F188&lt;=PERALTE!$AB$10),IF(RASANTE!F188&lt;=PERALTE!$Q$10,-2,IF(RASANTE!F188&lt;=PERALTE!$U$10,(10/(PERALTE!$U$10-PERALTE!$Q$10)*(RASANTE!F188-PERALTE!$Q$10)-2),IF(RASANTE!F188&lt;=PERALTE!$X$10,8,IF(RASANTE!F188&lt;=PERALTE!$AB$10,(10/(PERALTE!$X$10-PERALTE!$AB$10)*(RASANTE!F188-PERALTE!$AB$10)-2))))),IF(AND(AH!$H$14="Izquierda",RASANTE!F188&lt;=PERALTE!$AB$12),IF(RASANTE!F188&lt;=PERALTE!$S$12,-2,IF(RASANTE!F188&lt;=PERALTE!$U$12,(-6/(PERALTE!$U$12-PERALTE!$S$12)*(RASANTE!F188-PERALTE!$S$12)-2),IF(RASANTE!F188&lt;=PERALTE!$X$12,-8,IF(RASANTE!F188&lt;=PERALTE!$Z$12,(-6/(PERALTE!$X$12-PERALTE!$Z$12)*(RASANTE!F188-PERALTE!$Z$12)-2),IF(RASANTE!F188&lt;=PERALTE!$AB$12,-2))))),IF(AND(AH!$H$14="Derecha",RASANTE!F188&lt;=PERALTE!$AB$12),IF(RASANTE!F188&lt;=PERALTE!$Q$12,-2,IF(RASANTE!F188&lt;=PERALTE!$U$12,(10/(PERALTE!$U$12-PERALTE!$Q$12)*(RASANTE!F188-PERALTE!$Q$12)-2),IF(RASANTE!F188&lt;=PERALTE!$X$12,8,IF(RASANTE!F188&lt;=PERALTE!$AB$12,(10/(PERALTE!$X$12-PERALTE!$AB$12)*(RASANTE!F188-PERALTE!$AB$12)-2))))),IF(AND(AH!$H$16="Izquierda",RASANTE!F188&lt;=PERALTE!$AB$14),IF(RASANTE!F188&lt;=PERALTE!$S$14,-2,IF(RASANTE!F188&lt;=PERALTE!$U$14,(-6/(PERALTE!$U$14-PERALTE!$S$14)*(RASANTE!F188-PERALTE!$S$14)-2),IF(RASANTE!F188&lt;=PERALTE!$X$14,-8,IF(RASANTE!F188&lt;=PERALTE!$Z$14,(-6/(PERALTE!$X$14-PERALTE!$Z$14)*(RASANTE!F188-PERALTE!$Z$14)-2),IF(RASANTE!F188&lt;=PERALTE!$AB$14,-2))))),IF(AND(AH!$H$16="Derecha",RASANTE!F188&lt;=PERALTE!$AB$14),IF(RASANTE!F188&lt;=PERALTE!$Q$14,-2,IF(RASANTE!F188&lt;=PERALTE!$U$14,(10/(PERALTE!$U$14-PERALTE!$Q$14)*(RASANTE!F188-PERALTE!$Q$14)-2),IF(RASANTE!F188&lt;=PERALTE!$X$14,8,IF(RASANTE!F188&lt;=PERALTE!$AB$14,(10/(PERALTE!$X$14-PERALTE!$AB$14)*(RASANTE!F188-PERALTE!$AB$14)-2))))),IF(AND(AH!$H$18="Izquierda",RASANTE!F188&lt;=PERALTE!$AB$16),IF(RASANTE!F188&lt;=PERALTE!$S$16,-2,IF(RASANTE!F188&lt;=PERALTE!$U$16,(-6/(PERALTE!$U$16-PERALTE!$S$16)*(RASANTE!F188-PERALTE!$S$16)-2),IF(RASANTE!F188&lt;=PERALTE!$X$16,-8,IF(RASANTE!F188&lt;=PERALTE!$Z$16,(-6/(PERALTE!$X$16-PERALTE!$Z$16)*(RASANTE!F188-PERALTE!$Z$16)-2),IF(RASANTE!F188&lt;=PERALTE!$AB$16,-2))))),IF(AND(AH!$H$18="Derecha",RASANTE!F188&lt;=PERALTE!$AB$16),IF(RASANTE!F188&lt;=PERALTE!$Q$16,-2,IF(RASANTE!F188&lt;=PERALTE!$U$16,(10/(PERALTE!$U$16-PERALTE!$Q$16)*(RASANTE!F188-PERALTE!$Q$16)-2),IF(RASANTE!F188&lt;=PERALTE!$X$16,8,IF(RASANTE!F188&lt;=PERALTE!$AB$16,(10/(PERALTE!$X$16-PERALTE!$AB$16)*(RASANTE!F188-PERALTE!$AB$16)-2))))),IF(AND(AH!$H$20="Izquierda",RASANTE!F188&lt;=PERALTE!$AB$18),IF(RASANTE!F188&lt;=PERALTE!$S$18,-2,IF(RASANTE!F188&lt;=PERALTE!$U$18,(-6/(PERALTE!$U$18-PERALTE!$S$18)*(RASANTE!F188-PERALTE!$S$18)-2),IF(RASANTE!F188&lt;=PERALTE!$X$18,-8,IF(RASANTE!F188&lt;=PERALTE!$Z$18,(-6/(PERALTE!$X$18-PERALTE!$Z$18)*(RASANTE!F188-PERALTE!$Z$18)-2),IF(RASANTE!F188&lt;=PERALTE!$AB$18,-2))))),IF(AND(AH!$H$20="Derecha",RASANTE!F188&lt;=PERALTE!$AB$18),IF(RASANTE!F188&lt;=PERALTE!$Q$18,-2,IF(RASANTE!F188&lt;=PERALTE!$U$18,(10/(PERALTE!$U$18-PERALTE!$Q$18)*(RASANTE!F188-PERALTE!$Q$18)-2),IF(RASANTE!F188&lt;=PERALTE!$X$18,8,IF(RASANTE!F188&lt;=PERALTE!$AB$18,(10/(PERALTE!$X$18-PERALTE!$AB$18)*(RASANTE!F188-PERALTE!$AB$18)-2))))),IF(AND(AH!$H$24="Izquierda",RASANTE!F188&lt;=PERALTE!$AB$22),IF(RASANTE!F188&lt;=PERALTE!$S$22,-2,IF(RASANTE!F188&lt;=PERALTE!$U$22,(-6/(PERALTE!$U$22-PERALTE!$S$22)*(RASANTE!F188-PERALTE!$S$22)-2),IF(RASANTE!F188&lt;=PERALTE!$X$22,-8,IF(RASANTE!F188&lt;=PERALTE!$Z$22,(-6/(PERALTE!$X$22-PERALTE!$Z$22)*(RASANTE!F188-PERALTE!$Z$22)-2),IF(RASANTE!F188&lt;=PERALTE!$AB$22,-2))))),IF(AND(AH!$H$24="Derecha",RASANTE!F188&lt;=PERALTE!$AB$22),IF(RASANTE!F188&lt;=PERALTE!$Q$22,-2,IF(RASANTE!F188&lt;=PERALTE!$U$22,(10/(PERALTE!$U$22-PERALTE!$Q$22)*(RASANTE!F188-PERALTE!$Q$22)-2),IF(RASANTE!F188&lt;=PERALTE!$X$22,8,IF(RASANTE!F188&lt;=PERALTE!$AB$22,(10/(PERALTE!$X$22-PERALTE!$AB$22)*(RASANTE!F188-PERALTE!$AB$22)-2))))),IF(AND(AH!#REF!="Izquierda",RASANTE!F188&lt;=PERALTE!#REF!),IF(RASANTE!F188&lt;=PERALTE!#REF!,-2,IF(RASANTE!F188&lt;=PERALTE!#REF!,(-6/(PERALTE!#REF!-PERALTE!#REF!)*(RASANTE!F188-PERALTE!#REF!)-2),IF(RASANTE!F188&lt;=PERALTE!#REF!,-8,IF(RASANTE!F188&lt;=PERALTE!#REF!,(-6/(PERALTE!#REF!-PERALTE!#REF!)*(RASANTE!F188-PERALTE!#REF!)-2),IF(RASANTE!F188&lt;=PERALTE!#REF!,-2))))),IF(AND(AH!#REF!="Derecha",RASANTE!F188&lt;=PERALTE!#REF!),IF(RASANTE!F188&lt;=PERALTE!#REF!,-2,IF(RASANTE!F188&lt;=PERALTE!#REF!,(10/(PERALTE!#REF!-PERALTE!#REF!)*(RASANTE!F188-PERALTE!#REF!)-2),IF(RASANTE!F188&lt;=PERALTE!#REF!,8,IF(RASANTE!F188&lt;=PERALTE!#REF!,(10/(PERALTE!#REF!-PERALTE!#REF!)*(RASANTE!F188-PERALTE!#REF!)-2))))),IF(AND(AH!#REF!="Izquierda",RASANTE!F188&lt;=PERALTE!$AB$26),IF(RASANTE!F188&lt;=PERALTE!$S$26,-2,IF(RASANTE!F188&lt;=PERALTE!$U$26,(-6/(PERALTE!$U$26-PERALTE!$S$26)*(RASANTE!F188-PERALTE!$S$26)-2),IF(RASANTE!F188&lt;=PERALTE!$X$26,-8,IF(RASANTE!F188&lt;=PERALTE!$Z$26,(-6/(PERALTE!$X$26-PERALTE!$Z$26)*(RASANTE!F188-PERALTE!$Z$26)-2),IF(RASANTE!F188&lt;=PERALTE!$AB$26,-2))))),IF(AND(AH!#REF!="Derecha",RASANTE!F188&lt;=PERALTE!$AB$26),IF(RASANTE!F188&lt;=PERALTE!$Q$26,-2,IF(RASANTE!F188&lt;=PERALTE!$U$26,(10/(PERALTE!$U$26-PERALTE!$Q$26)*(RASANTE!F188-PERALTE!$Q$26)-2),IF(RASANTE!F188&lt;=PERALTE!$X$26,8,IF(RASANTE!F188&lt;=PERALTE!$AB$26,(10/(PERALTE!$X$26-PERALTE!$AB$26)*(RASANTE!F188-PERALTE!$AB$26)-2))))),IF(F188&lt;=PERALTE!#REF!,-2,"Abscisa fuera de la vía")))))))))))))))))))))</f>
        <v>-8</v>
      </c>
      <c r="I188" s="28">
        <f>+IF(AND(AH!$H$8="Derecha",RASANTE!F188&lt;=PERALTE!$AB$6),IF(RASANTE!F188&lt;=PERALTE!$S$6,-2,IF(RASANTE!F188&lt;=PERALTE!$U$6,(-6/(PERALTE!$U$6-PERALTE!$S$6)*(RASANTE!F188-PERALTE!$S$6)-2),IF(RASANTE!F188&lt;=PERALTE!$X$6,-8,IF(RASANTE!F188&lt;=PERALTE!$Z$6,(-6/(PERALTE!$X$6-PERALTE!$Z$6)*(RASANTE!F188-PERALTE!$Z$6)-2),IF(RASANTE!F188&lt;=PERALTE!$AB$6,-2))))),IF(AND(AH!$H$8="Izquierda",RASANTE!F188&lt;=PERALTE!$AB$6),IF(RASANTE!F188&lt;=PERALTE!$Q$6,-2,IF(RASANTE!F188&lt;=PERALTE!$U$6,(10/(PERALTE!$U$6-PERALTE!$Q$6)*(RASANTE!F188-PERALTE!$Q$6)-2),IF(RASANTE!F188&lt;=PERALTE!$X$6,8,IF(RASANTE!F188&lt;=PERALTE!$AB$6,(10/(PERALTE!$X$6-PERALTE!$AB$6)*(RASANTE!F188-PERALTE!$AB$6)-2))))),IF(AND(AH!$H$10="Derecha",RASANTE!F188&lt;=PERALTE!$AB$8),IF(RASANTE!F188&lt;=PERALTE!$S$8,-2,IF(RASANTE!F188&lt;=PERALTE!$U$8,(-6/(PERALTE!$U$8-PERALTE!$S$8)*(RASANTE!F188-PERALTE!$S$8)-2),IF(RASANTE!F188&lt;=PERALTE!$X$8,-8,IF(RASANTE!F188&lt;=PERALTE!$Z$8,(-6/(PERALTE!$X$8-PERALTE!$Z$8)*(RASANTE!F188-PERALTE!$Z$8)-2),IF(RASANTE!F188&lt;=PERALTE!$AB$8,-2))))),IF(AND(AH!$H$10="Izquierda",RASANTE!F188&lt;=PERALTE!$AB$8),IF(RASANTE!F188&lt;=PERALTE!$Q$8,-2,IF(RASANTE!F188&lt;=PERALTE!$U$8,(10/(PERALTE!$U$8-PERALTE!$Q$8)*(RASANTE!F188-PERALTE!$Q$8)-2),IF(RASANTE!F188&lt;=PERALTE!$X$8,8,IF(RASANTE!F188&lt;=PERALTE!$AB$8,(10/(PERALTE!$X$8-PERALTE!$AB$8)*(RASANTE!F188-PERALTE!$AB$8)-2))))),IF(AND(AH!$H$12="Derecha",RASANTE!F188&lt;=PERALTE!$AB$10),IF(RASANTE!F188&lt;=PERALTE!$S$10,-2,IF(RASANTE!F188&lt;=PERALTE!$U$10,(-6/(PERALTE!$U$10-PERALTE!$S$10)*(RASANTE!F188-PERALTE!$S$10)-2),IF(RASANTE!F188&lt;=PERALTE!$X$10,-8,IF(RASANTE!F188&lt;=PERALTE!$Z$10,(-6/(PERALTE!$X$10-PERALTE!$Z$10)*(RASANTE!F188-PERALTE!$Z$10)-2),IF(RASANTE!F188&lt;=PERALTE!$AB$10,-2))))),IF(AND(AH!$H$12="Izquierda",RASANTE!F188&lt;=PERALTE!$AB$10),IF(RASANTE!F188&lt;=PERALTE!$Q$10,-2,IF(RASANTE!F188&lt;=PERALTE!$U$10,(10/(PERALTE!$U$10-PERALTE!$Q$10)*(RASANTE!F188-PERALTE!$Q$10)-2),IF(RASANTE!F188&lt;=PERALTE!$X$10,8,IF(RASANTE!F188&lt;=PERALTE!$AB$10,(10/(PERALTE!$X$10-PERALTE!$AB$10)*(RASANTE!F188-PERALTE!$AB$10)-2))))),IF(AND(AH!$H$14="Derecha",RASANTE!F188&lt;=PERALTE!$AB$12),IF(RASANTE!F188&lt;=PERALTE!$S$12,-2,IF(RASANTE!F188&lt;=PERALTE!$U$12,(-6/(PERALTE!$U$12-PERALTE!$S$12)*(RASANTE!F188-PERALTE!$S$12)-2),IF(RASANTE!F188&lt;=PERALTE!$X$12,-8,IF(RASANTE!F188&lt;=PERALTE!$Z$12,(-6/(PERALTE!$X$12-PERALTE!$Z$12)*(RASANTE!F188-PERALTE!$Z$12)-2),IF(RASANTE!F188&lt;=PERALTE!$AB$12,-2))))),IF(AND(AH!$H$14="Izquierda",RASANTE!F188&lt;=PERALTE!$AB$12),IF(RASANTE!F188&lt;=PERALTE!$Q$12,-2,IF(RASANTE!F188&lt;=PERALTE!$U$12,(10/(PERALTE!$U$12-PERALTE!$Q$12)*(RASANTE!F188-PERALTE!$Q$12)-2),IF(RASANTE!F188&lt;=PERALTE!$X$12,8,IF(RASANTE!F188&lt;=PERALTE!$AB$12,(10/(PERALTE!$X$12-PERALTE!$AB$12)*(RASANTE!F188-PERALTE!$AB$12)-2))))),IF(AND(AH!$H$16="Derecha",RASANTE!F188&lt;=PERALTE!$AB$14),IF(RASANTE!F188&lt;=PERALTE!$S$14,-2,IF(RASANTE!F188&lt;=PERALTE!$U$14,(-6/(PERALTE!$U$14-PERALTE!$S$14)*(RASANTE!F188-PERALTE!$S$14)-2),IF(RASANTE!F188&lt;=PERALTE!$X$14,-8,IF(RASANTE!F188&lt;=PERALTE!$Z$14,(-6/(PERALTE!$X$14-PERALTE!$Z$14)*(RASANTE!F188-PERALTE!$Z$14)-2),IF(RASANTE!F188&lt;=PERALTE!$AB$14,-2))))),IF(AND(AH!$H$16="Izquierda",RASANTE!F188&lt;=PERALTE!$AB$14),IF(RASANTE!F188&lt;=PERALTE!$Q$14,-2,IF(RASANTE!F188&lt;=PERALTE!$U$14,(10/(PERALTE!$U$14-PERALTE!$Q$14)*(RASANTE!F188-PERALTE!$Q$14)-2),IF(RASANTE!F188&lt;=PERALTE!$X$14,8,IF(RASANTE!F188&lt;=PERALTE!$AB$14,(10/(PERALTE!$X$14-PERALTE!$AB$14)*(RASANTE!F188-PERALTE!$AB$14)-2))))),IF(AND(AH!$H$18="Derecha",RASANTE!F188&lt;=PERALTE!$AB$16),IF(RASANTE!F188&lt;=PERALTE!$S$16,-2,IF(RASANTE!F188&lt;=PERALTE!$U$16,(-6/(PERALTE!$U$16-PERALTE!$S$16)*(RASANTE!F188-PERALTE!$S$16)-2),IF(RASANTE!F188&lt;=PERALTE!$X$16,-8,IF(RASANTE!F188&lt;=PERALTE!$Z$16,(-6/(PERALTE!$X$16-PERALTE!$Z$16)*(RASANTE!F188-PERALTE!$Z$16)-2),IF(RASANTE!F188&lt;=PERALTE!$AB$16,-2))))),IF(AND(AH!$H$18="Izquierda",RASANTE!F188&lt;=PERALTE!$AB$16),IF(RASANTE!F188&lt;=PERALTE!$Q$16,-2,IF(RASANTE!F188&lt;=PERALTE!$U$16,(10/(PERALTE!$U$16-PERALTE!$Q$16)*(RASANTE!F188-PERALTE!$Q$16)-2),IF(RASANTE!F188&lt;=PERALTE!$X$16,8,IF(RASANTE!F188&lt;=PERALTE!$AB$16,(10/(PERALTE!$X$16-PERALTE!$AB$16)*(RASANTE!F188-PERALTE!$AB$16)-2))))),IF(AND(AH!$H$20="Derecha",RASANTE!F188&lt;=PERALTE!$AB$18),IF(RASANTE!F188&lt;=PERALTE!$S$18,-2,IF(RASANTE!F188&lt;=PERALTE!$U$18,(-6/(PERALTE!$U$18-PERALTE!$S$18)*(RASANTE!F188-PERALTE!$S$18)-2),IF(RASANTE!F188&lt;=PERALTE!$X$18,-8,IF(RASANTE!F188&lt;=PERALTE!$Z$18,(-6/(PERALTE!$X$18-PERALTE!$Z$18)*(RASANTE!F188-PERALTE!$Z$18)-2),IF(RASANTE!F188&lt;=PERALTE!$AB$18,-2))))),IF(AND(AH!$H$20="Izquierda",RASANTE!F188&lt;=PERALTE!$AB$18),IF(RASANTE!F188&lt;=PERALTE!$Q$18,-2,IF(RASANTE!F188&lt;=PERALTE!$U$18,(10/(PERALTE!$U$18-PERALTE!$Q$18)*(RASANTE!F188-PERALTE!$Q$18)-2),IF(RASANTE!F188&lt;=PERALTE!$X$18,8,IF(RASANTE!F188&lt;=PERALTE!$AB$18,(10/(PERALTE!$X$18-PERALTE!$AB$18)*(RASANTE!F188-PERALTE!$AB$18)-2))))),IF(AND(AH!$H$24="Derecha",RASANTE!F188&lt;=PERALTE!$AB$22),IF(RASANTE!F188&lt;=PERALTE!$S$22,-2,IF(RASANTE!F188&lt;=PERALTE!$U$22,(-6/(PERALTE!$U$22-PERALTE!$S$22)*(RASANTE!F188-PERALTE!$S$22)-2),IF(RASANTE!F188&lt;=PERALTE!$X$22,-8,IF(RASANTE!F188&lt;=PERALTE!$Z$22,(-6/(PERALTE!$X$22-PERALTE!$Z$22)*(RASANTE!F188-PERALTE!$Z$22)-2),IF(RASANTE!F188&lt;=PERALTE!$AB$22,-2))))),IF(AND(AH!$H$24="Izquierda",RASANTE!F188&lt;=PERALTE!$AB$22),IF(RASANTE!F188&lt;=PERALTE!$Q$22,-2,IF(RASANTE!F188&lt;=PERALTE!$U$22,(10/(PERALTE!$U$22-PERALTE!$Q$22)*(RASANTE!F188-PERALTE!$Q$22)-2),IF(RASANTE!F188&lt;=PERALTE!$X$22,8,IF(RASANTE!F188&lt;=PERALTE!$AB$22,(10/(PERALTE!$X$22-PERALTE!$AB$22)*(RASANTE!F188-PERALTE!$AB$22)-2))))),IF(AND(AH!#REF!="Derecha",RASANTE!F188&lt;=PERALTE!#REF!),IF(RASANTE!F188&lt;=PERALTE!#REF!,-2,IF(RASANTE!F188&lt;=PERALTE!#REF!,(-6/(PERALTE!#REF!-PERALTE!#REF!)*(RASANTE!F188-PERALTE!#REF!)-2),IF(RASANTE!F188&lt;=PERALTE!#REF!,-8,IF(RASANTE!F188&lt;=PERALTE!#REF!,(-6/(PERALTE!#REF!-PERALTE!#REF!)*(RASANTE!F188-PERALTE!#REF!)-2),IF(RASANTE!F188&lt;=PERALTE!#REF!,-2))))),IF(AND(AH!#REF!="Izquierda",RASANTE!F188&lt;=PERALTE!#REF!),IF(RASANTE!F188&lt;=PERALTE!#REF!,-2,IF(RASANTE!F188&lt;=PERALTE!#REF!,(10/(PERALTE!#REF!-PERALTE!#REF!)*(RASANTE!F188-PERALTE!#REF!)-2),IF(RASANTE!F188&lt;=PERALTE!#REF!,8,IF(RASANTE!F188&lt;=PERALTE!#REF!,(10/(PERALTE!#REF!-PERALTE!#REF!)*(RASANTE!F188-PERALTE!#REF!)-2))))),IF(AND(AH!#REF!="Derecha",RASANTE!F188&lt;=PERALTE!$AB$26),IF(RASANTE!F188&lt;=PERALTE!$S$26,-2,IF(RASANTE!F188&lt;=PERALTE!$U$26,(-6/(PERALTE!$U$26-PERALTE!$S$26)*(RASANTE!F188-PERALTE!$S$26)-2),IF(RASANTE!F188&lt;=PERALTE!$X$26,-8,IF(RASANTE!F188&lt;=PERALTE!$Z$26,(-6/(PERALTE!$X$26-PERALTE!$Z$26)*(RASANTE!F188-PERALTE!$Z$26)-2),IF(RASANTE!F188&lt;=PERALTE!$AB$26,-2))))),IF(AND(AH!#REF!="Izquierda",RASANTE!F188&lt;=PERALTE!$AB$26),IF(RASANTE!F188&lt;=PERALTE!$Q$26,-2,IF(RASANTE!F188&lt;=PERALTE!$U$26,(10/(PERALTE!$U$26-PERALTE!$Q$26)*(RASANTE!F188-PERALTE!$Q$26)-2),IF(RASANTE!F188&lt;=PERALTE!$X$26,8,IF(RASANTE!F188&lt;=PERALTE!$AB$26,(10/(PERALTE!$X$26-PERALTE!$AB$26)*(RASANTE!F188-PERALTE!$AB$26)-2))))),IF(F188&lt;=PERALTE!#REF!,-2,"Abscisa fuera de la vía")))))))))))))))))))))</f>
        <v>8</v>
      </c>
      <c r="J188" s="28">
        <f t="shared" si="6"/>
        <v>1618.9611380375927</v>
      </c>
      <c r="K188" s="28">
        <f>+IF(AND(AV!$S$6&lt;F188,F188&lt;=AV!$T$6),AV!$P$6*((AV!$S$6-RASANTE!F188)/(AV!$N$6))^2,IF(AND(AV!$T$6&lt;RASANTE!F188,F188&lt;AV!$U$6),AV!$P$6*((AV!$U$6-RASANTE!F188)/(AV!$O$6))^2,IF(AND(AV!$S$8&lt;F188,F188&lt;=AV!$T$8),AV!$P$8*((AV!$S$8-RASANTE!F188)/(AV!$N$8))^2,IF(AND(AV!$T$8&lt;RASANTE!F188,F188&lt;AV!$U$8),AV!$P$8*((AV!$U$8-RASANTE!F188)/(AV!$O$8))^2,IF(AND(AV!$S$10&lt;F188,F188&lt;=AV!$T$10),AV!$P$10*((AV!$S$10-RASANTE!F188)/(AV!$N$10))^2,IF(AND(AV!$T$10&lt;RASANTE!F188,F188&lt;AV!$U$10),AV!$P$10*((AV!$U$10-RASANTE!F188)/(AV!$O$10))^2,IF(AND(AV!$S$12&lt;F188,F188&lt;=AV!$T$12),AV!$P$12*((AV!$S$12-RASANTE!F188)/(AV!$N$12))^2,IF(AND(AV!$T$12&lt;RASANTE!F188,F188&lt;AV!$U$12),AV!$P$12*((AV!$U$12-RASANTE!F188)/(AV!$O$12))^2,IF(AND(AV!$S$14&lt;F188,F188&lt;=AV!$T$14),AV!$P$14*((AV!$S$14-RASANTE!F188)/(AV!$N$14))^2,IF(AND(AV!$T$14&lt;RASANTE!F188,F188&lt;AV!$U$14),AV!$P$14*((AV!$U$14-RASANTE!F188)/(AV!$O$14))^2,IF(AND(AV!$S$16&lt;F188,F188&lt;=AV!$T$16),AV!$P$16*((AV!$S$16-RASANTE!F188)/(AV!$N$16))^2,IF(AND(AV!$T$16&lt;RASANTE!F188,F188&lt;AV!$U$16),AV!$P$16*((AV!$U$16-RASANTE!F188)/(AV!$O$16))^2,IF(AND(AV!$S$18&lt;F188,F188&lt;=AV!$T$18),AV!$P$18*((AV!$S$18-RASANTE!F188)/(AV!$N$18))^2,IF(AND(AV!$T$18&lt;RASANTE!F188,F188&lt;AV!$U$18),AV!$P$18*((AV!$U$18-RASANTE!F188)/(AV!$O$18))^2,IF(AND(AV!$S$20&lt;F188,F188&lt;=AV!$T$20),AV!$P$20*((AV!$S$20-RASANTE!F188)/(AV!$N$20))^2,IF(AND(AV!$T$20&lt;RASANTE!F188,F188&lt;AV!$U$20),AV!$P$20*((AV!$U$20-RASANTE!F188)/(AV!$O$20))^2,IF(AND(AV!$S$22&lt;F188,F188&lt;=AV!$T$22),AV!$P$22*((AV!$S$22-RASANTE!F188)/(AV!$N$22))^2,IF(AND(AV!$T$22&lt;RASANTE!F188,F188&lt;AV!$U$22),AV!$P$22*((AV!$U$22-RASANTE!F188)/(AV!$O$22))^2,IF(AND(AV!$S$24&lt;F188,F188&lt;=AV!$T$24),AV!$P$24*((AV!$S$24-RASANTE!F188)/(AV!$N$24))^2,IF(AND(AV!$T$24&lt;RASANTE!F188,F188&lt;AV!$U$24),AV!$P$24*((AV!$U$24-RASANTE!F188)/(AV!$O$24))^2,0))))))))))))))))))))</f>
        <v>0</v>
      </c>
      <c r="L188" s="28">
        <f>+M188+H188%*PERALTE!$C$32</f>
        <v>1618.6811380375927</v>
      </c>
      <c r="M188" s="28">
        <f t="shared" si="7"/>
        <v>1618.9611380375927</v>
      </c>
      <c r="N188" s="28">
        <f>+M188+I188%*PERALTE!$C$32</f>
        <v>1619.2411380375927</v>
      </c>
      <c r="O188" s="92"/>
      <c r="P188" s="84"/>
      <c r="Q188" s="84"/>
      <c r="R188" s="84"/>
      <c r="S188" s="84"/>
      <c r="T188" s="84"/>
      <c r="U188" s="84"/>
      <c r="V188" s="84"/>
      <c r="W188" s="84"/>
      <c r="X188" s="84"/>
      <c r="Y188" s="84"/>
    </row>
    <row r="189" spans="1:25" ht="15.75" customHeight="1" x14ac:dyDescent="0.2">
      <c r="A189" s="90"/>
      <c r="B189" s="189">
        <f>AH!U16</f>
        <v>49.430429820176869</v>
      </c>
      <c r="C189" s="190">
        <f>PERALTE!N14</f>
        <v>36.36363636363636</v>
      </c>
      <c r="D189" s="195"/>
      <c r="F189" s="34">
        <v>1180</v>
      </c>
      <c r="G189" s="88">
        <f>IF(F189&lt;=AV!$T$6,AV!$C$5,IF(RASANTE!F189&lt;=AV!$T$8,AV!$C$7,IF(RASANTE!F189&lt;=AV!$T$10,AV!$C$9,IF(RASANTE!F189&lt;=AV!$T$12,AV!$C$11,IF(RASANTE!F189&lt;=AV!$T$14,AV!$C$13,IF(RASANTE!F189&lt;=AV!$T$16,AV!$C$15, IF(RASANTE!F189&lt;=AV!$T$18,AV!$C$17,IF(RASANTE!F189&lt;=AV!$T$20,AV!$C$19,IF(RASANTE!F189&lt;=AV!$T$22,AV!$C$21,IF(RASANTE!F189&lt;=AV!$T$24,AV!$C$23,AV!$C$25))))))))))</f>
        <v>8.1999999999999993</v>
      </c>
      <c r="H189" s="28">
        <f>+IF(AND(AH!$H$8="Izquierda",RASANTE!F189&lt;=PERALTE!$AB$6),IF(RASANTE!F189&lt;=PERALTE!$S$6,-2,IF(RASANTE!F189&lt;=PERALTE!$U$6,(-6/(PERALTE!$U$6-PERALTE!$S$6)*(RASANTE!F189-PERALTE!$S$6)-2),IF(RASANTE!F189&lt;=PERALTE!$X$6,-8,IF(RASANTE!F189&lt;=PERALTE!$Z$6,(-6/(PERALTE!$X$6-PERALTE!$Z$6)*(RASANTE!F189-PERALTE!$Z$6)-2),IF(RASANTE!F189&lt;=PERALTE!$AB$6,-2))))),IF(AND(AH!$H$8="Derecha",RASANTE!F189&lt;=PERALTE!$AB$6),IF(RASANTE!F189&lt;=PERALTE!$Q$6,-2,IF(RASANTE!F189&lt;=PERALTE!$U$6,(10/(PERALTE!$U$6-PERALTE!$Q$6)*(RASANTE!F189-PERALTE!$Q$6)-2),IF(RASANTE!F189&lt;=PERALTE!$X$6,8,IF(RASANTE!F189&lt;=PERALTE!$AB$6,(10/(PERALTE!$X$6-PERALTE!$AB$6)*(RASANTE!F189-PERALTE!$AB$6)-2))))),IF(AND(AH!$H$10="Izquierda",RASANTE!F189&lt;=PERALTE!$AB$8),IF(RASANTE!F189&lt;=PERALTE!$S$8,-2,IF(RASANTE!F189&lt;=PERALTE!$U$8,(-6/(PERALTE!$U$8-PERALTE!$S$8)*(RASANTE!F189-PERALTE!$S$8)-2),IF(RASANTE!F189&lt;=PERALTE!$X$8,-8,IF(RASANTE!F189&lt;=PERALTE!$Z$8,(-6/(PERALTE!$X$8-PERALTE!$Z$8)*(RASANTE!F189-PERALTE!$Z$8)-2),IF(RASANTE!F189&lt;=PERALTE!$AB$8,-2))))),IF(AND(AH!$H$10="Derecha",RASANTE!F189&lt;=PERALTE!$AB$8),IF(RASANTE!F189&lt;=PERALTE!$Q$8,-2,IF(RASANTE!F189&lt;=PERALTE!$U$8,(10/(PERALTE!$U$8-PERALTE!$Q$8)*(RASANTE!F189-PERALTE!$Q$8)-2),IF(RASANTE!F189&lt;=PERALTE!$X$8,8,IF(RASANTE!F189&lt;=PERALTE!$AB$8,(10/(PERALTE!$X$8-PERALTE!$AB$8)*(RASANTE!F189-PERALTE!$AB$8)-2))))),IF(AND(AH!$H$12="Izquierda",RASANTE!F189&lt;=PERALTE!$AB$10),IF(RASANTE!F189&lt;=PERALTE!$S$10,-2,IF(RASANTE!F189&lt;=PERALTE!$U$10,(-6/(PERALTE!$U$10-PERALTE!$S$10)*(RASANTE!F189-PERALTE!$S$10)-2),IF(RASANTE!F189&lt;=PERALTE!$X$10,-8,IF(RASANTE!F189&lt;=PERALTE!$Z$10,(-6/(PERALTE!$X$10-PERALTE!$Z$10)*(RASANTE!F189-PERALTE!$Z$10)-2),IF(RASANTE!F189&lt;=PERALTE!$AB$10,-2))))),IF(AND(AH!$H$12="Derecha",RASANTE!F189&lt;=PERALTE!$AB$10),IF(RASANTE!F189&lt;=PERALTE!$Q$10,-2,IF(RASANTE!F189&lt;=PERALTE!$U$10,(10/(PERALTE!$U$10-PERALTE!$Q$10)*(RASANTE!F189-PERALTE!$Q$10)-2),IF(RASANTE!F189&lt;=PERALTE!$X$10,8,IF(RASANTE!F189&lt;=PERALTE!$AB$10,(10/(PERALTE!$X$10-PERALTE!$AB$10)*(RASANTE!F189-PERALTE!$AB$10)-2))))),IF(AND(AH!$H$14="Izquierda",RASANTE!F189&lt;=PERALTE!$AB$12),IF(RASANTE!F189&lt;=PERALTE!$S$12,-2,IF(RASANTE!F189&lt;=PERALTE!$U$12,(-6/(PERALTE!$U$12-PERALTE!$S$12)*(RASANTE!F189-PERALTE!$S$12)-2),IF(RASANTE!F189&lt;=PERALTE!$X$12,-8,IF(RASANTE!F189&lt;=PERALTE!$Z$12,(-6/(PERALTE!$X$12-PERALTE!$Z$12)*(RASANTE!F189-PERALTE!$Z$12)-2),IF(RASANTE!F189&lt;=PERALTE!$AB$12,-2))))),IF(AND(AH!$H$14="Derecha",RASANTE!F189&lt;=PERALTE!$AB$12),IF(RASANTE!F189&lt;=PERALTE!$Q$12,-2,IF(RASANTE!F189&lt;=PERALTE!$U$12,(10/(PERALTE!$U$12-PERALTE!$Q$12)*(RASANTE!F189-PERALTE!$Q$12)-2),IF(RASANTE!F189&lt;=PERALTE!$X$12,8,IF(RASANTE!F189&lt;=PERALTE!$AB$12,(10/(PERALTE!$X$12-PERALTE!$AB$12)*(RASANTE!F189-PERALTE!$AB$12)-2))))),IF(AND(AH!$H$16="Izquierda",RASANTE!F189&lt;=PERALTE!$AB$14),IF(RASANTE!F189&lt;=PERALTE!$S$14,-2,IF(RASANTE!F189&lt;=PERALTE!$U$14,(-6/(PERALTE!$U$14-PERALTE!$S$14)*(RASANTE!F189-PERALTE!$S$14)-2),IF(RASANTE!F189&lt;=PERALTE!$X$14,-8,IF(RASANTE!F189&lt;=PERALTE!$Z$14,(-6/(PERALTE!$X$14-PERALTE!$Z$14)*(RASANTE!F189-PERALTE!$Z$14)-2),IF(RASANTE!F189&lt;=PERALTE!$AB$14,-2))))),IF(AND(AH!$H$16="Derecha",RASANTE!F189&lt;=PERALTE!$AB$14),IF(RASANTE!F189&lt;=PERALTE!$Q$14,-2,IF(RASANTE!F189&lt;=PERALTE!$U$14,(10/(PERALTE!$U$14-PERALTE!$Q$14)*(RASANTE!F189-PERALTE!$Q$14)-2),IF(RASANTE!F189&lt;=PERALTE!$X$14,8,IF(RASANTE!F189&lt;=PERALTE!$AB$14,(10/(PERALTE!$X$14-PERALTE!$AB$14)*(RASANTE!F189-PERALTE!$AB$14)-2))))),IF(AND(AH!$H$18="Izquierda",RASANTE!F189&lt;=PERALTE!$AB$16),IF(RASANTE!F189&lt;=PERALTE!$S$16,-2,IF(RASANTE!F189&lt;=PERALTE!$U$16,(-6/(PERALTE!$U$16-PERALTE!$S$16)*(RASANTE!F189-PERALTE!$S$16)-2),IF(RASANTE!F189&lt;=PERALTE!$X$16,-8,IF(RASANTE!F189&lt;=PERALTE!$Z$16,(-6/(PERALTE!$X$16-PERALTE!$Z$16)*(RASANTE!F189-PERALTE!$Z$16)-2),IF(RASANTE!F189&lt;=PERALTE!$AB$16,-2))))),IF(AND(AH!$H$18="Derecha",RASANTE!F189&lt;=PERALTE!$AB$16),IF(RASANTE!F189&lt;=PERALTE!$Q$16,-2,IF(RASANTE!F189&lt;=PERALTE!$U$16,(10/(PERALTE!$U$16-PERALTE!$Q$16)*(RASANTE!F189-PERALTE!$Q$16)-2),IF(RASANTE!F189&lt;=PERALTE!$X$16,8,IF(RASANTE!F189&lt;=PERALTE!$AB$16,(10/(PERALTE!$X$16-PERALTE!$AB$16)*(RASANTE!F189-PERALTE!$AB$16)-2))))),IF(AND(AH!$H$20="Izquierda",RASANTE!F189&lt;=PERALTE!$AB$18),IF(RASANTE!F189&lt;=PERALTE!$S$18,-2,IF(RASANTE!F189&lt;=PERALTE!$U$18,(-6/(PERALTE!$U$18-PERALTE!$S$18)*(RASANTE!F189-PERALTE!$S$18)-2),IF(RASANTE!F189&lt;=PERALTE!$X$18,-8,IF(RASANTE!F189&lt;=PERALTE!$Z$18,(-6/(PERALTE!$X$18-PERALTE!$Z$18)*(RASANTE!F189-PERALTE!$Z$18)-2),IF(RASANTE!F189&lt;=PERALTE!$AB$18,-2))))),IF(AND(AH!$H$20="Derecha",RASANTE!F189&lt;=PERALTE!$AB$18),IF(RASANTE!F189&lt;=PERALTE!$Q$18,-2,IF(RASANTE!F189&lt;=PERALTE!$U$18,(10/(PERALTE!$U$18-PERALTE!$Q$18)*(RASANTE!F189-PERALTE!$Q$18)-2),IF(RASANTE!F189&lt;=PERALTE!$X$18,8,IF(RASANTE!F189&lt;=PERALTE!$AB$18,(10/(PERALTE!$X$18-PERALTE!$AB$18)*(RASANTE!F189-PERALTE!$AB$18)-2))))),IF(AND(AH!$H$24="Izquierda",RASANTE!F189&lt;=PERALTE!$AB$22),IF(RASANTE!F189&lt;=PERALTE!$S$22,-2,IF(RASANTE!F189&lt;=PERALTE!$U$22,(-6/(PERALTE!$U$22-PERALTE!$S$22)*(RASANTE!F189-PERALTE!$S$22)-2),IF(RASANTE!F189&lt;=PERALTE!$X$22,-8,IF(RASANTE!F189&lt;=PERALTE!$Z$22,(-6/(PERALTE!$X$22-PERALTE!$Z$22)*(RASANTE!F189-PERALTE!$Z$22)-2),IF(RASANTE!F189&lt;=PERALTE!$AB$22,-2))))),IF(AND(AH!$H$24="Derecha",RASANTE!F189&lt;=PERALTE!$AB$22),IF(RASANTE!F189&lt;=PERALTE!$Q$22,-2,IF(RASANTE!F189&lt;=PERALTE!$U$22,(10/(PERALTE!$U$22-PERALTE!$Q$22)*(RASANTE!F189-PERALTE!$Q$22)-2),IF(RASANTE!F189&lt;=PERALTE!$X$22,8,IF(RASANTE!F189&lt;=PERALTE!$AB$22,(10/(PERALTE!$X$22-PERALTE!$AB$22)*(RASANTE!F189-PERALTE!$AB$22)-2))))),IF(AND(AH!#REF!="Izquierda",RASANTE!F189&lt;=PERALTE!#REF!),IF(RASANTE!F189&lt;=PERALTE!#REF!,-2,IF(RASANTE!F189&lt;=PERALTE!#REF!,(-6/(PERALTE!#REF!-PERALTE!#REF!)*(RASANTE!F189-PERALTE!#REF!)-2),IF(RASANTE!F189&lt;=PERALTE!#REF!,-8,IF(RASANTE!F189&lt;=PERALTE!#REF!,(-6/(PERALTE!#REF!-PERALTE!#REF!)*(RASANTE!F189-PERALTE!#REF!)-2),IF(RASANTE!F189&lt;=PERALTE!#REF!,-2))))),IF(AND(AH!#REF!="Derecha",RASANTE!F189&lt;=PERALTE!#REF!),IF(RASANTE!F189&lt;=PERALTE!#REF!,-2,IF(RASANTE!F189&lt;=PERALTE!#REF!,(10/(PERALTE!#REF!-PERALTE!#REF!)*(RASANTE!F189-PERALTE!#REF!)-2),IF(RASANTE!F189&lt;=PERALTE!#REF!,8,IF(RASANTE!F189&lt;=PERALTE!#REF!,(10/(PERALTE!#REF!-PERALTE!#REF!)*(RASANTE!F189-PERALTE!#REF!)-2))))),IF(AND(AH!#REF!="Izquierda",RASANTE!F189&lt;=PERALTE!$AB$26),IF(RASANTE!F189&lt;=PERALTE!$S$26,-2,IF(RASANTE!F189&lt;=PERALTE!$U$26,(-6/(PERALTE!$U$26-PERALTE!$S$26)*(RASANTE!F189-PERALTE!$S$26)-2),IF(RASANTE!F189&lt;=PERALTE!$X$26,-8,IF(RASANTE!F189&lt;=PERALTE!$Z$26,(-6/(PERALTE!$X$26-PERALTE!$Z$26)*(RASANTE!F189-PERALTE!$Z$26)-2),IF(RASANTE!F189&lt;=PERALTE!$AB$26,-2))))),IF(AND(AH!#REF!="Derecha",RASANTE!F189&lt;=PERALTE!$AB$26),IF(RASANTE!F189&lt;=PERALTE!$Q$26,-2,IF(RASANTE!F189&lt;=PERALTE!$U$26,(10/(PERALTE!$U$26-PERALTE!$Q$26)*(RASANTE!F189-PERALTE!$Q$26)-2),IF(RASANTE!F189&lt;=PERALTE!$X$26,8,IF(RASANTE!F189&lt;=PERALTE!$AB$26,(10/(PERALTE!$X$26-PERALTE!$AB$26)*(RASANTE!F189-PERALTE!$AB$26)-2))))),IF(F189&lt;=PERALTE!#REF!,-2,"Abscisa fuera de la vía")))))))))))))))))))))</f>
        <v>-8</v>
      </c>
      <c r="I189" s="28">
        <f>+IF(AND(AH!$H$8="Derecha",RASANTE!F189&lt;=PERALTE!$AB$6),IF(RASANTE!F189&lt;=PERALTE!$S$6,-2,IF(RASANTE!F189&lt;=PERALTE!$U$6,(-6/(PERALTE!$U$6-PERALTE!$S$6)*(RASANTE!F189-PERALTE!$S$6)-2),IF(RASANTE!F189&lt;=PERALTE!$X$6,-8,IF(RASANTE!F189&lt;=PERALTE!$Z$6,(-6/(PERALTE!$X$6-PERALTE!$Z$6)*(RASANTE!F189-PERALTE!$Z$6)-2),IF(RASANTE!F189&lt;=PERALTE!$AB$6,-2))))),IF(AND(AH!$H$8="Izquierda",RASANTE!F189&lt;=PERALTE!$AB$6),IF(RASANTE!F189&lt;=PERALTE!$Q$6,-2,IF(RASANTE!F189&lt;=PERALTE!$U$6,(10/(PERALTE!$U$6-PERALTE!$Q$6)*(RASANTE!F189-PERALTE!$Q$6)-2),IF(RASANTE!F189&lt;=PERALTE!$X$6,8,IF(RASANTE!F189&lt;=PERALTE!$AB$6,(10/(PERALTE!$X$6-PERALTE!$AB$6)*(RASANTE!F189-PERALTE!$AB$6)-2))))),IF(AND(AH!$H$10="Derecha",RASANTE!F189&lt;=PERALTE!$AB$8),IF(RASANTE!F189&lt;=PERALTE!$S$8,-2,IF(RASANTE!F189&lt;=PERALTE!$U$8,(-6/(PERALTE!$U$8-PERALTE!$S$8)*(RASANTE!F189-PERALTE!$S$8)-2),IF(RASANTE!F189&lt;=PERALTE!$X$8,-8,IF(RASANTE!F189&lt;=PERALTE!$Z$8,(-6/(PERALTE!$X$8-PERALTE!$Z$8)*(RASANTE!F189-PERALTE!$Z$8)-2),IF(RASANTE!F189&lt;=PERALTE!$AB$8,-2))))),IF(AND(AH!$H$10="Izquierda",RASANTE!F189&lt;=PERALTE!$AB$8),IF(RASANTE!F189&lt;=PERALTE!$Q$8,-2,IF(RASANTE!F189&lt;=PERALTE!$U$8,(10/(PERALTE!$U$8-PERALTE!$Q$8)*(RASANTE!F189-PERALTE!$Q$8)-2),IF(RASANTE!F189&lt;=PERALTE!$X$8,8,IF(RASANTE!F189&lt;=PERALTE!$AB$8,(10/(PERALTE!$X$8-PERALTE!$AB$8)*(RASANTE!F189-PERALTE!$AB$8)-2))))),IF(AND(AH!$H$12="Derecha",RASANTE!F189&lt;=PERALTE!$AB$10),IF(RASANTE!F189&lt;=PERALTE!$S$10,-2,IF(RASANTE!F189&lt;=PERALTE!$U$10,(-6/(PERALTE!$U$10-PERALTE!$S$10)*(RASANTE!F189-PERALTE!$S$10)-2),IF(RASANTE!F189&lt;=PERALTE!$X$10,-8,IF(RASANTE!F189&lt;=PERALTE!$Z$10,(-6/(PERALTE!$X$10-PERALTE!$Z$10)*(RASANTE!F189-PERALTE!$Z$10)-2),IF(RASANTE!F189&lt;=PERALTE!$AB$10,-2))))),IF(AND(AH!$H$12="Izquierda",RASANTE!F189&lt;=PERALTE!$AB$10),IF(RASANTE!F189&lt;=PERALTE!$Q$10,-2,IF(RASANTE!F189&lt;=PERALTE!$U$10,(10/(PERALTE!$U$10-PERALTE!$Q$10)*(RASANTE!F189-PERALTE!$Q$10)-2),IF(RASANTE!F189&lt;=PERALTE!$X$10,8,IF(RASANTE!F189&lt;=PERALTE!$AB$10,(10/(PERALTE!$X$10-PERALTE!$AB$10)*(RASANTE!F189-PERALTE!$AB$10)-2))))),IF(AND(AH!$H$14="Derecha",RASANTE!F189&lt;=PERALTE!$AB$12),IF(RASANTE!F189&lt;=PERALTE!$S$12,-2,IF(RASANTE!F189&lt;=PERALTE!$U$12,(-6/(PERALTE!$U$12-PERALTE!$S$12)*(RASANTE!F189-PERALTE!$S$12)-2),IF(RASANTE!F189&lt;=PERALTE!$X$12,-8,IF(RASANTE!F189&lt;=PERALTE!$Z$12,(-6/(PERALTE!$X$12-PERALTE!$Z$12)*(RASANTE!F189-PERALTE!$Z$12)-2),IF(RASANTE!F189&lt;=PERALTE!$AB$12,-2))))),IF(AND(AH!$H$14="Izquierda",RASANTE!F189&lt;=PERALTE!$AB$12),IF(RASANTE!F189&lt;=PERALTE!$Q$12,-2,IF(RASANTE!F189&lt;=PERALTE!$U$12,(10/(PERALTE!$U$12-PERALTE!$Q$12)*(RASANTE!F189-PERALTE!$Q$12)-2),IF(RASANTE!F189&lt;=PERALTE!$X$12,8,IF(RASANTE!F189&lt;=PERALTE!$AB$12,(10/(PERALTE!$X$12-PERALTE!$AB$12)*(RASANTE!F189-PERALTE!$AB$12)-2))))),IF(AND(AH!$H$16="Derecha",RASANTE!F189&lt;=PERALTE!$AB$14),IF(RASANTE!F189&lt;=PERALTE!$S$14,-2,IF(RASANTE!F189&lt;=PERALTE!$U$14,(-6/(PERALTE!$U$14-PERALTE!$S$14)*(RASANTE!F189-PERALTE!$S$14)-2),IF(RASANTE!F189&lt;=PERALTE!$X$14,-8,IF(RASANTE!F189&lt;=PERALTE!$Z$14,(-6/(PERALTE!$X$14-PERALTE!$Z$14)*(RASANTE!F189-PERALTE!$Z$14)-2),IF(RASANTE!F189&lt;=PERALTE!$AB$14,-2))))),IF(AND(AH!$H$16="Izquierda",RASANTE!F189&lt;=PERALTE!$AB$14),IF(RASANTE!F189&lt;=PERALTE!$Q$14,-2,IF(RASANTE!F189&lt;=PERALTE!$U$14,(10/(PERALTE!$U$14-PERALTE!$Q$14)*(RASANTE!F189-PERALTE!$Q$14)-2),IF(RASANTE!F189&lt;=PERALTE!$X$14,8,IF(RASANTE!F189&lt;=PERALTE!$AB$14,(10/(PERALTE!$X$14-PERALTE!$AB$14)*(RASANTE!F189-PERALTE!$AB$14)-2))))),IF(AND(AH!$H$18="Derecha",RASANTE!F189&lt;=PERALTE!$AB$16),IF(RASANTE!F189&lt;=PERALTE!$S$16,-2,IF(RASANTE!F189&lt;=PERALTE!$U$16,(-6/(PERALTE!$U$16-PERALTE!$S$16)*(RASANTE!F189-PERALTE!$S$16)-2),IF(RASANTE!F189&lt;=PERALTE!$X$16,-8,IF(RASANTE!F189&lt;=PERALTE!$Z$16,(-6/(PERALTE!$X$16-PERALTE!$Z$16)*(RASANTE!F189-PERALTE!$Z$16)-2),IF(RASANTE!F189&lt;=PERALTE!$AB$16,-2))))),IF(AND(AH!$H$18="Izquierda",RASANTE!F189&lt;=PERALTE!$AB$16),IF(RASANTE!F189&lt;=PERALTE!$Q$16,-2,IF(RASANTE!F189&lt;=PERALTE!$U$16,(10/(PERALTE!$U$16-PERALTE!$Q$16)*(RASANTE!F189-PERALTE!$Q$16)-2),IF(RASANTE!F189&lt;=PERALTE!$X$16,8,IF(RASANTE!F189&lt;=PERALTE!$AB$16,(10/(PERALTE!$X$16-PERALTE!$AB$16)*(RASANTE!F189-PERALTE!$AB$16)-2))))),IF(AND(AH!$H$20="Derecha",RASANTE!F189&lt;=PERALTE!$AB$18),IF(RASANTE!F189&lt;=PERALTE!$S$18,-2,IF(RASANTE!F189&lt;=PERALTE!$U$18,(-6/(PERALTE!$U$18-PERALTE!$S$18)*(RASANTE!F189-PERALTE!$S$18)-2),IF(RASANTE!F189&lt;=PERALTE!$X$18,-8,IF(RASANTE!F189&lt;=PERALTE!$Z$18,(-6/(PERALTE!$X$18-PERALTE!$Z$18)*(RASANTE!F189-PERALTE!$Z$18)-2),IF(RASANTE!F189&lt;=PERALTE!$AB$18,-2))))),IF(AND(AH!$H$20="Izquierda",RASANTE!F189&lt;=PERALTE!$AB$18),IF(RASANTE!F189&lt;=PERALTE!$Q$18,-2,IF(RASANTE!F189&lt;=PERALTE!$U$18,(10/(PERALTE!$U$18-PERALTE!$Q$18)*(RASANTE!F189-PERALTE!$Q$18)-2),IF(RASANTE!F189&lt;=PERALTE!$X$18,8,IF(RASANTE!F189&lt;=PERALTE!$AB$18,(10/(PERALTE!$X$18-PERALTE!$AB$18)*(RASANTE!F189-PERALTE!$AB$18)-2))))),IF(AND(AH!$H$24="Derecha",RASANTE!F189&lt;=PERALTE!$AB$22),IF(RASANTE!F189&lt;=PERALTE!$S$22,-2,IF(RASANTE!F189&lt;=PERALTE!$U$22,(-6/(PERALTE!$U$22-PERALTE!$S$22)*(RASANTE!F189-PERALTE!$S$22)-2),IF(RASANTE!F189&lt;=PERALTE!$X$22,-8,IF(RASANTE!F189&lt;=PERALTE!$Z$22,(-6/(PERALTE!$X$22-PERALTE!$Z$22)*(RASANTE!F189-PERALTE!$Z$22)-2),IF(RASANTE!F189&lt;=PERALTE!$AB$22,-2))))),IF(AND(AH!$H$24="Izquierda",RASANTE!F189&lt;=PERALTE!$AB$22),IF(RASANTE!F189&lt;=PERALTE!$Q$22,-2,IF(RASANTE!F189&lt;=PERALTE!$U$22,(10/(PERALTE!$U$22-PERALTE!$Q$22)*(RASANTE!F189-PERALTE!$Q$22)-2),IF(RASANTE!F189&lt;=PERALTE!$X$22,8,IF(RASANTE!F189&lt;=PERALTE!$AB$22,(10/(PERALTE!$X$22-PERALTE!$AB$22)*(RASANTE!F189-PERALTE!$AB$22)-2))))),IF(AND(AH!#REF!="Derecha",RASANTE!F189&lt;=PERALTE!#REF!),IF(RASANTE!F189&lt;=PERALTE!#REF!,-2,IF(RASANTE!F189&lt;=PERALTE!#REF!,(-6/(PERALTE!#REF!-PERALTE!#REF!)*(RASANTE!F189-PERALTE!#REF!)-2),IF(RASANTE!F189&lt;=PERALTE!#REF!,-8,IF(RASANTE!F189&lt;=PERALTE!#REF!,(-6/(PERALTE!#REF!-PERALTE!#REF!)*(RASANTE!F189-PERALTE!#REF!)-2),IF(RASANTE!F189&lt;=PERALTE!#REF!,-2))))),IF(AND(AH!#REF!="Izquierda",RASANTE!F189&lt;=PERALTE!#REF!),IF(RASANTE!F189&lt;=PERALTE!#REF!,-2,IF(RASANTE!F189&lt;=PERALTE!#REF!,(10/(PERALTE!#REF!-PERALTE!#REF!)*(RASANTE!F189-PERALTE!#REF!)-2),IF(RASANTE!F189&lt;=PERALTE!#REF!,8,IF(RASANTE!F189&lt;=PERALTE!#REF!,(10/(PERALTE!#REF!-PERALTE!#REF!)*(RASANTE!F189-PERALTE!#REF!)-2))))),IF(AND(AH!#REF!="Derecha",RASANTE!F189&lt;=PERALTE!$AB$26),IF(RASANTE!F189&lt;=PERALTE!$S$26,-2,IF(RASANTE!F189&lt;=PERALTE!$U$26,(-6/(PERALTE!$U$26-PERALTE!$S$26)*(RASANTE!F189-PERALTE!$S$26)-2),IF(RASANTE!F189&lt;=PERALTE!$X$26,-8,IF(RASANTE!F189&lt;=PERALTE!$Z$26,(-6/(PERALTE!$X$26-PERALTE!$Z$26)*(RASANTE!F189-PERALTE!$Z$26)-2),IF(RASANTE!F189&lt;=PERALTE!$AB$26,-2))))),IF(AND(AH!#REF!="Izquierda",RASANTE!F189&lt;=PERALTE!$AB$26),IF(RASANTE!F189&lt;=PERALTE!$Q$26,-2,IF(RASANTE!F189&lt;=PERALTE!$U$26,(10/(PERALTE!$U$26-PERALTE!$Q$26)*(RASANTE!F189-PERALTE!$Q$26)-2),IF(RASANTE!F189&lt;=PERALTE!$X$26,8,IF(RASANTE!F189&lt;=PERALTE!$AB$26,(10/(PERALTE!$X$26-PERALTE!$AB$26)*(RASANTE!F189-PERALTE!$AB$26)-2))))),IF(F189&lt;=PERALTE!#REF!,-2,"Abscisa fuera de la vía")))))))))))))))))))))</f>
        <v>8</v>
      </c>
      <c r="J189" s="28">
        <f t="shared" si="6"/>
        <v>1619.7811380375927</v>
      </c>
      <c r="K189" s="28">
        <f>+IF(AND(AV!$S$6&lt;F189,F189&lt;=AV!$T$6),AV!$P$6*((AV!$S$6-RASANTE!F189)/(AV!$N$6))^2,IF(AND(AV!$T$6&lt;RASANTE!F189,F189&lt;AV!$U$6),AV!$P$6*((AV!$U$6-RASANTE!F189)/(AV!$O$6))^2,IF(AND(AV!$S$8&lt;F189,F189&lt;=AV!$T$8),AV!$P$8*((AV!$S$8-RASANTE!F189)/(AV!$N$8))^2,IF(AND(AV!$T$8&lt;RASANTE!F189,F189&lt;AV!$U$8),AV!$P$8*((AV!$U$8-RASANTE!F189)/(AV!$O$8))^2,IF(AND(AV!$S$10&lt;F189,F189&lt;=AV!$T$10),AV!$P$10*((AV!$S$10-RASANTE!F189)/(AV!$N$10))^2,IF(AND(AV!$T$10&lt;RASANTE!F189,F189&lt;AV!$U$10),AV!$P$10*((AV!$U$10-RASANTE!F189)/(AV!$O$10))^2,IF(AND(AV!$S$12&lt;F189,F189&lt;=AV!$T$12),AV!$P$12*((AV!$S$12-RASANTE!F189)/(AV!$N$12))^2,IF(AND(AV!$T$12&lt;RASANTE!F189,F189&lt;AV!$U$12),AV!$P$12*((AV!$U$12-RASANTE!F189)/(AV!$O$12))^2,IF(AND(AV!$S$14&lt;F189,F189&lt;=AV!$T$14),AV!$P$14*((AV!$S$14-RASANTE!F189)/(AV!$N$14))^2,IF(AND(AV!$T$14&lt;RASANTE!F189,F189&lt;AV!$U$14),AV!$P$14*((AV!$U$14-RASANTE!F189)/(AV!$O$14))^2,IF(AND(AV!$S$16&lt;F189,F189&lt;=AV!$T$16),AV!$P$16*((AV!$S$16-RASANTE!F189)/(AV!$N$16))^2,IF(AND(AV!$T$16&lt;RASANTE!F189,F189&lt;AV!$U$16),AV!$P$16*((AV!$U$16-RASANTE!F189)/(AV!$O$16))^2,IF(AND(AV!$S$18&lt;F189,F189&lt;=AV!$T$18),AV!$P$18*((AV!$S$18-RASANTE!F189)/(AV!$N$18))^2,IF(AND(AV!$T$18&lt;RASANTE!F189,F189&lt;AV!$U$18),AV!$P$18*((AV!$U$18-RASANTE!F189)/(AV!$O$18))^2,IF(AND(AV!$S$20&lt;F189,F189&lt;=AV!$T$20),AV!$P$20*((AV!$S$20-RASANTE!F189)/(AV!$N$20))^2,IF(AND(AV!$T$20&lt;RASANTE!F189,F189&lt;AV!$U$20),AV!$P$20*((AV!$U$20-RASANTE!F189)/(AV!$O$20))^2,IF(AND(AV!$S$22&lt;F189,F189&lt;=AV!$T$22),AV!$P$22*((AV!$S$22-RASANTE!F189)/(AV!$N$22))^2,IF(AND(AV!$T$22&lt;RASANTE!F189,F189&lt;AV!$U$22),AV!$P$22*((AV!$U$22-RASANTE!F189)/(AV!$O$22))^2,IF(AND(AV!$S$24&lt;F189,F189&lt;=AV!$T$24),AV!$P$24*((AV!$S$24-RASANTE!F189)/(AV!$N$24))^2,IF(AND(AV!$T$24&lt;RASANTE!F189,F189&lt;AV!$U$24),AV!$P$24*((AV!$U$24-RASANTE!F189)/(AV!$O$24))^2,0))))))))))))))))))))</f>
        <v>0</v>
      </c>
      <c r="L189" s="28">
        <f>+M189+H189%*PERALTE!$C$32</f>
        <v>1619.5011380375927</v>
      </c>
      <c r="M189" s="28">
        <f t="shared" si="7"/>
        <v>1619.7811380375927</v>
      </c>
      <c r="N189" s="28">
        <f>+M189+I189%*PERALTE!$C$32</f>
        <v>1620.0611380375926</v>
      </c>
      <c r="O189" s="92"/>
      <c r="P189" s="84"/>
      <c r="Q189" s="84"/>
      <c r="R189" s="84"/>
      <c r="S189" s="84"/>
      <c r="T189" s="84"/>
      <c r="U189" s="84"/>
      <c r="V189" s="84"/>
      <c r="W189" s="84"/>
      <c r="X189" s="84"/>
      <c r="Y189" s="84"/>
    </row>
    <row r="190" spans="1:25" ht="15.75" customHeight="1" x14ac:dyDescent="0.2">
      <c r="A190" s="90"/>
      <c r="B190" s="191"/>
      <c r="C190" s="192" t="str">
        <f>AH!H16</f>
        <v>Izquierda</v>
      </c>
      <c r="D190" s="196"/>
      <c r="F190" s="34">
        <v>1190</v>
      </c>
      <c r="G190" s="88">
        <f>IF(F190&lt;=AV!$T$6,AV!$C$5,IF(RASANTE!F190&lt;=AV!$T$8,AV!$C$7,IF(RASANTE!F190&lt;=AV!$T$10,AV!$C$9,IF(RASANTE!F190&lt;=AV!$T$12,AV!$C$11,IF(RASANTE!F190&lt;=AV!$T$14,AV!$C$13,IF(RASANTE!F190&lt;=AV!$T$16,AV!$C$15, IF(RASANTE!F190&lt;=AV!$T$18,AV!$C$17,IF(RASANTE!F190&lt;=AV!$T$20,AV!$C$19,IF(RASANTE!F190&lt;=AV!$T$22,AV!$C$21,IF(RASANTE!F190&lt;=AV!$T$24,AV!$C$23,AV!$C$25))))))))))</f>
        <v>8.1999999999999993</v>
      </c>
      <c r="H190" s="28">
        <f>+IF(AND(AH!$H$8="Izquierda",RASANTE!F190&lt;=PERALTE!$AB$6),IF(RASANTE!F190&lt;=PERALTE!$S$6,-2,IF(RASANTE!F190&lt;=PERALTE!$U$6,(-6/(PERALTE!$U$6-PERALTE!$S$6)*(RASANTE!F190-PERALTE!$S$6)-2),IF(RASANTE!F190&lt;=PERALTE!$X$6,-8,IF(RASANTE!F190&lt;=PERALTE!$Z$6,(-6/(PERALTE!$X$6-PERALTE!$Z$6)*(RASANTE!F190-PERALTE!$Z$6)-2),IF(RASANTE!F190&lt;=PERALTE!$AB$6,-2))))),IF(AND(AH!$H$8="Derecha",RASANTE!F190&lt;=PERALTE!$AB$6),IF(RASANTE!F190&lt;=PERALTE!$Q$6,-2,IF(RASANTE!F190&lt;=PERALTE!$U$6,(10/(PERALTE!$U$6-PERALTE!$Q$6)*(RASANTE!F190-PERALTE!$Q$6)-2),IF(RASANTE!F190&lt;=PERALTE!$X$6,8,IF(RASANTE!F190&lt;=PERALTE!$AB$6,(10/(PERALTE!$X$6-PERALTE!$AB$6)*(RASANTE!F190-PERALTE!$AB$6)-2))))),IF(AND(AH!$H$10="Izquierda",RASANTE!F190&lt;=PERALTE!$AB$8),IF(RASANTE!F190&lt;=PERALTE!$S$8,-2,IF(RASANTE!F190&lt;=PERALTE!$U$8,(-6/(PERALTE!$U$8-PERALTE!$S$8)*(RASANTE!F190-PERALTE!$S$8)-2),IF(RASANTE!F190&lt;=PERALTE!$X$8,-8,IF(RASANTE!F190&lt;=PERALTE!$Z$8,(-6/(PERALTE!$X$8-PERALTE!$Z$8)*(RASANTE!F190-PERALTE!$Z$8)-2),IF(RASANTE!F190&lt;=PERALTE!$AB$8,-2))))),IF(AND(AH!$H$10="Derecha",RASANTE!F190&lt;=PERALTE!$AB$8),IF(RASANTE!F190&lt;=PERALTE!$Q$8,-2,IF(RASANTE!F190&lt;=PERALTE!$U$8,(10/(PERALTE!$U$8-PERALTE!$Q$8)*(RASANTE!F190-PERALTE!$Q$8)-2),IF(RASANTE!F190&lt;=PERALTE!$X$8,8,IF(RASANTE!F190&lt;=PERALTE!$AB$8,(10/(PERALTE!$X$8-PERALTE!$AB$8)*(RASANTE!F190-PERALTE!$AB$8)-2))))),IF(AND(AH!$H$12="Izquierda",RASANTE!F190&lt;=PERALTE!$AB$10),IF(RASANTE!F190&lt;=PERALTE!$S$10,-2,IF(RASANTE!F190&lt;=PERALTE!$U$10,(-6/(PERALTE!$U$10-PERALTE!$S$10)*(RASANTE!F190-PERALTE!$S$10)-2),IF(RASANTE!F190&lt;=PERALTE!$X$10,-8,IF(RASANTE!F190&lt;=PERALTE!$Z$10,(-6/(PERALTE!$X$10-PERALTE!$Z$10)*(RASANTE!F190-PERALTE!$Z$10)-2),IF(RASANTE!F190&lt;=PERALTE!$AB$10,-2))))),IF(AND(AH!$H$12="Derecha",RASANTE!F190&lt;=PERALTE!$AB$10),IF(RASANTE!F190&lt;=PERALTE!$Q$10,-2,IF(RASANTE!F190&lt;=PERALTE!$U$10,(10/(PERALTE!$U$10-PERALTE!$Q$10)*(RASANTE!F190-PERALTE!$Q$10)-2),IF(RASANTE!F190&lt;=PERALTE!$X$10,8,IF(RASANTE!F190&lt;=PERALTE!$AB$10,(10/(PERALTE!$X$10-PERALTE!$AB$10)*(RASANTE!F190-PERALTE!$AB$10)-2))))),IF(AND(AH!$H$14="Izquierda",RASANTE!F190&lt;=PERALTE!$AB$12),IF(RASANTE!F190&lt;=PERALTE!$S$12,-2,IF(RASANTE!F190&lt;=PERALTE!$U$12,(-6/(PERALTE!$U$12-PERALTE!$S$12)*(RASANTE!F190-PERALTE!$S$12)-2),IF(RASANTE!F190&lt;=PERALTE!$X$12,-8,IF(RASANTE!F190&lt;=PERALTE!$Z$12,(-6/(PERALTE!$X$12-PERALTE!$Z$12)*(RASANTE!F190-PERALTE!$Z$12)-2),IF(RASANTE!F190&lt;=PERALTE!$AB$12,-2))))),IF(AND(AH!$H$14="Derecha",RASANTE!F190&lt;=PERALTE!$AB$12),IF(RASANTE!F190&lt;=PERALTE!$Q$12,-2,IF(RASANTE!F190&lt;=PERALTE!$U$12,(10/(PERALTE!$U$12-PERALTE!$Q$12)*(RASANTE!F190-PERALTE!$Q$12)-2),IF(RASANTE!F190&lt;=PERALTE!$X$12,8,IF(RASANTE!F190&lt;=PERALTE!$AB$12,(10/(PERALTE!$X$12-PERALTE!$AB$12)*(RASANTE!F190-PERALTE!$AB$12)-2))))),IF(AND(AH!$H$16="Izquierda",RASANTE!F190&lt;=PERALTE!$AB$14),IF(RASANTE!F190&lt;=PERALTE!$S$14,-2,IF(RASANTE!F190&lt;=PERALTE!$U$14,(-6/(PERALTE!$U$14-PERALTE!$S$14)*(RASANTE!F190-PERALTE!$S$14)-2),IF(RASANTE!F190&lt;=PERALTE!$X$14,-8,IF(RASANTE!F190&lt;=PERALTE!$Z$14,(-6/(PERALTE!$X$14-PERALTE!$Z$14)*(RASANTE!F190-PERALTE!$Z$14)-2),IF(RASANTE!F190&lt;=PERALTE!$AB$14,-2))))),IF(AND(AH!$H$16="Derecha",RASANTE!F190&lt;=PERALTE!$AB$14),IF(RASANTE!F190&lt;=PERALTE!$Q$14,-2,IF(RASANTE!F190&lt;=PERALTE!$U$14,(10/(PERALTE!$U$14-PERALTE!$Q$14)*(RASANTE!F190-PERALTE!$Q$14)-2),IF(RASANTE!F190&lt;=PERALTE!$X$14,8,IF(RASANTE!F190&lt;=PERALTE!$AB$14,(10/(PERALTE!$X$14-PERALTE!$AB$14)*(RASANTE!F190-PERALTE!$AB$14)-2))))),IF(AND(AH!$H$18="Izquierda",RASANTE!F190&lt;=PERALTE!$AB$16),IF(RASANTE!F190&lt;=PERALTE!$S$16,-2,IF(RASANTE!F190&lt;=PERALTE!$U$16,(-6/(PERALTE!$U$16-PERALTE!$S$16)*(RASANTE!F190-PERALTE!$S$16)-2),IF(RASANTE!F190&lt;=PERALTE!$X$16,-8,IF(RASANTE!F190&lt;=PERALTE!$Z$16,(-6/(PERALTE!$X$16-PERALTE!$Z$16)*(RASANTE!F190-PERALTE!$Z$16)-2),IF(RASANTE!F190&lt;=PERALTE!$AB$16,-2))))),IF(AND(AH!$H$18="Derecha",RASANTE!F190&lt;=PERALTE!$AB$16),IF(RASANTE!F190&lt;=PERALTE!$Q$16,-2,IF(RASANTE!F190&lt;=PERALTE!$U$16,(10/(PERALTE!$U$16-PERALTE!$Q$16)*(RASANTE!F190-PERALTE!$Q$16)-2),IF(RASANTE!F190&lt;=PERALTE!$X$16,8,IF(RASANTE!F190&lt;=PERALTE!$AB$16,(10/(PERALTE!$X$16-PERALTE!$AB$16)*(RASANTE!F190-PERALTE!$AB$16)-2))))),IF(AND(AH!$H$20="Izquierda",RASANTE!F190&lt;=PERALTE!$AB$18),IF(RASANTE!F190&lt;=PERALTE!$S$18,-2,IF(RASANTE!F190&lt;=PERALTE!$U$18,(-6/(PERALTE!$U$18-PERALTE!$S$18)*(RASANTE!F190-PERALTE!$S$18)-2),IF(RASANTE!F190&lt;=PERALTE!$X$18,-8,IF(RASANTE!F190&lt;=PERALTE!$Z$18,(-6/(PERALTE!$X$18-PERALTE!$Z$18)*(RASANTE!F190-PERALTE!$Z$18)-2),IF(RASANTE!F190&lt;=PERALTE!$AB$18,-2))))),IF(AND(AH!$H$20="Derecha",RASANTE!F190&lt;=PERALTE!$AB$18),IF(RASANTE!F190&lt;=PERALTE!$Q$18,-2,IF(RASANTE!F190&lt;=PERALTE!$U$18,(10/(PERALTE!$U$18-PERALTE!$Q$18)*(RASANTE!F190-PERALTE!$Q$18)-2),IF(RASANTE!F190&lt;=PERALTE!$X$18,8,IF(RASANTE!F190&lt;=PERALTE!$AB$18,(10/(PERALTE!$X$18-PERALTE!$AB$18)*(RASANTE!F190-PERALTE!$AB$18)-2))))),IF(AND(AH!$H$24="Izquierda",RASANTE!F190&lt;=PERALTE!$AB$22),IF(RASANTE!F190&lt;=PERALTE!$S$22,-2,IF(RASANTE!F190&lt;=PERALTE!$U$22,(-6/(PERALTE!$U$22-PERALTE!$S$22)*(RASANTE!F190-PERALTE!$S$22)-2),IF(RASANTE!F190&lt;=PERALTE!$X$22,-8,IF(RASANTE!F190&lt;=PERALTE!$Z$22,(-6/(PERALTE!$X$22-PERALTE!$Z$22)*(RASANTE!F190-PERALTE!$Z$22)-2),IF(RASANTE!F190&lt;=PERALTE!$AB$22,-2))))),IF(AND(AH!$H$24="Derecha",RASANTE!F190&lt;=PERALTE!$AB$22),IF(RASANTE!F190&lt;=PERALTE!$Q$22,-2,IF(RASANTE!F190&lt;=PERALTE!$U$22,(10/(PERALTE!$U$22-PERALTE!$Q$22)*(RASANTE!F190-PERALTE!$Q$22)-2),IF(RASANTE!F190&lt;=PERALTE!$X$22,8,IF(RASANTE!F190&lt;=PERALTE!$AB$22,(10/(PERALTE!$X$22-PERALTE!$AB$22)*(RASANTE!F190-PERALTE!$AB$22)-2))))),IF(AND(AH!#REF!="Izquierda",RASANTE!F190&lt;=PERALTE!#REF!),IF(RASANTE!F190&lt;=PERALTE!#REF!,-2,IF(RASANTE!F190&lt;=PERALTE!#REF!,(-6/(PERALTE!#REF!-PERALTE!#REF!)*(RASANTE!F190-PERALTE!#REF!)-2),IF(RASANTE!F190&lt;=PERALTE!#REF!,-8,IF(RASANTE!F190&lt;=PERALTE!#REF!,(-6/(PERALTE!#REF!-PERALTE!#REF!)*(RASANTE!F190-PERALTE!#REF!)-2),IF(RASANTE!F190&lt;=PERALTE!#REF!,-2))))),IF(AND(AH!#REF!="Derecha",RASANTE!F190&lt;=PERALTE!#REF!),IF(RASANTE!F190&lt;=PERALTE!#REF!,-2,IF(RASANTE!F190&lt;=PERALTE!#REF!,(10/(PERALTE!#REF!-PERALTE!#REF!)*(RASANTE!F190-PERALTE!#REF!)-2),IF(RASANTE!F190&lt;=PERALTE!#REF!,8,IF(RASANTE!F190&lt;=PERALTE!#REF!,(10/(PERALTE!#REF!-PERALTE!#REF!)*(RASANTE!F190-PERALTE!#REF!)-2))))),IF(AND(AH!#REF!="Izquierda",RASANTE!F190&lt;=PERALTE!$AB$26),IF(RASANTE!F190&lt;=PERALTE!$S$26,-2,IF(RASANTE!F190&lt;=PERALTE!$U$26,(-6/(PERALTE!$U$26-PERALTE!$S$26)*(RASANTE!F190-PERALTE!$S$26)-2),IF(RASANTE!F190&lt;=PERALTE!$X$26,-8,IF(RASANTE!F190&lt;=PERALTE!$Z$26,(-6/(PERALTE!$X$26-PERALTE!$Z$26)*(RASANTE!F190-PERALTE!$Z$26)-2),IF(RASANTE!F190&lt;=PERALTE!$AB$26,-2))))),IF(AND(AH!#REF!="Derecha",RASANTE!F190&lt;=PERALTE!$AB$26),IF(RASANTE!F190&lt;=PERALTE!$Q$26,-2,IF(RASANTE!F190&lt;=PERALTE!$U$26,(10/(PERALTE!$U$26-PERALTE!$Q$26)*(RASANTE!F190-PERALTE!$Q$26)-2),IF(RASANTE!F190&lt;=PERALTE!$X$26,8,IF(RASANTE!F190&lt;=PERALTE!$AB$26,(10/(PERALTE!$X$26-PERALTE!$AB$26)*(RASANTE!F190-PERALTE!$AB$26)-2))))),IF(F190&lt;=PERALTE!#REF!,-2,"Abscisa fuera de la vía")))))))))))))))))))))</f>
        <v>-8</v>
      </c>
      <c r="I190" s="28">
        <f>+IF(AND(AH!$H$8="Derecha",RASANTE!F190&lt;=PERALTE!$AB$6),IF(RASANTE!F190&lt;=PERALTE!$S$6,-2,IF(RASANTE!F190&lt;=PERALTE!$U$6,(-6/(PERALTE!$U$6-PERALTE!$S$6)*(RASANTE!F190-PERALTE!$S$6)-2),IF(RASANTE!F190&lt;=PERALTE!$X$6,-8,IF(RASANTE!F190&lt;=PERALTE!$Z$6,(-6/(PERALTE!$X$6-PERALTE!$Z$6)*(RASANTE!F190-PERALTE!$Z$6)-2),IF(RASANTE!F190&lt;=PERALTE!$AB$6,-2))))),IF(AND(AH!$H$8="Izquierda",RASANTE!F190&lt;=PERALTE!$AB$6),IF(RASANTE!F190&lt;=PERALTE!$Q$6,-2,IF(RASANTE!F190&lt;=PERALTE!$U$6,(10/(PERALTE!$U$6-PERALTE!$Q$6)*(RASANTE!F190-PERALTE!$Q$6)-2),IF(RASANTE!F190&lt;=PERALTE!$X$6,8,IF(RASANTE!F190&lt;=PERALTE!$AB$6,(10/(PERALTE!$X$6-PERALTE!$AB$6)*(RASANTE!F190-PERALTE!$AB$6)-2))))),IF(AND(AH!$H$10="Derecha",RASANTE!F190&lt;=PERALTE!$AB$8),IF(RASANTE!F190&lt;=PERALTE!$S$8,-2,IF(RASANTE!F190&lt;=PERALTE!$U$8,(-6/(PERALTE!$U$8-PERALTE!$S$8)*(RASANTE!F190-PERALTE!$S$8)-2),IF(RASANTE!F190&lt;=PERALTE!$X$8,-8,IF(RASANTE!F190&lt;=PERALTE!$Z$8,(-6/(PERALTE!$X$8-PERALTE!$Z$8)*(RASANTE!F190-PERALTE!$Z$8)-2),IF(RASANTE!F190&lt;=PERALTE!$AB$8,-2))))),IF(AND(AH!$H$10="Izquierda",RASANTE!F190&lt;=PERALTE!$AB$8),IF(RASANTE!F190&lt;=PERALTE!$Q$8,-2,IF(RASANTE!F190&lt;=PERALTE!$U$8,(10/(PERALTE!$U$8-PERALTE!$Q$8)*(RASANTE!F190-PERALTE!$Q$8)-2),IF(RASANTE!F190&lt;=PERALTE!$X$8,8,IF(RASANTE!F190&lt;=PERALTE!$AB$8,(10/(PERALTE!$X$8-PERALTE!$AB$8)*(RASANTE!F190-PERALTE!$AB$8)-2))))),IF(AND(AH!$H$12="Derecha",RASANTE!F190&lt;=PERALTE!$AB$10),IF(RASANTE!F190&lt;=PERALTE!$S$10,-2,IF(RASANTE!F190&lt;=PERALTE!$U$10,(-6/(PERALTE!$U$10-PERALTE!$S$10)*(RASANTE!F190-PERALTE!$S$10)-2),IF(RASANTE!F190&lt;=PERALTE!$X$10,-8,IF(RASANTE!F190&lt;=PERALTE!$Z$10,(-6/(PERALTE!$X$10-PERALTE!$Z$10)*(RASANTE!F190-PERALTE!$Z$10)-2),IF(RASANTE!F190&lt;=PERALTE!$AB$10,-2))))),IF(AND(AH!$H$12="Izquierda",RASANTE!F190&lt;=PERALTE!$AB$10),IF(RASANTE!F190&lt;=PERALTE!$Q$10,-2,IF(RASANTE!F190&lt;=PERALTE!$U$10,(10/(PERALTE!$U$10-PERALTE!$Q$10)*(RASANTE!F190-PERALTE!$Q$10)-2),IF(RASANTE!F190&lt;=PERALTE!$X$10,8,IF(RASANTE!F190&lt;=PERALTE!$AB$10,(10/(PERALTE!$X$10-PERALTE!$AB$10)*(RASANTE!F190-PERALTE!$AB$10)-2))))),IF(AND(AH!$H$14="Derecha",RASANTE!F190&lt;=PERALTE!$AB$12),IF(RASANTE!F190&lt;=PERALTE!$S$12,-2,IF(RASANTE!F190&lt;=PERALTE!$U$12,(-6/(PERALTE!$U$12-PERALTE!$S$12)*(RASANTE!F190-PERALTE!$S$12)-2),IF(RASANTE!F190&lt;=PERALTE!$X$12,-8,IF(RASANTE!F190&lt;=PERALTE!$Z$12,(-6/(PERALTE!$X$12-PERALTE!$Z$12)*(RASANTE!F190-PERALTE!$Z$12)-2),IF(RASANTE!F190&lt;=PERALTE!$AB$12,-2))))),IF(AND(AH!$H$14="Izquierda",RASANTE!F190&lt;=PERALTE!$AB$12),IF(RASANTE!F190&lt;=PERALTE!$Q$12,-2,IF(RASANTE!F190&lt;=PERALTE!$U$12,(10/(PERALTE!$U$12-PERALTE!$Q$12)*(RASANTE!F190-PERALTE!$Q$12)-2),IF(RASANTE!F190&lt;=PERALTE!$X$12,8,IF(RASANTE!F190&lt;=PERALTE!$AB$12,(10/(PERALTE!$X$12-PERALTE!$AB$12)*(RASANTE!F190-PERALTE!$AB$12)-2))))),IF(AND(AH!$H$16="Derecha",RASANTE!F190&lt;=PERALTE!$AB$14),IF(RASANTE!F190&lt;=PERALTE!$S$14,-2,IF(RASANTE!F190&lt;=PERALTE!$U$14,(-6/(PERALTE!$U$14-PERALTE!$S$14)*(RASANTE!F190-PERALTE!$S$14)-2),IF(RASANTE!F190&lt;=PERALTE!$X$14,-8,IF(RASANTE!F190&lt;=PERALTE!$Z$14,(-6/(PERALTE!$X$14-PERALTE!$Z$14)*(RASANTE!F190-PERALTE!$Z$14)-2),IF(RASANTE!F190&lt;=PERALTE!$AB$14,-2))))),IF(AND(AH!$H$16="Izquierda",RASANTE!F190&lt;=PERALTE!$AB$14),IF(RASANTE!F190&lt;=PERALTE!$Q$14,-2,IF(RASANTE!F190&lt;=PERALTE!$U$14,(10/(PERALTE!$U$14-PERALTE!$Q$14)*(RASANTE!F190-PERALTE!$Q$14)-2),IF(RASANTE!F190&lt;=PERALTE!$X$14,8,IF(RASANTE!F190&lt;=PERALTE!$AB$14,(10/(PERALTE!$X$14-PERALTE!$AB$14)*(RASANTE!F190-PERALTE!$AB$14)-2))))),IF(AND(AH!$H$18="Derecha",RASANTE!F190&lt;=PERALTE!$AB$16),IF(RASANTE!F190&lt;=PERALTE!$S$16,-2,IF(RASANTE!F190&lt;=PERALTE!$U$16,(-6/(PERALTE!$U$16-PERALTE!$S$16)*(RASANTE!F190-PERALTE!$S$16)-2),IF(RASANTE!F190&lt;=PERALTE!$X$16,-8,IF(RASANTE!F190&lt;=PERALTE!$Z$16,(-6/(PERALTE!$X$16-PERALTE!$Z$16)*(RASANTE!F190-PERALTE!$Z$16)-2),IF(RASANTE!F190&lt;=PERALTE!$AB$16,-2))))),IF(AND(AH!$H$18="Izquierda",RASANTE!F190&lt;=PERALTE!$AB$16),IF(RASANTE!F190&lt;=PERALTE!$Q$16,-2,IF(RASANTE!F190&lt;=PERALTE!$U$16,(10/(PERALTE!$U$16-PERALTE!$Q$16)*(RASANTE!F190-PERALTE!$Q$16)-2),IF(RASANTE!F190&lt;=PERALTE!$X$16,8,IF(RASANTE!F190&lt;=PERALTE!$AB$16,(10/(PERALTE!$X$16-PERALTE!$AB$16)*(RASANTE!F190-PERALTE!$AB$16)-2))))),IF(AND(AH!$H$20="Derecha",RASANTE!F190&lt;=PERALTE!$AB$18),IF(RASANTE!F190&lt;=PERALTE!$S$18,-2,IF(RASANTE!F190&lt;=PERALTE!$U$18,(-6/(PERALTE!$U$18-PERALTE!$S$18)*(RASANTE!F190-PERALTE!$S$18)-2),IF(RASANTE!F190&lt;=PERALTE!$X$18,-8,IF(RASANTE!F190&lt;=PERALTE!$Z$18,(-6/(PERALTE!$X$18-PERALTE!$Z$18)*(RASANTE!F190-PERALTE!$Z$18)-2),IF(RASANTE!F190&lt;=PERALTE!$AB$18,-2))))),IF(AND(AH!$H$20="Izquierda",RASANTE!F190&lt;=PERALTE!$AB$18),IF(RASANTE!F190&lt;=PERALTE!$Q$18,-2,IF(RASANTE!F190&lt;=PERALTE!$U$18,(10/(PERALTE!$U$18-PERALTE!$Q$18)*(RASANTE!F190-PERALTE!$Q$18)-2),IF(RASANTE!F190&lt;=PERALTE!$X$18,8,IF(RASANTE!F190&lt;=PERALTE!$AB$18,(10/(PERALTE!$X$18-PERALTE!$AB$18)*(RASANTE!F190-PERALTE!$AB$18)-2))))),IF(AND(AH!$H$24="Derecha",RASANTE!F190&lt;=PERALTE!$AB$22),IF(RASANTE!F190&lt;=PERALTE!$S$22,-2,IF(RASANTE!F190&lt;=PERALTE!$U$22,(-6/(PERALTE!$U$22-PERALTE!$S$22)*(RASANTE!F190-PERALTE!$S$22)-2),IF(RASANTE!F190&lt;=PERALTE!$X$22,-8,IF(RASANTE!F190&lt;=PERALTE!$Z$22,(-6/(PERALTE!$X$22-PERALTE!$Z$22)*(RASANTE!F190-PERALTE!$Z$22)-2),IF(RASANTE!F190&lt;=PERALTE!$AB$22,-2))))),IF(AND(AH!$H$24="Izquierda",RASANTE!F190&lt;=PERALTE!$AB$22),IF(RASANTE!F190&lt;=PERALTE!$Q$22,-2,IF(RASANTE!F190&lt;=PERALTE!$U$22,(10/(PERALTE!$U$22-PERALTE!$Q$22)*(RASANTE!F190-PERALTE!$Q$22)-2),IF(RASANTE!F190&lt;=PERALTE!$X$22,8,IF(RASANTE!F190&lt;=PERALTE!$AB$22,(10/(PERALTE!$X$22-PERALTE!$AB$22)*(RASANTE!F190-PERALTE!$AB$22)-2))))),IF(AND(AH!#REF!="Derecha",RASANTE!F190&lt;=PERALTE!#REF!),IF(RASANTE!F190&lt;=PERALTE!#REF!,-2,IF(RASANTE!F190&lt;=PERALTE!#REF!,(-6/(PERALTE!#REF!-PERALTE!#REF!)*(RASANTE!F190-PERALTE!#REF!)-2),IF(RASANTE!F190&lt;=PERALTE!#REF!,-8,IF(RASANTE!F190&lt;=PERALTE!#REF!,(-6/(PERALTE!#REF!-PERALTE!#REF!)*(RASANTE!F190-PERALTE!#REF!)-2),IF(RASANTE!F190&lt;=PERALTE!#REF!,-2))))),IF(AND(AH!#REF!="Izquierda",RASANTE!F190&lt;=PERALTE!#REF!),IF(RASANTE!F190&lt;=PERALTE!#REF!,-2,IF(RASANTE!F190&lt;=PERALTE!#REF!,(10/(PERALTE!#REF!-PERALTE!#REF!)*(RASANTE!F190-PERALTE!#REF!)-2),IF(RASANTE!F190&lt;=PERALTE!#REF!,8,IF(RASANTE!F190&lt;=PERALTE!#REF!,(10/(PERALTE!#REF!-PERALTE!#REF!)*(RASANTE!F190-PERALTE!#REF!)-2))))),IF(AND(AH!#REF!="Derecha",RASANTE!F190&lt;=PERALTE!$AB$26),IF(RASANTE!F190&lt;=PERALTE!$S$26,-2,IF(RASANTE!F190&lt;=PERALTE!$U$26,(-6/(PERALTE!$U$26-PERALTE!$S$26)*(RASANTE!F190-PERALTE!$S$26)-2),IF(RASANTE!F190&lt;=PERALTE!$X$26,-8,IF(RASANTE!F190&lt;=PERALTE!$Z$26,(-6/(PERALTE!$X$26-PERALTE!$Z$26)*(RASANTE!F190-PERALTE!$Z$26)-2),IF(RASANTE!F190&lt;=PERALTE!$AB$26,-2))))),IF(AND(AH!#REF!="Izquierda",RASANTE!F190&lt;=PERALTE!$AB$26),IF(RASANTE!F190&lt;=PERALTE!$Q$26,-2,IF(RASANTE!F190&lt;=PERALTE!$U$26,(10/(PERALTE!$U$26-PERALTE!$Q$26)*(RASANTE!F190-PERALTE!$Q$26)-2),IF(RASANTE!F190&lt;=PERALTE!$X$26,8,IF(RASANTE!F190&lt;=PERALTE!$AB$26,(10/(PERALTE!$X$26-PERALTE!$AB$26)*(RASANTE!F190-PERALTE!$AB$26)-2))))),IF(F190&lt;=PERALTE!#REF!,-2,"Abscisa fuera de la vía")))))))))))))))))))))</f>
        <v>8</v>
      </c>
      <c r="J190" s="28">
        <f>J189+((F190-F189)*G189/100)</f>
        <v>1620.6011380375926</v>
      </c>
      <c r="K190" s="28">
        <f>+IF(AND(AV!$S$6&lt;F190,F190&lt;=AV!$T$6),AV!$P$6*((AV!$S$6-RASANTE!F190)/(AV!$N$6))^2,IF(AND(AV!$T$6&lt;RASANTE!F190,F190&lt;AV!$U$6),AV!$P$6*((AV!$U$6-RASANTE!F190)/(AV!$O$6))^2,IF(AND(AV!$S$8&lt;F190,F190&lt;=AV!$T$8),AV!$P$8*((AV!$S$8-RASANTE!F190)/(AV!$N$8))^2,IF(AND(AV!$T$8&lt;RASANTE!F190,F190&lt;AV!$U$8),AV!$P$8*((AV!$U$8-RASANTE!F190)/(AV!$O$8))^2,IF(AND(AV!$S$10&lt;F190,F190&lt;=AV!$T$10),AV!$P$10*((AV!$S$10-RASANTE!F190)/(AV!$N$10))^2,IF(AND(AV!$T$10&lt;RASANTE!F190,F190&lt;AV!$U$10),AV!$P$10*((AV!$U$10-RASANTE!F190)/(AV!$O$10))^2,IF(AND(AV!$S$12&lt;F190,F190&lt;=AV!$T$12),AV!$P$12*((AV!$S$12-RASANTE!F190)/(AV!$N$12))^2,IF(AND(AV!$T$12&lt;RASANTE!F190,F190&lt;AV!$U$12),AV!$P$12*((AV!$U$12-RASANTE!F190)/(AV!$O$12))^2,IF(AND(AV!$S$14&lt;F190,F190&lt;=AV!$T$14),AV!$P$14*((AV!$S$14-RASANTE!F190)/(AV!$N$14))^2,IF(AND(AV!$T$14&lt;RASANTE!F190,F190&lt;AV!$U$14),AV!$P$14*((AV!$U$14-RASANTE!F190)/(AV!$O$14))^2,IF(AND(AV!$S$16&lt;F190,F190&lt;=AV!$T$16),AV!$P$16*((AV!$S$16-RASANTE!F190)/(AV!$N$16))^2,IF(AND(AV!$T$16&lt;RASANTE!F190,F190&lt;AV!$U$16),AV!$P$16*((AV!$U$16-RASANTE!F190)/(AV!$O$16))^2,IF(AND(AV!$S$18&lt;F190,F190&lt;=AV!$T$18),AV!$P$18*((AV!$S$18-RASANTE!F190)/(AV!$N$18))^2,IF(AND(AV!$T$18&lt;RASANTE!F190,F190&lt;AV!$U$18),AV!$P$18*((AV!$U$18-RASANTE!F190)/(AV!$O$18))^2,IF(AND(AV!$S$20&lt;F190,F190&lt;=AV!$T$20),AV!$P$20*((AV!$S$20-RASANTE!F190)/(AV!$N$20))^2,IF(AND(AV!$T$20&lt;RASANTE!F190,F190&lt;AV!$U$20),AV!$P$20*((AV!$U$20-RASANTE!F190)/(AV!$O$20))^2,IF(AND(AV!$S$22&lt;F190,F190&lt;=AV!$T$22),AV!$P$22*((AV!$S$22-RASANTE!F190)/(AV!$N$22))^2,IF(AND(AV!$T$22&lt;RASANTE!F190,F190&lt;AV!$U$22),AV!$P$22*((AV!$U$22-RASANTE!F190)/(AV!$O$22))^2,IF(AND(AV!$S$24&lt;F190,F190&lt;=AV!$T$24),AV!$P$24*((AV!$S$24-RASANTE!F190)/(AV!$N$24))^2,IF(AND(AV!$T$24&lt;RASANTE!F190,F190&lt;AV!$U$24),AV!$P$24*((AV!$U$24-RASANTE!F190)/(AV!$O$24))^2,0))))))))))))))))))))</f>
        <v>0</v>
      </c>
      <c r="L190" s="28">
        <f>+M190+H190%*PERALTE!$C$32</f>
        <v>1620.3211380375926</v>
      </c>
      <c r="M190" s="28">
        <f t="shared" si="7"/>
        <v>1620.6011380375926</v>
      </c>
      <c r="N190" s="28">
        <f>+M190+I190%*PERALTE!$C$32</f>
        <v>1620.8811380375926</v>
      </c>
      <c r="O190" s="92"/>
      <c r="P190" s="84"/>
      <c r="Q190" s="84"/>
      <c r="R190" s="84"/>
      <c r="S190" s="84"/>
      <c r="T190" s="84"/>
      <c r="U190" s="84"/>
      <c r="V190" s="84"/>
      <c r="W190" s="84"/>
      <c r="X190" s="84"/>
      <c r="Y190" s="84"/>
    </row>
    <row r="191" spans="1:25" ht="15.75" customHeight="1" x14ac:dyDescent="0.2">
      <c r="A191" s="90"/>
      <c r="B191" s="86"/>
      <c r="C191" s="86"/>
      <c r="D191" s="86"/>
      <c r="F191" s="34">
        <v>1200</v>
      </c>
      <c r="G191" s="88">
        <f>IF(F191&lt;=AV!$T$6,AV!$C$5,IF(RASANTE!F191&lt;=AV!$T$8,AV!$C$7,IF(RASANTE!F191&lt;=AV!$T$10,AV!$C$9,IF(RASANTE!F191&lt;=AV!$T$12,AV!$C$11,IF(RASANTE!F191&lt;=AV!$T$14,AV!$C$13,IF(RASANTE!F191&lt;=AV!$T$16,AV!$C$15, IF(RASANTE!F191&lt;=AV!$T$18,AV!$C$17,IF(RASANTE!F191&lt;=AV!$T$20,AV!$C$19,IF(RASANTE!F191&lt;=AV!$T$22,AV!$C$21,IF(RASANTE!F191&lt;=AV!$T$24,AV!$C$23,AV!$C$25))))))))))</f>
        <v>8.1999999999999993</v>
      </c>
      <c r="H191" s="28">
        <f>+IF(AND(AH!$H$8="Izquierda",RASANTE!F191&lt;=PERALTE!$AB$6),IF(RASANTE!F191&lt;=PERALTE!$S$6,-2,IF(RASANTE!F191&lt;=PERALTE!$U$6,(-6/(PERALTE!$U$6-PERALTE!$S$6)*(RASANTE!F191-PERALTE!$S$6)-2),IF(RASANTE!F191&lt;=PERALTE!$X$6,-8,IF(RASANTE!F191&lt;=PERALTE!$Z$6,(-6/(PERALTE!$X$6-PERALTE!$Z$6)*(RASANTE!F191-PERALTE!$Z$6)-2),IF(RASANTE!F191&lt;=PERALTE!$AB$6,-2))))),IF(AND(AH!$H$8="Derecha",RASANTE!F191&lt;=PERALTE!$AB$6),IF(RASANTE!F191&lt;=PERALTE!$Q$6,-2,IF(RASANTE!F191&lt;=PERALTE!$U$6,(10/(PERALTE!$U$6-PERALTE!$Q$6)*(RASANTE!F191-PERALTE!$Q$6)-2),IF(RASANTE!F191&lt;=PERALTE!$X$6,8,IF(RASANTE!F191&lt;=PERALTE!$AB$6,(10/(PERALTE!$X$6-PERALTE!$AB$6)*(RASANTE!F191-PERALTE!$AB$6)-2))))),IF(AND(AH!$H$10="Izquierda",RASANTE!F191&lt;=PERALTE!$AB$8),IF(RASANTE!F191&lt;=PERALTE!$S$8,-2,IF(RASANTE!F191&lt;=PERALTE!$U$8,(-6/(PERALTE!$U$8-PERALTE!$S$8)*(RASANTE!F191-PERALTE!$S$8)-2),IF(RASANTE!F191&lt;=PERALTE!$X$8,-8,IF(RASANTE!F191&lt;=PERALTE!$Z$8,(-6/(PERALTE!$X$8-PERALTE!$Z$8)*(RASANTE!F191-PERALTE!$Z$8)-2),IF(RASANTE!F191&lt;=PERALTE!$AB$8,-2))))),IF(AND(AH!$H$10="Derecha",RASANTE!F191&lt;=PERALTE!$AB$8),IF(RASANTE!F191&lt;=PERALTE!$Q$8,-2,IF(RASANTE!F191&lt;=PERALTE!$U$8,(10/(PERALTE!$U$8-PERALTE!$Q$8)*(RASANTE!F191-PERALTE!$Q$8)-2),IF(RASANTE!F191&lt;=PERALTE!$X$8,8,IF(RASANTE!F191&lt;=PERALTE!$AB$8,(10/(PERALTE!$X$8-PERALTE!$AB$8)*(RASANTE!F191-PERALTE!$AB$8)-2))))),IF(AND(AH!$H$12="Izquierda",RASANTE!F191&lt;=PERALTE!$AB$10),IF(RASANTE!F191&lt;=PERALTE!$S$10,-2,IF(RASANTE!F191&lt;=PERALTE!$U$10,(-6/(PERALTE!$U$10-PERALTE!$S$10)*(RASANTE!F191-PERALTE!$S$10)-2),IF(RASANTE!F191&lt;=PERALTE!$X$10,-8,IF(RASANTE!F191&lt;=PERALTE!$Z$10,(-6/(PERALTE!$X$10-PERALTE!$Z$10)*(RASANTE!F191-PERALTE!$Z$10)-2),IF(RASANTE!F191&lt;=PERALTE!$AB$10,-2))))),IF(AND(AH!$H$12="Derecha",RASANTE!F191&lt;=PERALTE!$AB$10),IF(RASANTE!F191&lt;=PERALTE!$Q$10,-2,IF(RASANTE!F191&lt;=PERALTE!$U$10,(10/(PERALTE!$U$10-PERALTE!$Q$10)*(RASANTE!F191-PERALTE!$Q$10)-2),IF(RASANTE!F191&lt;=PERALTE!$X$10,8,IF(RASANTE!F191&lt;=PERALTE!$AB$10,(10/(PERALTE!$X$10-PERALTE!$AB$10)*(RASANTE!F191-PERALTE!$AB$10)-2))))),IF(AND(AH!$H$14="Izquierda",RASANTE!F191&lt;=PERALTE!$AB$12),IF(RASANTE!F191&lt;=PERALTE!$S$12,-2,IF(RASANTE!F191&lt;=PERALTE!$U$12,(-6/(PERALTE!$U$12-PERALTE!$S$12)*(RASANTE!F191-PERALTE!$S$12)-2),IF(RASANTE!F191&lt;=PERALTE!$X$12,-8,IF(RASANTE!F191&lt;=PERALTE!$Z$12,(-6/(PERALTE!$X$12-PERALTE!$Z$12)*(RASANTE!F191-PERALTE!$Z$12)-2),IF(RASANTE!F191&lt;=PERALTE!$AB$12,-2))))),IF(AND(AH!$H$14="Derecha",RASANTE!F191&lt;=PERALTE!$AB$12),IF(RASANTE!F191&lt;=PERALTE!$Q$12,-2,IF(RASANTE!F191&lt;=PERALTE!$U$12,(10/(PERALTE!$U$12-PERALTE!$Q$12)*(RASANTE!F191-PERALTE!$Q$12)-2),IF(RASANTE!F191&lt;=PERALTE!$X$12,8,IF(RASANTE!F191&lt;=PERALTE!$AB$12,(10/(PERALTE!$X$12-PERALTE!$AB$12)*(RASANTE!F191-PERALTE!$AB$12)-2))))),IF(AND(AH!$H$16="Izquierda",RASANTE!F191&lt;=PERALTE!$AB$14),IF(RASANTE!F191&lt;=PERALTE!$S$14,-2,IF(RASANTE!F191&lt;=PERALTE!$U$14,(-6/(PERALTE!$U$14-PERALTE!$S$14)*(RASANTE!F191-PERALTE!$S$14)-2),IF(RASANTE!F191&lt;=PERALTE!$X$14,-8,IF(RASANTE!F191&lt;=PERALTE!$Z$14,(-6/(PERALTE!$X$14-PERALTE!$Z$14)*(RASANTE!F191-PERALTE!$Z$14)-2),IF(RASANTE!F191&lt;=PERALTE!$AB$14,-2))))),IF(AND(AH!$H$16="Derecha",RASANTE!F191&lt;=PERALTE!$AB$14),IF(RASANTE!F191&lt;=PERALTE!$Q$14,-2,IF(RASANTE!F191&lt;=PERALTE!$U$14,(10/(PERALTE!$U$14-PERALTE!$Q$14)*(RASANTE!F191-PERALTE!$Q$14)-2),IF(RASANTE!F191&lt;=PERALTE!$X$14,8,IF(RASANTE!F191&lt;=PERALTE!$AB$14,(10/(PERALTE!$X$14-PERALTE!$AB$14)*(RASANTE!F191-PERALTE!$AB$14)-2))))),IF(AND(AH!$H$18="Izquierda",RASANTE!F191&lt;=PERALTE!$AB$16),IF(RASANTE!F191&lt;=PERALTE!$S$16,-2,IF(RASANTE!F191&lt;=PERALTE!$U$16,(-6/(PERALTE!$U$16-PERALTE!$S$16)*(RASANTE!F191-PERALTE!$S$16)-2),IF(RASANTE!F191&lt;=PERALTE!$X$16,-8,IF(RASANTE!F191&lt;=PERALTE!$Z$16,(-6/(PERALTE!$X$16-PERALTE!$Z$16)*(RASANTE!F191-PERALTE!$Z$16)-2),IF(RASANTE!F191&lt;=PERALTE!$AB$16,-2))))),IF(AND(AH!$H$18="Derecha",RASANTE!F191&lt;=PERALTE!$AB$16),IF(RASANTE!F191&lt;=PERALTE!$Q$16,-2,IF(RASANTE!F191&lt;=PERALTE!$U$16,(10/(PERALTE!$U$16-PERALTE!$Q$16)*(RASANTE!F191-PERALTE!$Q$16)-2),IF(RASANTE!F191&lt;=PERALTE!$X$16,8,IF(RASANTE!F191&lt;=PERALTE!$AB$16,(10/(PERALTE!$X$16-PERALTE!$AB$16)*(RASANTE!F191-PERALTE!$AB$16)-2))))),IF(AND(AH!$H$20="Izquierda",RASANTE!F191&lt;=PERALTE!$AB$18),IF(RASANTE!F191&lt;=PERALTE!$S$18,-2,IF(RASANTE!F191&lt;=PERALTE!$U$18,(-6/(PERALTE!$U$18-PERALTE!$S$18)*(RASANTE!F191-PERALTE!$S$18)-2),IF(RASANTE!F191&lt;=PERALTE!$X$18,-8,IF(RASANTE!F191&lt;=PERALTE!$Z$18,(-6/(PERALTE!$X$18-PERALTE!$Z$18)*(RASANTE!F191-PERALTE!$Z$18)-2),IF(RASANTE!F191&lt;=PERALTE!$AB$18,-2))))),IF(AND(AH!$H$20="Derecha",RASANTE!F191&lt;=PERALTE!$AB$18),IF(RASANTE!F191&lt;=PERALTE!$Q$18,-2,IF(RASANTE!F191&lt;=PERALTE!$U$18,(10/(PERALTE!$U$18-PERALTE!$Q$18)*(RASANTE!F191-PERALTE!$Q$18)-2),IF(RASANTE!F191&lt;=PERALTE!$X$18,8,IF(RASANTE!F191&lt;=PERALTE!$AB$18,(10/(PERALTE!$X$18-PERALTE!$AB$18)*(RASANTE!F191-PERALTE!$AB$18)-2))))),IF(AND(AH!$H$24="Izquierda",RASANTE!F191&lt;=PERALTE!$AB$22),IF(RASANTE!F191&lt;=PERALTE!$S$22,-2,IF(RASANTE!F191&lt;=PERALTE!$U$22,(-6/(PERALTE!$U$22-PERALTE!$S$22)*(RASANTE!F191-PERALTE!$S$22)-2),IF(RASANTE!F191&lt;=PERALTE!$X$22,-8,IF(RASANTE!F191&lt;=PERALTE!$Z$22,(-6/(PERALTE!$X$22-PERALTE!$Z$22)*(RASANTE!F191-PERALTE!$Z$22)-2),IF(RASANTE!F191&lt;=PERALTE!$AB$22,-2))))),IF(AND(AH!$H$24="Derecha",RASANTE!F191&lt;=PERALTE!$AB$22),IF(RASANTE!F191&lt;=PERALTE!$Q$22,-2,IF(RASANTE!F191&lt;=PERALTE!$U$22,(10/(PERALTE!$U$22-PERALTE!$Q$22)*(RASANTE!F191-PERALTE!$Q$22)-2),IF(RASANTE!F191&lt;=PERALTE!$X$22,8,IF(RASANTE!F191&lt;=PERALTE!$AB$22,(10/(PERALTE!$X$22-PERALTE!$AB$22)*(RASANTE!F191-PERALTE!$AB$22)-2))))),IF(AND(AH!#REF!="Izquierda",RASANTE!F191&lt;=PERALTE!#REF!),IF(RASANTE!F191&lt;=PERALTE!#REF!,-2,IF(RASANTE!F191&lt;=PERALTE!#REF!,(-6/(PERALTE!#REF!-PERALTE!#REF!)*(RASANTE!F191-PERALTE!#REF!)-2),IF(RASANTE!F191&lt;=PERALTE!#REF!,-8,IF(RASANTE!F191&lt;=PERALTE!#REF!,(-6/(PERALTE!#REF!-PERALTE!#REF!)*(RASANTE!F191-PERALTE!#REF!)-2),IF(RASANTE!F191&lt;=PERALTE!#REF!,-2))))),IF(AND(AH!#REF!="Derecha",RASANTE!F191&lt;=PERALTE!#REF!),IF(RASANTE!F191&lt;=PERALTE!#REF!,-2,IF(RASANTE!F191&lt;=PERALTE!#REF!,(10/(PERALTE!#REF!-PERALTE!#REF!)*(RASANTE!F191-PERALTE!#REF!)-2),IF(RASANTE!F191&lt;=PERALTE!#REF!,8,IF(RASANTE!F191&lt;=PERALTE!#REF!,(10/(PERALTE!#REF!-PERALTE!#REF!)*(RASANTE!F191-PERALTE!#REF!)-2))))),IF(AND(AH!#REF!="Izquierda",RASANTE!F191&lt;=PERALTE!$AB$26),IF(RASANTE!F191&lt;=PERALTE!$S$26,-2,IF(RASANTE!F191&lt;=PERALTE!$U$26,(-6/(PERALTE!$U$26-PERALTE!$S$26)*(RASANTE!F191-PERALTE!$S$26)-2),IF(RASANTE!F191&lt;=PERALTE!$X$26,-8,IF(RASANTE!F191&lt;=PERALTE!$Z$26,(-6/(PERALTE!$X$26-PERALTE!$Z$26)*(RASANTE!F191-PERALTE!$Z$26)-2),IF(RASANTE!F191&lt;=PERALTE!$AB$26,-2))))),IF(AND(AH!#REF!="Derecha",RASANTE!F191&lt;=PERALTE!$AB$26),IF(RASANTE!F191&lt;=PERALTE!$Q$26,-2,IF(RASANTE!F191&lt;=PERALTE!$U$26,(10/(PERALTE!$U$26-PERALTE!$Q$26)*(RASANTE!F191-PERALTE!$Q$26)-2),IF(RASANTE!F191&lt;=PERALTE!$X$26,8,IF(RASANTE!F191&lt;=PERALTE!$AB$26,(10/(PERALTE!$X$26-PERALTE!$AB$26)*(RASANTE!F191-PERALTE!$AB$26)-2))))),IF(F191&lt;=PERALTE!#REF!,-2,"Abscisa fuera de la vía")))))))))))))))))))))</f>
        <v>-8</v>
      </c>
      <c r="I191" s="28">
        <f>+IF(AND(AH!$H$8="Derecha",RASANTE!F191&lt;=PERALTE!$AB$6),IF(RASANTE!F191&lt;=PERALTE!$S$6,-2,IF(RASANTE!F191&lt;=PERALTE!$U$6,(-6/(PERALTE!$U$6-PERALTE!$S$6)*(RASANTE!F191-PERALTE!$S$6)-2),IF(RASANTE!F191&lt;=PERALTE!$X$6,-8,IF(RASANTE!F191&lt;=PERALTE!$Z$6,(-6/(PERALTE!$X$6-PERALTE!$Z$6)*(RASANTE!F191-PERALTE!$Z$6)-2),IF(RASANTE!F191&lt;=PERALTE!$AB$6,-2))))),IF(AND(AH!$H$8="Izquierda",RASANTE!F191&lt;=PERALTE!$AB$6),IF(RASANTE!F191&lt;=PERALTE!$Q$6,-2,IF(RASANTE!F191&lt;=PERALTE!$U$6,(10/(PERALTE!$U$6-PERALTE!$Q$6)*(RASANTE!F191-PERALTE!$Q$6)-2),IF(RASANTE!F191&lt;=PERALTE!$X$6,8,IF(RASANTE!F191&lt;=PERALTE!$AB$6,(10/(PERALTE!$X$6-PERALTE!$AB$6)*(RASANTE!F191-PERALTE!$AB$6)-2))))),IF(AND(AH!$H$10="Derecha",RASANTE!F191&lt;=PERALTE!$AB$8),IF(RASANTE!F191&lt;=PERALTE!$S$8,-2,IF(RASANTE!F191&lt;=PERALTE!$U$8,(-6/(PERALTE!$U$8-PERALTE!$S$8)*(RASANTE!F191-PERALTE!$S$8)-2),IF(RASANTE!F191&lt;=PERALTE!$X$8,-8,IF(RASANTE!F191&lt;=PERALTE!$Z$8,(-6/(PERALTE!$X$8-PERALTE!$Z$8)*(RASANTE!F191-PERALTE!$Z$8)-2),IF(RASANTE!F191&lt;=PERALTE!$AB$8,-2))))),IF(AND(AH!$H$10="Izquierda",RASANTE!F191&lt;=PERALTE!$AB$8),IF(RASANTE!F191&lt;=PERALTE!$Q$8,-2,IF(RASANTE!F191&lt;=PERALTE!$U$8,(10/(PERALTE!$U$8-PERALTE!$Q$8)*(RASANTE!F191-PERALTE!$Q$8)-2),IF(RASANTE!F191&lt;=PERALTE!$X$8,8,IF(RASANTE!F191&lt;=PERALTE!$AB$8,(10/(PERALTE!$X$8-PERALTE!$AB$8)*(RASANTE!F191-PERALTE!$AB$8)-2))))),IF(AND(AH!$H$12="Derecha",RASANTE!F191&lt;=PERALTE!$AB$10),IF(RASANTE!F191&lt;=PERALTE!$S$10,-2,IF(RASANTE!F191&lt;=PERALTE!$U$10,(-6/(PERALTE!$U$10-PERALTE!$S$10)*(RASANTE!F191-PERALTE!$S$10)-2),IF(RASANTE!F191&lt;=PERALTE!$X$10,-8,IF(RASANTE!F191&lt;=PERALTE!$Z$10,(-6/(PERALTE!$X$10-PERALTE!$Z$10)*(RASANTE!F191-PERALTE!$Z$10)-2),IF(RASANTE!F191&lt;=PERALTE!$AB$10,-2))))),IF(AND(AH!$H$12="Izquierda",RASANTE!F191&lt;=PERALTE!$AB$10),IF(RASANTE!F191&lt;=PERALTE!$Q$10,-2,IF(RASANTE!F191&lt;=PERALTE!$U$10,(10/(PERALTE!$U$10-PERALTE!$Q$10)*(RASANTE!F191-PERALTE!$Q$10)-2),IF(RASANTE!F191&lt;=PERALTE!$X$10,8,IF(RASANTE!F191&lt;=PERALTE!$AB$10,(10/(PERALTE!$X$10-PERALTE!$AB$10)*(RASANTE!F191-PERALTE!$AB$10)-2))))),IF(AND(AH!$H$14="Derecha",RASANTE!F191&lt;=PERALTE!$AB$12),IF(RASANTE!F191&lt;=PERALTE!$S$12,-2,IF(RASANTE!F191&lt;=PERALTE!$U$12,(-6/(PERALTE!$U$12-PERALTE!$S$12)*(RASANTE!F191-PERALTE!$S$12)-2),IF(RASANTE!F191&lt;=PERALTE!$X$12,-8,IF(RASANTE!F191&lt;=PERALTE!$Z$12,(-6/(PERALTE!$X$12-PERALTE!$Z$12)*(RASANTE!F191-PERALTE!$Z$12)-2),IF(RASANTE!F191&lt;=PERALTE!$AB$12,-2))))),IF(AND(AH!$H$14="Izquierda",RASANTE!F191&lt;=PERALTE!$AB$12),IF(RASANTE!F191&lt;=PERALTE!$Q$12,-2,IF(RASANTE!F191&lt;=PERALTE!$U$12,(10/(PERALTE!$U$12-PERALTE!$Q$12)*(RASANTE!F191-PERALTE!$Q$12)-2),IF(RASANTE!F191&lt;=PERALTE!$X$12,8,IF(RASANTE!F191&lt;=PERALTE!$AB$12,(10/(PERALTE!$X$12-PERALTE!$AB$12)*(RASANTE!F191-PERALTE!$AB$12)-2))))),IF(AND(AH!$H$16="Derecha",RASANTE!F191&lt;=PERALTE!$AB$14),IF(RASANTE!F191&lt;=PERALTE!$S$14,-2,IF(RASANTE!F191&lt;=PERALTE!$U$14,(-6/(PERALTE!$U$14-PERALTE!$S$14)*(RASANTE!F191-PERALTE!$S$14)-2),IF(RASANTE!F191&lt;=PERALTE!$X$14,-8,IF(RASANTE!F191&lt;=PERALTE!$Z$14,(-6/(PERALTE!$X$14-PERALTE!$Z$14)*(RASANTE!F191-PERALTE!$Z$14)-2),IF(RASANTE!F191&lt;=PERALTE!$AB$14,-2))))),IF(AND(AH!$H$16="Izquierda",RASANTE!F191&lt;=PERALTE!$AB$14),IF(RASANTE!F191&lt;=PERALTE!$Q$14,-2,IF(RASANTE!F191&lt;=PERALTE!$U$14,(10/(PERALTE!$U$14-PERALTE!$Q$14)*(RASANTE!F191-PERALTE!$Q$14)-2),IF(RASANTE!F191&lt;=PERALTE!$X$14,8,IF(RASANTE!F191&lt;=PERALTE!$AB$14,(10/(PERALTE!$X$14-PERALTE!$AB$14)*(RASANTE!F191-PERALTE!$AB$14)-2))))),IF(AND(AH!$H$18="Derecha",RASANTE!F191&lt;=PERALTE!$AB$16),IF(RASANTE!F191&lt;=PERALTE!$S$16,-2,IF(RASANTE!F191&lt;=PERALTE!$U$16,(-6/(PERALTE!$U$16-PERALTE!$S$16)*(RASANTE!F191-PERALTE!$S$16)-2),IF(RASANTE!F191&lt;=PERALTE!$X$16,-8,IF(RASANTE!F191&lt;=PERALTE!$Z$16,(-6/(PERALTE!$X$16-PERALTE!$Z$16)*(RASANTE!F191-PERALTE!$Z$16)-2),IF(RASANTE!F191&lt;=PERALTE!$AB$16,-2))))),IF(AND(AH!$H$18="Izquierda",RASANTE!F191&lt;=PERALTE!$AB$16),IF(RASANTE!F191&lt;=PERALTE!$Q$16,-2,IF(RASANTE!F191&lt;=PERALTE!$U$16,(10/(PERALTE!$U$16-PERALTE!$Q$16)*(RASANTE!F191-PERALTE!$Q$16)-2),IF(RASANTE!F191&lt;=PERALTE!$X$16,8,IF(RASANTE!F191&lt;=PERALTE!$AB$16,(10/(PERALTE!$X$16-PERALTE!$AB$16)*(RASANTE!F191-PERALTE!$AB$16)-2))))),IF(AND(AH!$H$20="Derecha",RASANTE!F191&lt;=PERALTE!$AB$18),IF(RASANTE!F191&lt;=PERALTE!$S$18,-2,IF(RASANTE!F191&lt;=PERALTE!$U$18,(-6/(PERALTE!$U$18-PERALTE!$S$18)*(RASANTE!F191-PERALTE!$S$18)-2),IF(RASANTE!F191&lt;=PERALTE!$X$18,-8,IF(RASANTE!F191&lt;=PERALTE!$Z$18,(-6/(PERALTE!$X$18-PERALTE!$Z$18)*(RASANTE!F191-PERALTE!$Z$18)-2),IF(RASANTE!F191&lt;=PERALTE!$AB$18,-2))))),IF(AND(AH!$H$20="Izquierda",RASANTE!F191&lt;=PERALTE!$AB$18),IF(RASANTE!F191&lt;=PERALTE!$Q$18,-2,IF(RASANTE!F191&lt;=PERALTE!$U$18,(10/(PERALTE!$U$18-PERALTE!$Q$18)*(RASANTE!F191-PERALTE!$Q$18)-2),IF(RASANTE!F191&lt;=PERALTE!$X$18,8,IF(RASANTE!F191&lt;=PERALTE!$AB$18,(10/(PERALTE!$X$18-PERALTE!$AB$18)*(RASANTE!F191-PERALTE!$AB$18)-2))))),IF(AND(AH!$H$24="Derecha",RASANTE!F191&lt;=PERALTE!$AB$22),IF(RASANTE!F191&lt;=PERALTE!$S$22,-2,IF(RASANTE!F191&lt;=PERALTE!$U$22,(-6/(PERALTE!$U$22-PERALTE!$S$22)*(RASANTE!F191-PERALTE!$S$22)-2),IF(RASANTE!F191&lt;=PERALTE!$X$22,-8,IF(RASANTE!F191&lt;=PERALTE!$Z$22,(-6/(PERALTE!$X$22-PERALTE!$Z$22)*(RASANTE!F191-PERALTE!$Z$22)-2),IF(RASANTE!F191&lt;=PERALTE!$AB$22,-2))))),IF(AND(AH!$H$24="Izquierda",RASANTE!F191&lt;=PERALTE!$AB$22),IF(RASANTE!F191&lt;=PERALTE!$Q$22,-2,IF(RASANTE!F191&lt;=PERALTE!$U$22,(10/(PERALTE!$U$22-PERALTE!$Q$22)*(RASANTE!F191-PERALTE!$Q$22)-2),IF(RASANTE!F191&lt;=PERALTE!$X$22,8,IF(RASANTE!F191&lt;=PERALTE!$AB$22,(10/(PERALTE!$X$22-PERALTE!$AB$22)*(RASANTE!F191-PERALTE!$AB$22)-2))))),IF(AND(AH!#REF!="Derecha",RASANTE!F191&lt;=PERALTE!#REF!),IF(RASANTE!F191&lt;=PERALTE!#REF!,-2,IF(RASANTE!F191&lt;=PERALTE!#REF!,(-6/(PERALTE!#REF!-PERALTE!#REF!)*(RASANTE!F191-PERALTE!#REF!)-2),IF(RASANTE!F191&lt;=PERALTE!#REF!,-8,IF(RASANTE!F191&lt;=PERALTE!#REF!,(-6/(PERALTE!#REF!-PERALTE!#REF!)*(RASANTE!F191-PERALTE!#REF!)-2),IF(RASANTE!F191&lt;=PERALTE!#REF!,-2))))),IF(AND(AH!#REF!="Izquierda",RASANTE!F191&lt;=PERALTE!#REF!),IF(RASANTE!F191&lt;=PERALTE!#REF!,-2,IF(RASANTE!F191&lt;=PERALTE!#REF!,(10/(PERALTE!#REF!-PERALTE!#REF!)*(RASANTE!F191-PERALTE!#REF!)-2),IF(RASANTE!F191&lt;=PERALTE!#REF!,8,IF(RASANTE!F191&lt;=PERALTE!#REF!,(10/(PERALTE!#REF!-PERALTE!#REF!)*(RASANTE!F191-PERALTE!#REF!)-2))))),IF(AND(AH!#REF!="Derecha",RASANTE!F191&lt;=PERALTE!$AB$26),IF(RASANTE!F191&lt;=PERALTE!$S$26,-2,IF(RASANTE!F191&lt;=PERALTE!$U$26,(-6/(PERALTE!$U$26-PERALTE!$S$26)*(RASANTE!F191-PERALTE!$S$26)-2),IF(RASANTE!F191&lt;=PERALTE!$X$26,-8,IF(RASANTE!F191&lt;=PERALTE!$Z$26,(-6/(PERALTE!$X$26-PERALTE!$Z$26)*(RASANTE!F191-PERALTE!$Z$26)-2),IF(RASANTE!F191&lt;=PERALTE!$AB$26,-2))))),IF(AND(AH!#REF!="Izquierda",RASANTE!F191&lt;=PERALTE!$AB$26),IF(RASANTE!F191&lt;=PERALTE!$Q$26,-2,IF(RASANTE!F191&lt;=PERALTE!$U$26,(10/(PERALTE!$U$26-PERALTE!$Q$26)*(RASANTE!F191-PERALTE!$Q$26)-2),IF(RASANTE!F191&lt;=PERALTE!$X$26,8,IF(RASANTE!F191&lt;=PERALTE!$AB$26,(10/(PERALTE!$X$26-PERALTE!$AB$26)*(RASANTE!F191-PERALTE!$AB$26)-2))))),IF(F191&lt;=PERALTE!#REF!,-2,"Abscisa fuera de la vía")))))))))))))))))))))</f>
        <v>8</v>
      </c>
      <c r="J191" s="28">
        <f t="shared" ref="J191:J195" si="8">J190+((F191-F190)*G190/100)</f>
        <v>1621.4211380375925</v>
      </c>
      <c r="K191" s="28">
        <f>+IF(AND(AV!$S$6&lt;F191,F191&lt;=AV!$T$6),AV!$P$6*((AV!$S$6-RASANTE!F191)/(AV!$N$6))^2,IF(AND(AV!$T$6&lt;RASANTE!F191,F191&lt;AV!$U$6),AV!$P$6*((AV!$U$6-RASANTE!F191)/(AV!$O$6))^2,IF(AND(AV!$S$8&lt;F191,F191&lt;=AV!$T$8),AV!$P$8*((AV!$S$8-RASANTE!F191)/(AV!$N$8))^2,IF(AND(AV!$T$8&lt;RASANTE!F191,F191&lt;AV!$U$8),AV!$P$8*((AV!$U$8-RASANTE!F191)/(AV!$O$8))^2,IF(AND(AV!$S$10&lt;F191,F191&lt;=AV!$T$10),AV!$P$10*((AV!$S$10-RASANTE!F191)/(AV!$N$10))^2,IF(AND(AV!$T$10&lt;RASANTE!F191,F191&lt;AV!$U$10),AV!$P$10*((AV!$U$10-RASANTE!F191)/(AV!$O$10))^2,IF(AND(AV!$S$12&lt;F191,F191&lt;=AV!$T$12),AV!$P$12*((AV!$S$12-RASANTE!F191)/(AV!$N$12))^2,IF(AND(AV!$T$12&lt;RASANTE!F191,F191&lt;AV!$U$12),AV!$P$12*((AV!$U$12-RASANTE!F191)/(AV!$O$12))^2,IF(AND(AV!$S$14&lt;F191,F191&lt;=AV!$T$14),AV!$P$14*((AV!$S$14-RASANTE!F191)/(AV!$N$14))^2,IF(AND(AV!$T$14&lt;RASANTE!F191,F191&lt;AV!$U$14),AV!$P$14*((AV!$U$14-RASANTE!F191)/(AV!$O$14))^2,IF(AND(AV!$S$16&lt;F191,F191&lt;=AV!$T$16),AV!$P$16*((AV!$S$16-RASANTE!F191)/(AV!$N$16))^2,IF(AND(AV!$T$16&lt;RASANTE!F191,F191&lt;AV!$U$16),AV!$P$16*((AV!$U$16-RASANTE!F191)/(AV!$O$16))^2,IF(AND(AV!$S$18&lt;F191,F191&lt;=AV!$T$18),AV!$P$18*((AV!$S$18-RASANTE!F191)/(AV!$N$18))^2,IF(AND(AV!$T$18&lt;RASANTE!F191,F191&lt;AV!$U$18),AV!$P$18*((AV!$U$18-RASANTE!F191)/(AV!$O$18))^2,IF(AND(AV!$S$20&lt;F191,F191&lt;=AV!$T$20),AV!$P$20*((AV!$S$20-RASANTE!F191)/(AV!$N$20))^2,IF(AND(AV!$T$20&lt;RASANTE!F191,F191&lt;AV!$U$20),AV!$P$20*((AV!$U$20-RASANTE!F191)/(AV!$O$20))^2,IF(AND(AV!$S$22&lt;F191,F191&lt;=AV!$T$22),AV!$P$22*((AV!$S$22-RASANTE!F191)/(AV!$N$22))^2,IF(AND(AV!$T$22&lt;RASANTE!F191,F191&lt;AV!$U$22),AV!$P$22*((AV!$U$22-RASANTE!F191)/(AV!$O$22))^2,IF(AND(AV!$S$24&lt;F191,F191&lt;=AV!$T$24),AV!$P$24*((AV!$S$24-RASANTE!F191)/(AV!$N$24))^2,IF(AND(AV!$T$24&lt;RASANTE!F191,F191&lt;AV!$U$24),AV!$P$24*((AV!$U$24-RASANTE!F191)/(AV!$O$24))^2,0))))))))))))))))))))</f>
        <v>0</v>
      </c>
      <c r="L191" s="28">
        <f>+M191+H191%*PERALTE!$C$32</f>
        <v>1621.1411380375926</v>
      </c>
      <c r="M191" s="28">
        <f t="shared" si="7"/>
        <v>1621.4211380375925</v>
      </c>
      <c r="N191" s="28">
        <f>+M191+I191%*PERALTE!$C$32</f>
        <v>1621.7011380375925</v>
      </c>
      <c r="O191" s="92"/>
      <c r="P191" s="84"/>
      <c r="Q191" s="84"/>
      <c r="R191" s="84"/>
      <c r="S191" s="84"/>
      <c r="T191" s="84"/>
      <c r="U191" s="84"/>
      <c r="V191" s="84"/>
      <c r="W191" s="84"/>
      <c r="X191" s="84"/>
      <c r="Y191" s="84"/>
    </row>
    <row r="192" spans="1:25" ht="15.75" customHeight="1" x14ac:dyDescent="0.2">
      <c r="A192" s="90"/>
      <c r="B192" s="86"/>
      <c r="C192" s="86"/>
      <c r="D192" s="86"/>
      <c r="F192" s="34">
        <v>1210</v>
      </c>
      <c r="G192" s="88">
        <f>IF(F192&lt;=AV!$T$6,AV!$C$5,IF(RASANTE!F192&lt;=AV!$T$8,AV!$C$7,IF(RASANTE!F192&lt;=AV!$T$10,AV!$C$9,IF(RASANTE!F192&lt;=AV!$T$12,AV!$C$11,IF(RASANTE!F192&lt;=AV!$T$14,AV!$C$13,IF(RASANTE!F192&lt;=AV!$T$16,AV!$C$15, IF(RASANTE!F192&lt;=AV!$T$18,AV!$C$17,IF(RASANTE!F192&lt;=AV!$T$20,AV!$C$19,IF(RASANTE!F192&lt;=AV!$T$22,AV!$C$21,IF(RASANTE!F192&lt;=AV!$T$24,AV!$C$23,AV!$C$25))))))))))</f>
        <v>8.1999999999999993</v>
      </c>
      <c r="H192" s="28">
        <f>+IF(AND(AH!$H$8="Izquierda",RASANTE!F192&lt;=PERALTE!$AB$6),IF(RASANTE!F192&lt;=PERALTE!$S$6,-2,IF(RASANTE!F192&lt;=PERALTE!$U$6,(-6/(PERALTE!$U$6-PERALTE!$S$6)*(RASANTE!F192-PERALTE!$S$6)-2),IF(RASANTE!F192&lt;=PERALTE!$X$6,-8,IF(RASANTE!F192&lt;=PERALTE!$Z$6,(-6/(PERALTE!$X$6-PERALTE!$Z$6)*(RASANTE!F192-PERALTE!$Z$6)-2),IF(RASANTE!F192&lt;=PERALTE!$AB$6,-2))))),IF(AND(AH!$H$8="Derecha",RASANTE!F192&lt;=PERALTE!$AB$6),IF(RASANTE!F192&lt;=PERALTE!$Q$6,-2,IF(RASANTE!F192&lt;=PERALTE!$U$6,(10/(PERALTE!$U$6-PERALTE!$Q$6)*(RASANTE!F192-PERALTE!$Q$6)-2),IF(RASANTE!F192&lt;=PERALTE!$X$6,8,IF(RASANTE!F192&lt;=PERALTE!$AB$6,(10/(PERALTE!$X$6-PERALTE!$AB$6)*(RASANTE!F192-PERALTE!$AB$6)-2))))),IF(AND(AH!$H$10="Izquierda",RASANTE!F192&lt;=PERALTE!$AB$8),IF(RASANTE!F192&lt;=PERALTE!$S$8,-2,IF(RASANTE!F192&lt;=PERALTE!$U$8,(-6/(PERALTE!$U$8-PERALTE!$S$8)*(RASANTE!F192-PERALTE!$S$8)-2),IF(RASANTE!F192&lt;=PERALTE!$X$8,-8,IF(RASANTE!F192&lt;=PERALTE!$Z$8,(-6/(PERALTE!$X$8-PERALTE!$Z$8)*(RASANTE!F192-PERALTE!$Z$8)-2),IF(RASANTE!F192&lt;=PERALTE!$AB$8,-2))))),IF(AND(AH!$H$10="Derecha",RASANTE!F192&lt;=PERALTE!$AB$8),IF(RASANTE!F192&lt;=PERALTE!$Q$8,-2,IF(RASANTE!F192&lt;=PERALTE!$U$8,(10/(PERALTE!$U$8-PERALTE!$Q$8)*(RASANTE!F192-PERALTE!$Q$8)-2),IF(RASANTE!F192&lt;=PERALTE!$X$8,8,IF(RASANTE!F192&lt;=PERALTE!$AB$8,(10/(PERALTE!$X$8-PERALTE!$AB$8)*(RASANTE!F192-PERALTE!$AB$8)-2))))),IF(AND(AH!$H$12="Izquierda",RASANTE!F192&lt;=PERALTE!$AB$10),IF(RASANTE!F192&lt;=PERALTE!$S$10,-2,IF(RASANTE!F192&lt;=PERALTE!$U$10,(-6/(PERALTE!$U$10-PERALTE!$S$10)*(RASANTE!F192-PERALTE!$S$10)-2),IF(RASANTE!F192&lt;=PERALTE!$X$10,-8,IF(RASANTE!F192&lt;=PERALTE!$Z$10,(-6/(PERALTE!$X$10-PERALTE!$Z$10)*(RASANTE!F192-PERALTE!$Z$10)-2),IF(RASANTE!F192&lt;=PERALTE!$AB$10,-2))))),IF(AND(AH!$H$12="Derecha",RASANTE!F192&lt;=PERALTE!$AB$10),IF(RASANTE!F192&lt;=PERALTE!$Q$10,-2,IF(RASANTE!F192&lt;=PERALTE!$U$10,(10/(PERALTE!$U$10-PERALTE!$Q$10)*(RASANTE!F192-PERALTE!$Q$10)-2),IF(RASANTE!F192&lt;=PERALTE!$X$10,8,IF(RASANTE!F192&lt;=PERALTE!$AB$10,(10/(PERALTE!$X$10-PERALTE!$AB$10)*(RASANTE!F192-PERALTE!$AB$10)-2))))),IF(AND(AH!$H$14="Izquierda",RASANTE!F192&lt;=PERALTE!$AB$12),IF(RASANTE!F192&lt;=PERALTE!$S$12,-2,IF(RASANTE!F192&lt;=PERALTE!$U$12,(-6/(PERALTE!$U$12-PERALTE!$S$12)*(RASANTE!F192-PERALTE!$S$12)-2),IF(RASANTE!F192&lt;=PERALTE!$X$12,-8,IF(RASANTE!F192&lt;=PERALTE!$Z$12,(-6/(PERALTE!$X$12-PERALTE!$Z$12)*(RASANTE!F192-PERALTE!$Z$12)-2),IF(RASANTE!F192&lt;=PERALTE!$AB$12,-2))))),IF(AND(AH!$H$14="Derecha",RASANTE!F192&lt;=PERALTE!$AB$12),IF(RASANTE!F192&lt;=PERALTE!$Q$12,-2,IF(RASANTE!F192&lt;=PERALTE!$U$12,(10/(PERALTE!$U$12-PERALTE!$Q$12)*(RASANTE!F192-PERALTE!$Q$12)-2),IF(RASANTE!F192&lt;=PERALTE!$X$12,8,IF(RASANTE!F192&lt;=PERALTE!$AB$12,(10/(PERALTE!$X$12-PERALTE!$AB$12)*(RASANTE!F192-PERALTE!$AB$12)-2))))),IF(AND(AH!$H$16="Izquierda",RASANTE!F192&lt;=PERALTE!$AB$14),IF(RASANTE!F192&lt;=PERALTE!$S$14,-2,IF(RASANTE!F192&lt;=PERALTE!$U$14,(-6/(PERALTE!$U$14-PERALTE!$S$14)*(RASANTE!F192-PERALTE!$S$14)-2),IF(RASANTE!F192&lt;=PERALTE!$X$14,-8,IF(RASANTE!F192&lt;=PERALTE!$Z$14,(-6/(PERALTE!$X$14-PERALTE!$Z$14)*(RASANTE!F192-PERALTE!$Z$14)-2),IF(RASANTE!F192&lt;=PERALTE!$AB$14,-2))))),IF(AND(AH!$H$16="Derecha",RASANTE!F192&lt;=PERALTE!$AB$14),IF(RASANTE!F192&lt;=PERALTE!$Q$14,-2,IF(RASANTE!F192&lt;=PERALTE!$U$14,(10/(PERALTE!$U$14-PERALTE!$Q$14)*(RASANTE!F192-PERALTE!$Q$14)-2),IF(RASANTE!F192&lt;=PERALTE!$X$14,8,IF(RASANTE!F192&lt;=PERALTE!$AB$14,(10/(PERALTE!$X$14-PERALTE!$AB$14)*(RASANTE!F192-PERALTE!$AB$14)-2))))),IF(AND(AH!$H$18="Izquierda",RASANTE!F192&lt;=PERALTE!$AB$16),IF(RASANTE!F192&lt;=PERALTE!$S$16,-2,IF(RASANTE!F192&lt;=PERALTE!$U$16,(-6/(PERALTE!$U$16-PERALTE!$S$16)*(RASANTE!F192-PERALTE!$S$16)-2),IF(RASANTE!F192&lt;=PERALTE!$X$16,-8,IF(RASANTE!F192&lt;=PERALTE!$Z$16,(-6/(PERALTE!$X$16-PERALTE!$Z$16)*(RASANTE!F192-PERALTE!$Z$16)-2),IF(RASANTE!F192&lt;=PERALTE!$AB$16,-2))))),IF(AND(AH!$H$18="Derecha",RASANTE!F192&lt;=PERALTE!$AB$16),IF(RASANTE!F192&lt;=PERALTE!$Q$16,-2,IF(RASANTE!F192&lt;=PERALTE!$U$16,(10/(PERALTE!$U$16-PERALTE!$Q$16)*(RASANTE!F192-PERALTE!$Q$16)-2),IF(RASANTE!F192&lt;=PERALTE!$X$16,8,IF(RASANTE!F192&lt;=PERALTE!$AB$16,(10/(PERALTE!$X$16-PERALTE!$AB$16)*(RASANTE!F192-PERALTE!$AB$16)-2))))),IF(AND(AH!$H$20="Izquierda",RASANTE!F192&lt;=PERALTE!$AB$18),IF(RASANTE!F192&lt;=PERALTE!$S$18,-2,IF(RASANTE!F192&lt;=PERALTE!$U$18,(-6/(PERALTE!$U$18-PERALTE!$S$18)*(RASANTE!F192-PERALTE!$S$18)-2),IF(RASANTE!F192&lt;=PERALTE!$X$18,-8,IF(RASANTE!F192&lt;=PERALTE!$Z$18,(-6/(PERALTE!$X$18-PERALTE!$Z$18)*(RASANTE!F192-PERALTE!$Z$18)-2),IF(RASANTE!F192&lt;=PERALTE!$AB$18,-2))))),IF(AND(AH!$H$20="Derecha",RASANTE!F192&lt;=PERALTE!$AB$18),IF(RASANTE!F192&lt;=PERALTE!$Q$18,-2,IF(RASANTE!F192&lt;=PERALTE!$U$18,(10/(PERALTE!$U$18-PERALTE!$Q$18)*(RASANTE!F192-PERALTE!$Q$18)-2),IF(RASANTE!F192&lt;=PERALTE!$X$18,8,IF(RASANTE!F192&lt;=PERALTE!$AB$18,(10/(PERALTE!$X$18-PERALTE!$AB$18)*(RASANTE!F192-PERALTE!$AB$18)-2))))),IF(AND(AH!$H$24="Izquierda",RASANTE!F192&lt;=PERALTE!$AB$22),IF(RASANTE!F192&lt;=PERALTE!$S$22,-2,IF(RASANTE!F192&lt;=PERALTE!$U$22,(-6/(PERALTE!$U$22-PERALTE!$S$22)*(RASANTE!F192-PERALTE!$S$22)-2),IF(RASANTE!F192&lt;=PERALTE!$X$22,-8,IF(RASANTE!F192&lt;=PERALTE!$Z$22,(-6/(PERALTE!$X$22-PERALTE!$Z$22)*(RASANTE!F192-PERALTE!$Z$22)-2),IF(RASANTE!F192&lt;=PERALTE!$AB$22,-2))))),IF(AND(AH!$H$24="Derecha",RASANTE!F192&lt;=PERALTE!$AB$22),IF(RASANTE!F192&lt;=PERALTE!$Q$22,-2,IF(RASANTE!F192&lt;=PERALTE!$U$22,(10/(PERALTE!$U$22-PERALTE!$Q$22)*(RASANTE!F192-PERALTE!$Q$22)-2),IF(RASANTE!F192&lt;=PERALTE!$X$22,8,IF(RASANTE!F192&lt;=PERALTE!$AB$22,(10/(PERALTE!$X$22-PERALTE!$AB$22)*(RASANTE!F192-PERALTE!$AB$22)-2))))),IF(AND(AH!#REF!="Izquierda",RASANTE!F192&lt;=PERALTE!#REF!),IF(RASANTE!F192&lt;=PERALTE!#REF!,-2,IF(RASANTE!F192&lt;=PERALTE!#REF!,(-6/(PERALTE!#REF!-PERALTE!#REF!)*(RASANTE!F192-PERALTE!#REF!)-2),IF(RASANTE!F192&lt;=PERALTE!#REF!,-8,IF(RASANTE!F192&lt;=PERALTE!#REF!,(-6/(PERALTE!#REF!-PERALTE!#REF!)*(RASANTE!F192-PERALTE!#REF!)-2),IF(RASANTE!F192&lt;=PERALTE!#REF!,-2))))),IF(AND(AH!#REF!="Derecha",RASANTE!F192&lt;=PERALTE!#REF!),IF(RASANTE!F192&lt;=PERALTE!#REF!,-2,IF(RASANTE!F192&lt;=PERALTE!#REF!,(10/(PERALTE!#REF!-PERALTE!#REF!)*(RASANTE!F192-PERALTE!#REF!)-2),IF(RASANTE!F192&lt;=PERALTE!#REF!,8,IF(RASANTE!F192&lt;=PERALTE!#REF!,(10/(PERALTE!#REF!-PERALTE!#REF!)*(RASANTE!F192-PERALTE!#REF!)-2))))),IF(AND(AH!#REF!="Izquierda",RASANTE!F192&lt;=PERALTE!$AB$26),IF(RASANTE!F192&lt;=PERALTE!$S$26,-2,IF(RASANTE!F192&lt;=PERALTE!$U$26,(-6/(PERALTE!$U$26-PERALTE!$S$26)*(RASANTE!F192-PERALTE!$S$26)-2),IF(RASANTE!F192&lt;=PERALTE!$X$26,-8,IF(RASANTE!F192&lt;=PERALTE!$Z$26,(-6/(PERALTE!$X$26-PERALTE!$Z$26)*(RASANTE!F192-PERALTE!$Z$26)-2),IF(RASANTE!F192&lt;=PERALTE!$AB$26,-2))))),IF(AND(AH!#REF!="Derecha",RASANTE!F192&lt;=PERALTE!$AB$26),IF(RASANTE!F192&lt;=PERALTE!$Q$26,-2,IF(RASANTE!F192&lt;=PERALTE!$U$26,(10/(PERALTE!$U$26-PERALTE!$Q$26)*(RASANTE!F192-PERALTE!$Q$26)-2),IF(RASANTE!F192&lt;=PERALTE!$X$26,8,IF(RASANTE!F192&lt;=PERALTE!$AB$26,(10/(PERALTE!$X$26-PERALTE!$AB$26)*(RASANTE!F192-PERALTE!$AB$26)-2))))),IF(F192&lt;=PERALTE!#REF!,-2,"Abscisa fuera de la vía")))))))))))))))))))))</f>
        <v>-8</v>
      </c>
      <c r="I192" s="28">
        <f>+IF(AND(AH!$H$8="Derecha",RASANTE!F192&lt;=PERALTE!$AB$6),IF(RASANTE!F192&lt;=PERALTE!$S$6,-2,IF(RASANTE!F192&lt;=PERALTE!$U$6,(-6/(PERALTE!$U$6-PERALTE!$S$6)*(RASANTE!F192-PERALTE!$S$6)-2),IF(RASANTE!F192&lt;=PERALTE!$X$6,-8,IF(RASANTE!F192&lt;=PERALTE!$Z$6,(-6/(PERALTE!$X$6-PERALTE!$Z$6)*(RASANTE!F192-PERALTE!$Z$6)-2),IF(RASANTE!F192&lt;=PERALTE!$AB$6,-2))))),IF(AND(AH!$H$8="Izquierda",RASANTE!F192&lt;=PERALTE!$AB$6),IF(RASANTE!F192&lt;=PERALTE!$Q$6,-2,IF(RASANTE!F192&lt;=PERALTE!$U$6,(10/(PERALTE!$U$6-PERALTE!$Q$6)*(RASANTE!F192-PERALTE!$Q$6)-2),IF(RASANTE!F192&lt;=PERALTE!$X$6,8,IF(RASANTE!F192&lt;=PERALTE!$AB$6,(10/(PERALTE!$X$6-PERALTE!$AB$6)*(RASANTE!F192-PERALTE!$AB$6)-2))))),IF(AND(AH!$H$10="Derecha",RASANTE!F192&lt;=PERALTE!$AB$8),IF(RASANTE!F192&lt;=PERALTE!$S$8,-2,IF(RASANTE!F192&lt;=PERALTE!$U$8,(-6/(PERALTE!$U$8-PERALTE!$S$8)*(RASANTE!F192-PERALTE!$S$8)-2),IF(RASANTE!F192&lt;=PERALTE!$X$8,-8,IF(RASANTE!F192&lt;=PERALTE!$Z$8,(-6/(PERALTE!$X$8-PERALTE!$Z$8)*(RASANTE!F192-PERALTE!$Z$8)-2),IF(RASANTE!F192&lt;=PERALTE!$AB$8,-2))))),IF(AND(AH!$H$10="Izquierda",RASANTE!F192&lt;=PERALTE!$AB$8),IF(RASANTE!F192&lt;=PERALTE!$Q$8,-2,IF(RASANTE!F192&lt;=PERALTE!$U$8,(10/(PERALTE!$U$8-PERALTE!$Q$8)*(RASANTE!F192-PERALTE!$Q$8)-2),IF(RASANTE!F192&lt;=PERALTE!$X$8,8,IF(RASANTE!F192&lt;=PERALTE!$AB$8,(10/(PERALTE!$X$8-PERALTE!$AB$8)*(RASANTE!F192-PERALTE!$AB$8)-2))))),IF(AND(AH!$H$12="Derecha",RASANTE!F192&lt;=PERALTE!$AB$10),IF(RASANTE!F192&lt;=PERALTE!$S$10,-2,IF(RASANTE!F192&lt;=PERALTE!$U$10,(-6/(PERALTE!$U$10-PERALTE!$S$10)*(RASANTE!F192-PERALTE!$S$10)-2),IF(RASANTE!F192&lt;=PERALTE!$X$10,-8,IF(RASANTE!F192&lt;=PERALTE!$Z$10,(-6/(PERALTE!$X$10-PERALTE!$Z$10)*(RASANTE!F192-PERALTE!$Z$10)-2),IF(RASANTE!F192&lt;=PERALTE!$AB$10,-2))))),IF(AND(AH!$H$12="Izquierda",RASANTE!F192&lt;=PERALTE!$AB$10),IF(RASANTE!F192&lt;=PERALTE!$Q$10,-2,IF(RASANTE!F192&lt;=PERALTE!$U$10,(10/(PERALTE!$U$10-PERALTE!$Q$10)*(RASANTE!F192-PERALTE!$Q$10)-2),IF(RASANTE!F192&lt;=PERALTE!$X$10,8,IF(RASANTE!F192&lt;=PERALTE!$AB$10,(10/(PERALTE!$X$10-PERALTE!$AB$10)*(RASANTE!F192-PERALTE!$AB$10)-2))))),IF(AND(AH!$H$14="Derecha",RASANTE!F192&lt;=PERALTE!$AB$12),IF(RASANTE!F192&lt;=PERALTE!$S$12,-2,IF(RASANTE!F192&lt;=PERALTE!$U$12,(-6/(PERALTE!$U$12-PERALTE!$S$12)*(RASANTE!F192-PERALTE!$S$12)-2),IF(RASANTE!F192&lt;=PERALTE!$X$12,-8,IF(RASANTE!F192&lt;=PERALTE!$Z$12,(-6/(PERALTE!$X$12-PERALTE!$Z$12)*(RASANTE!F192-PERALTE!$Z$12)-2),IF(RASANTE!F192&lt;=PERALTE!$AB$12,-2))))),IF(AND(AH!$H$14="Izquierda",RASANTE!F192&lt;=PERALTE!$AB$12),IF(RASANTE!F192&lt;=PERALTE!$Q$12,-2,IF(RASANTE!F192&lt;=PERALTE!$U$12,(10/(PERALTE!$U$12-PERALTE!$Q$12)*(RASANTE!F192-PERALTE!$Q$12)-2),IF(RASANTE!F192&lt;=PERALTE!$X$12,8,IF(RASANTE!F192&lt;=PERALTE!$AB$12,(10/(PERALTE!$X$12-PERALTE!$AB$12)*(RASANTE!F192-PERALTE!$AB$12)-2))))),IF(AND(AH!$H$16="Derecha",RASANTE!F192&lt;=PERALTE!$AB$14),IF(RASANTE!F192&lt;=PERALTE!$S$14,-2,IF(RASANTE!F192&lt;=PERALTE!$U$14,(-6/(PERALTE!$U$14-PERALTE!$S$14)*(RASANTE!F192-PERALTE!$S$14)-2),IF(RASANTE!F192&lt;=PERALTE!$X$14,-8,IF(RASANTE!F192&lt;=PERALTE!$Z$14,(-6/(PERALTE!$X$14-PERALTE!$Z$14)*(RASANTE!F192-PERALTE!$Z$14)-2),IF(RASANTE!F192&lt;=PERALTE!$AB$14,-2))))),IF(AND(AH!$H$16="Izquierda",RASANTE!F192&lt;=PERALTE!$AB$14),IF(RASANTE!F192&lt;=PERALTE!$Q$14,-2,IF(RASANTE!F192&lt;=PERALTE!$U$14,(10/(PERALTE!$U$14-PERALTE!$Q$14)*(RASANTE!F192-PERALTE!$Q$14)-2),IF(RASANTE!F192&lt;=PERALTE!$X$14,8,IF(RASANTE!F192&lt;=PERALTE!$AB$14,(10/(PERALTE!$X$14-PERALTE!$AB$14)*(RASANTE!F192-PERALTE!$AB$14)-2))))),IF(AND(AH!$H$18="Derecha",RASANTE!F192&lt;=PERALTE!$AB$16),IF(RASANTE!F192&lt;=PERALTE!$S$16,-2,IF(RASANTE!F192&lt;=PERALTE!$U$16,(-6/(PERALTE!$U$16-PERALTE!$S$16)*(RASANTE!F192-PERALTE!$S$16)-2),IF(RASANTE!F192&lt;=PERALTE!$X$16,-8,IF(RASANTE!F192&lt;=PERALTE!$Z$16,(-6/(PERALTE!$X$16-PERALTE!$Z$16)*(RASANTE!F192-PERALTE!$Z$16)-2),IF(RASANTE!F192&lt;=PERALTE!$AB$16,-2))))),IF(AND(AH!$H$18="Izquierda",RASANTE!F192&lt;=PERALTE!$AB$16),IF(RASANTE!F192&lt;=PERALTE!$Q$16,-2,IF(RASANTE!F192&lt;=PERALTE!$U$16,(10/(PERALTE!$U$16-PERALTE!$Q$16)*(RASANTE!F192-PERALTE!$Q$16)-2),IF(RASANTE!F192&lt;=PERALTE!$X$16,8,IF(RASANTE!F192&lt;=PERALTE!$AB$16,(10/(PERALTE!$X$16-PERALTE!$AB$16)*(RASANTE!F192-PERALTE!$AB$16)-2))))),IF(AND(AH!$H$20="Derecha",RASANTE!F192&lt;=PERALTE!$AB$18),IF(RASANTE!F192&lt;=PERALTE!$S$18,-2,IF(RASANTE!F192&lt;=PERALTE!$U$18,(-6/(PERALTE!$U$18-PERALTE!$S$18)*(RASANTE!F192-PERALTE!$S$18)-2),IF(RASANTE!F192&lt;=PERALTE!$X$18,-8,IF(RASANTE!F192&lt;=PERALTE!$Z$18,(-6/(PERALTE!$X$18-PERALTE!$Z$18)*(RASANTE!F192-PERALTE!$Z$18)-2),IF(RASANTE!F192&lt;=PERALTE!$AB$18,-2))))),IF(AND(AH!$H$20="Izquierda",RASANTE!F192&lt;=PERALTE!$AB$18),IF(RASANTE!F192&lt;=PERALTE!$Q$18,-2,IF(RASANTE!F192&lt;=PERALTE!$U$18,(10/(PERALTE!$U$18-PERALTE!$Q$18)*(RASANTE!F192-PERALTE!$Q$18)-2),IF(RASANTE!F192&lt;=PERALTE!$X$18,8,IF(RASANTE!F192&lt;=PERALTE!$AB$18,(10/(PERALTE!$X$18-PERALTE!$AB$18)*(RASANTE!F192-PERALTE!$AB$18)-2))))),IF(AND(AH!$H$24="Derecha",RASANTE!F192&lt;=PERALTE!$AB$22),IF(RASANTE!F192&lt;=PERALTE!$S$22,-2,IF(RASANTE!F192&lt;=PERALTE!$U$22,(-6/(PERALTE!$U$22-PERALTE!$S$22)*(RASANTE!F192-PERALTE!$S$22)-2),IF(RASANTE!F192&lt;=PERALTE!$X$22,-8,IF(RASANTE!F192&lt;=PERALTE!$Z$22,(-6/(PERALTE!$X$22-PERALTE!$Z$22)*(RASANTE!F192-PERALTE!$Z$22)-2),IF(RASANTE!F192&lt;=PERALTE!$AB$22,-2))))),IF(AND(AH!$H$24="Izquierda",RASANTE!F192&lt;=PERALTE!$AB$22),IF(RASANTE!F192&lt;=PERALTE!$Q$22,-2,IF(RASANTE!F192&lt;=PERALTE!$U$22,(10/(PERALTE!$U$22-PERALTE!$Q$22)*(RASANTE!F192-PERALTE!$Q$22)-2),IF(RASANTE!F192&lt;=PERALTE!$X$22,8,IF(RASANTE!F192&lt;=PERALTE!$AB$22,(10/(PERALTE!$X$22-PERALTE!$AB$22)*(RASANTE!F192-PERALTE!$AB$22)-2))))),IF(AND(AH!#REF!="Derecha",RASANTE!F192&lt;=PERALTE!#REF!),IF(RASANTE!F192&lt;=PERALTE!#REF!,-2,IF(RASANTE!F192&lt;=PERALTE!#REF!,(-6/(PERALTE!#REF!-PERALTE!#REF!)*(RASANTE!F192-PERALTE!#REF!)-2),IF(RASANTE!F192&lt;=PERALTE!#REF!,-8,IF(RASANTE!F192&lt;=PERALTE!#REF!,(-6/(PERALTE!#REF!-PERALTE!#REF!)*(RASANTE!F192-PERALTE!#REF!)-2),IF(RASANTE!F192&lt;=PERALTE!#REF!,-2))))),IF(AND(AH!#REF!="Izquierda",RASANTE!F192&lt;=PERALTE!#REF!),IF(RASANTE!F192&lt;=PERALTE!#REF!,-2,IF(RASANTE!F192&lt;=PERALTE!#REF!,(10/(PERALTE!#REF!-PERALTE!#REF!)*(RASANTE!F192-PERALTE!#REF!)-2),IF(RASANTE!F192&lt;=PERALTE!#REF!,8,IF(RASANTE!F192&lt;=PERALTE!#REF!,(10/(PERALTE!#REF!-PERALTE!#REF!)*(RASANTE!F192-PERALTE!#REF!)-2))))),IF(AND(AH!#REF!="Derecha",RASANTE!F192&lt;=PERALTE!$AB$26),IF(RASANTE!F192&lt;=PERALTE!$S$26,-2,IF(RASANTE!F192&lt;=PERALTE!$U$26,(-6/(PERALTE!$U$26-PERALTE!$S$26)*(RASANTE!F192-PERALTE!$S$26)-2),IF(RASANTE!F192&lt;=PERALTE!$X$26,-8,IF(RASANTE!F192&lt;=PERALTE!$Z$26,(-6/(PERALTE!$X$26-PERALTE!$Z$26)*(RASANTE!F192-PERALTE!$Z$26)-2),IF(RASANTE!F192&lt;=PERALTE!$AB$26,-2))))),IF(AND(AH!#REF!="Izquierda",RASANTE!F192&lt;=PERALTE!$AB$26),IF(RASANTE!F192&lt;=PERALTE!$Q$26,-2,IF(RASANTE!F192&lt;=PERALTE!$U$26,(10/(PERALTE!$U$26-PERALTE!$Q$26)*(RASANTE!F192-PERALTE!$Q$26)-2),IF(RASANTE!F192&lt;=PERALTE!$X$26,8,IF(RASANTE!F192&lt;=PERALTE!$AB$26,(10/(PERALTE!$X$26-PERALTE!$AB$26)*(RASANTE!F192-PERALTE!$AB$26)-2))))),IF(F192&lt;=PERALTE!#REF!,-2,"Abscisa fuera de la vía")))))))))))))))))))))</f>
        <v>8</v>
      </c>
      <c r="J192" s="28">
        <f t="shared" si="8"/>
        <v>1622.2411380375925</v>
      </c>
      <c r="K192" s="28">
        <f>+IF(AND(AV!$S$6&lt;F192,F192&lt;=AV!$T$6),AV!$P$6*((AV!$S$6-RASANTE!F192)/(AV!$N$6))^2,IF(AND(AV!$T$6&lt;RASANTE!F192,F192&lt;AV!$U$6),AV!$P$6*((AV!$U$6-RASANTE!F192)/(AV!$O$6))^2,IF(AND(AV!$S$8&lt;F192,F192&lt;=AV!$T$8),AV!$P$8*((AV!$S$8-RASANTE!F192)/(AV!$N$8))^2,IF(AND(AV!$T$8&lt;RASANTE!F192,F192&lt;AV!$U$8),AV!$P$8*((AV!$U$8-RASANTE!F192)/(AV!$O$8))^2,IF(AND(AV!$S$10&lt;F192,F192&lt;=AV!$T$10),AV!$P$10*((AV!$S$10-RASANTE!F192)/(AV!$N$10))^2,IF(AND(AV!$T$10&lt;RASANTE!F192,F192&lt;AV!$U$10),AV!$P$10*((AV!$U$10-RASANTE!F192)/(AV!$O$10))^2,IF(AND(AV!$S$12&lt;F192,F192&lt;=AV!$T$12),AV!$P$12*((AV!$S$12-RASANTE!F192)/(AV!$N$12))^2,IF(AND(AV!$T$12&lt;RASANTE!F192,F192&lt;AV!$U$12),AV!$P$12*((AV!$U$12-RASANTE!F192)/(AV!$O$12))^2,IF(AND(AV!$S$14&lt;F192,F192&lt;=AV!$T$14),AV!$P$14*((AV!$S$14-RASANTE!F192)/(AV!$N$14))^2,IF(AND(AV!$T$14&lt;RASANTE!F192,F192&lt;AV!$U$14),AV!$P$14*((AV!$U$14-RASANTE!F192)/(AV!$O$14))^2,IF(AND(AV!$S$16&lt;F192,F192&lt;=AV!$T$16),AV!$P$16*((AV!$S$16-RASANTE!F192)/(AV!$N$16))^2,IF(AND(AV!$T$16&lt;RASANTE!F192,F192&lt;AV!$U$16),AV!$P$16*((AV!$U$16-RASANTE!F192)/(AV!$O$16))^2,IF(AND(AV!$S$18&lt;F192,F192&lt;=AV!$T$18),AV!$P$18*((AV!$S$18-RASANTE!F192)/(AV!$N$18))^2,IF(AND(AV!$T$18&lt;RASANTE!F192,F192&lt;AV!$U$18),AV!$P$18*((AV!$U$18-RASANTE!F192)/(AV!$O$18))^2,IF(AND(AV!$S$20&lt;F192,F192&lt;=AV!$T$20),AV!$P$20*((AV!$S$20-RASANTE!F192)/(AV!$N$20))^2,IF(AND(AV!$T$20&lt;RASANTE!F192,F192&lt;AV!$U$20),AV!$P$20*((AV!$U$20-RASANTE!F192)/(AV!$O$20))^2,IF(AND(AV!$S$22&lt;F192,F192&lt;=AV!$T$22),AV!$P$22*((AV!$S$22-RASANTE!F192)/(AV!$N$22))^2,IF(AND(AV!$T$22&lt;RASANTE!F192,F192&lt;AV!$U$22),AV!$P$22*((AV!$U$22-RASANTE!F192)/(AV!$O$22))^2,IF(AND(AV!$S$24&lt;F192,F192&lt;=AV!$T$24),AV!$P$24*((AV!$S$24-RASANTE!F192)/(AV!$N$24))^2,IF(AND(AV!$T$24&lt;RASANTE!F192,F192&lt;AV!$U$24),AV!$P$24*((AV!$U$24-RASANTE!F192)/(AV!$O$24))^2,0))))))))))))))))))))</f>
        <v>0</v>
      </c>
      <c r="L192" s="28">
        <f>+M192+H192%*PERALTE!$C$32</f>
        <v>1621.9611380375925</v>
      </c>
      <c r="M192" s="28">
        <f t="shared" si="7"/>
        <v>1622.2411380375925</v>
      </c>
      <c r="N192" s="28">
        <f>+M192+I192%*PERALTE!$C$32</f>
        <v>1622.5211380375924</v>
      </c>
      <c r="O192" s="92"/>
      <c r="P192" s="84"/>
      <c r="Q192" s="84"/>
      <c r="R192" s="84"/>
      <c r="S192" s="84"/>
      <c r="T192" s="84"/>
      <c r="U192" s="84"/>
      <c r="V192" s="84"/>
      <c r="W192" s="84"/>
      <c r="X192" s="84"/>
      <c r="Y192" s="84"/>
    </row>
    <row r="193" spans="1:25" ht="15.75" customHeight="1" x14ac:dyDescent="0.2">
      <c r="A193" s="111"/>
      <c r="F193" s="34">
        <v>1220</v>
      </c>
      <c r="G193" s="88">
        <f>IF(F193&lt;=AV!$T$6,AV!$C$5,IF(RASANTE!F193&lt;=AV!$T$8,AV!$C$7,IF(RASANTE!F193&lt;=AV!$T$10,AV!$C$9,IF(RASANTE!F193&lt;=AV!$T$12,AV!$C$11,IF(RASANTE!F193&lt;=AV!$T$14,AV!$C$13,IF(RASANTE!F193&lt;=AV!$T$16,AV!$C$15, IF(RASANTE!F193&lt;=AV!$T$18,AV!$C$17,IF(RASANTE!F193&lt;=AV!$T$20,AV!$C$19,IF(RASANTE!F193&lt;=AV!$T$22,AV!$C$21,IF(RASANTE!F193&lt;=AV!$T$24,AV!$C$23,AV!$C$25))))))))))</f>
        <v>8.1999999999999993</v>
      </c>
      <c r="H193" s="28">
        <f>+IF(AND(AH!$H$8="Izquierda",RASANTE!F193&lt;=PERALTE!$AB$6),IF(RASANTE!F193&lt;=PERALTE!$S$6,-2,IF(RASANTE!F193&lt;=PERALTE!$U$6,(-6/(PERALTE!$U$6-PERALTE!$S$6)*(RASANTE!F193-PERALTE!$S$6)-2),IF(RASANTE!F193&lt;=PERALTE!$X$6,-8,IF(RASANTE!F193&lt;=PERALTE!$Z$6,(-6/(PERALTE!$X$6-PERALTE!$Z$6)*(RASANTE!F193-PERALTE!$Z$6)-2),IF(RASANTE!F193&lt;=PERALTE!$AB$6,-2))))),IF(AND(AH!$H$8="Derecha",RASANTE!F193&lt;=PERALTE!$AB$6),IF(RASANTE!F193&lt;=PERALTE!$Q$6,-2,IF(RASANTE!F193&lt;=PERALTE!$U$6,(10/(PERALTE!$U$6-PERALTE!$Q$6)*(RASANTE!F193-PERALTE!$Q$6)-2),IF(RASANTE!F193&lt;=PERALTE!$X$6,8,IF(RASANTE!F193&lt;=PERALTE!$AB$6,(10/(PERALTE!$X$6-PERALTE!$AB$6)*(RASANTE!F193-PERALTE!$AB$6)-2))))),IF(AND(AH!$H$10="Izquierda",RASANTE!F193&lt;=PERALTE!$AB$8),IF(RASANTE!F193&lt;=PERALTE!$S$8,-2,IF(RASANTE!F193&lt;=PERALTE!$U$8,(-6/(PERALTE!$U$8-PERALTE!$S$8)*(RASANTE!F193-PERALTE!$S$8)-2),IF(RASANTE!F193&lt;=PERALTE!$X$8,-8,IF(RASANTE!F193&lt;=PERALTE!$Z$8,(-6/(PERALTE!$X$8-PERALTE!$Z$8)*(RASANTE!F193-PERALTE!$Z$8)-2),IF(RASANTE!F193&lt;=PERALTE!$AB$8,-2))))),IF(AND(AH!$H$10="Derecha",RASANTE!F193&lt;=PERALTE!$AB$8),IF(RASANTE!F193&lt;=PERALTE!$Q$8,-2,IF(RASANTE!F193&lt;=PERALTE!$U$8,(10/(PERALTE!$U$8-PERALTE!$Q$8)*(RASANTE!F193-PERALTE!$Q$8)-2),IF(RASANTE!F193&lt;=PERALTE!$X$8,8,IF(RASANTE!F193&lt;=PERALTE!$AB$8,(10/(PERALTE!$X$8-PERALTE!$AB$8)*(RASANTE!F193-PERALTE!$AB$8)-2))))),IF(AND(AH!$H$12="Izquierda",RASANTE!F193&lt;=PERALTE!$AB$10),IF(RASANTE!F193&lt;=PERALTE!$S$10,-2,IF(RASANTE!F193&lt;=PERALTE!$U$10,(-6/(PERALTE!$U$10-PERALTE!$S$10)*(RASANTE!F193-PERALTE!$S$10)-2),IF(RASANTE!F193&lt;=PERALTE!$X$10,-8,IF(RASANTE!F193&lt;=PERALTE!$Z$10,(-6/(PERALTE!$X$10-PERALTE!$Z$10)*(RASANTE!F193-PERALTE!$Z$10)-2),IF(RASANTE!F193&lt;=PERALTE!$AB$10,-2))))),IF(AND(AH!$H$12="Derecha",RASANTE!F193&lt;=PERALTE!$AB$10),IF(RASANTE!F193&lt;=PERALTE!$Q$10,-2,IF(RASANTE!F193&lt;=PERALTE!$U$10,(10/(PERALTE!$U$10-PERALTE!$Q$10)*(RASANTE!F193-PERALTE!$Q$10)-2),IF(RASANTE!F193&lt;=PERALTE!$X$10,8,IF(RASANTE!F193&lt;=PERALTE!$AB$10,(10/(PERALTE!$X$10-PERALTE!$AB$10)*(RASANTE!F193-PERALTE!$AB$10)-2))))),IF(AND(AH!$H$14="Izquierda",RASANTE!F193&lt;=PERALTE!$AB$12),IF(RASANTE!F193&lt;=PERALTE!$S$12,-2,IF(RASANTE!F193&lt;=PERALTE!$U$12,(-6/(PERALTE!$U$12-PERALTE!$S$12)*(RASANTE!F193-PERALTE!$S$12)-2),IF(RASANTE!F193&lt;=PERALTE!$X$12,-8,IF(RASANTE!F193&lt;=PERALTE!$Z$12,(-6/(PERALTE!$X$12-PERALTE!$Z$12)*(RASANTE!F193-PERALTE!$Z$12)-2),IF(RASANTE!F193&lt;=PERALTE!$AB$12,-2))))),IF(AND(AH!$H$14="Derecha",RASANTE!F193&lt;=PERALTE!$AB$12),IF(RASANTE!F193&lt;=PERALTE!$Q$12,-2,IF(RASANTE!F193&lt;=PERALTE!$U$12,(10/(PERALTE!$U$12-PERALTE!$Q$12)*(RASANTE!F193-PERALTE!$Q$12)-2),IF(RASANTE!F193&lt;=PERALTE!$X$12,8,IF(RASANTE!F193&lt;=PERALTE!$AB$12,(10/(PERALTE!$X$12-PERALTE!$AB$12)*(RASANTE!F193-PERALTE!$AB$12)-2))))),IF(AND(AH!$H$16="Izquierda",RASANTE!F193&lt;=PERALTE!$AB$14),IF(RASANTE!F193&lt;=PERALTE!$S$14,-2,IF(RASANTE!F193&lt;=PERALTE!$U$14,(-6/(PERALTE!$U$14-PERALTE!$S$14)*(RASANTE!F193-PERALTE!$S$14)-2),IF(RASANTE!F193&lt;=PERALTE!$X$14,-8,IF(RASANTE!F193&lt;=PERALTE!$Z$14,(-6/(PERALTE!$X$14-PERALTE!$Z$14)*(RASANTE!F193-PERALTE!$Z$14)-2),IF(RASANTE!F193&lt;=PERALTE!$AB$14,-2))))),IF(AND(AH!$H$16="Derecha",RASANTE!F193&lt;=PERALTE!$AB$14),IF(RASANTE!F193&lt;=PERALTE!$Q$14,-2,IF(RASANTE!F193&lt;=PERALTE!$U$14,(10/(PERALTE!$U$14-PERALTE!$Q$14)*(RASANTE!F193-PERALTE!$Q$14)-2),IF(RASANTE!F193&lt;=PERALTE!$X$14,8,IF(RASANTE!F193&lt;=PERALTE!$AB$14,(10/(PERALTE!$X$14-PERALTE!$AB$14)*(RASANTE!F193-PERALTE!$AB$14)-2))))),IF(AND(AH!$H$18="Izquierda",RASANTE!F193&lt;=PERALTE!$AB$16),IF(RASANTE!F193&lt;=PERALTE!$S$16,-2,IF(RASANTE!F193&lt;=PERALTE!$U$16,(-6/(PERALTE!$U$16-PERALTE!$S$16)*(RASANTE!F193-PERALTE!$S$16)-2),IF(RASANTE!F193&lt;=PERALTE!$X$16,-8,IF(RASANTE!F193&lt;=PERALTE!$Z$16,(-6/(PERALTE!$X$16-PERALTE!$Z$16)*(RASANTE!F193-PERALTE!$Z$16)-2),IF(RASANTE!F193&lt;=PERALTE!$AB$16,-2))))),IF(AND(AH!$H$18="Derecha",RASANTE!F193&lt;=PERALTE!$AB$16),IF(RASANTE!F193&lt;=PERALTE!$Q$16,-2,IF(RASANTE!F193&lt;=PERALTE!$U$16,(10/(PERALTE!$U$16-PERALTE!$Q$16)*(RASANTE!F193-PERALTE!$Q$16)-2),IF(RASANTE!F193&lt;=PERALTE!$X$16,8,IF(RASANTE!F193&lt;=PERALTE!$AB$16,(10/(PERALTE!$X$16-PERALTE!$AB$16)*(RASANTE!F193-PERALTE!$AB$16)-2))))),IF(AND(AH!$H$20="Izquierda",RASANTE!F193&lt;=PERALTE!$AB$18),IF(RASANTE!F193&lt;=PERALTE!$S$18,-2,IF(RASANTE!F193&lt;=PERALTE!$U$18,(-6/(PERALTE!$U$18-PERALTE!$S$18)*(RASANTE!F193-PERALTE!$S$18)-2),IF(RASANTE!F193&lt;=PERALTE!$X$18,-8,IF(RASANTE!F193&lt;=PERALTE!$Z$18,(-6/(PERALTE!$X$18-PERALTE!$Z$18)*(RASANTE!F193-PERALTE!$Z$18)-2),IF(RASANTE!F193&lt;=PERALTE!$AB$18,-2))))),IF(AND(AH!$H$20="Derecha",RASANTE!F193&lt;=PERALTE!$AB$18),IF(RASANTE!F193&lt;=PERALTE!$Q$18,-2,IF(RASANTE!F193&lt;=PERALTE!$U$18,(10/(PERALTE!$U$18-PERALTE!$Q$18)*(RASANTE!F193-PERALTE!$Q$18)-2),IF(RASANTE!F193&lt;=PERALTE!$X$18,8,IF(RASANTE!F193&lt;=PERALTE!$AB$18,(10/(PERALTE!$X$18-PERALTE!$AB$18)*(RASANTE!F193-PERALTE!$AB$18)-2))))),IF(AND(AH!$H$24="Izquierda",RASANTE!F193&lt;=PERALTE!$AB$22),IF(RASANTE!F193&lt;=PERALTE!$S$22,-2,IF(RASANTE!F193&lt;=PERALTE!$U$22,(-6/(PERALTE!$U$22-PERALTE!$S$22)*(RASANTE!F193-PERALTE!$S$22)-2),IF(RASANTE!F193&lt;=PERALTE!$X$22,-8,IF(RASANTE!F193&lt;=PERALTE!$Z$22,(-6/(PERALTE!$X$22-PERALTE!$Z$22)*(RASANTE!F193-PERALTE!$Z$22)-2),IF(RASANTE!F193&lt;=PERALTE!$AB$22,-2))))),IF(AND(AH!$H$24="Derecha",RASANTE!F193&lt;=PERALTE!$AB$22),IF(RASANTE!F193&lt;=PERALTE!$Q$22,-2,IF(RASANTE!F193&lt;=PERALTE!$U$22,(10/(PERALTE!$U$22-PERALTE!$Q$22)*(RASANTE!F193-PERALTE!$Q$22)-2),IF(RASANTE!F193&lt;=PERALTE!$X$22,8,IF(RASANTE!F193&lt;=PERALTE!$AB$22,(10/(PERALTE!$X$22-PERALTE!$AB$22)*(RASANTE!F193-PERALTE!$AB$22)-2))))),IF(AND(AH!#REF!="Izquierda",RASANTE!F193&lt;=PERALTE!#REF!),IF(RASANTE!F193&lt;=PERALTE!#REF!,-2,IF(RASANTE!F193&lt;=PERALTE!#REF!,(-6/(PERALTE!#REF!-PERALTE!#REF!)*(RASANTE!F193-PERALTE!#REF!)-2),IF(RASANTE!F193&lt;=PERALTE!#REF!,-8,IF(RASANTE!F193&lt;=PERALTE!#REF!,(-6/(PERALTE!#REF!-PERALTE!#REF!)*(RASANTE!F193-PERALTE!#REF!)-2),IF(RASANTE!F193&lt;=PERALTE!#REF!,-2))))),IF(AND(AH!#REF!="Derecha",RASANTE!F193&lt;=PERALTE!#REF!),IF(RASANTE!F193&lt;=PERALTE!#REF!,-2,IF(RASANTE!F193&lt;=PERALTE!#REF!,(10/(PERALTE!#REF!-PERALTE!#REF!)*(RASANTE!F193-PERALTE!#REF!)-2),IF(RASANTE!F193&lt;=PERALTE!#REF!,8,IF(RASANTE!F193&lt;=PERALTE!#REF!,(10/(PERALTE!#REF!-PERALTE!#REF!)*(RASANTE!F193-PERALTE!#REF!)-2))))),IF(AND(AH!#REF!="Izquierda",RASANTE!F193&lt;=PERALTE!$AB$26),IF(RASANTE!F193&lt;=PERALTE!$S$26,-2,IF(RASANTE!F193&lt;=PERALTE!$U$26,(-6/(PERALTE!$U$26-PERALTE!$S$26)*(RASANTE!F193-PERALTE!$S$26)-2),IF(RASANTE!F193&lt;=PERALTE!$X$26,-8,IF(RASANTE!F193&lt;=PERALTE!$Z$26,(-6/(PERALTE!$X$26-PERALTE!$Z$26)*(RASANTE!F193-PERALTE!$Z$26)-2),IF(RASANTE!F193&lt;=PERALTE!$AB$26,-2))))),IF(AND(AH!#REF!="Derecha",RASANTE!F193&lt;=PERALTE!$AB$26),IF(RASANTE!F193&lt;=PERALTE!$Q$26,-2,IF(RASANTE!F193&lt;=PERALTE!$U$26,(10/(PERALTE!$U$26-PERALTE!$Q$26)*(RASANTE!F193-PERALTE!$Q$26)-2),IF(RASANTE!F193&lt;=PERALTE!$X$26,8,IF(RASANTE!F193&lt;=PERALTE!$AB$26,(10/(PERALTE!$X$26-PERALTE!$AB$26)*(RASANTE!F193-PERALTE!$AB$26)-2))))),IF(F193&lt;=PERALTE!#REF!,-2,"Abscisa fuera de la vía")))))))))))))))))))))</f>
        <v>-8</v>
      </c>
      <c r="I193" s="28">
        <f>+IF(AND(AH!$H$8="Derecha",RASANTE!F193&lt;=PERALTE!$AB$6),IF(RASANTE!F193&lt;=PERALTE!$S$6,-2,IF(RASANTE!F193&lt;=PERALTE!$U$6,(-6/(PERALTE!$U$6-PERALTE!$S$6)*(RASANTE!F193-PERALTE!$S$6)-2),IF(RASANTE!F193&lt;=PERALTE!$X$6,-8,IF(RASANTE!F193&lt;=PERALTE!$Z$6,(-6/(PERALTE!$X$6-PERALTE!$Z$6)*(RASANTE!F193-PERALTE!$Z$6)-2),IF(RASANTE!F193&lt;=PERALTE!$AB$6,-2))))),IF(AND(AH!$H$8="Izquierda",RASANTE!F193&lt;=PERALTE!$AB$6),IF(RASANTE!F193&lt;=PERALTE!$Q$6,-2,IF(RASANTE!F193&lt;=PERALTE!$U$6,(10/(PERALTE!$U$6-PERALTE!$Q$6)*(RASANTE!F193-PERALTE!$Q$6)-2),IF(RASANTE!F193&lt;=PERALTE!$X$6,8,IF(RASANTE!F193&lt;=PERALTE!$AB$6,(10/(PERALTE!$X$6-PERALTE!$AB$6)*(RASANTE!F193-PERALTE!$AB$6)-2))))),IF(AND(AH!$H$10="Derecha",RASANTE!F193&lt;=PERALTE!$AB$8),IF(RASANTE!F193&lt;=PERALTE!$S$8,-2,IF(RASANTE!F193&lt;=PERALTE!$U$8,(-6/(PERALTE!$U$8-PERALTE!$S$8)*(RASANTE!F193-PERALTE!$S$8)-2),IF(RASANTE!F193&lt;=PERALTE!$X$8,-8,IF(RASANTE!F193&lt;=PERALTE!$Z$8,(-6/(PERALTE!$X$8-PERALTE!$Z$8)*(RASANTE!F193-PERALTE!$Z$8)-2),IF(RASANTE!F193&lt;=PERALTE!$AB$8,-2))))),IF(AND(AH!$H$10="Izquierda",RASANTE!F193&lt;=PERALTE!$AB$8),IF(RASANTE!F193&lt;=PERALTE!$Q$8,-2,IF(RASANTE!F193&lt;=PERALTE!$U$8,(10/(PERALTE!$U$8-PERALTE!$Q$8)*(RASANTE!F193-PERALTE!$Q$8)-2),IF(RASANTE!F193&lt;=PERALTE!$X$8,8,IF(RASANTE!F193&lt;=PERALTE!$AB$8,(10/(PERALTE!$X$8-PERALTE!$AB$8)*(RASANTE!F193-PERALTE!$AB$8)-2))))),IF(AND(AH!$H$12="Derecha",RASANTE!F193&lt;=PERALTE!$AB$10),IF(RASANTE!F193&lt;=PERALTE!$S$10,-2,IF(RASANTE!F193&lt;=PERALTE!$U$10,(-6/(PERALTE!$U$10-PERALTE!$S$10)*(RASANTE!F193-PERALTE!$S$10)-2),IF(RASANTE!F193&lt;=PERALTE!$X$10,-8,IF(RASANTE!F193&lt;=PERALTE!$Z$10,(-6/(PERALTE!$X$10-PERALTE!$Z$10)*(RASANTE!F193-PERALTE!$Z$10)-2),IF(RASANTE!F193&lt;=PERALTE!$AB$10,-2))))),IF(AND(AH!$H$12="Izquierda",RASANTE!F193&lt;=PERALTE!$AB$10),IF(RASANTE!F193&lt;=PERALTE!$Q$10,-2,IF(RASANTE!F193&lt;=PERALTE!$U$10,(10/(PERALTE!$U$10-PERALTE!$Q$10)*(RASANTE!F193-PERALTE!$Q$10)-2),IF(RASANTE!F193&lt;=PERALTE!$X$10,8,IF(RASANTE!F193&lt;=PERALTE!$AB$10,(10/(PERALTE!$X$10-PERALTE!$AB$10)*(RASANTE!F193-PERALTE!$AB$10)-2))))),IF(AND(AH!$H$14="Derecha",RASANTE!F193&lt;=PERALTE!$AB$12),IF(RASANTE!F193&lt;=PERALTE!$S$12,-2,IF(RASANTE!F193&lt;=PERALTE!$U$12,(-6/(PERALTE!$U$12-PERALTE!$S$12)*(RASANTE!F193-PERALTE!$S$12)-2),IF(RASANTE!F193&lt;=PERALTE!$X$12,-8,IF(RASANTE!F193&lt;=PERALTE!$Z$12,(-6/(PERALTE!$X$12-PERALTE!$Z$12)*(RASANTE!F193-PERALTE!$Z$12)-2),IF(RASANTE!F193&lt;=PERALTE!$AB$12,-2))))),IF(AND(AH!$H$14="Izquierda",RASANTE!F193&lt;=PERALTE!$AB$12),IF(RASANTE!F193&lt;=PERALTE!$Q$12,-2,IF(RASANTE!F193&lt;=PERALTE!$U$12,(10/(PERALTE!$U$12-PERALTE!$Q$12)*(RASANTE!F193-PERALTE!$Q$12)-2),IF(RASANTE!F193&lt;=PERALTE!$X$12,8,IF(RASANTE!F193&lt;=PERALTE!$AB$12,(10/(PERALTE!$X$12-PERALTE!$AB$12)*(RASANTE!F193-PERALTE!$AB$12)-2))))),IF(AND(AH!$H$16="Derecha",RASANTE!F193&lt;=PERALTE!$AB$14),IF(RASANTE!F193&lt;=PERALTE!$S$14,-2,IF(RASANTE!F193&lt;=PERALTE!$U$14,(-6/(PERALTE!$U$14-PERALTE!$S$14)*(RASANTE!F193-PERALTE!$S$14)-2),IF(RASANTE!F193&lt;=PERALTE!$X$14,-8,IF(RASANTE!F193&lt;=PERALTE!$Z$14,(-6/(PERALTE!$X$14-PERALTE!$Z$14)*(RASANTE!F193-PERALTE!$Z$14)-2),IF(RASANTE!F193&lt;=PERALTE!$AB$14,-2))))),IF(AND(AH!$H$16="Izquierda",RASANTE!F193&lt;=PERALTE!$AB$14),IF(RASANTE!F193&lt;=PERALTE!$Q$14,-2,IF(RASANTE!F193&lt;=PERALTE!$U$14,(10/(PERALTE!$U$14-PERALTE!$Q$14)*(RASANTE!F193-PERALTE!$Q$14)-2),IF(RASANTE!F193&lt;=PERALTE!$X$14,8,IF(RASANTE!F193&lt;=PERALTE!$AB$14,(10/(PERALTE!$X$14-PERALTE!$AB$14)*(RASANTE!F193-PERALTE!$AB$14)-2))))),IF(AND(AH!$H$18="Derecha",RASANTE!F193&lt;=PERALTE!$AB$16),IF(RASANTE!F193&lt;=PERALTE!$S$16,-2,IF(RASANTE!F193&lt;=PERALTE!$U$16,(-6/(PERALTE!$U$16-PERALTE!$S$16)*(RASANTE!F193-PERALTE!$S$16)-2),IF(RASANTE!F193&lt;=PERALTE!$X$16,-8,IF(RASANTE!F193&lt;=PERALTE!$Z$16,(-6/(PERALTE!$X$16-PERALTE!$Z$16)*(RASANTE!F193-PERALTE!$Z$16)-2),IF(RASANTE!F193&lt;=PERALTE!$AB$16,-2))))),IF(AND(AH!$H$18="Izquierda",RASANTE!F193&lt;=PERALTE!$AB$16),IF(RASANTE!F193&lt;=PERALTE!$Q$16,-2,IF(RASANTE!F193&lt;=PERALTE!$U$16,(10/(PERALTE!$U$16-PERALTE!$Q$16)*(RASANTE!F193-PERALTE!$Q$16)-2),IF(RASANTE!F193&lt;=PERALTE!$X$16,8,IF(RASANTE!F193&lt;=PERALTE!$AB$16,(10/(PERALTE!$X$16-PERALTE!$AB$16)*(RASANTE!F193-PERALTE!$AB$16)-2))))),IF(AND(AH!$H$20="Derecha",RASANTE!F193&lt;=PERALTE!$AB$18),IF(RASANTE!F193&lt;=PERALTE!$S$18,-2,IF(RASANTE!F193&lt;=PERALTE!$U$18,(-6/(PERALTE!$U$18-PERALTE!$S$18)*(RASANTE!F193-PERALTE!$S$18)-2),IF(RASANTE!F193&lt;=PERALTE!$X$18,-8,IF(RASANTE!F193&lt;=PERALTE!$Z$18,(-6/(PERALTE!$X$18-PERALTE!$Z$18)*(RASANTE!F193-PERALTE!$Z$18)-2),IF(RASANTE!F193&lt;=PERALTE!$AB$18,-2))))),IF(AND(AH!$H$20="Izquierda",RASANTE!F193&lt;=PERALTE!$AB$18),IF(RASANTE!F193&lt;=PERALTE!$Q$18,-2,IF(RASANTE!F193&lt;=PERALTE!$U$18,(10/(PERALTE!$U$18-PERALTE!$Q$18)*(RASANTE!F193-PERALTE!$Q$18)-2),IF(RASANTE!F193&lt;=PERALTE!$X$18,8,IF(RASANTE!F193&lt;=PERALTE!$AB$18,(10/(PERALTE!$X$18-PERALTE!$AB$18)*(RASANTE!F193-PERALTE!$AB$18)-2))))),IF(AND(AH!$H$24="Derecha",RASANTE!F193&lt;=PERALTE!$AB$22),IF(RASANTE!F193&lt;=PERALTE!$S$22,-2,IF(RASANTE!F193&lt;=PERALTE!$U$22,(-6/(PERALTE!$U$22-PERALTE!$S$22)*(RASANTE!F193-PERALTE!$S$22)-2),IF(RASANTE!F193&lt;=PERALTE!$X$22,-8,IF(RASANTE!F193&lt;=PERALTE!$Z$22,(-6/(PERALTE!$X$22-PERALTE!$Z$22)*(RASANTE!F193-PERALTE!$Z$22)-2),IF(RASANTE!F193&lt;=PERALTE!$AB$22,-2))))),IF(AND(AH!$H$24="Izquierda",RASANTE!F193&lt;=PERALTE!$AB$22),IF(RASANTE!F193&lt;=PERALTE!$Q$22,-2,IF(RASANTE!F193&lt;=PERALTE!$U$22,(10/(PERALTE!$U$22-PERALTE!$Q$22)*(RASANTE!F193-PERALTE!$Q$22)-2),IF(RASANTE!F193&lt;=PERALTE!$X$22,8,IF(RASANTE!F193&lt;=PERALTE!$AB$22,(10/(PERALTE!$X$22-PERALTE!$AB$22)*(RASANTE!F193-PERALTE!$AB$22)-2))))),IF(AND(AH!#REF!="Derecha",RASANTE!F193&lt;=PERALTE!#REF!),IF(RASANTE!F193&lt;=PERALTE!#REF!,-2,IF(RASANTE!F193&lt;=PERALTE!#REF!,(-6/(PERALTE!#REF!-PERALTE!#REF!)*(RASANTE!F193-PERALTE!#REF!)-2),IF(RASANTE!F193&lt;=PERALTE!#REF!,-8,IF(RASANTE!F193&lt;=PERALTE!#REF!,(-6/(PERALTE!#REF!-PERALTE!#REF!)*(RASANTE!F193-PERALTE!#REF!)-2),IF(RASANTE!F193&lt;=PERALTE!#REF!,-2))))),IF(AND(AH!#REF!="Izquierda",RASANTE!F193&lt;=PERALTE!#REF!),IF(RASANTE!F193&lt;=PERALTE!#REF!,-2,IF(RASANTE!F193&lt;=PERALTE!#REF!,(10/(PERALTE!#REF!-PERALTE!#REF!)*(RASANTE!F193-PERALTE!#REF!)-2),IF(RASANTE!F193&lt;=PERALTE!#REF!,8,IF(RASANTE!F193&lt;=PERALTE!#REF!,(10/(PERALTE!#REF!-PERALTE!#REF!)*(RASANTE!F193-PERALTE!#REF!)-2))))),IF(AND(AH!#REF!="Derecha",RASANTE!F193&lt;=PERALTE!$AB$26),IF(RASANTE!F193&lt;=PERALTE!$S$26,-2,IF(RASANTE!F193&lt;=PERALTE!$U$26,(-6/(PERALTE!$U$26-PERALTE!$S$26)*(RASANTE!F193-PERALTE!$S$26)-2),IF(RASANTE!F193&lt;=PERALTE!$X$26,-8,IF(RASANTE!F193&lt;=PERALTE!$Z$26,(-6/(PERALTE!$X$26-PERALTE!$Z$26)*(RASANTE!F193-PERALTE!$Z$26)-2),IF(RASANTE!F193&lt;=PERALTE!$AB$26,-2))))),IF(AND(AH!#REF!="Izquierda",RASANTE!F193&lt;=PERALTE!$AB$26),IF(RASANTE!F193&lt;=PERALTE!$Q$26,-2,IF(RASANTE!F193&lt;=PERALTE!$U$26,(10/(PERALTE!$U$26-PERALTE!$Q$26)*(RASANTE!F193-PERALTE!$Q$26)-2),IF(RASANTE!F193&lt;=PERALTE!$X$26,8,IF(RASANTE!F193&lt;=PERALTE!$AB$26,(10/(PERALTE!$X$26-PERALTE!$AB$26)*(RASANTE!F193-PERALTE!$AB$26)-2))))),IF(F193&lt;=PERALTE!#REF!,-2,"Abscisa fuera de la vía")))))))))))))))))))))</f>
        <v>8</v>
      </c>
      <c r="J193" s="28">
        <f t="shared" si="8"/>
        <v>1623.0611380375924</v>
      </c>
      <c r="K193" s="28">
        <f>+IF(AND(AV!$S$6&lt;F193,F193&lt;=AV!$T$6),AV!$P$6*((AV!$S$6-RASANTE!F193)/(AV!$N$6))^2,IF(AND(AV!$T$6&lt;RASANTE!F193,F193&lt;AV!$U$6),AV!$P$6*((AV!$U$6-RASANTE!F193)/(AV!$O$6))^2,IF(AND(AV!$S$8&lt;F193,F193&lt;=AV!$T$8),AV!$P$8*((AV!$S$8-RASANTE!F193)/(AV!$N$8))^2,IF(AND(AV!$T$8&lt;RASANTE!F193,F193&lt;AV!$U$8),AV!$P$8*((AV!$U$8-RASANTE!F193)/(AV!$O$8))^2,IF(AND(AV!$S$10&lt;F193,F193&lt;=AV!$T$10),AV!$P$10*((AV!$S$10-RASANTE!F193)/(AV!$N$10))^2,IF(AND(AV!$T$10&lt;RASANTE!F193,F193&lt;AV!$U$10),AV!$P$10*((AV!$U$10-RASANTE!F193)/(AV!$O$10))^2,IF(AND(AV!$S$12&lt;F193,F193&lt;=AV!$T$12),AV!$P$12*((AV!$S$12-RASANTE!F193)/(AV!$N$12))^2,IF(AND(AV!$T$12&lt;RASANTE!F193,F193&lt;AV!$U$12),AV!$P$12*((AV!$U$12-RASANTE!F193)/(AV!$O$12))^2,IF(AND(AV!$S$14&lt;F193,F193&lt;=AV!$T$14),AV!$P$14*((AV!$S$14-RASANTE!F193)/(AV!$N$14))^2,IF(AND(AV!$T$14&lt;RASANTE!F193,F193&lt;AV!$U$14),AV!$P$14*((AV!$U$14-RASANTE!F193)/(AV!$O$14))^2,IF(AND(AV!$S$16&lt;F193,F193&lt;=AV!$T$16),AV!$P$16*((AV!$S$16-RASANTE!F193)/(AV!$N$16))^2,IF(AND(AV!$T$16&lt;RASANTE!F193,F193&lt;AV!$U$16),AV!$P$16*((AV!$U$16-RASANTE!F193)/(AV!$O$16))^2,IF(AND(AV!$S$18&lt;F193,F193&lt;=AV!$T$18),AV!$P$18*((AV!$S$18-RASANTE!F193)/(AV!$N$18))^2,IF(AND(AV!$T$18&lt;RASANTE!F193,F193&lt;AV!$U$18),AV!$P$18*((AV!$U$18-RASANTE!F193)/(AV!$O$18))^2,IF(AND(AV!$S$20&lt;F193,F193&lt;=AV!$T$20),AV!$P$20*((AV!$S$20-RASANTE!F193)/(AV!$N$20))^2,IF(AND(AV!$T$20&lt;RASANTE!F193,F193&lt;AV!$U$20),AV!$P$20*((AV!$U$20-RASANTE!F193)/(AV!$O$20))^2,IF(AND(AV!$S$22&lt;F193,F193&lt;=AV!$T$22),AV!$P$22*((AV!$S$22-RASANTE!F193)/(AV!$N$22))^2,IF(AND(AV!$T$22&lt;RASANTE!F193,F193&lt;AV!$U$22),AV!$P$22*((AV!$U$22-RASANTE!F193)/(AV!$O$22))^2,IF(AND(AV!$S$24&lt;F193,F193&lt;=AV!$T$24),AV!$P$24*((AV!$S$24-RASANTE!F193)/(AV!$N$24))^2,IF(AND(AV!$T$24&lt;RASANTE!F193,F193&lt;AV!$U$24),AV!$P$24*((AV!$U$24-RASANTE!F193)/(AV!$O$24))^2,0))))))))))))))))))))</f>
        <v>0</v>
      </c>
      <c r="L193" s="28">
        <f>+M193+H193%*PERALTE!$C$32</f>
        <v>1622.7811380375924</v>
      </c>
      <c r="M193" s="28">
        <f t="shared" si="7"/>
        <v>1623.0611380375924</v>
      </c>
      <c r="N193" s="28">
        <f>+M193+I193%*PERALTE!$C$32</f>
        <v>1623.3411380375924</v>
      </c>
      <c r="O193" s="92"/>
      <c r="P193" s="84"/>
      <c r="Q193" s="84"/>
      <c r="R193" s="84"/>
      <c r="S193" s="84"/>
      <c r="T193" s="84"/>
      <c r="U193" s="84"/>
      <c r="V193" s="84"/>
      <c r="W193" s="84"/>
      <c r="X193" s="84"/>
      <c r="Y193" s="84"/>
    </row>
    <row r="194" spans="1:25" ht="15.75" customHeight="1" x14ac:dyDescent="0.2">
      <c r="A194" s="111"/>
      <c r="F194" s="34">
        <v>1230</v>
      </c>
      <c r="G194" s="88">
        <f>IF(F194&lt;=AV!$T$6,AV!$C$5,IF(RASANTE!F194&lt;=AV!$T$8,AV!$C$7,IF(RASANTE!F194&lt;=AV!$T$10,AV!$C$9,IF(RASANTE!F194&lt;=AV!$T$12,AV!$C$11,IF(RASANTE!F194&lt;=AV!$T$14,AV!$C$13,IF(RASANTE!F194&lt;=AV!$T$16,AV!$C$15, IF(RASANTE!F194&lt;=AV!$T$18,AV!$C$17,IF(RASANTE!F194&lt;=AV!$T$20,AV!$C$19,IF(RASANTE!F194&lt;=AV!$T$22,AV!$C$21,IF(RASANTE!F194&lt;=AV!$T$24,AV!$C$23,AV!$C$25))))))))))</f>
        <v>8.1999999999999993</v>
      </c>
      <c r="H194" s="28">
        <f>+IF(AND(AH!$H$8="Izquierda",RASANTE!F194&lt;=PERALTE!$AB$6),IF(RASANTE!F194&lt;=PERALTE!$S$6,-2,IF(RASANTE!F194&lt;=PERALTE!$U$6,(-6/(PERALTE!$U$6-PERALTE!$S$6)*(RASANTE!F194-PERALTE!$S$6)-2),IF(RASANTE!F194&lt;=PERALTE!$X$6,-8,IF(RASANTE!F194&lt;=PERALTE!$Z$6,(-6/(PERALTE!$X$6-PERALTE!$Z$6)*(RASANTE!F194-PERALTE!$Z$6)-2),IF(RASANTE!F194&lt;=PERALTE!$AB$6,-2))))),IF(AND(AH!$H$8="Derecha",RASANTE!F194&lt;=PERALTE!$AB$6),IF(RASANTE!F194&lt;=PERALTE!$Q$6,-2,IF(RASANTE!F194&lt;=PERALTE!$U$6,(10/(PERALTE!$U$6-PERALTE!$Q$6)*(RASANTE!F194-PERALTE!$Q$6)-2),IF(RASANTE!F194&lt;=PERALTE!$X$6,8,IF(RASANTE!F194&lt;=PERALTE!$AB$6,(10/(PERALTE!$X$6-PERALTE!$AB$6)*(RASANTE!F194-PERALTE!$AB$6)-2))))),IF(AND(AH!$H$10="Izquierda",RASANTE!F194&lt;=PERALTE!$AB$8),IF(RASANTE!F194&lt;=PERALTE!$S$8,-2,IF(RASANTE!F194&lt;=PERALTE!$U$8,(-6/(PERALTE!$U$8-PERALTE!$S$8)*(RASANTE!F194-PERALTE!$S$8)-2),IF(RASANTE!F194&lt;=PERALTE!$X$8,-8,IF(RASANTE!F194&lt;=PERALTE!$Z$8,(-6/(PERALTE!$X$8-PERALTE!$Z$8)*(RASANTE!F194-PERALTE!$Z$8)-2),IF(RASANTE!F194&lt;=PERALTE!$AB$8,-2))))),IF(AND(AH!$H$10="Derecha",RASANTE!F194&lt;=PERALTE!$AB$8),IF(RASANTE!F194&lt;=PERALTE!$Q$8,-2,IF(RASANTE!F194&lt;=PERALTE!$U$8,(10/(PERALTE!$U$8-PERALTE!$Q$8)*(RASANTE!F194-PERALTE!$Q$8)-2),IF(RASANTE!F194&lt;=PERALTE!$X$8,8,IF(RASANTE!F194&lt;=PERALTE!$AB$8,(10/(PERALTE!$X$8-PERALTE!$AB$8)*(RASANTE!F194-PERALTE!$AB$8)-2))))),IF(AND(AH!$H$12="Izquierda",RASANTE!F194&lt;=PERALTE!$AB$10),IF(RASANTE!F194&lt;=PERALTE!$S$10,-2,IF(RASANTE!F194&lt;=PERALTE!$U$10,(-6/(PERALTE!$U$10-PERALTE!$S$10)*(RASANTE!F194-PERALTE!$S$10)-2),IF(RASANTE!F194&lt;=PERALTE!$X$10,-8,IF(RASANTE!F194&lt;=PERALTE!$Z$10,(-6/(PERALTE!$X$10-PERALTE!$Z$10)*(RASANTE!F194-PERALTE!$Z$10)-2),IF(RASANTE!F194&lt;=PERALTE!$AB$10,-2))))),IF(AND(AH!$H$12="Derecha",RASANTE!F194&lt;=PERALTE!$AB$10),IF(RASANTE!F194&lt;=PERALTE!$Q$10,-2,IF(RASANTE!F194&lt;=PERALTE!$U$10,(10/(PERALTE!$U$10-PERALTE!$Q$10)*(RASANTE!F194-PERALTE!$Q$10)-2),IF(RASANTE!F194&lt;=PERALTE!$X$10,8,IF(RASANTE!F194&lt;=PERALTE!$AB$10,(10/(PERALTE!$X$10-PERALTE!$AB$10)*(RASANTE!F194-PERALTE!$AB$10)-2))))),IF(AND(AH!$H$14="Izquierda",RASANTE!F194&lt;=PERALTE!$AB$12),IF(RASANTE!F194&lt;=PERALTE!$S$12,-2,IF(RASANTE!F194&lt;=PERALTE!$U$12,(-6/(PERALTE!$U$12-PERALTE!$S$12)*(RASANTE!F194-PERALTE!$S$12)-2),IF(RASANTE!F194&lt;=PERALTE!$X$12,-8,IF(RASANTE!F194&lt;=PERALTE!$Z$12,(-6/(PERALTE!$X$12-PERALTE!$Z$12)*(RASANTE!F194-PERALTE!$Z$12)-2),IF(RASANTE!F194&lt;=PERALTE!$AB$12,-2))))),IF(AND(AH!$H$14="Derecha",RASANTE!F194&lt;=PERALTE!$AB$12),IF(RASANTE!F194&lt;=PERALTE!$Q$12,-2,IF(RASANTE!F194&lt;=PERALTE!$U$12,(10/(PERALTE!$U$12-PERALTE!$Q$12)*(RASANTE!F194-PERALTE!$Q$12)-2),IF(RASANTE!F194&lt;=PERALTE!$X$12,8,IF(RASANTE!F194&lt;=PERALTE!$AB$12,(10/(PERALTE!$X$12-PERALTE!$AB$12)*(RASANTE!F194-PERALTE!$AB$12)-2))))),IF(AND(AH!$H$16="Izquierda",RASANTE!F194&lt;=PERALTE!$AB$14),IF(RASANTE!F194&lt;=PERALTE!$S$14,-2,IF(RASANTE!F194&lt;=PERALTE!$U$14,(-6/(PERALTE!$U$14-PERALTE!$S$14)*(RASANTE!F194-PERALTE!$S$14)-2),IF(RASANTE!F194&lt;=PERALTE!$X$14,-8,IF(RASANTE!F194&lt;=PERALTE!$Z$14,(-6/(PERALTE!$X$14-PERALTE!$Z$14)*(RASANTE!F194-PERALTE!$Z$14)-2),IF(RASANTE!F194&lt;=PERALTE!$AB$14,-2))))),IF(AND(AH!$H$16="Derecha",RASANTE!F194&lt;=PERALTE!$AB$14),IF(RASANTE!F194&lt;=PERALTE!$Q$14,-2,IF(RASANTE!F194&lt;=PERALTE!$U$14,(10/(PERALTE!$U$14-PERALTE!$Q$14)*(RASANTE!F194-PERALTE!$Q$14)-2),IF(RASANTE!F194&lt;=PERALTE!$X$14,8,IF(RASANTE!F194&lt;=PERALTE!$AB$14,(10/(PERALTE!$X$14-PERALTE!$AB$14)*(RASANTE!F194-PERALTE!$AB$14)-2))))),IF(AND(AH!$H$18="Izquierda",RASANTE!F194&lt;=PERALTE!$AB$16),IF(RASANTE!F194&lt;=PERALTE!$S$16,-2,IF(RASANTE!F194&lt;=PERALTE!$U$16,(-6/(PERALTE!$U$16-PERALTE!$S$16)*(RASANTE!F194-PERALTE!$S$16)-2),IF(RASANTE!F194&lt;=PERALTE!$X$16,-8,IF(RASANTE!F194&lt;=PERALTE!$Z$16,(-6/(PERALTE!$X$16-PERALTE!$Z$16)*(RASANTE!F194-PERALTE!$Z$16)-2),IF(RASANTE!F194&lt;=PERALTE!$AB$16,-2))))),IF(AND(AH!$H$18="Derecha",RASANTE!F194&lt;=PERALTE!$AB$16),IF(RASANTE!F194&lt;=PERALTE!$Q$16,-2,IF(RASANTE!F194&lt;=PERALTE!$U$16,(10/(PERALTE!$U$16-PERALTE!$Q$16)*(RASANTE!F194-PERALTE!$Q$16)-2),IF(RASANTE!F194&lt;=PERALTE!$X$16,8,IF(RASANTE!F194&lt;=PERALTE!$AB$16,(10/(PERALTE!$X$16-PERALTE!$AB$16)*(RASANTE!F194-PERALTE!$AB$16)-2))))),IF(AND(AH!$H$20="Izquierda",RASANTE!F194&lt;=PERALTE!$AB$18),IF(RASANTE!F194&lt;=PERALTE!$S$18,-2,IF(RASANTE!F194&lt;=PERALTE!$U$18,(-6/(PERALTE!$U$18-PERALTE!$S$18)*(RASANTE!F194-PERALTE!$S$18)-2),IF(RASANTE!F194&lt;=PERALTE!$X$18,-8,IF(RASANTE!F194&lt;=PERALTE!$Z$18,(-6/(PERALTE!$X$18-PERALTE!$Z$18)*(RASANTE!F194-PERALTE!$Z$18)-2),IF(RASANTE!F194&lt;=PERALTE!$AB$18,-2))))),IF(AND(AH!$H$20="Derecha",RASANTE!F194&lt;=PERALTE!$AB$18),IF(RASANTE!F194&lt;=PERALTE!$Q$18,-2,IF(RASANTE!F194&lt;=PERALTE!$U$18,(10/(PERALTE!$U$18-PERALTE!$Q$18)*(RASANTE!F194-PERALTE!$Q$18)-2),IF(RASANTE!F194&lt;=PERALTE!$X$18,8,IF(RASANTE!F194&lt;=PERALTE!$AB$18,(10/(PERALTE!$X$18-PERALTE!$AB$18)*(RASANTE!F194-PERALTE!$AB$18)-2))))),IF(AND(AH!$H$24="Izquierda",RASANTE!F194&lt;=PERALTE!$AB$22),IF(RASANTE!F194&lt;=PERALTE!$S$22,-2,IF(RASANTE!F194&lt;=PERALTE!$U$22,(-6/(PERALTE!$U$22-PERALTE!$S$22)*(RASANTE!F194-PERALTE!$S$22)-2),IF(RASANTE!F194&lt;=PERALTE!$X$22,-8,IF(RASANTE!F194&lt;=PERALTE!$Z$22,(-6/(PERALTE!$X$22-PERALTE!$Z$22)*(RASANTE!F194-PERALTE!$Z$22)-2),IF(RASANTE!F194&lt;=PERALTE!$AB$22,-2))))),IF(AND(AH!$H$24="Derecha",RASANTE!F194&lt;=PERALTE!$AB$22),IF(RASANTE!F194&lt;=PERALTE!$Q$22,-2,IF(RASANTE!F194&lt;=PERALTE!$U$22,(10/(PERALTE!$U$22-PERALTE!$Q$22)*(RASANTE!F194-PERALTE!$Q$22)-2),IF(RASANTE!F194&lt;=PERALTE!$X$22,8,IF(RASANTE!F194&lt;=PERALTE!$AB$22,(10/(PERALTE!$X$22-PERALTE!$AB$22)*(RASANTE!F194-PERALTE!$AB$22)-2))))),IF(AND(AH!#REF!="Izquierda",RASANTE!F194&lt;=PERALTE!#REF!),IF(RASANTE!F194&lt;=PERALTE!#REF!,-2,IF(RASANTE!F194&lt;=PERALTE!#REF!,(-6/(PERALTE!#REF!-PERALTE!#REF!)*(RASANTE!F194-PERALTE!#REF!)-2),IF(RASANTE!F194&lt;=PERALTE!#REF!,-8,IF(RASANTE!F194&lt;=PERALTE!#REF!,(-6/(PERALTE!#REF!-PERALTE!#REF!)*(RASANTE!F194-PERALTE!#REF!)-2),IF(RASANTE!F194&lt;=PERALTE!#REF!,-2))))),IF(AND(AH!#REF!="Derecha",RASANTE!F194&lt;=PERALTE!#REF!),IF(RASANTE!F194&lt;=PERALTE!#REF!,-2,IF(RASANTE!F194&lt;=PERALTE!#REF!,(10/(PERALTE!#REF!-PERALTE!#REF!)*(RASANTE!F194-PERALTE!#REF!)-2),IF(RASANTE!F194&lt;=PERALTE!#REF!,8,IF(RASANTE!F194&lt;=PERALTE!#REF!,(10/(PERALTE!#REF!-PERALTE!#REF!)*(RASANTE!F194-PERALTE!#REF!)-2))))),IF(AND(AH!#REF!="Izquierda",RASANTE!F194&lt;=PERALTE!$AB$26),IF(RASANTE!F194&lt;=PERALTE!$S$26,-2,IF(RASANTE!F194&lt;=PERALTE!$U$26,(-6/(PERALTE!$U$26-PERALTE!$S$26)*(RASANTE!F194-PERALTE!$S$26)-2),IF(RASANTE!F194&lt;=PERALTE!$X$26,-8,IF(RASANTE!F194&lt;=PERALTE!$Z$26,(-6/(PERALTE!$X$26-PERALTE!$Z$26)*(RASANTE!F194-PERALTE!$Z$26)-2),IF(RASANTE!F194&lt;=PERALTE!$AB$26,-2))))),IF(AND(AH!#REF!="Derecha",RASANTE!F194&lt;=PERALTE!$AB$26),IF(RASANTE!F194&lt;=PERALTE!$Q$26,-2,IF(RASANTE!F194&lt;=PERALTE!$U$26,(10/(PERALTE!$U$26-PERALTE!$Q$26)*(RASANTE!F194-PERALTE!$Q$26)-2),IF(RASANTE!F194&lt;=PERALTE!$X$26,8,IF(RASANTE!F194&lt;=PERALTE!$AB$26,(10/(PERALTE!$X$26-PERALTE!$AB$26)*(RASANTE!F194-PERALTE!$AB$26)-2))))),IF(F194&lt;=PERALTE!#REF!,-2,"Abscisa fuera de la vía")))))))))))))))))))))</f>
        <v>-8</v>
      </c>
      <c r="I194" s="28">
        <f>+IF(AND(AH!$H$8="Derecha",RASANTE!F194&lt;=PERALTE!$AB$6),IF(RASANTE!F194&lt;=PERALTE!$S$6,-2,IF(RASANTE!F194&lt;=PERALTE!$U$6,(-6/(PERALTE!$U$6-PERALTE!$S$6)*(RASANTE!F194-PERALTE!$S$6)-2),IF(RASANTE!F194&lt;=PERALTE!$X$6,-8,IF(RASANTE!F194&lt;=PERALTE!$Z$6,(-6/(PERALTE!$X$6-PERALTE!$Z$6)*(RASANTE!F194-PERALTE!$Z$6)-2),IF(RASANTE!F194&lt;=PERALTE!$AB$6,-2))))),IF(AND(AH!$H$8="Izquierda",RASANTE!F194&lt;=PERALTE!$AB$6),IF(RASANTE!F194&lt;=PERALTE!$Q$6,-2,IF(RASANTE!F194&lt;=PERALTE!$U$6,(10/(PERALTE!$U$6-PERALTE!$Q$6)*(RASANTE!F194-PERALTE!$Q$6)-2),IF(RASANTE!F194&lt;=PERALTE!$X$6,8,IF(RASANTE!F194&lt;=PERALTE!$AB$6,(10/(PERALTE!$X$6-PERALTE!$AB$6)*(RASANTE!F194-PERALTE!$AB$6)-2))))),IF(AND(AH!$H$10="Derecha",RASANTE!F194&lt;=PERALTE!$AB$8),IF(RASANTE!F194&lt;=PERALTE!$S$8,-2,IF(RASANTE!F194&lt;=PERALTE!$U$8,(-6/(PERALTE!$U$8-PERALTE!$S$8)*(RASANTE!F194-PERALTE!$S$8)-2),IF(RASANTE!F194&lt;=PERALTE!$X$8,-8,IF(RASANTE!F194&lt;=PERALTE!$Z$8,(-6/(PERALTE!$X$8-PERALTE!$Z$8)*(RASANTE!F194-PERALTE!$Z$8)-2),IF(RASANTE!F194&lt;=PERALTE!$AB$8,-2))))),IF(AND(AH!$H$10="Izquierda",RASANTE!F194&lt;=PERALTE!$AB$8),IF(RASANTE!F194&lt;=PERALTE!$Q$8,-2,IF(RASANTE!F194&lt;=PERALTE!$U$8,(10/(PERALTE!$U$8-PERALTE!$Q$8)*(RASANTE!F194-PERALTE!$Q$8)-2),IF(RASANTE!F194&lt;=PERALTE!$X$8,8,IF(RASANTE!F194&lt;=PERALTE!$AB$8,(10/(PERALTE!$X$8-PERALTE!$AB$8)*(RASANTE!F194-PERALTE!$AB$8)-2))))),IF(AND(AH!$H$12="Derecha",RASANTE!F194&lt;=PERALTE!$AB$10),IF(RASANTE!F194&lt;=PERALTE!$S$10,-2,IF(RASANTE!F194&lt;=PERALTE!$U$10,(-6/(PERALTE!$U$10-PERALTE!$S$10)*(RASANTE!F194-PERALTE!$S$10)-2),IF(RASANTE!F194&lt;=PERALTE!$X$10,-8,IF(RASANTE!F194&lt;=PERALTE!$Z$10,(-6/(PERALTE!$X$10-PERALTE!$Z$10)*(RASANTE!F194-PERALTE!$Z$10)-2),IF(RASANTE!F194&lt;=PERALTE!$AB$10,-2))))),IF(AND(AH!$H$12="Izquierda",RASANTE!F194&lt;=PERALTE!$AB$10),IF(RASANTE!F194&lt;=PERALTE!$Q$10,-2,IF(RASANTE!F194&lt;=PERALTE!$U$10,(10/(PERALTE!$U$10-PERALTE!$Q$10)*(RASANTE!F194-PERALTE!$Q$10)-2),IF(RASANTE!F194&lt;=PERALTE!$X$10,8,IF(RASANTE!F194&lt;=PERALTE!$AB$10,(10/(PERALTE!$X$10-PERALTE!$AB$10)*(RASANTE!F194-PERALTE!$AB$10)-2))))),IF(AND(AH!$H$14="Derecha",RASANTE!F194&lt;=PERALTE!$AB$12),IF(RASANTE!F194&lt;=PERALTE!$S$12,-2,IF(RASANTE!F194&lt;=PERALTE!$U$12,(-6/(PERALTE!$U$12-PERALTE!$S$12)*(RASANTE!F194-PERALTE!$S$12)-2),IF(RASANTE!F194&lt;=PERALTE!$X$12,-8,IF(RASANTE!F194&lt;=PERALTE!$Z$12,(-6/(PERALTE!$X$12-PERALTE!$Z$12)*(RASANTE!F194-PERALTE!$Z$12)-2),IF(RASANTE!F194&lt;=PERALTE!$AB$12,-2))))),IF(AND(AH!$H$14="Izquierda",RASANTE!F194&lt;=PERALTE!$AB$12),IF(RASANTE!F194&lt;=PERALTE!$Q$12,-2,IF(RASANTE!F194&lt;=PERALTE!$U$12,(10/(PERALTE!$U$12-PERALTE!$Q$12)*(RASANTE!F194-PERALTE!$Q$12)-2),IF(RASANTE!F194&lt;=PERALTE!$X$12,8,IF(RASANTE!F194&lt;=PERALTE!$AB$12,(10/(PERALTE!$X$12-PERALTE!$AB$12)*(RASANTE!F194-PERALTE!$AB$12)-2))))),IF(AND(AH!$H$16="Derecha",RASANTE!F194&lt;=PERALTE!$AB$14),IF(RASANTE!F194&lt;=PERALTE!$S$14,-2,IF(RASANTE!F194&lt;=PERALTE!$U$14,(-6/(PERALTE!$U$14-PERALTE!$S$14)*(RASANTE!F194-PERALTE!$S$14)-2),IF(RASANTE!F194&lt;=PERALTE!$X$14,-8,IF(RASANTE!F194&lt;=PERALTE!$Z$14,(-6/(PERALTE!$X$14-PERALTE!$Z$14)*(RASANTE!F194-PERALTE!$Z$14)-2),IF(RASANTE!F194&lt;=PERALTE!$AB$14,-2))))),IF(AND(AH!$H$16="Izquierda",RASANTE!F194&lt;=PERALTE!$AB$14),IF(RASANTE!F194&lt;=PERALTE!$Q$14,-2,IF(RASANTE!F194&lt;=PERALTE!$U$14,(10/(PERALTE!$U$14-PERALTE!$Q$14)*(RASANTE!F194-PERALTE!$Q$14)-2),IF(RASANTE!F194&lt;=PERALTE!$X$14,8,IF(RASANTE!F194&lt;=PERALTE!$AB$14,(10/(PERALTE!$X$14-PERALTE!$AB$14)*(RASANTE!F194-PERALTE!$AB$14)-2))))),IF(AND(AH!$H$18="Derecha",RASANTE!F194&lt;=PERALTE!$AB$16),IF(RASANTE!F194&lt;=PERALTE!$S$16,-2,IF(RASANTE!F194&lt;=PERALTE!$U$16,(-6/(PERALTE!$U$16-PERALTE!$S$16)*(RASANTE!F194-PERALTE!$S$16)-2),IF(RASANTE!F194&lt;=PERALTE!$X$16,-8,IF(RASANTE!F194&lt;=PERALTE!$Z$16,(-6/(PERALTE!$X$16-PERALTE!$Z$16)*(RASANTE!F194-PERALTE!$Z$16)-2),IF(RASANTE!F194&lt;=PERALTE!$AB$16,-2))))),IF(AND(AH!$H$18="Izquierda",RASANTE!F194&lt;=PERALTE!$AB$16),IF(RASANTE!F194&lt;=PERALTE!$Q$16,-2,IF(RASANTE!F194&lt;=PERALTE!$U$16,(10/(PERALTE!$U$16-PERALTE!$Q$16)*(RASANTE!F194-PERALTE!$Q$16)-2),IF(RASANTE!F194&lt;=PERALTE!$X$16,8,IF(RASANTE!F194&lt;=PERALTE!$AB$16,(10/(PERALTE!$X$16-PERALTE!$AB$16)*(RASANTE!F194-PERALTE!$AB$16)-2))))),IF(AND(AH!$H$20="Derecha",RASANTE!F194&lt;=PERALTE!$AB$18),IF(RASANTE!F194&lt;=PERALTE!$S$18,-2,IF(RASANTE!F194&lt;=PERALTE!$U$18,(-6/(PERALTE!$U$18-PERALTE!$S$18)*(RASANTE!F194-PERALTE!$S$18)-2),IF(RASANTE!F194&lt;=PERALTE!$X$18,-8,IF(RASANTE!F194&lt;=PERALTE!$Z$18,(-6/(PERALTE!$X$18-PERALTE!$Z$18)*(RASANTE!F194-PERALTE!$Z$18)-2),IF(RASANTE!F194&lt;=PERALTE!$AB$18,-2))))),IF(AND(AH!$H$20="Izquierda",RASANTE!F194&lt;=PERALTE!$AB$18),IF(RASANTE!F194&lt;=PERALTE!$Q$18,-2,IF(RASANTE!F194&lt;=PERALTE!$U$18,(10/(PERALTE!$U$18-PERALTE!$Q$18)*(RASANTE!F194-PERALTE!$Q$18)-2),IF(RASANTE!F194&lt;=PERALTE!$X$18,8,IF(RASANTE!F194&lt;=PERALTE!$AB$18,(10/(PERALTE!$X$18-PERALTE!$AB$18)*(RASANTE!F194-PERALTE!$AB$18)-2))))),IF(AND(AH!$H$24="Derecha",RASANTE!F194&lt;=PERALTE!$AB$22),IF(RASANTE!F194&lt;=PERALTE!$S$22,-2,IF(RASANTE!F194&lt;=PERALTE!$U$22,(-6/(PERALTE!$U$22-PERALTE!$S$22)*(RASANTE!F194-PERALTE!$S$22)-2),IF(RASANTE!F194&lt;=PERALTE!$X$22,-8,IF(RASANTE!F194&lt;=PERALTE!$Z$22,(-6/(PERALTE!$X$22-PERALTE!$Z$22)*(RASANTE!F194-PERALTE!$Z$22)-2),IF(RASANTE!F194&lt;=PERALTE!$AB$22,-2))))),IF(AND(AH!$H$24="Izquierda",RASANTE!F194&lt;=PERALTE!$AB$22),IF(RASANTE!F194&lt;=PERALTE!$Q$22,-2,IF(RASANTE!F194&lt;=PERALTE!$U$22,(10/(PERALTE!$U$22-PERALTE!$Q$22)*(RASANTE!F194-PERALTE!$Q$22)-2),IF(RASANTE!F194&lt;=PERALTE!$X$22,8,IF(RASANTE!F194&lt;=PERALTE!$AB$22,(10/(PERALTE!$X$22-PERALTE!$AB$22)*(RASANTE!F194-PERALTE!$AB$22)-2))))),IF(AND(AH!#REF!="Derecha",RASANTE!F194&lt;=PERALTE!#REF!),IF(RASANTE!F194&lt;=PERALTE!#REF!,-2,IF(RASANTE!F194&lt;=PERALTE!#REF!,(-6/(PERALTE!#REF!-PERALTE!#REF!)*(RASANTE!F194-PERALTE!#REF!)-2),IF(RASANTE!F194&lt;=PERALTE!#REF!,-8,IF(RASANTE!F194&lt;=PERALTE!#REF!,(-6/(PERALTE!#REF!-PERALTE!#REF!)*(RASANTE!F194-PERALTE!#REF!)-2),IF(RASANTE!F194&lt;=PERALTE!#REF!,-2))))),IF(AND(AH!#REF!="Izquierda",RASANTE!F194&lt;=PERALTE!#REF!),IF(RASANTE!F194&lt;=PERALTE!#REF!,-2,IF(RASANTE!F194&lt;=PERALTE!#REF!,(10/(PERALTE!#REF!-PERALTE!#REF!)*(RASANTE!F194-PERALTE!#REF!)-2),IF(RASANTE!F194&lt;=PERALTE!#REF!,8,IF(RASANTE!F194&lt;=PERALTE!#REF!,(10/(PERALTE!#REF!-PERALTE!#REF!)*(RASANTE!F194-PERALTE!#REF!)-2))))),IF(AND(AH!#REF!="Derecha",RASANTE!F194&lt;=PERALTE!$AB$26),IF(RASANTE!F194&lt;=PERALTE!$S$26,-2,IF(RASANTE!F194&lt;=PERALTE!$U$26,(-6/(PERALTE!$U$26-PERALTE!$S$26)*(RASANTE!F194-PERALTE!$S$26)-2),IF(RASANTE!F194&lt;=PERALTE!$X$26,-8,IF(RASANTE!F194&lt;=PERALTE!$Z$26,(-6/(PERALTE!$X$26-PERALTE!$Z$26)*(RASANTE!F194-PERALTE!$Z$26)-2),IF(RASANTE!F194&lt;=PERALTE!$AB$26,-2))))),IF(AND(AH!#REF!="Izquierda",RASANTE!F194&lt;=PERALTE!$AB$26),IF(RASANTE!F194&lt;=PERALTE!$Q$26,-2,IF(RASANTE!F194&lt;=PERALTE!$U$26,(10/(PERALTE!$U$26-PERALTE!$Q$26)*(RASANTE!F194-PERALTE!$Q$26)-2),IF(RASANTE!F194&lt;=PERALTE!$X$26,8,IF(RASANTE!F194&lt;=PERALTE!$AB$26,(10/(PERALTE!$X$26-PERALTE!$AB$26)*(RASANTE!F194-PERALTE!$AB$26)-2))))),IF(F194&lt;=PERALTE!#REF!,-2,"Abscisa fuera de la vía")))))))))))))))))))))</f>
        <v>8</v>
      </c>
      <c r="J194" s="28">
        <f t="shared" si="8"/>
        <v>1623.8811380375923</v>
      </c>
      <c r="K194" s="28">
        <f>+IF(AND(AV!$S$6&lt;F194,F194&lt;=AV!$T$6),AV!$P$6*((AV!$S$6-RASANTE!F194)/(AV!$N$6))^2,IF(AND(AV!$T$6&lt;RASANTE!F194,F194&lt;AV!$U$6),AV!$P$6*((AV!$U$6-RASANTE!F194)/(AV!$O$6))^2,IF(AND(AV!$S$8&lt;F194,F194&lt;=AV!$T$8),AV!$P$8*((AV!$S$8-RASANTE!F194)/(AV!$N$8))^2,IF(AND(AV!$T$8&lt;RASANTE!F194,F194&lt;AV!$U$8),AV!$P$8*((AV!$U$8-RASANTE!F194)/(AV!$O$8))^2,IF(AND(AV!$S$10&lt;F194,F194&lt;=AV!$T$10),AV!$P$10*((AV!$S$10-RASANTE!F194)/(AV!$N$10))^2,IF(AND(AV!$T$10&lt;RASANTE!F194,F194&lt;AV!$U$10),AV!$P$10*((AV!$U$10-RASANTE!F194)/(AV!$O$10))^2,IF(AND(AV!$S$12&lt;F194,F194&lt;=AV!$T$12),AV!$P$12*((AV!$S$12-RASANTE!F194)/(AV!$N$12))^2,IF(AND(AV!$T$12&lt;RASANTE!F194,F194&lt;AV!$U$12),AV!$P$12*((AV!$U$12-RASANTE!F194)/(AV!$O$12))^2,IF(AND(AV!$S$14&lt;F194,F194&lt;=AV!$T$14),AV!$P$14*((AV!$S$14-RASANTE!F194)/(AV!$N$14))^2,IF(AND(AV!$T$14&lt;RASANTE!F194,F194&lt;AV!$U$14),AV!$P$14*((AV!$U$14-RASANTE!F194)/(AV!$O$14))^2,IF(AND(AV!$S$16&lt;F194,F194&lt;=AV!$T$16),AV!$P$16*((AV!$S$16-RASANTE!F194)/(AV!$N$16))^2,IF(AND(AV!$T$16&lt;RASANTE!F194,F194&lt;AV!$U$16),AV!$P$16*((AV!$U$16-RASANTE!F194)/(AV!$O$16))^2,IF(AND(AV!$S$18&lt;F194,F194&lt;=AV!$T$18),AV!$P$18*((AV!$S$18-RASANTE!F194)/(AV!$N$18))^2,IF(AND(AV!$T$18&lt;RASANTE!F194,F194&lt;AV!$U$18),AV!$P$18*((AV!$U$18-RASANTE!F194)/(AV!$O$18))^2,IF(AND(AV!$S$20&lt;F194,F194&lt;=AV!$T$20),AV!$P$20*((AV!$S$20-RASANTE!F194)/(AV!$N$20))^2,IF(AND(AV!$T$20&lt;RASANTE!F194,F194&lt;AV!$U$20),AV!$P$20*((AV!$U$20-RASANTE!F194)/(AV!$O$20))^2,IF(AND(AV!$S$22&lt;F194,F194&lt;=AV!$T$22),AV!$P$22*((AV!$S$22-RASANTE!F194)/(AV!$N$22))^2,IF(AND(AV!$T$22&lt;RASANTE!F194,F194&lt;AV!$U$22),AV!$P$22*((AV!$U$22-RASANTE!F194)/(AV!$O$22))^2,IF(AND(AV!$S$24&lt;F194,F194&lt;=AV!$T$24),AV!$P$24*((AV!$S$24-RASANTE!F194)/(AV!$N$24))^2,IF(AND(AV!$T$24&lt;RASANTE!F194,F194&lt;AV!$U$24),AV!$P$24*((AV!$U$24-RASANTE!F194)/(AV!$O$24))^2,0))))))))))))))))))))</f>
        <v>0</v>
      </c>
      <c r="L194" s="28">
        <f>+M194+H194%*PERALTE!$C$32</f>
        <v>1623.6011380375924</v>
      </c>
      <c r="M194" s="28">
        <f t="shared" si="7"/>
        <v>1623.8811380375923</v>
      </c>
      <c r="N194" s="28">
        <f>+M194+I194%*PERALTE!$C$32</f>
        <v>1624.1611380375923</v>
      </c>
      <c r="O194" s="92"/>
      <c r="P194" s="84"/>
      <c r="Q194" s="84"/>
      <c r="R194" s="84"/>
      <c r="S194" s="84"/>
      <c r="T194" s="84"/>
      <c r="U194" s="84"/>
      <c r="V194" s="84"/>
      <c r="W194" s="84"/>
      <c r="X194" s="84"/>
      <c r="Y194" s="84"/>
    </row>
    <row r="195" spans="1:25" ht="15.75" customHeight="1" x14ac:dyDescent="0.2">
      <c r="A195" s="111" t="s">
        <v>353</v>
      </c>
      <c r="F195" s="34">
        <f>PERALTE!X14</f>
        <v>1238.1307991588687</v>
      </c>
      <c r="G195" s="88">
        <f>IF(F195&lt;=AV!$T$6,AV!$C$5,IF(RASANTE!F195&lt;=AV!$T$8,AV!$C$7,IF(RASANTE!F195&lt;=AV!$T$10,AV!$C$9,IF(RASANTE!F195&lt;=AV!$T$12,AV!$C$11,IF(RASANTE!F195&lt;=AV!$T$14,AV!$C$13,IF(RASANTE!F195&lt;=AV!$T$16,AV!$C$15, IF(RASANTE!F195&lt;=AV!$T$18,AV!$C$17,IF(RASANTE!F195&lt;=AV!$T$20,AV!$C$19,IF(RASANTE!F195&lt;=AV!$T$22,AV!$C$21,IF(RASANTE!F195&lt;=AV!$T$24,AV!$C$23,AV!$C$25))))))))))</f>
        <v>8.1999999999999993</v>
      </c>
      <c r="H195" s="28">
        <f>+IF(AND(AH!$H$8="Izquierda",RASANTE!F195&lt;=PERALTE!$AB$6),IF(RASANTE!F195&lt;=PERALTE!$S$6,-2,IF(RASANTE!F195&lt;=PERALTE!$U$6,(-6/(PERALTE!$U$6-PERALTE!$S$6)*(RASANTE!F195-PERALTE!$S$6)-2),IF(RASANTE!F195&lt;=PERALTE!$X$6,-8,IF(RASANTE!F195&lt;=PERALTE!$Z$6,(-6/(PERALTE!$X$6-PERALTE!$Z$6)*(RASANTE!F195-PERALTE!$Z$6)-2),IF(RASANTE!F195&lt;=PERALTE!$AB$6,-2))))),IF(AND(AH!$H$8="Derecha",RASANTE!F195&lt;=PERALTE!$AB$6),IF(RASANTE!F195&lt;=PERALTE!$Q$6,-2,IF(RASANTE!F195&lt;=PERALTE!$U$6,(10/(PERALTE!$U$6-PERALTE!$Q$6)*(RASANTE!F195-PERALTE!$Q$6)-2),IF(RASANTE!F195&lt;=PERALTE!$X$6,8,IF(RASANTE!F195&lt;=PERALTE!$AB$6,(10/(PERALTE!$X$6-PERALTE!$AB$6)*(RASANTE!F195-PERALTE!$AB$6)-2))))),IF(AND(AH!$H$10="Izquierda",RASANTE!F195&lt;=PERALTE!$AB$8),IF(RASANTE!F195&lt;=PERALTE!$S$8,-2,IF(RASANTE!F195&lt;=PERALTE!$U$8,(-6/(PERALTE!$U$8-PERALTE!$S$8)*(RASANTE!F195-PERALTE!$S$8)-2),IF(RASANTE!F195&lt;=PERALTE!$X$8,-8,IF(RASANTE!F195&lt;=PERALTE!$Z$8,(-6/(PERALTE!$X$8-PERALTE!$Z$8)*(RASANTE!F195-PERALTE!$Z$8)-2),IF(RASANTE!F195&lt;=PERALTE!$AB$8,-2))))),IF(AND(AH!$H$10="Derecha",RASANTE!F195&lt;=PERALTE!$AB$8),IF(RASANTE!F195&lt;=PERALTE!$Q$8,-2,IF(RASANTE!F195&lt;=PERALTE!$U$8,(10/(PERALTE!$U$8-PERALTE!$Q$8)*(RASANTE!F195-PERALTE!$Q$8)-2),IF(RASANTE!F195&lt;=PERALTE!$X$8,8,IF(RASANTE!F195&lt;=PERALTE!$AB$8,(10/(PERALTE!$X$8-PERALTE!$AB$8)*(RASANTE!F195-PERALTE!$AB$8)-2))))),IF(AND(AH!$H$12="Izquierda",RASANTE!F195&lt;=PERALTE!$AB$10),IF(RASANTE!F195&lt;=PERALTE!$S$10,-2,IF(RASANTE!F195&lt;=PERALTE!$U$10,(-6/(PERALTE!$U$10-PERALTE!$S$10)*(RASANTE!F195-PERALTE!$S$10)-2),IF(RASANTE!F195&lt;=PERALTE!$X$10,-8,IF(RASANTE!F195&lt;=PERALTE!$Z$10,(-6/(PERALTE!$X$10-PERALTE!$Z$10)*(RASANTE!F195-PERALTE!$Z$10)-2),IF(RASANTE!F195&lt;=PERALTE!$AB$10,-2))))),IF(AND(AH!$H$12="Derecha",RASANTE!F195&lt;=PERALTE!$AB$10),IF(RASANTE!F195&lt;=PERALTE!$Q$10,-2,IF(RASANTE!F195&lt;=PERALTE!$U$10,(10/(PERALTE!$U$10-PERALTE!$Q$10)*(RASANTE!F195-PERALTE!$Q$10)-2),IF(RASANTE!F195&lt;=PERALTE!$X$10,8,IF(RASANTE!F195&lt;=PERALTE!$AB$10,(10/(PERALTE!$X$10-PERALTE!$AB$10)*(RASANTE!F195-PERALTE!$AB$10)-2))))),IF(AND(AH!$H$14="Izquierda",RASANTE!F195&lt;=PERALTE!$AB$12),IF(RASANTE!F195&lt;=PERALTE!$S$12,-2,IF(RASANTE!F195&lt;=PERALTE!$U$12,(-6/(PERALTE!$U$12-PERALTE!$S$12)*(RASANTE!F195-PERALTE!$S$12)-2),IF(RASANTE!F195&lt;=PERALTE!$X$12,-8,IF(RASANTE!F195&lt;=PERALTE!$Z$12,(-6/(PERALTE!$X$12-PERALTE!$Z$12)*(RASANTE!F195-PERALTE!$Z$12)-2),IF(RASANTE!F195&lt;=PERALTE!$AB$12,-2))))),IF(AND(AH!$H$14="Derecha",RASANTE!F195&lt;=PERALTE!$AB$12),IF(RASANTE!F195&lt;=PERALTE!$Q$12,-2,IF(RASANTE!F195&lt;=PERALTE!$U$12,(10/(PERALTE!$U$12-PERALTE!$Q$12)*(RASANTE!F195-PERALTE!$Q$12)-2),IF(RASANTE!F195&lt;=PERALTE!$X$12,8,IF(RASANTE!F195&lt;=PERALTE!$AB$12,(10/(PERALTE!$X$12-PERALTE!$AB$12)*(RASANTE!F195-PERALTE!$AB$12)-2))))),IF(AND(AH!$H$16="Izquierda",RASANTE!F195&lt;=PERALTE!$AB$14),IF(RASANTE!F195&lt;=PERALTE!$S$14,-2,IF(RASANTE!F195&lt;=PERALTE!$U$14,(-6/(PERALTE!$U$14-PERALTE!$S$14)*(RASANTE!F195-PERALTE!$S$14)-2),IF(RASANTE!F195&lt;=PERALTE!$X$14,-8,IF(RASANTE!F195&lt;=PERALTE!$Z$14,(-6/(PERALTE!$X$14-PERALTE!$Z$14)*(RASANTE!F195-PERALTE!$Z$14)-2),IF(RASANTE!F195&lt;=PERALTE!$AB$14,-2))))),IF(AND(AH!$H$16="Derecha",RASANTE!F195&lt;=PERALTE!$AB$14),IF(RASANTE!F195&lt;=PERALTE!$Q$14,-2,IF(RASANTE!F195&lt;=PERALTE!$U$14,(10/(PERALTE!$U$14-PERALTE!$Q$14)*(RASANTE!F195-PERALTE!$Q$14)-2),IF(RASANTE!F195&lt;=PERALTE!$X$14,8,IF(RASANTE!F195&lt;=PERALTE!$AB$14,(10/(PERALTE!$X$14-PERALTE!$AB$14)*(RASANTE!F195-PERALTE!$AB$14)-2))))),IF(AND(AH!$H$18="Izquierda",RASANTE!F195&lt;=PERALTE!$AB$16),IF(RASANTE!F195&lt;=PERALTE!$S$16,-2,IF(RASANTE!F195&lt;=PERALTE!$U$16,(-6/(PERALTE!$U$16-PERALTE!$S$16)*(RASANTE!F195-PERALTE!$S$16)-2),IF(RASANTE!F195&lt;=PERALTE!$X$16,-8,IF(RASANTE!F195&lt;=PERALTE!$Z$16,(-6/(PERALTE!$X$16-PERALTE!$Z$16)*(RASANTE!F195-PERALTE!$Z$16)-2),IF(RASANTE!F195&lt;=PERALTE!$AB$16,-2))))),IF(AND(AH!$H$18="Derecha",RASANTE!F195&lt;=PERALTE!$AB$16),IF(RASANTE!F195&lt;=PERALTE!$Q$16,-2,IF(RASANTE!F195&lt;=PERALTE!$U$16,(10/(PERALTE!$U$16-PERALTE!$Q$16)*(RASANTE!F195-PERALTE!$Q$16)-2),IF(RASANTE!F195&lt;=PERALTE!$X$16,8,IF(RASANTE!F195&lt;=PERALTE!$AB$16,(10/(PERALTE!$X$16-PERALTE!$AB$16)*(RASANTE!F195-PERALTE!$AB$16)-2))))),IF(AND(AH!$H$20="Izquierda",RASANTE!F195&lt;=PERALTE!$AB$18),IF(RASANTE!F195&lt;=PERALTE!$S$18,-2,IF(RASANTE!F195&lt;=PERALTE!$U$18,(-6/(PERALTE!$U$18-PERALTE!$S$18)*(RASANTE!F195-PERALTE!$S$18)-2),IF(RASANTE!F195&lt;=PERALTE!$X$18,-8,IF(RASANTE!F195&lt;=PERALTE!$Z$18,(-6/(PERALTE!$X$18-PERALTE!$Z$18)*(RASANTE!F195-PERALTE!$Z$18)-2),IF(RASANTE!F195&lt;=PERALTE!$AB$18,-2))))),IF(AND(AH!$H$20="Derecha",RASANTE!F195&lt;=PERALTE!$AB$18),IF(RASANTE!F195&lt;=PERALTE!$Q$18,-2,IF(RASANTE!F195&lt;=PERALTE!$U$18,(10/(PERALTE!$U$18-PERALTE!$Q$18)*(RASANTE!F195-PERALTE!$Q$18)-2),IF(RASANTE!F195&lt;=PERALTE!$X$18,8,IF(RASANTE!F195&lt;=PERALTE!$AB$18,(10/(PERALTE!$X$18-PERALTE!$AB$18)*(RASANTE!F195-PERALTE!$AB$18)-2))))),IF(AND(AH!$H$24="Izquierda",RASANTE!F195&lt;=PERALTE!$AB$22),IF(RASANTE!F195&lt;=PERALTE!$S$22,-2,IF(RASANTE!F195&lt;=PERALTE!$U$22,(-6/(PERALTE!$U$22-PERALTE!$S$22)*(RASANTE!F195-PERALTE!$S$22)-2),IF(RASANTE!F195&lt;=PERALTE!$X$22,-8,IF(RASANTE!F195&lt;=PERALTE!$Z$22,(-6/(PERALTE!$X$22-PERALTE!$Z$22)*(RASANTE!F195-PERALTE!$Z$22)-2),IF(RASANTE!F195&lt;=PERALTE!$AB$22,-2))))),IF(AND(AH!$H$24="Derecha",RASANTE!F195&lt;=PERALTE!$AB$22),IF(RASANTE!F195&lt;=PERALTE!$Q$22,-2,IF(RASANTE!F195&lt;=PERALTE!$U$22,(10/(PERALTE!$U$22-PERALTE!$Q$22)*(RASANTE!F195-PERALTE!$Q$22)-2),IF(RASANTE!F195&lt;=PERALTE!$X$22,8,IF(RASANTE!F195&lt;=PERALTE!$AB$22,(10/(PERALTE!$X$22-PERALTE!$AB$22)*(RASANTE!F195-PERALTE!$AB$22)-2))))),IF(AND(AH!#REF!="Izquierda",RASANTE!F195&lt;=PERALTE!#REF!),IF(RASANTE!F195&lt;=PERALTE!#REF!,-2,IF(RASANTE!F195&lt;=PERALTE!#REF!,(-6/(PERALTE!#REF!-PERALTE!#REF!)*(RASANTE!F195-PERALTE!#REF!)-2),IF(RASANTE!F195&lt;=PERALTE!#REF!,-8,IF(RASANTE!F195&lt;=PERALTE!#REF!,(-6/(PERALTE!#REF!-PERALTE!#REF!)*(RASANTE!F195-PERALTE!#REF!)-2),IF(RASANTE!F195&lt;=PERALTE!#REF!,-2))))),IF(AND(AH!#REF!="Derecha",RASANTE!F195&lt;=PERALTE!#REF!),IF(RASANTE!F195&lt;=PERALTE!#REF!,-2,IF(RASANTE!F195&lt;=PERALTE!#REF!,(10/(PERALTE!#REF!-PERALTE!#REF!)*(RASANTE!F195-PERALTE!#REF!)-2),IF(RASANTE!F195&lt;=PERALTE!#REF!,8,IF(RASANTE!F195&lt;=PERALTE!#REF!,(10/(PERALTE!#REF!-PERALTE!#REF!)*(RASANTE!F195-PERALTE!#REF!)-2))))),IF(AND(AH!#REF!="Izquierda",RASANTE!F195&lt;=PERALTE!$AB$26),IF(RASANTE!F195&lt;=PERALTE!$S$26,-2,IF(RASANTE!F195&lt;=PERALTE!$U$26,(-6/(PERALTE!$U$26-PERALTE!$S$26)*(RASANTE!F195-PERALTE!$S$26)-2),IF(RASANTE!F195&lt;=PERALTE!$X$26,-8,IF(RASANTE!F195&lt;=PERALTE!$Z$26,(-6/(PERALTE!$X$26-PERALTE!$Z$26)*(RASANTE!F195-PERALTE!$Z$26)-2),IF(RASANTE!F195&lt;=PERALTE!$AB$26,-2))))),IF(AND(AH!#REF!="Derecha",RASANTE!F195&lt;=PERALTE!$AB$26),IF(RASANTE!F195&lt;=PERALTE!$Q$26,-2,IF(RASANTE!F195&lt;=PERALTE!$U$26,(10/(PERALTE!$U$26-PERALTE!$Q$26)*(RASANTE!F195-PERALTE!$Q$26)-2),IF(RASANTE!F195&lt;=PERALTE!$X$26,8,IF(RASANTE!F195&lt;=PERALTE!$AB$26,(10/(PERALTE!$X$26-PERALTE!$AB$26)*(RASANTE!F195-PERALTE!$AB$26)-2))))),IF(F195&lt;=PERALTE!#REF!,-2,"Abscisa fuera de la vía")))))))))))))))))))))</f>
        <v>-8</v>
      </c>
      <c r="I195" s="28">
        <f>+IF(AND(AH!$H$8="Derecha",RASANTE!F195&lt;=PERALTE!$AB$6),IF(RASANTE!F195&lt;=PERALTE!$S$6,-2,IF(RASANTE!F195&lt;=PERALTE!$U$6,(-6/(PERALTE!$U$6-PERALTE!$S$6)*(RASANTE!F195-PERALTE!$S$6)-2),IF(RASANTE!F195&lt;=PERALTE!$X$6,-8,IF(RASANTE!F195&lt;=PERALTE!$Z$6,(-6/(PERALTE!$X$6-PERALTE!$Z$6)*(RASANTE!F195-PERALTE!$Z$6)-2),IF(RASANTE!F195&lt;=PERALTE!$AB$6,-2))))),IF(AND(AH!$H$8="Izquierda",RASANTE!F195&lt;=PERALTE!$AB$6),IF(RASANTE!F195&lt;=PERALTE!$Q$6,-2,IF(RASANTE!F195&lt;=PERALTE!$U$6,(10/(PERALTE!$U$6-PERALTE!$Q$6)*(RASANTE!F195-PERALTE!$Q$6)-2),IF(RASANTE!F195&lt;=PERALTE!$X$6,8,IF(RASANTE!F195&lt;=PERALTE!$AB$6,(10/(PERALTE!$X$6-PERALTE!$AB$6)*(RASANTE!F195-PERALTE!$AB$6)-2))))),IF(AND(AH!$H$10="Derecha",RASANTE!F195&lt;=PERALTE!$AB$8),IF(RASANTE!F195&lt;=PERALTE!$S$8,-2,IF(RASANTE!F195&lt;=PERALTE!$U$8,(-6/(PERALTE!$U$8-PERALTE!$S$8)*(RASANTE!F195-PERALTE!$S$8)-2),IF(RASANTE!F195&lt;=PERALTE!$X$8,-8,IF(RASANTE!F195&lt;=PERALTE!$Z$8,(-6/(PERALTE!$X$8-PERALTE!$Z$8)*(RASANTE!F195-PERALTE!$Z$8)-2),IF(RASANTE!F195&lt;=PERALTE!$AB$8,-2))))),IF(AND(AH!$H$10="Izquierda",RASANTE!F195&lt;=PERALTE!$AB$8),IF(RASANTE!F195&lt;=PERALTE!$Q$8,-2,IF(RASANTE!F195&lt;=PERALTE!$U$8,(10/(PERALTE!$U$8-PERALTE!$Q$8)*(RASANTE!F195-PERALTE!$Q$8)-2),IF(RASANTE!F195&lt;=PERALTE!$X$8,8,IF(RASANTE!F195&lt;=PERALTE!$AB$8,(10/(PERALTE!$X$8-PERALTE!$AB$8)*(RASANTE!F195-PERALTE!$AB$8)-2))))),IF(AND(AH!$H$12="Derecha",RASANTE!F195&lt;=PERALTE!$AB$10),IF(RASANTE!F195&lt;=PERALTE!$S$10,-2,IF(RASANTE!F195&lt;=PERALTE!$U$10,(-6/(PERALTE!$U$10-PERALTE!$S$10)*(RASANTE!F195-PERALTE!$S$10)-2),IF(RASANTE!F195&lt;=PERALTE!$X$10,-8,IF(RASANTE!F195&lt;=PERALTE!$Z$10,(-6/(PERALTE!$X$10-PERALTE!$Z$10)*(RASANTE!F195-PERALTE!$Z$10)-2),IF(RASANTE!F195&lt;=PERALTE!$AB$10,-2))))),IF(AND(AH!$H$12="Izquierda",RASANTE!F195&lt;=PERALTE!$AB$10),IF(RASANTE!F195&lt;=PERALTE!$Q$10,-2,IF(RASANTE!F195&lt;=PERALTE!$U$10,(10/(PERALTE!$U$10-PERALTE!$Q$10)*(RASANTE!F195-PERALTE!$Q$10)-2),IF(RASANTE!F195&lt;=PERALTE!$X$10,8,IF(RASANTE!F195&lt;=PERALTE!$AB$10,(10/(PERALTE!$X$10-PERALTE!$AB$10)*(RASANTE!F195-PERALTE!$AB$10)-2))))),IF(AND(AH!$H$14="Derecha",RASANTE!F195&lt;=PERALTE!$AB$12),IF(RASANTE!F195&lt;=PERALTE!$S$12,-2,IF(RASANTE!F195&lt;=PERALTE!$U$12,(-6/(PERALTE!$U$12-PERALTE!$S$12)*(RASANTE!F195-PERALTE!$S$12)-2),IF(RASANTE!F195&lt;=PERALTE!$X$12,-8,IF(RASANTE!F195&lt;=PERALTE!$Z$12,(-6/(PERALTE!$X$12-PERALTE!$Z$12)*(RASANTE!F195-PERALTE!$Z$12)-2),IF(RASANTE!F195&lt;=PERALTE!$AB$12,-2))))),IF(AND(AH!$H$14="Izquierda",RASANTE!F195&lt;=PERALTE!$AB$12),IF(RASANTE!F195&lt;=PERALTE!$Q$12,-2,IF(RASANTE!F195&lt;=PERALTE!$U$12,(10/(PERALTE!$U$12-PERALTE!$Q$12)*(RASANTE!F195-PERALTE!$Q$12)-2),IF(RASANTE!F195&lt;=PERALTE!$X$12,8,IF(RASANTE!F195&lt;=PERALTE!$AB$12,(10/(PERALTE!$X$12-PERALTE!$AB$12)*(RASANTE!F195-PERALTE!$AB$12)-2))))),IF(AND(AH!$H$16="Derecha",RASANTE!F195&lt;=PERALTE!$AB$14),IF(RASANTE!F195&lt;=PERALTE!$S$14,-2,IF(RASANTE!F195&lt;=PERALTE!$U$14,(-6/(PERALTE!$U$14-PERALTE!$S$14)*(RASANTE!F195-PERALTE!$S$14)-2),IF(RASANTE!F195&lt;=PERALTE!$X$14,-8,IF(RASANTE!F195&lt;=PERALTE!$Z$14,(-6/(PERALTE!$X$14-PERALTE!$Z$14)*(RASANTE!F195-PERALTE!$Z$14)-2),IF(RASANTE!F195&lt;=PERALTE!$AB$14,-2))))),IF(AND(AH!$H$16="Izquierda",RASANTE!F195&lt;=PERALTE!$AB$14),IF(RASANTE!F195&lt;=PERALTE!$Q$14,-2,IF(RASANTE!F195&lt;=PERALTE!$U$14,(10/(PERALTE!$U$14-PERALTE!$Q$14)*(RASANTE!F195-PERALTE!$Q$14)-2),IF(RASANTE!F195&lt;=PERALTE!$X$14,8,IF(RASANTE!F195&lt;=PERALTE!$AB$14,(10/(PERALTE!$X$14-PERALTE!$AB$14)*(RASANTE!F195-PERALTE!$AB$14)-2))))),IF(AND(AH!$H$18="Derecha",RASANTE!F195&lt;=PERALTE!$AB$16),IF(RASANTE!F195&lt;=PERALTE!$S$16,-2,IF(RASANTE!F195&lt;=PERALTE!$U$16,(-6/(PERALTE!$U$16-PERALTE!$S$16)*(RASANTE!F195-PERALTE!$S$16)-2),IF(RASANTE!F195&lt;=PERALTE!$X$16,-8,IF(RASANTE!F195&lt;=PERALTE!$Z$16,(-6/(PERALTE!$X$16-PERALTE!$Z$16)*(RASANTE!F195-PERALTE!$Z$16)-2),IF(RASANTE!F195&lt;=PERALTE!$AB$16,-2))))),IF(AND(AH!$H$18="Izquierda",RASANTE!F195&lt;=PERALTE!$AB$16),IF(RASANTE!F195&lt;=PERALTE!$Q$16,-2,IF(RASANTE!F195&lt;=PERALTE!$U$16,(10/(PERALTE!$U$16-PERALTE!$Q$16)*(RASANTE!F195-PERALTE!$Q$16)-2),IF(RASANTE!F195&lt;=PERALTE!$X$16,8,IF(RASANTE!F195&lt;=PERALTE!$AB$16,(10/(PERALTE!$X$16-PERALTE!$AB$16)*(RASANTE!F195-PERALTE!$AB$16)-2))))),IF(AND(AH!$H$20="Derecha",RASANTE!F195&lt;=PERALTE!$AB$18),IF(RASANTE!F195&lt;=PERALTE!$S$18,-2,IF(RASANTE!F195&lt;=PERALTE!$U$18,(-6/(PERALTE!$U$18-PERALTE!$S$18)*(RASANTE!F195-PERALTE!$S$18)-2),IF(RASANTE!F195&lt;=PERALTE!$X$18,-8,IF(RASANTE!F195&lt;=PERALTE!$Z$18,(-6/(PERALTE!$X$18-PERALTE!$Z$18)*(RASANTE!F195-PERALTE!$Z$18)-2),IF(RASANTE!F195&lt;=PERALTE!$AB$18,-2))))),IF(AND(AH!$H$20="Izquierda",RASANTE!F195&lt;=PERALTE!$AB$18),IF(RASANTE!F195&lt;=PERALTE!$Q$18,-2,IF(RASANTE!F195&lt;=PERALTE!$U$18,(10/(PERALTE!$U$18-PERALTE!$Q$18)*(RASANTE!F195-PERALTE!$Q$18)-2),IF(RASANTE!F195&lt;=PERALTE!$X$18,8,IF(RASANTE!F195&lt;=PERALTE!$AB$18,(10/(PERALTE!$X$18-PERALTE!$AB$18)*(RASANTE!F195-PERALTE!$AB$18)-2))))),IF(AND(AH!$H$24="Derecha",RASANTE!F195&lt;=PERALTE!$AB$22),IF(RASANTE!F195&lt;=PERALTE!$S$22,-2,IF(RASANTE!F195&lt;=PERALTE!$U$22,(-6/(PERALTE!$U$22-PERALTE!$S$22)*(RASANTE!F195-PERALTE!$S$22)-2),IF(RASANTE!F195&lt;=PERALTE!$X$22,-8,IF(RASANTE!F195&lt;=PERALTE!$Z$22,(-6/(PERALTE!$X$22-PERALTE!$Z$22)*(RASANTE!F195-PERALTE!$Z$22)-2),IF(RASANTE!F195&lt;=PERALTE!$AB$22,-2))))),IF(AND(AH!$H$24="Izquierda",RASANTE!F195&lt;=PERALTE!$AB$22),IF(RASANTE!F195&lt;=PERALTE!$Q$22,-2,IF(RASANTE!F195&lt;=PERALTE!$U$22,(10/(PERALTE!$U$22-PERALTE!$Q$22)*(RASANTE!F195-PERALTE!$Q$22)-2),IF(RASANTE!F195&lt;=PERALTE!$X$22,8,IF(RASANTE!F195&lt;=PERALTE!$AB$22,(10/(PERALTE!$X$22-PERALTE!$AB$22)*(RASANTE!F195-PERALTE!$AB$22)-2))))),IF(AND(AH!#REF!="Derecha",RASANTE!F195&lt;=PERALTE!#REF!),IF(RASANTE!F195&lt;=PERALTE!#REF!,-2,IF(RASANTE!F195&lt;=PERALTE!#REF!,(-6/(PERALTE!#REF!-PERALTE!#REF!)*(RASANTE!F195-PERALTE!#REF!)-2),IF(RASANTE!F195&lt;=PERALTE!#REF!,-8,IF(RASANTE!F195&lt;=PERALTE!#REF!,(-6/(PERALTE!#REF!-PERALTE!#REF!)*(RASANTE!F195-PERALTE!#REF!)-2),IF(RASANTE!F195&lt;=PERALTE!#REF!,-2))))),IF(AND(AH!#REF!="Izquierda",RASANTE!F195&lt;=PERALTE!#REF!),IF(RASANTE!F195&lt;=PERALTE!#REF!,-2,IF(RASANTE!F195&lt;=PERALTE!#REF!,(10/(PERALTE!#REF!-PERALTE!#REF!)*(RASANTE!F195-PERALTE!#REF!)-2),IF(RASANTE!F195&lt;=PERALTE!#REF!,8,IF(RASANTE!F195&lt;=PERALTE!#REF!,(10/(PERALTE!#REF!-PERALTE!#REF!)*(RASANTE!F195-PERALTE!#REF!)-2))))),IF(AND(AH!#REF!="Derecha",RASANTE!F195&lt;=PERALTE!$AB$26),IF(RASANTE!F195&lt;=PERALTE!$S$26,-2,IF(RASANTE!F195&lt;=PERALTE!$U$26,(-6/(PERALTE!$U$26-PERALTE!$S$26)*(RASANTE!F195-PERALTE!$S$26)-2),IF(RASANTE!F195&lt;=PERALTE!$X$26,-8,IF(RASANTE!F195&lt;=PERALTE!$Z$26,(-6/(PERALTE!$X$26-PERALTE!$Z$26)*(RASANTE!F195-PERALTE!$Z$26)-2),IF(RASANTE!F195&lt;=PERALTE!$AB$26,-2))))),IF(AND(AH!#REF!="Izquierda",RASANTE!F195&lt;=PERALTE!$AB$26),IF(RASANTE!F195&lt;=PERALTE!$Q$26,-2,IF(RASANTE!F195&lt;=PERALTE!$U$26,(10/(PERALTE!$U$26-PERALTE!$Q$26)*(RASANTE!F195-PERALTE!$Q$26)-2),IF(RASANTE!F195&lt;=PERALTE!$X$26,8,IF(RASANTE!F195&lt;=PERALTE!$AB$26,(10/(PERALTE!$X$26-PERALTE!$AB$26)*(RASANTE!F195-PERALTE!$AB$26)-2))))),IF(F195&lt;=PERALTE!#REF!,-2,"Abscisa fuera de la vía")))))))))))))))))))))</f>
        <v>8</v>
      </c>
      <c r="J195" s="28">
        <f t="shared" si="8"/>
        <v>1624.5478635686195</v>
      </c>
      <c r="K195" s="28">
        <f>+IF(AND(AV!$S$6&lt;F195,F195&lt;=AV!$T$6),AV!$P$6*((AV!$S$6-RASANTE!F195)/(AV!$N$6))^2,IF(AND(AV!$T$6&lt;RASANTE!F195,F195&lt;AV!$U$6),AV!$P$6*((AV!$U$6-RASANTE!F195)/(AV!$O$6))^2,IF(AND(AV!$S$8&lt;F195,F195&lt;=AV!$T$8),AV!$P$8*((AV!$S$8-RASANTE!F195)/(AV!$N$8))^2,IF(AND(AV!$T$8&lt;RASANTE!F195,F195&lt;AV!$U$8),AV!$P$8*((AV!$U$8-RASANTE!F195)/(AV!$O$8))^2,IF(AND(AV!$S$10&lt;F195,F195&lt;=AV!$T$10),AV!$P$10*((AV!$S$10-RASANTE!F195)/(AV!$N$10))^2,IF(AND(AV!$T$10&lt;RASANTE!F195,F195&lt;AV!$U$10),AV!$P$10*((AV!$U$10-RASANTE!F195)/(AV!$O$10))^2,IF(AND(AV!$S$12&lt;F195,F195&lt;=AV!$T$12),AV!$P$12*((AV!$S$12-RASANTE!F195)/(AV!$N$12))^2,IF(AND(AV!$T$12&lt;RASANTE!F195,F195&lt;AV!$U$12),AV!$P$12*((AV!$U$12-RASANTE!F195)/(AV!$O$12))^2,IF(AND(AV!$S$14&lt;F195,F195&lt;=AV!$T$14),AV!$P$14*((AV!$S$14-RASANTE!F195)/(AV!$N$14))^2,IF(AND(AV!$T$14&lt;RASANTE!F195,F195&lt;AV!$U$14),AV!$P$14*((AV!$U$14-RASANTE!F195)/(AV!$O$14))^2,IF(AND(AV!$S$16&lt;F195,F195&lt;=AV!$T$16),AV!$P$16*((AV!$S$16-RASANTE!F195)/(AV!$N$16))^2,IF(AND(AV!$T$16&lt;RASANTE!F195,F195&lt;AV!$U$16),AV!$P$16*((AV!$U$16-RASANTE!F195)/(AV!$O$16))^2,IF(AND(AV!$S$18&lt;F195,F195&lt;=AV!$T$18),AV!$P$18*((AV!$S$18-RASANTE!F195)/(AV!$N$18))^2,IF(AND(AV!$T$18&lt;RASANTE!F195,F195&lt;AV!$U$18),AV!$P$18*((AV!$U$18-RASANTE!F195)/(AV!$O$18))^2,IF(AND(AV!$S$20&lt;F195,F195&lt;=AV!$T$20),AV!$P$20*((AV!$S$20-RASANTE!F195)/(AV!$N$20))^2,IF(AND(AV!$T$20&lt;RASANTE!F195,F195&lt;AV!$U$20),AV!$P$20*((AV!$U$20-RASANTE!F195)/(AV!$O$20))^2,IF(AND(AV!$S$22&lt;F195,F195&lt;=AV!$T$22),AV!$P$22*((AV!$S$22-RASANTE!F195)/(AV!$N$22))^2,IF(AND(AV!$T$22&lt;RASANTE!F195,F195&lt;AV!$U$22),AV!$P$22*((AV!$U$22-RASANTE!F195)/(AV!$O$22))^2,IF(AND(AV!$S$24&lt;F195,F195&lt;=AV!$T$24),AV!$P$24*((AV!$S$24-RASANTE!F195)/(AV!$N$24))^2,IF(AND(AV!$T$24&lt;RASANTE!F195,F195&lt;AV!$U$24),AV!$P$24*((AV!$U$24-RASANTE!F195)/(AV!$O$24))^2,0))))))))))))))))))))</f>
        <v>0</v>
      </c>
      <c r="L195" s="28">
        <f>+M195+H195%*PERALTE!$C$32</f>
        <v>1624.2678635686195</v>
      </c>
      <c r="M195" s="28">
        <f t="shared" si="7"/>
        <v>1624.5478635686195</v>
      </c>
      <c r="N195" s="28">
        <f>+M195+I195%*PERALTE!$C$32</f>
        <v>1624.8278635686195</v>
      </c>
      <c r="O195" s="92"/>
      <c r="P195" s="84"/>
      <c r="Q195" s="84"/>
      <c r="R195" s="84"/>
      <c r="S195" s="84"/>
      <c r="T195" s="84"/>
      <c r="U195" s="84"/>
      <c r="V195" s="84"/>
      <c r="W195" s="84"/>
      <c r="X195" s="84"/>
      <c r="Y195" s="84"/>
    </row>
    <row r="196" spans="1:25" ht="15.75" customHeight="1" x14ac:dyDescent="0.2">
      <c r="A196" s="109" t="s">
        <v>217</v>
      </c>
      <c r="F196" s="34">
        <f>PERALTE!W14</f>
        <v>1238.1307991588692</v>
      </c>
      <c r="G196" s="88">
        <f>IF(F196&lt;=AV!$T$6,AV!$C$5,IF(RASANTE!F196&lt;=AV!$T$8,AV!$C$7,IF(RASANTE!F196&lt;=AV!$T$10,AV!$C$9,IF(RASANTE!F196&lt;=AV!$T$12,AV!$C$11,IF(RASANTE!F196&lt;=AV!$T$14,AV!$C$13,IF(RASANTE!F196&lt;=AV!$T$16,AV!$C$15, IF(RASANTE!F196&lt;=AV!$T$18,AV!$C$17,IF(RASANTE!F196&lt;=AV!$T$20,AV!$C$19,IF(RASANTE!F196&lt;=AV!$T$22,AV!$C$21,IF(RASANTE!F196&lt;=AV!$T$24,AV!$C$23,AV!$C$25))))))))))</f>
        <v>8.1999999999999993</v>
      </c>
      <c r="H196" s="28">
        <f>+IF(AND(AH!$H$8="Izquierda",RASANTE!F196&lt;=PERALTE!$AB$6),IF(RASANTE!F196&lt;=PERALTE!$S$6,-2,IF(RASANTE!F196&lt;=PERALTE!$U$6,(-6/(PERALTE!$U$6-PERALTE!$S$6)*(RASANTE!F196-PERALTE!$S$6)-2),IF(RASANTE!F196&lt;=PERALTE!$X$6,-8,IF(RASANTE!F196&lt;=PERALTE!$Z$6,(-6/(PERALTE!$X$6-PERALTE!$Z$6)*(RASANTE!F196-PERALTE!$Z$6)-2),IF(RASANTE!F196&lt;=PERALTE!$AB$6,-2))))),IF(AND(AH!$H$8="Derecha",RASANTE!F196&lt;=PERALTE!$AB$6),IF(RASANTE!F196&lt;=PERALTE!$Q$6,-2,IF(RASANTE!F196&lt;=PERALTE!$U$6,(10/(PERALTE!$U$6-PERALTE!$Q$6)*(RASANTE!F196-PERALTE!$Q$6)-2),IF(RASANTE!F196&lt;=PERALTE!$X$6,8,IF(RASANTE!F196&lt;=PERALTE!$AB$6,(10/(PERALTE!$X$6-PERALTE!$AB$6)*(RASANTE!F196-PERALTE!$AB$6)-2))))),IF(AND(AH!$H$10="Izquierda",RASANTE!F196&lt;=PERALTE!$AB$8),IF(RASANTE!F196&lt;=PERALTE!$S$8,-2,IF(RASANTE!F196&lt;=PERALTE!$U$8,(-6/(PERALTE!$U$8-PERALTE!$S$8)*(RASANTE!F196-PERALTE!$S$8)-2),IF(RASANTE!F196&lt;=PERALTE!$X$8,-8,IF(RASANTE!F196&lt;=PERALTE!$Z$8,(-6/(PERALTE!$X$8-PERALTE!$Z$8)*(RASANTE!F196-PERALTE!$Z$8)-2),IF(RASANTE!F196&lt;=PERALTE!$AB$8,-2))))),IF(AND(AH!$H$10="Derecha",RASANTE!F196&lt;=PERALTE!$AB$8),IF(RASANTE!F196&lt;=PERALTE!$Q$8,-2,IF(RASANTE!F196&lt;=PERALTE!$U$8,(10/(PERALTE!$U$8-PERALTE!$Q$8)*(RASANTE!F196-PERALTE!$Q$8)-2),IF(RASANTE!F196&lt;=PERALTE!$X$8,8,IF(RASANTE!F196&lt;=PERALTE!$AB$8,(10/(PERALTE!$X$8-PERALTE!$AB$8)*(RASANTE!F196-PERALTE!$AB$8)-2))))),IF(AND(AH!$H$12="Izquierda",RASANTE!F196&lt;=PERALTE!$AB$10),IF(RASANTE!F196&lt;=PERALTE!$S$10,-2,IF(RASANTE!F196&lt;=PERALTE!$U$10,(-6/(PERALTE!$U$10-PERALTE!$S$10)*(RASANTE!F196-PERALTE!$S$10)-2),IF(RASANTE!F196&lt;=PERALTE!$X$10,-8,IF(RASANTE!F196&lt;=PERALTE!$Z$10,(-6/(PERALTE!$X$10-PERALTE!$Z$10)*(RASANTE!F196-PERALTE!$Z$10)-2),IF(RASANTE!F196&lt;=PERALTE!$AB$10,-2))))),IF(AND(AH!$H$12="Derecha",RASANTE!F196&lt;=PERALTE!$AB$10),IF(RASANTE!F196&lt;=PERALTE!$Q$10,-2,IF(RASANTE!F196&lt;=PERALTE!$U$10,(10/(PERALTE!$U$10-PERALTE!$Q$10)*(RASANTE!F196-PERALTE!$Q$10)-2),IF(RASANTE!F196&lt;=PERALTE!$X$10,8,IF(RASANTE!F196&lt;=PERALTE!$AB$10,(10/(PERALTE!$X$10-PERALTE!$AB$10)*(RASANTE!F196-PERALTE!$AB$10)-2))))),IF(AND(AH!$H$14="Izquierda",RASANTE!F196&lt;=PERALTE!$AB$12),IF(RASANTE!F196&lt;=PERALTE!$S$12,-2,IF(RASANTE!F196&lt;=PERALTE!$U$12,(-6/(PERALTE!$U$12-PERALTE!$S$12)*(RASANTE!F196-PERALTE!$S$12)-2),IF(RASANTE!F196&lt;=PERALTE!$X$12,-8,IF(RASANTE!F196&lt;=PERALTE!$Z$12,(-6/(PERALTE!$X$12-PERALTE!$Z$12)*(RASANTE!F196-PERALTE!$Z$12)-2),IF(RASANTE!F196&lt;=PERALTE!$AB$12,-2))))),IF(AND(AH!$H$14="Derecha",RASANTE!F196&lt;=PERALTE!$AB$12),IF(RASANTE!F196&lt;=PERALTE!$Q$12,-2,IF(RASANTE!F196&lt;=PERALTE!$U$12,(10/(PERALTE!$U$12-PERALTE!$Q$12)*(RASANTE!F196-PERALTE!$Q$12)-2),IF(RASANTE!F196&lt;=PERALTE!$X$12,8,IF(RASANTE!F196&lt;=PERALTE!$AB$12,(10/(PERALTE!$X$12-PERALTE!$AB$12)*(RASANTE!F196-PERALTE!$AB$12)-2))))),IF(AND(AH!$H$16="Izquierda",RASANTE!F196&lt;=PERALTE!$AB$14),IF(RASANTE!F196&lt;=PERALTE!$S$14,-2,IF(RASANTE!F196&lt;=PERALTE!$U$14,(-6/(PERALTE!$U$14-PERALTE!$S$14)*(RASANTE!F196-PERALTE!$S$14)-2),IF(RASANTE!F196&lt;=PERALTE!$X$14,-8,IF(RASANTE!F196&lt;=PERALTE!$Z$14,(-6/(PERALTE!$X$14-PERALTE!$Z$14)*(RASANTE!F196-PERALTE!$Z$14)-2),IF(RASANTE!F196&lt;=PERALTE!$AB$14,-2))))),IF(AND(AH!$H$16="Derecha",RASANTE!F196&lt;=PERALTE!$AB$14),IF(RASANTE!F196&lt;=PERALTE!$Q$14,-2,IF(RASANTE!F196&lt;=PERALTE!$U$14,(10/(PERALTE!$U$14-PERALTE!$Q$14)*(RASANTE!F196-PERALTE!$Q$14)-2),IF(RASANTE!F196&lt;=PERALTE!$X$14,8,IF(RASANTE!F196&lt;=PERALTE!$AB$14,(10/(PERALTE!$X$14-PERALTE!$AB$14)*(RASANTE!F196-PERALTE!$AB$14)-2))))),IF(AND(AH!$H$18="Izquierda",RASANTE!F196&lt;=PERALTE!$AB$16),IF(RASANTE!F196&lt;=PERALTE!$S$16,-2,IF(RASANTE!F196&lt;=PERALTE!$U$16,(-6/(PERALTE!$U$16-PERALTE!$S$16)*(RASANTE!F196-PERALTE!$S$16)-2),IF(RASANTE!F196&lt;=PERALTE!$X$16,-8,IF(RASANTE!F196&lt;=PERALTE!$Z$16,(-6/(PERALTE!$X$16-PERALTE!$Z$16)*(RASANTE!F196-PERALTE!$Z$16)-2),IF(RASANTE!F196&lt;=PERALTE!$AB$16,-2))))),IF(AND(AH!$H$18="Derecha",RASANTE!F196&lt;=PERALTE!$AB$16),IF(RASANTE!F196&lt;=PERALTE!$Q$16,-2,IF(RASANTE!F196&lt;=PERALTE!$U$16,(10/(PERALTE!$U$16-PERALTE!$Q$16)*(RASANTE!F196-PERALTE!$Q$16)-2),IF(RASANTE!F196&lt;=PERALTE!$X$16,8,IF(RASANTE!F196&lt;=PERALTE!$AB$16,(10/(PERALTE!$X$16-PERALTE!$AB$16)*(RASANTE!F196-PERALTE!$AB$16)-2))))),IF(AND(AH!$H$20="Izquierda",RASANTE!F196&lt;=PERALTE!$AB$18),IF(RASANTE!F196&lt;=PERALTE!$S$18,-2,IF(RASANTE!F196&lt;=PERALTE!$U$18,(-6/(PERALTE!$U$18-PERALTE!$S$18)*(RASANTE!F196-PERALTE!$S$18)-2),IF(RASANTE!F196&lt;=PERALTE!$X$18,-8,IF(RASANTE!F196&lt;=PERALTE!$Z$18,(-6/(PERALTE!$X$18-PERALTE!$Z$18)*(RASANTE!F196-PERALTE!$Z$18)-2),IF(RASANTE!F196&lt;=PERALTE!$AB$18,-2))))),IF(AND(AH!$H$20="Derecha",RASANTE!F196&lt;=PERALTE!$AB$18),IF(RASANTE!F196&lt;=PERALTE!$Q$18,-2,IF(RASANTE!F196&lt;=PERALTE!$U$18,(10/(PERALTE!$U$18-PERALTE!$Q$18)*(RASANTE!F196-PERALTE!$Q$18)-2),IF(RASANTE!F196&lt;=PERALTE!$X$18,8,IF(RASANTE!F196&lt;=PERALTE!$AB$18,(10/(PERALTE!$X$18-PERALTE!$AB$18)*(RASANTE!F196-PERALTE!$AB$18)-2))))),IF(AND(AH!$H$24="Izquierda",RASANTE!F196&lt;=PERALTE!$AB$22),IF(RASANTE!F196&lt;=PERALTE!$S$22,-2,IF(RASANTE!F196&lt;=PERALTE!$U$22,(-6/(PERALTE!$U$22-PERALTE!$S$22)*(RASANTE!F196-PERALTE!$S$22)-2),IF(RASANTE!F196&lt;=PERALTE!$X$22,-8,IF(RASANTE!F196&lt;=PERALTE!$Z$22,(-6/(PERALTE!$X$22-PERALTE!$Z$22)*(RASANTE!F196-PERALTE!$Z$22)-2),IF(RASANTE!F196&lt;=PERALTE!$AB$22,-2))))),IF(AND(AH!$H$24="Derecha",RASANTE!F196&lt;=PERALTE!$AB$22),IF(RASANTE!F196&lt;=PERALTE!$Q$22,-2,IF(RASANTE!F196&lt;=PERALTE!$U$22,(10/(PERALTE!$U$22-PERALTE!$Q$22)*(RASANTE!F196-PERALTE!$Q$22)-2),IF(RASANTE!F196&lt;=PERALTE!$X$22,8,IF(RASANTE!F196&lt;=PERALTE!$AB$22,(10/(PERALTE!$X$22-PERALTE!$AB$22)*(RASANTE!F196-PERALTE!$AB$22)-2))))),IF(AND(AH!#REF!="Izquierda",RASANTE!F196&lt;=PERALTE!#REF!),IF(RASANTE!F196&lt;=PERALTE!#REF!,-2,IF(RASANTE!F196&lt;=PERALTE!#REF!,(-6/(PERALTE!#REF!-PERALTE!#REF!)*(RASANTE!F196-PERALTE!#REF!)-2),IF(RASANTE!F196&lt;=PERALTE!#REF!,-8,IF(RASANTE!F196&lt;=PERALTE!#REF!,(-6/(PERALTE!#REF!-PERALTE!#REF!)*(RASANTE!F196-PERALTE!#REF!)-2),IF(RASANTE!F196&lt;=PERALTE!#REF!,-2))))),IF(AND(AH!#REF!="Derecha",RASANTE!F196&lt;=PERALTE!#REF!),IF(RASANTE!F196&lt;=PERALTE!#REF!,-2,IF(RASANTE!F196&lt;=PERALTE!#REF!,(10/(PERALTE!#REF!-PERALTE!#REF!)*(RASANTE!F196-PERALTE!#REF!)-2),IF(RASANTE!F196&lt;=PERALTE!#REF!,8,IF(RASANTE!F196&lt;=PERALTE!#REF!,(10/(PERALTE!#REF!-PERALTE!#REF!)*(RASANTE!F196-PERALTE!#REF!)-2))))),IF(AND(AH!#REF!="Izquierda",RASANTE!F196&lt;=PERALTE!$AB$26),IF(RASANTE!F196&lt;=PERALTE!$S$26,-2,IF(RASANTE!F196&lt;=PERALTE!$U$26,(-6/(PERALTE!$U$26-PERALTE!$S$26)*(RASANTE!F196-PERALTE!$S$26)-2),IF(RASANTE!F196&lt;=PERALTE!$X$26,-8,IF(RASANTE!F196&lt;=PERALTE!$Z$26,(-6/(PERALTE!$X$26-PERALTE!$Z$26)*(RASANTE!F196-PERALTE!$Z$26)-2),IF(RASANTE!F196&lt;=PERALTE!$AB$26,-2))))),IF(AND(AH!#REF!="Derecha",RASANTE!F196&lt;=PERALTE!$AB$26),IF(RASANTE!F196&lt;=PERALTE!$Q$26,-2,IF(RASANTE!F196&lt;=PERALTE!$U$26,(10/(PERALTE!$U$26-PERALTE!$Q$26)*(RASANTE!F196-PERALTE!$Q$26)-2),IF(RASANTE!F196&lt;=PERALTE!$X$26,8,IF(RASANTE!F196&lt;=PERALTE!$AB$26,(10/(PERALTE!$X$26-PERALTE!$AB$26)*(RASANTE!F196-PERALTE!$AB$26)-2))))),IF(F196&lt;=PERALTE!#REF!,-2,"Abscisa fuera de la vía")))))))))))))))))))))</f>
        <v>-8</v>
      </c>
      <c r="I196" s="28">
        <f>+IF(AND(AH!$H$8="Derecha",RASANTE!F196&lt;=PERALTE!$AB$6),IF(RASANTE!F196&lt;=PERALTE!$S$6,-2,IF(RASANTE!F196&lt;=PERALTE!$U$6,(-6/(PERALTE!$U$6-PERALTE!$S$6)*(RASANTE!F196-PERALTE!$S$6)-2),IF(RASANTE!F196&lt;=PERALTE!$X$6,-8,IF(RASANTE!F196&lt;=PERALTE!$Z$6,(-6/(PERALTE!$X$6-PERALTE!$Z$6)*(RASANTE!F196-PERALTE!$Z$6)-2),IF(RASANTE!F196&lt;=PERALTE!$AB$6,-2))))),IF(AND(AH!$H$8="Izquierda",RASANTE!F196&lt;=PERALTE!$AB$6),IF(RASANTE!F196&lt;=PERALTE!$Q$6,-2,IF(RASANTE!F196&lt;=PERALTE!$U$6,(10/(PERALTE!$U$6-PERALTE!$Q$6)*(RASANTE!F196-PERALTE!$Q$6)-2),IF(RASANTE!F196&lt;=PERALTE!$X$6,8,IF(RASANTE!F196&lt;=PERALTE!$AB$6,(10/(PERALTE!$X$6-PERALTE!$AB$6)*(RASANTE!F196-PERALTE!$AB$6)-2))))),IF(AND(AH!$H$10="Derecha",RASANTE!F196&lt;=PERALTE!$AB$8),IF(RASANTE!F196&lt;=PERALTE!$S$8,-2,IF(RASANTE!F196&lt;=PERALTE!$U$8,(-6/(PERALTE!$U$8-PERALTE!$S$8)*(RASANTE!F196-PERALTE!$S$8)-2),IF(RASANTE!F196&lt;=PERALTE!$X$8,-8,IF(RASANTE!F196&lt;=PERALTE!$Z$8,(-6/(PERALTE!$X$8-PERALTE!$Z$8)*(RASANTE!F196-PERALTE!$Z$8)-2),IF(RASANTE!F196&lt;=PERALTE!$AB$8,-2))))),IF(AND(AH!$H$10="Izquierda",RASANTE!F196&lt;=PERALTE!$AB$8),IF(RASANTE!F196&lt;=PERALTE!$Q$8,-2,IF(RASANTE!F196&lt;=PERALTE!$U$8,(10/(PERALTE!$U$8-PERALTE!$Q$8)*(RASANTE!F196-PERALTE!$Q$8)-2),IF(RASANTE!F196&lt;=PERALTE!$X$8,8,IF(RASANTE!F196&lt;=PERALTE!$AB$8,(10/(PERALTE!$X$8-PERALTE!$AB$8)*(RASANTE!F196-PERALTE!$AB$8)-2))))),IF(AND(AH!$H$12="Derecha",RASANTE!F196&lt;=PERALTE!$AB$10),IF(RASANTE!F196&lt;=PERALTE!$S$10,-2,IF(RASANTE!F196&lt;=PERALTE!$U$10,(-6/(PERALTE!$U$10-PERALTE!$S$10)*(RASANTE!F196-PERALTE!$S$10)-2),IF(RASANTE!F196&lt;=PERALTE!$X$10,-8,IF(RASANTE!F196&lt;=PERALTE!$Z$10,(-6/(PERALTE!$X$10-PERALTE!$Z$10)*(RASANTE!F196-PERALTE!$Z$10)-2),IF(RASANTE!F196&lt;=PERALTE!$AB$10,-2))))),IF(AND(AH!$H$12="Izquierda",RASANTE!F196&lt;=PERALTE!$AB$10),IF(RASANTE!F196&lt;=PERALTE!$Q$10,-2,IF(RASANTE!F196&lt;=PERALTE!$U$10,(10/(PERALTE!$U$10-PERALTE!$Q$10)*(RASANTE!F196-PERALTE!$Q$10)-2),IF(RASANTE!F196&lt;=PERALTE!$X$10,8,IF(RASANTE!F196&lt;=PERALTE!$AB$10,(10/(PERALTE!$X$10-PERALTE!$AB$10)*(RASANTE!F196-PERALTE!$AB$10)-2))))),IF(AND(AH!$H$14="Derecha",RASANTE!F196&lt;=PERALTE!$AB$12),IF(RASANTE!F196&lt;=PERALTE!$S$12,-2,IF(RASANTE!F196&lt;=PERALTE!$U$12,(-6/(PERALTE!$U$12-PERALTE!$S$12)*(RASANTE!F196-PERALTE!$S$12)-2),IF(RASANTE!F196&lt;=PERALTE!$X$12,-8,IF(RASANTE!F196&lt;=PERALTE!$Z$12,(-6/(PERALTE!$X$12-PERALTE!$Z$12)*(RASANTE!F196-PERALTE!$Z$12)-2),IF(RASANTE!F196&lt;=PERALTE!$AB$12,-2))))),IF(AND(AH!$H$14="Izquierda",RASANTE!F196&lt;=PERALTE!$AB$12),IF(RASANTE!F196&lt;=PERALTE!$Q$12,-2,IF(RASANTE!F196&lt;=PERALTE!$U$12,(10/(PERALTE!$U$12-PERALTE!$Q$12)*(RASANTE!F196-PERALTE!$Q$12)-2),IF(RASANTE!F196&lt;=PERALTE!$X$12,8,IF(RASANTE!F196&lt;=PERALTE!$AB$12,(10/(PERALTE!$X$12-PERALTE!$AB$12)*(RASANTE!F196-PERALTE!$AB$12)-2))))),IF(AND(AH!$H$16="Derecha",RASANTE!F196&lt;=PERALTE!$AB$14),IF(RASANTE!F196&lt;=PERALTE!$S$14,-2,IF(RASANTE!F196&lt;=PERALTE!$U$14,(-6/(PERALTE!$U$14-PERALTE!$S$14)*(RASANTE!F196-PERALTE!$S$14)-2),IF(RASANTE!F196&lt;=PERALTE!$X$14,-8,IF(RASANTE!F196&lt;=PERALTE!$Z$14,(-6/(PERALTE!$X$14-PERALTE!$Z$14)*(RASANTE!F196-PERALTE!$Z$14)-2),IF(RASANTE!F196&lt;=PERALTE!$AB$14,-2))))),IF(AND(AH!$H$16="Izquierda",RASANTE!F196&lt;=PERALTE!$AB$14),IF(RASANTE!F196&lt;=PERALTE!$Q$14,-2,IF(RASANTE!F196&lt;=PERALTE!$U$14,(10/(PERALTE!$U$14-PERALTE!$Q$14)*(RASANTE!F196-PERALTE!$Q$14)-2),IF(RASANTE!F196&lt;=PERALTE!$X$14,8,IF(RASANTE!F196&lt;=PERALTE!$AB$14,(10/(PERALTE!$X$14-PERALTE!$AB$14)*(RASANTE!F196-PERALTE!$AB$14)-2))))),IF(AND(AH!$H$18="Derecha",RASANTE!F196&lt;=PERALTE!$AB$16),IF(RASANTE!F196&lt;=PERALTE!$S$16,-2,IF(RASANTE!F196&lt;=PERALTE!$U$16,(-6/(PERALTE!$U$16-PERALTE!$S$16)*(RASANTE!F196-PERALTE!$S$16)-2),IF(RASANTE!F196&lt;=PERALTE!$X$16,-8,IF(RASANTE!F196&lt;=PERALTE!$Z$16,(-6/(PERALTE!$X$16-PERALTE!$Z$16)*(RASANTE!F196-PERALTE!$Z$16)-2),IF(RASANTE!F196&lt;=PERALTE!$AB$16,-2))))),IF(AND(AH!$H$18="Izquierda",RASANTE!F196&lt;=PERALTE!$AB$16),IF(RASANTE!F196&lt;=PERALTE!$Q$16,-2,IF(RASANTE!F196&lt;=PERALTE!$U$16,(10/(PERALTE!$U$16-PERALTE!$Q$16)*(RASANTE!F196-PERALTE!$Q$16)-2),IF(RASANTE!F196&lt;=PERALTE!$X$16,8,IF(RASANTE!F196&lt;=PERALTE!$AB$16,(10/(PERALTE!$X$16-PERALTE!$AB$16)*(RASANTE!F196-PERALTE!$AB$16)-2))))),IF(AND(AH!$H$20="Derecha",RASANTE!F196&lt;=PERALTE!$AB$18),IF(RASANTE!F196&lt;=PERALTE!$S$18,-2,IF(RASANTE!F196&lt;=PERALTE!$U$18,(-6/(PERALTE!$U$18-PERALTE!$S$18)*(RASANTE!F196-PERALTE!$S$18)-2),IF(RASANTE!F196&lt;=PERALTE!$X$18,-8,IF(RASANTE!F196&lt;=PERALTE!$Z$18,(-6/(PERALTE!$X$18-PERALTE!$Z$18)*(RASANTE!F196-PERALTE!$Z$18)-2),IF(RASANTE!F196&lt;=PERALTE!$AB$18,-2))))),IF(AND(AH!$H$20="Izquierda",RASANTE!F196&lt;=PERALTE!$AB$18),IF(RASANTE!F196&lt;=PERALTE!$Q$18,-2,IF(RASANTE!F196&lt;=PERALTE!$U$18,(10/(PERALTE!$U$18-PERALTE!$Q$18)*(RASANTE!F196-PERALTE!$Q$18)-2),IF(RASANTE!F196&lt;=PERALTE!$X$18,8,IF(RASANTE!F196&lt;=PERALTE!$AB$18,(10/(PERALTE!$X$18-PERALTE!$AB$18)*(RASANTE!F196-PERALTE!$AB$18)-2))))),IF(AND(AH!$H$24="Derecha",RASANTE!F196&lt;=PERALTE!$AB$22),IF(RASANTE!F196&lt;=PERALTE!$S$22,-2,IF(RASANTE!F196&lt;=PERALTE!$U$22,(-6/(PERALTE!$U$22-PERALTE!$S$22)*(RASANTE!F196-PERALTE!$S$22)-2),IF(RASANTE!F196&lt;=PERALTE!$X$22,-8,IF(RASANTE!F196&lt;=PERALTE!$Z$22,(-6/(PERALTE!$X$22-PERALTE!$Z$22)*(RASANTE!F196-PERALTE!$Z$22)-2),IF(RASANTE!F196&lt;=PERALTE!$AB$22,-2))))),IF(AND(AH!$H$24="Izquierda",RASANTE!F196&lt;=PERALTE!$AB$22),IF(RASANTE!F196&lt;=PERALTE!$Q$22,-2,IF(RASANTE!F196&lt;=PERALTE!$U$22,(10/(PERALTE!$U$22-PERALTE!$Q$22)*(RASANTE!F196-PERALTE!$Q$22)-2),IF(RASANTE!F196&lt;=PERALTE!$X$22,8,IF(RASANTE!F196&lt;=PERALTE!$AB$22,(10/(PERALTE!$X$22-PERALTE!$AB$22)*(RASANTE!F196-PERALTE!$AB$22)-2))))),IF(AND(AH!#REF!="Derecha",RASANTE!F196&lt;=PERALTE!#REF!),IF(RASANTE!F196&lt;=PERALTE!#REF!,-2,IF(RASANTE!F196&lt;=PERALTE!#REF!,(-6/(PERALTE!#REF!-PERALTE!#REF!)*(RASANTE!F196-PERALTE!#REF!)-2),IF(RASANTE!F196&lt;=PERALTE!#REF!,-8,IF(RASANTE!F196&lt;=PERALTE!#REF!,(-6/(PERALTE!#REF!-PERALTE!#REF!)*(RASANTE!F196-PERALTE!#REF!)-2),IF(RASANTE!F196&lt;=PERALTE!#REF!,-2))))),IF(AND(AH!#REF!="Izquierda",RASANTE!F196&lt;=PERALTE!#REF!),IF(RASANTE!F196&lt;=PERALTE!#REF!,-2,IF(RASANTE!F196&lt;=PERALTE!#REF!,(10/(PERALTE!#REF!-PERALTE!#REF!)*(RASANTE!F196-PERALTE!#REF!)-2),IF(RASANTE!F196&lt;=PERALTE!#REF!,8,IF(RASANTE!F196&lt;=PERALTE!#REF!,(10/(PERALTE!#REF!-PERALTE!#REF!)*(RASANTE!F196-PERALTE!#REF!)-2))))),IF(AND(AH!#REF!="Derecha",RASANTE!F196&lt;=PERALTE!$AB$26),IF(RASANTE!F196&lt;=PERALTE!$S$26,-2,IF(RASANTE!F196&lt;=PERALTE!$U$26,(-6/(PERALTE!$U$26-PERALTE!$S$26)*(RASANTE!F196-PERALTE!$S$26)-2),IF(RASANTE!F196&lt;=PERALTE!$X$26,-8,IF(RASANTE!F196&lt;=PERALTE!$Z$26,(-6/(PERALTE!$X$26-PERALTE!$Z$26)*(RASANTE!F196-PERALTE!$Z$26)-2),IF(RASANTE!F196&lt;=PERALTE!$AB$26,-2))))),IF(AND(AH!#REF!="Izquierda",RASANTE!F196&lt;=PERALTE!$AB$26),IF(RASANTE!F196&lt;=PERALTE!$Q$26,-2,IF(RASANTE!F196&lt;=PERALTE!$U$26,(10/(PERALTE!$U$26-PERALTE!$Q$26)*(RASANTE!F196-PERALTE!$Q$26)-2),IF(RASANTE!F196&lt;=PERALTE!$X$26,8,IF(RASANTE!F196&lt;=PERALTE!$AB$26,(10/(PERALTE!$X$26-PERALTE!$AB$26)*(RASANTE!F196-PERALTE!$AB$26)-2))))),IF(F196&lt;=PERALTE!#REF!,-2,"Abscisa fuera de la vía")))))))))))))))))))))</f>
        <v>8</v>
      </c>
      <c r="J196" s="28">
        <f>J195+((F196-F195)*G195/100)</f>
        <v>1624.5478635686195</v>
      </c>
      <c r="K196" s="28">
        <f>+IF(AND(AV!$S$6&lt;F196,F196&lt;=AV!$T$6),AV!$P$6*((AV!$S$6-RASANTE!F196)/(AV!$N$6))^2,IF(AND(AV!$T$6&lt;RASANTE!F196,F196&lt;AV!$U$6),AV!$P$6*((AV!$U$6-RASANTE!F196)/(AV!$O$6))^2,IF(AND(AV!$S$8&lt;F196,F196&lt;=AV!$T$8),AV!$P$8*((AV!$S$8-RASANTE!F196)/(AV!$N$8))^2,IF(AND(AV!$T$8&lt;RASANTE!F196,F196&lt;AV!$U$8),AV!$P$8*((AV!$U$8-RASANTE!F196)/(AV!$O$8))^2,IF(AND(AV!$S$10&lt;F196,F196&lt;=AV!$T$10),AV!$P$10*((AV!$S$10-RASANTE!F196)/(AV!$N$10))^2,IF(AND(AV!$T$10&lt;RASANTE!F196,F196&lt;AV!$U$10),AV!$P$10*((AV!$U$10-RASANTE!F196)/(AV!$O$10))^2,IF(AND(AV!$S$12&lt;F196,F196&lt;=AV!$T$12),AV!$P$12*((AV!$S$12-RASANTE!F196)/(AV!$N$12))^2,IF(AND(AV!$T$12&lt;RASANTE!F196,F196&lt;AV!$U$12),AV!$P$12*((AV!$U$12-RASANTE!F196)/(AV!$O$12))^2,IF(AND(AV!$S$14&lt;F196,F196&lt;=AV!$T$14),AV!$P$14*((AV!$S$14-RASANTE!F196)/(AV!$N$14))^2,IF(AND(AV!$T$14&lt;RASANTE!F196,F196&lt;AV!$U$14),AV!$P$14*((AV!$U$14-RASANTE!F196)/(AV!$O$14))^2,IF(AND(AV!$S$16&lt;F196,F196&lt;=AV!$T$16),AV!$P$16*((AV!$S$16-RASANTE!F196)/(AV!$N$16))^2,IF(AND(AV!$T$16&lt;RASANTE!F196,F196&lt;AV!$U$16),AV!$P$16*((AV!$U$16-RASANTE!F196)/(AV!$O$16))^2,IF(AND(AV!$S$18&lt;F196,F196&lt;=AV!$T$18),AV!$P$18*((AV!$S$18-RASANTE!F196)/(AV!$N$18))^2,IF(AND(AV!$T$18&lt;RASANTE!F196,F196&lt;AV!$U$18),AV!$P$18*((AV!$U$18-RASANTE!F196)/(AV!$O$18))^2,IF(AND(AV!$S$20&lt;F196,F196&lt;=AV!$T$20),AV!$P$20*((AV!$S$20-RASANTE!F196)/(AV!$N$20))^2,IF(AND(AV!$T$20&lt;RASANTE!F196,F196&lt;AV!$U$20),AV!$P$20*((AV!$U$20-RASANTE!F196)/(AV!$O$20))^2,IF(AND(AV!$S$22&lt;F196,F196&lt;=AV!$T$22),AV!$P$22*((AV!$S$22-RASANTE!F196)/(AV!$N$22))^2,IF(AND(AV!$T$22&lt;RASANTE!F196,F196&lt;AV!$U$22),AV!$P$22*((AV!$U$22-RASANTE!F196)/(AV!$O$22))^2,IF(AND(AV!$S$24&lt;F196,F196&lt;=AV!$T$24),AV!$P$24*((AV!$S$24-RASANTE!F196)/(AV!$N$24))^2,IF(AND(AV!$T$24&lt;RASANTE!F196,F196&lt;AV!$U$24),AV!$P$24*((AV!$U$24-RASANTE!F196)/(AV!$O$24))^2,0))))))))))))))))))))</f>
        <v>0</v>
      </c>
      <c r="L196" s="28">
        <f>+M196+H196%*PERALTE!$C$32</f>
        <v>1624.2678635686195</v>
      </c>
      <c r="M196" s="28">
        <f t="shared" si="7"/>
        <v>1624.5478635686195</v>
      </c>
      <c r="N196" s="28">
        <f>+M196+I196%*PERALTE!$C$32</f>
        <v>1624.8278635686195</v>
      </c>
      <c r="O196" s="92"/>
      <c r="P196" s="84"/>
      <c r="Q196" s="84"/>
      <c r="R196" s="84"/>
      <c r="S196" s="84"/>
      <c r="T196" s="84"/>
      <c r="U196" s="84"/>
      <c r="V196" s="84"/>
      <c r="W196" s="84"/>
      <c r="X196" s="84"/>
      <c r="Y196" s="84"/>
    </row>
    <row r="197" spans="1:25" ht="15.75" customHeight="1" x14ac:dyDescent="0.2">
      <c r="A197" s="111"/>
      <c r="E197" s="115"/>
      <c r="F197" s="34">
        <v>1240</v>
      </c>
      <c r="G197" s="88">
        <f>IF(F197&lt;=AV!$T$6,AV!$C$5,IF(RASANTE!F197&lt;=AV!$T$8,AV!$C$7,IF(RASANTE!F197&lt;=AV!$T$10,AV!$C$9,IF(RASANTE!F197&lt;=AV!$T$12,AV!$C$11,IF(RASANTE!F197&lt;=AV!$T$14,AV!$C$13,IF(RASANTE!F197&lt;=AV!$T$16,AV!$C$15, IF(RASANTE!F197&lt;=AV!$T$18,AV!$C$17,IF(RASANTE!F197&lt;=AV!$T$20,AV!$C$19,IF(RASANTE!F197&lt;=AV!$T$22,AV!$C$21,IF(RASANTE!F197&lt;=AV!$T$24,AV!$C$23,AV!$C$25))))))))))</f>
        <v>8.1999999999999993</v>
      </c>
      <c r="H197" s="28">
        <f>+IF(AND(AH!$H$8="Izquierda",RASANTE!F197&lt;=PERALTE!$AB$6),IF(RASANTE!F197&lt;=PERALTE!$S$6,-2,IF(RASANTE!F197&lt;=PERALTE!$U$6,(-6/(PERALTE!$U$6-PERALTE!$S$6)*(RASANTE!F197-PERALTE!$S$6)-2),IF(RASANTE!F197&lt;=PERALTE!$X$6,-8,IF(RASANTE!F197&lt;=PERALTE!$Z$6,(-6/(PERALTE!$X$6-PERALTE!$Z$6)*(RASANTE!F197-PERALTE!$Z$6)-2),IF(RASANTE!F197&lt;=PERALTE!$AB$6,-2))))),IF(AND(AH!$H$8="Derecha",RASANTE!F197&lt;=PERALTE!$AB$6),IF(RASANTE!F197&lt;=PERALTE!$Q$6,-2,IF(RASANTE!F197&lt;=PERALTE!$U$6,(10/(PERALTE!$U$6-PERALTE!$Q$6)*(RASANTE!F197-PERALTE!$Q$6)-2),IF(RASANTE!F197&lt;=PERALTE!$X$6,8,IF(RASANTE!F197&lt;=PERALTE!$AB$6,(10/(PERALTE!$X$6-PERALTE!$AB$6)*(RASANTE!F197-PERALTE!$AB$6)-2))))),IF(AND(AH!$H$10="Izquierda",RASANTE!F197&lt;=PERALTE!$AB$8),IF(RASANTE!F197&lt;=PERALTE!$S$8,-2,IF(RASANTE!F197&lt;=PERALTE!$U$8,(-6/(PERALTE!$U$8-PERALTE!$S$8)*(RASANTE!F197-PERALTE!$S$8)-2),IF(RASANTE!F197&lt;=PERALTE!$X$8,-8,IF(RASANTE!F197&lt;=PERALTE!$Z$8,(-6/(PERALTE!$X$8-PERALTE!$Z$8)*(RASANTE!F197-PERALTE!$Z$8)-2),IF(RASANTE!F197&lt;=PERALTE!$AB$8,-2))))),IF(AND(AH!$H$10="Derecha",RASANTE!F197&lt;=PERALTE!$AB$8),IF(RASANTE!F197&lt;=PERALTE!$Q$8,-2,IF(RASANTE!F197&lt;=PERALTE!$U$8,(10/(PERALTE!$U$8-PERALTE!$Q$8)*(RASANTE!F197-PERALTE!$Q$8)-2),IF(RASANTE!F197&lt;=PERALTE!$X$8,8,IF(RASANTE!F197&lt;=PERALTE!$AB$8,(10/(PERALTE!$X$8-PERALTE!$AB$8)*(RASANTE!F197-PERALTE!$AB$8)-2))))),IF(AND(AH!$H$12="Izquierda",RASANTE!F197&lt;=PERALTE!$AB$10),IF(RASANTE!F197&lt;=PERALTE!$S$10,-2,IF(RASANTE!F197&lt;=PERALTE!$U$10,(-6/(PERALTE!$U$10-PERALTE!$S$10)*(RASANTE!F197-PERALTE!$S$10)-2),IF(RASANTE!F197&lt;=PERALTE!$X$10,-8,IF(RASANTE!F197&lt;=PERALTE!$Z$10,(-6/(PERALTE!$X$10-PERALTE!$Z$10)*(RASANTE!F197-PERALTE!$Z$10)-2),IF(RASANTE!F197&lt;=PERALTE!$AB$10,-2))))),IF(AND(AH!$H$12="Derecha",RASANTE!F197&lt;=PERALTE!$AB$10),IF(RASANTE!F197&lt;=PERALTE!$Q$10,-2,IF(RASANTE!F197&lt;=PERALTE!$U$10,(10/(PERALTE!$U$10-PERALTE!$Q$10)*(RASANTE!F197-PERALTE!$Q$10)-2),IF(RASANTE!F197&lt;=PERALTE!$X$10,8,IF(RASANTE!F197&lt;=PERALTE!$AB$10,(10/(PERALTE!$X$10-PERALTE!$AB$10)*(RASANTE!F197-PERALTE!$AB$10)-2))))),IF(AND(AH!$H$14="Izquierda",RASANTE!F197&lt;=PERALTE!$AB$12),IF(RASANTE!F197&lt;=PERALTE!$S$12,-2,IF(RASANTE!F197&lt;=PERALTE!$U$12,(-6/(PERALTE!$U$12-PERALTE!$S$12)*(RASANTE!F197-PERALTE!$S$12)-2),IF(RASANTE!F197&lt;=PERALTE!$X$12,-8,IF(RASANTE!F197&lt;=PERALTE!$Z$12,(-6/(PERALTE!$X$12-PERALTE!$Z$12)*(RASANTE!F197-PERALTE!$Z$12)-2),IF(RASANTE!F197&lt;=PERALTE!$AB$12,-2))))),IF(AND(AH!$H$14="Derecha",RASANTE!F197&lt;=PERALTE!$AB$12),IF(RASANTE!F197&lt;=PERALTE!$Q$12,-2,IF(RASANTE!F197&lt;=PERALTE!$U$12,(10/(PERALTE!$U$12-PERALTE!$Q$12)*(RASANTE!F197-PERALTE!$Q$12)-2),IF(RASANTE!F197&lt;=PERALTE!$X$12,8,IF(RASANTE!F197&lt;=PERALTE!$AB$12,(10/(PERALTE!$X$12-PERALTE!$AB$12)*(RASANTE!F197-PERALTE!$AB$12)-2))))),IF(AND(AH!$H$16="Izquierda",RASANTE!F197&lt;=PERALTE!$AB$14),IF(RASANTE!F197&lt;=PERALTE!$S$14,-2,IF(RASANTE!F197&lt;=PERALTE!$U$14,(-6/(PERALTE!$U$14-PERALTE!$S$14)*(RASANTE!F197-PERALTE!$S$14)-2),IF(RASANTE!F197&lt;=PERALTE!$X$14,-8,IF(RASANTE!F197&lt;=PERALTE!$Z$14,(-6/(PERALTE!$X$14-PERALTE!$Z$14)*(RASANTE!F197-PERALTE!$Z$14)-2),IF(RASANTE!F197&lt;=PERALTE!$AB$14,-2))))),IF(AND(AH!$H$16="Derecha",RASANTE!F197&lt;=PERALTE!$AB$14),IF(RASANTE!F197&lt;=PERALTE!$Q$14,-2,IF(RASANTE!F197&lt;=PERALTE!$U$14,(10/(PERALTE!$U$14-PERALTE!$Q$14)*(RASANTE!F197-PERALTE!$Q$14)-2),IF(RASANTE!F197&lt;=PERALTE!$X$14,8,IF(RASANTE!F197&lt;=PERALTE!$AB$14,(10/(PERALTE!$X$14-PERALTE!$AB$14)*(RASANTE!F197-PERALTE!$AB$14)-2))))),IF(AND(AH!$H$18="Izquierda",RASANTE!F197&lt;=PERALTE!$AB$16),IF(RASANTE!F197&lt;=PERALTE!$S$16,-2,IF(RASANTE!F197&lt;=PERALTE!$U$16,(-6/(PERALTE!$U$16-PERALTE!$S$16)*(RASANTE!F197-PERALTE!$S$16)-2),IF(RASANTE!F197&lt;=PERALTE!$X$16,-8,IF(RASANTE!F197&lt;=PERALTE!$Z$16,(-6/(PERALTE!$X$16-PERALTE!$Z$16)*(RASANTE!F197-PERALTE!$Z$16)-2),IF(RASANTE!F197&lt;=PERALTE!$AB$16,-2))))),IF(AND(AH!$H$18="Derecha",RASANTE!F197&lt;=PERALTE!$AB$16),IF(RASANTE!F197&lt;=PERALTE!$Q$16,-2,IF(RASANTE!F197&lt;=PERALTE!$U$16,(10/(PERALTE!$U$16-PERALTE!$Q$16)*(RASANTE!F197-PERALTE!$Q$16)-2),IF(RASANTE!F197&lt;=PERALTE!$X$16,8,IF(RASANTE!F197&lt;=PERALTE!$AB$16,(10/(PERALTE!$X$16-PERALTE!$AB$16)*(RASANTE!F197-PERALTE!$AB$16)-2))))),IF(AND(AH!$H$20="Izquierda",RASANTE!F197&lt;=PERALTE!$AB$18),IF(RASANTE!F197&lt;=PERALTE!$S$18,-2,IF(RASANTE!F197&lt;=PERALTE!$U$18,(-6/(PERALTE!$U$18-PERALTE!$S$18)*(RASANTE!F197-PERALTE!$S$18)-2),IF(RASANTE!F197&lt;=PERALTE!$X$18,-8,IF(RASANTE!F197&lt;=PERALTE!$Z$18,(-6/(PERALTE!$X$18-PERALTE!$Z$18)*(RASANTE!F197-PERALTE!$Z$18)-2),IF(RASANTE!F197&lt;=PERALTE!$AB$18,-2))))),IF(AND(AH!$H$20="Derecha",RASANTE!F197&lt;=PERALTE!$AB$18),IF(RASANTE!F197&lt;=PERALTE!$Q$18,-2,IF(RASANTE!F197&lt;=PERALTE!$U$18,(10/(PERALTE!$U$18-PERALTE!$Q$18)*(RASANTE!F197-PERALTE!$Q$18)-2),IF(RASANTE!F197&lt;=PERALTE!$X$18,8,IF(RASANTE!F197&lt;=PERALTE!$AB$18,(10/(PERALTE!$X$18-PERALTE!$AB$18)*(RASANTE!F197-PERALTE!$AB$18)-2))))),IF(AND(AH!$H$24="Izquierda",RASANTE!F197&lt;=PERALTE!$AB$22),IF(RASANTE!F197&lt;=PERALTE!$S$22,-2,IF(RASANTE!F197&lt;=PERALTE!$U$22,(-6/(PERALTE!$U$22-PERALTE!$S$22)*(RASANTE!F197-PERALTE!$S$22)-2),IF(RASANTE!F197&lt;=PERALTE!$X$22,-8,IF(RASANTE!F197&lt;=PERALTE!$Z$22,(-6/(PERALTE!$X$22-PERALTE!$Z$22)*(RASANTE!F197-PERALTE!$Z$22)-2),IF(RASANTE!F197&lt;=PERALTE!$AB$22,-2))))),IF(AND(AH!$H$24="Derecha",RASANTE!F197&lt;=PERALTE!$AB$22),IF(RASANTE!F197&lt;=PERALTE!$Q$22,-2,IF(RASANTE!F197&lt;=PERALTE!$U$22,(10/(PERALTE!$U$22-PERALTE!$Q$22)*(RASANTE!F197-PERALTE!$Q$22)-2),IF(RASANTE!F197&lt;=PERALTE!$X$22,8,IF(RASANTE!F197&lt;=PERALTE!$AB$22,(10/(PERALTE!$X$22-PERALTE!$AB$22)*(RASANTE!F197-PERALTE!$AB$22)-2))))),IF(AND(AH!#REF!="Izquierda",RASANTE!F197&lt;=PERALTE!#REF!),IF(RASANTE!F197&lt;=PERALTE!#REF!,-2,IF(RASANTE!F197&lt;=PERALTE!#REF!,(-6/(PERALTE!#REF!-PERALTE!#REF!)*(RASANTE!F197-PERALTE!#REF!)-2),IF(RASANTE!F197&lt;=PERALTE!#REF!,-8,IF(RASANTE!F197&lt;=PERALTE!#REF!,(-6/(PERALTE!#REF!-PERALTE!#REF!)*(RASANTE!F197-PERALTE!#REF!)-2),IF(RASANTE!F197&lt;=PERALTE!#REF!,-2))))),IF(AND(AH!#REF!="Derecha",RASANTE!F197&lt;=PERALTE!#REF!),IF(RASANTE!F197&lt;=PERALTE!#REF!,-2,IF(RASANTE!F197&lt;=PERALTE!#REF!,(10/(PERALTE!#REF!-PERALTE!#REF!)*(RASANTE!F197-PERALTE!#REF!)-2),IF(RASANTE!F197&lt;=PERALTE!#REF!,8,IF(RASANTE!F197&lt;=PERALTE!#REF!,(10/(PERALTE!#REF!-PERALTE!#REF!)*(RASANTE!F197-PERALTE!#REF!)-2))))),IF(AND(AH!#REF!="Izquierda",RASANTE!F197&lt;=PERALTE!$AB$26),IF(RASANTE!F197&lt;=PERALTE!$S$26,-2,IF(RASANTE!F197&lt;=PERALTE!$U$26,(-6/(PERALTE!$U$26-PERALTE!$S$26)*(RASANTE!F197-PERALTE!$S$26)-2),IF(RASANTE!F197&lt;=PERALTE!$X$26,-8,IF(RASANTE!F197&lt;=PERALTE!$Z$26,(-6/(PERALTE!$X$26-PERALTE!$Z$26)*(RASANTE!F197-PERALTE!$Z$26)-2),IF(RASANTE!F197&lt;=PERALTE!$AB$26,-2))))),IF(AND(AH!#REF!="Derecha",RASANTE!F197&lt;=PERALTE!$AB$26),IF(RASANTE!F197&lt;=PERALTE!$Q$26,-2,IF(RASANTE!F197&lt;=PERALTE!$U$26,(10/(PERALTE!$U$26-PERALTE!$Q$26)*(RASANTE!F197-PERALTE!$Q$26)-2),IF(RASANTE!F197&lt;=PERALTE!$X$26,8,IF(RASANTE!F197&lt;=PERALTE!$AB$26,(10/(PERALTE!$X$26-PERALTE!$AB$26)*(RASANTE!F197-PERALTE!$AB$26)-2))))),IF(F197&lt;=PERALTE!#REF!,-2,"Abscisa fuera de la vía")))))))))))))))))))))</f>
        <v>-7.5887758149511226</v>
      </c>
      <c r="I197" s="28">
        <f>+IF(AND(AH!$H$8="Derecha",RASANTE!F197&lt;=PERALTE!$AB$6),IF(RASANTE!F197&lt;=PERALTE!$S$6,-2,IF(RASANTE!F197&lt;=PERALTE!$U$6,(-6/(PERALTE!$U$6-PERALTE!$S$6)*(RASANTE!F197-PERALTE!$S$6)-2),IF(RASANTE!F197&lt;=PERALTE!$X$6,-8,IF(RASANTE!F197&lt;=PERALTE!$Z$6,(-6/(PERALTE!$X$6-PERALTE!$Z$6)*(RASANTE!F197-PERALTE!$Z$6)-2),IF(RASANTE!F197&lt;=PERALTE!$AB$6,-2))))),IF(AND(AH!$H$8="Izquierda",RASANTE!F197&lt;=PERALTE!$AB$6),IF(RASANTE!F197&lt;=PERALTE!$Q$6,-2,IF(RASANTE!F197&lt;=PERALTE!$U$6,(10/(PERALTE!$U$6-PERALTE!$Q$6)*(RASANTE!F197-PERALTE!$Q$6)-2),IF(RASANTE!F197&lt;=PERALTE!$X$6,8,IF(RASANTE!F197&lt;=PERALTE!$AB$6,(10/(PERALTE!$X$6-PERALTE!$AB$6)*(RASANTE!F197-PERALTE!$AB$6)-2))))),IF(AND(AH!$H$10="Derecha",RASANTE!F197&lt;=PERALTE!$AB$8),IF(RASANTE!F197&lt;=PERALTE!$S$8,-2,IF(RASANTE!F197&lt;=PERALTE!$U$8,(-6/(PERALTE!$U$8-PERALTE!$S$8)*(RASANTE!F197-PERALTE!$S$8)-2),IF(RASANTE!F197&lt;=PERALTE!$X$8,-8,IF(RASANTE!F197&lt;=PERALTE!$Z$8,(-6/(PERALTE!$X$8-PERALTE!$Z$8)*(RASANTE!F197-PERALTE!$Z$8)-2),IF(RASANTE!F197&lt;=PERALTE!$AB$8,-2))))),IF(AND(AH!$H$10="Izquierda",RASANTE!F197&lt;=PERALTE!$AB$8),IF(RASANTE!F197&lt;=PERALTE!$Q$8,-2,IF(RASANTE!F197&lt;=PERALTE!$U$8,(10/(PERALTE!$U$8-PERALTE!$Q$8)*(RASANTE!F197-PERALTE!$Q$8)-2),IF(RASANTE!F197&lt;=PERALTE!$X$8,8,IF(RASANTE!F197&lt;=PERALTE!$AB$8,(10/(PERALTE!$X$8-PERALTE!$AB$8)*(RASANTE!F197-PERALTE!$AB$8)-2))))),IF(AND(AH!$H$12="Derecha",RASANTE!F197&lt;=PERALTE!$AB$10),IF(RASANTE!F197&lt;=PERALTE!$S$10,-2,IF(RASANTE!F197&lt;=PERALTE!$U$10,(-6/(PERALTE!$U$10-PERALTE!$S$10)*(RASANTE!F197-PERALTE!$S$10)-2),IF(RASANTE!F197&lt;=PERALTE!$X$10,-8,IF(RASANTE!F197&lt;=PERALTE!$Z$10,(-6/(PERALTE!$X$10-PERALTE!$Z$10)*(RASANTE!F197-PERALTE!$Z$10)-2),IF(RASANTE!F197&lt;=PERALTE!$AB$10,-2))))),IF(AND(AH!$H$12="Izquierda",RASANTE!F197&lt;=PERALTE!$AB$10),IF(RASANTE!F197&lt;=PERALTE!$Q$10,-2,IF(RASANTE!F197&lt;=PERALTE!$U$10,(10/(PERALTE!$U$10-PERALTE!$Q$10)*(RASANTE!F197-PERALTE!$Q$10)-2),IF(RASANTE!F197&lt;=PERALTE!$X$10,8,IF(RASANTE!F197&lt;=PERALTE!$AB$10,(10/(PERALTE!$X$10-PERALTE!$AB$10)*(RASANTE!F197-PERALTE!$AB$10)-2))))),IF(AND(AH!$H$14="Derecha",RASANTE!F197&lt;=PERALTE!$AB$12),IF(RASANTE!F197&lt;=PERALTE!$S$12,-2,IF(RASANTE!F197&lt;=PERALTE!$U$12,(-6/(PERALTE!$U$12-PERALTE!$S$12)*(RASANTE!F197-PERALTE!$S$12)-2),IF(RASANTE!F197&lt;=PERALTE!$X$12,-8,IF(RASANTE!F197&lt;=PERALTE!$Z$12,(-6/(PERALTE!$X$12-PERALTE!$Z$12)*(RASANTE!F197-PERALTE!$Z$12)-2),IF(RASANTE!F197&lt;=PERALTE!$AB$12,-2))))),IF(AND(AH!$H$14="Izquierda",RASANTE!F197&lt;=PERALTE!$AB$12),IF(RASANTE!F197&lt;=PERALTE!$Q$12,-2,IF(RASANTE!F197&lt;=PERALTE!$U$12,(10/(PERALTE!$U$12-PERALTE!$Q$12)*(RASANTE!F197-PERALTE!$Q$12)-2),IF(RASANTE!F197&lt;=PERALTE!$X$12,8,IF(RASANTE!F197&lt;=PERALTE!$AB$12,(10/(PERALTE!$X$12-PERALTE!$AB$12)*(RASANTE!F197-PERALTE!$AB$12)-2))))),IF(AND(AH!$H$16="Derecha",RASANTE!F197&lt;=PERALTE!$AB$14),IF(RASANTE!F197&lt;=PERALTE!$S$14,-2,IF(RASANTE!F197&lt;=PERALTE!$U$14,(-6/(PERALTE!$U$14-PERALTE!$S$14)*(RASANTE!F197-PERALTE!$S$14)-2),IF(RASANTE!F197&lt;=PERALTE!$X$14,-8,IF(RASANTE!F197&lt;=PERALTE!$Z$14,(-6/(PERALTE!$X$14-PERALTE!$Z$14)*(RASANTE!F197-PERALTE!$Z$14)-2),IF(RASANTE!F197&lt;=PERALTE!$AB$14,-2))))),IF(AND(AH!$H$16="Izquierda",RASANTE!F197&lt;=PERALTE!$AB$14),IF(RASANTE!F197&lt;=PERALTE!$Q$14,-2,IF(RASANTE!F197&lt;=PERALTE!$U$14,(10/(PERALTE!$U$14-PERALTE!$Q$14)*(RASANTE!F197-PERALTE!$Q$14)-2),IF(RASANTE!F197&lt;=PERALTE!$X$14,8,IF(RASANTE!F197&lt;=PERALTE!$AB$14,(10/(PERALTE!$X$14-PERALTE!$AB$14)*(RASANTE!F197-PERALTE!$AB$14)-2))))),IF(AND(AH!$H$18="Derecha",RASANTE!F197&lt;=PERALTE!$AB$16),IF(RASANTE!F197&lt;=PERALTE!$S$16,-2,IF(RASANTE!F197&lt;=PERALTE!$U$16,(-6/(PERALTE!$U$16-PERALTE!$S$16)*(RASANTE!F197-PERALTE!$S$16)-2),IF(RASANTE!F197&lt;=PERALTE!$X$16,-8,IF(RASANTE!F197&lt;=PERALTE!$Z$16,(-6/(PERALTE!$X$16-PERALTE!$Z$16)*(RASANTE!F197-PERALTE!$Z$16)-2),IF(RASANTE!F197&lt;=PERALTE!$AB$16,-2))))),IF(AND(AH!$H$18="Izquierda",RASANTE!F197&lt;=PERALTE!$AB$16),IF(RASANTE!F197&lt;=PERALTE!$Q$16,-2,IF(RASANTE!F197&lt;=PERALTE!$U$16,(10/(PERALTE!$U$16-PERALTE!$Q$16)*(RASANTE!F197-PERALTE!$Q$16)-2),IF(RASANTE!F197&lt;=PERALTE!$X$16,8,IF(RASANTE!F197&lt;=PERALTE!$AB$16,(10/(PERALTE!$X$16-PERALTE!$AB$16)*(RASANTE!F197-PERALTE!$AB$16)-2))))),IF(AND(AH!$H$20="Derecha",RASANTE!F197&lt;=PERALTE!$AB$18),IF(RASANTE!F197&lt;=PERALTE!$S$18,-2,IF(RASANTE!F197&lt;=PERALTE!$U$18,(-6/(PERALTE!$U$18-PERALTE!$S$18)*(RASANTE!F197-PERALTE!$S$18)-2),IF(RASANTE!F197&lt;=PERALTE!$X$18,-8,IF(RASANTE!F197&lt;=PERALTE!$Z$18,(-6/(PERALTE!$X$18-PERALTE!$Z$18)*(RASANTE!F197-PERALTE!$Z$18)-2),IF(RASANTE!F197&lt;=PERALTE!$AB$18,-2))))),IF(AND(AH!$H$20="Izquierda",RASANTE!F197&lt;=PERALTE!$AB$18),IF(RASANTE!F197&lt;=PERALTE!$Q$18,-2,IF(RASANTE!F197&lt;=PERALTE!$U$18,(10/(PERALTE!$U$18-PERALTE!$Q$18)*(RASANTE!F197-PERALTE!$Q$18)-2),IF(RASANTE!F197&lt;=PERALTE!$X$18,8,IF(RASANTE!F197&lt;=PERALTE!$AB$18,(10/(PERALTE!$X$18-PERALTE!$AB$18)*(RASANTE!F197-PERALTE!$AB$18)-2))))),IF(AND(AH!$H$24="Derecha",RASANTE!F197&lt;=PERALTE!$AB$22),IF(RASANTE!F197&lt;=PERALTE!$S$22,-2,IF(RASANTE!F197&lt;=PERALTE!$U$22,(-6/(PERALTE!$U$22-PERALTE!$S$22)*(RASANTE!F197-PERALTE!$S$22)-2),IF(RASANTE!F197&lt;=PERALTE!$X$22,-8,IF(RASANTE!F197&lt;=PERALTE!$Z$22,(-6/(PERALTE!$X$22-PERALTE!$Z$22)*(RASANTE!F197-PERALTE!$Z$22)-2),IF(RASANTE!F197&lt;=PERALTE!$AB$22,-2))))),IF(AND(AH!$H$24="Izquierda",RASANTE!F197&lt;=PERALTE!$AB$22),IF(RASANTE!F197&lt;=PERALTE!$Q$22,-2,IF(RASANTE!F197&lt;=PERALTE!$U$22,(10/(PERALTE!$U$22-PERALTE!$Q$22)*(RASANTE!F197-PERALTE!$Q$22)-2),IF(RASANTE!F197&lt;=PERALTE!$X$22,8,IF(RASANTE!F197&lt;=PERALTE!$AB$22,(10/(PERALTE!$X$22-PERALTE!$AB$22)*(RASANTE!F197-PERALTE!$AB$22)-2))))),IF(AND(AH!#REF!="Derecha",RASANTE!F197&lt;=PERALTE!#REF!),IF(RASANTE!F197&lt;=PERALTE!#REF!,-2,IF(RASANTE!F197&lt;=PERALTE!#REF!,(-6/(PERALTE!#REF!-PERALTE!#REF!)*(RASANTE!F197-PERALTE!#REF!)-2),IF(RASANTE!F197&lt;=PERALTE!#REF!,-8,IF(RASANTE!F197&lt;=PERALTE!#REF!,(-6/(PERALTE!#REF!-PERALTE!#REF!)*(RASANTE!F197-PERALTE!#REF!)-2),IF(RASANTE!F197&lt;=PERALTE!#REF!,-2))))),IF(AND(AH!#REF!="Izquierda",RASANTE!F197&lt;=PERALTE!#REF!),IF(RASANTE!F197&lt;=PERALTE!#REF!,-2,IF(RASANTE!F197&lt;=PERALTE!#REF!,(10/(PERALTE!#REF!-PERALTE!#REF!)*(RASANTE!F197-PERALTE!#REF!)-2),IF(RASANTE!F197&lt;=PERALTE!#REF!,8,IF(RASANTE!F197&lt;=PERALTE!#REF!,(10/(PERALTE!#REF!-PERALTE!#REF!)*(RASANTE!F197-PERALTE!#REF!)-2))))),IF(AND(AH!#REF!="Derecha",RASANTE!F197&lt;=PERALTE!$AB$26),IF(RASANTE!F197&lt;=PERALTE!$S$26,-2,IF(RASANTE!F197&lt;=PERALTE!$U$26,(-6/(PERALTE!$U$26-PERALTE!$S$26)*(RASANTE!F197-PERALTE!$S$26)-2),IF(RASANTE!F197&lt;=PERALTE!$X$26,-8,IF(RASANTE!F197&lt;=PERALTE!$Z$26,(-6/(PERALTE!$X$26-PERALTE!$Z$26)*(RASANTE!F197-PERALTE!$Z$26)-2),IF(RASANTE!F197&lt;=PERALTE!$AB$26,-2))))),IF(AND(AH!#REF!="Izquierda",RASANTE!F197&lt;=PERALTE!$AB$26),IF(RASANTE!F197&lt;=PERALTE!$Q$26,-2,IF(RASANTE!F197&lt;=PERALTE!$U$26,(10/(PERALTE!$U$26-PERALTE!$Q$26)*(RASANTE!F197-PERALTE!$Q$26)-2),IF(RASANTE!F197&lt;=PERALTE!$X$26,8,IF(RASANTE!F197&lt;=PERALTE!$AB$26,(10/(PERALTE!$X$26-PERALTE!$AB$26)*(RASANTE!F197-PERALTE!$AB$26)-2))))),IF(F197&lt;=PERALTE!#REF!,-2,"Abscisa fuera de la vía")))))))))))))))))))))</f>
        <v>7.58877581495112</v>
      </c>
      <c r="J197" s="28">
        <f>J196+((F197-F196)*G196/100)</f>
        <v>1624.7011380375923</v>
      </c>
      <c r="K197" s="28">
        <f>+IF(AND(AV!$S$6&lt;F197,F197&lt;=AV!$T$6),AV!$P$6*((AV!$S$6-RASANTE!F197)/(AV!$N$6))^2,IF(AND(AV!$T$6&lt;RASANTE!F197,F197&lt;AV!$U$6),AV!$P$6*((AV!$U$6-RASANTE!F197)/(AV!$O$6))^2,IF(AND(AV!$S$8&lt;F197,F197&lt;=AV!$T$8),AV!$P$8*((AV!$S$8-RASANTE!F197)/(AV!$N$8))^2,IF(AND(AV!$T$8&lt;RASANTE!F197,F197&lt;AV!$U$8),AV!$P$8*((AV!$U$8-RASANTE!F197)/(AV!$O$8))^2,IF(AND(AV!$S$10&lt;F197,F197&lt;=AV!$T$10),AV!$P$10*((AV!$S$10-RASANTE!F197)/(AV!$N$10))^2,IF(AND(AV!$T$10&lt;RASANTE!F197,F197&lt;AV!$U$10),AV!$P$10*((AV!$U$10-RASANTE!F197)/(AV!$O$10))^2,IF(AND(AV!$S$12&lt;F197,F197&lt;=AV!$T$12),AV!$P$12*((AV!$S$12-RASANTE!F197)/(AV!$N$12))^2,IF(AND(AV!$T$12&lt;RASANTE!F197,F197&lt;AV!$U$12),AV!$P$12*((AV!$U$12-RASANTE!F197)/(AV!$O$12))^2,IF(AND(AV!$S$14&lt;F197,F197&lt;=AV!$T$14),AV!$P$14*((AV!$S$14-RASANTE!F197)/(AV!$N$14))^2,IF(AND(AV!$T$14&lt;RASANTE!F197,F197&lt;AV!$U$14),AV!$P$14*((AV!$U$14-RASANTE!F197)/(AV!$O$14))^2,IF(AND(AV!$S$16&lt;F197,F197&lt;=AV!$T$16),AV!$P$16*((AV!$S$16-RASANTE!F197)/(AV!$N$16))^2,IF(AND(AV!$T$16&lt;RASANTE!F197,F197&lt;AV!$U$16),AV!$P$16*((AV!$U$16-RASANTE!F197)/(AV!$O$16))^2,IF(AND(AV!$S$18&lt;F197,F197&lt;=AV!$T$18),AV!$P$18*((AV!$S$18-RASANTE!F197)/(AV!$N$18))^2,IF(AND(AV!$T$18&lt;RASANTE!F197,F197&lt;AV!$U$18),AV!$P$18*((AV!$U$18-RASANTE!F197)/(AV!$O$18))^2,IF(AND(AV!$S$20&lt;F197,F197&lt;=AV!$T$20),AV!$P$20*((AV!$S$20-RASANTE!F197)/(AV!$N$20))^2,IF(AND(AV!$T$20&lt;RASANTE!F197,F197&lt;AV!$U$20),AV!$P$20*((AV!$U$20-RASANTE!F197)/(AV!$O$20))^2,IF(AND(AV!$S$22&lt;F197,F197&lt;=AV!$T$22),AV!$P$22*((AV!$S$22-RASANTE!F197)/(AV!$N$22))^2,IF(AND(AV!$T$22&lt;RASANTE!F197,F197&lt;AV!$U$22),AV!$P$22*((AV!$U$22-RASANTE!F197)/(AV!$O$22))^2,IF(AND(AV!$S$24&lt;F197,F197&lt;=AV!$T$24),AV!$P$24*((AV!$S$24-RASANTE!F197)/(AV!$N$24))^2,IF(AND(AV!$T$24&lt;RASANTE!F197,F197&lt;AV!$U$24),AV!$P$24*((AV!$U$24-RASANTE!F197)/(AV!$O$24))^2,0))))))))))))))))))))</f>
        <v>0</v>
      </c>
      <c r="L197" s="28">
        <f>+M197+H197%*PERALTE!$C$32</f>
        <v>1624.4355308840691</v>
      </c>
      <c r="M197" s="28">
        <f t="shared" si="7"/>
        <v>1624.7011380375923</v>
      </c>
      <c r="N197" s="28">
        <f>+M197+I197%*PERALTE!$C$32</f>
        <v>1624.9667451911155</v>
      </c>
      <c r="O197" s="92"/>
      <c r="P197" s="84"/>
      <c r="Q197" s="84"/>
      <c r="R197" s="84"/>
      <c r="S197" s="84"/>
      <c r="T197" s="84"/>
      <c r="U197" s="84"/>
      <c r="V197" s="84"/>
      <c r="W197" s="84"/>
      <c r="X197" s="84"/>
      <c r="Y197" s="84"/>
    </row>
    <row r="198" spans="1:25" ht="15.75" customHeight="1" x14ac:dyDescent="0.2">
      <c r="A198" s="130" t="s">
        <v>218</v>
      </c>
      <c r="B198" s="86"/>
      <c r="C198" s="86"/>
      <c r="D198" s="86"/>
      <c r="E198" s="131" t="s">
        <v>219</v>
      </c>
      <c r="F198" s="34">
        <f>AV!S14</f>
        <v>1244.817</v>
      </c>
      <c r="G198" s="88">
        <f>IF(F198&lt;=AV!$T$6,AV!$C$5,IF(RASANTE!F198&lt;=AV!$T$8,AV!$C$7,IF(RASANTE!F198&lt;=AV!$T$10,AV!$C$9,IF(RASANTE!F198&lt;=AV!$T$12,AV!$C$11,IF(RASANTE!F198&lt;=AV!$T$14,AV!$C$13,IF(RASANTE!F198&lt;=AV!$T$16,AV!$C$15, IF(RASANTE!F198&lt;=AV!$T$18,AV!$C$17,IF(RASANTE!F198&lt;=AV!$T$20,AV!$C$19,IF(RASANTE!F198&lt;=AV!$T$22,AV!$C$21,IF(RASANTE!F198&lt;=AV!$T$24,AV!$C$23,AV!$C$25))))))))))</f>
        <v>8.1999999999999993</v>
      </c>
      <c r="H198" s="28">
        <f>+IF(AND(AH!$H$8="Izquierda",RASANTE!F198&lt;=PERALTE!$AB$6),IF(RASANTE!F198&lt;=PERALTE!$S$6,-2,IF(RASANTE!F198&lt;=PERALTE!$U$6,(-6/(PERALTE!$U$6-PERALTE!$S$6)*(RASANTE!F198-PERALTE!$S$6)-2),IF(RASANTE!F198&lt;=PERALTE!$X$6,-8,IF(RASANTE!F198&lt;=PERALTE!$Z$6,(-6/(PERALTE!$X$6-PERALTE!$Z$6)*(RASANTE!F198-PERALTE!$Z$6)-2),IF(RASANTE!F198&lt;=PERALTE!$AB$6,-2))))),IF(AND(AH!$H$8="Derecha",RASANTE!F198&lt;=PERALTE!$AB$6),IF(RASANTE!F198&lt;=PERALTE!$Q$6,-2,IF(RASANTE!F198&lt;=PERALTE!$U$6,(10/(PERALTE!$U$6-PERALTE!$Q$6)*(RASANTE!F198-PERALTE!$Q$6)-2),IF(RASANTE!F198&lt;=PERALTE!$X$6,8,IF(RASANTE!F198&lt;=PERALTE!$AB$6,(10/(PERALTE!$X$6-PERALTE!$AB$6)*(RASANTE!F198-PERALTE!$AB$6)-2))))),IF(AND(AH!$H$10="Izquierda",RASANTE!F198&lt;=PERALTE!$AB$8),IF(RASANTE!F198&lt;=PERALTE!$S$8,-2,IF(RASANTE!F198&lt;=PERALTE!$U$8,(-6/(PERALTE!$U$8-PERALTE!$S$8)*(RASANTE!F198-PERALTE!$S$8)-2),IF(RASANTE!F198&lt;=PERALTE!$X$8,-8,IF(RASANTE!F198&lt;=PERALTE!$Z$8,(-6/(PERALTE!$X$8-PERALTE!$Z$8)*(RASANTE!F198-PERALTE!$Z$8)-2),IF(RASANTE!F198&lt;=PERALTE!$AB$8,-2))))),IF(AND(AH!$H$10="Derecha",RASANTE!F198&lt;=PERALTE!$AB$8),IF(RASANTE!F198&lt;=PERALTE!$Q$8,-2,IF(RASANTE!F198&lt;=PERALTE!$U$8,(10/(PERALTE!$U$8-PERALTE!$Q$8)*(RASANTE!F198-PERALTE!$Q$8)-2),IF(RASANTE!F198&lt;=PERALTE!$X$8,8,IF(RASANTE!F198&lt;=PERALTE!$AB$8,(10/(PERALTE!$X$8-PERALTE!$AB$8)*(RASANTE!F198-PERALTE!$AB$8)-2))))),IF(AND(AH!$H$12="Izquierda",RASANTE!F198&lt;=PERALTE!$AB$10),IF(RASANTE!F198&lt;=PERALTE!$S$10,-2,IF(RASANTE!F198&lt;=PERALTE!$U$10,(-6/(PERALTE!$U$10-PERALTE!$S$10)*(RASANTE!F198-PERALTE!$S$10)-2),IF(RASANTE!F198&lt;=PERALTE!$X$10,-8,IF(RASANTE!F198&lt;=PERALTE!$Z$10,(-6/(PERALTE!$X$10-PERALTE!$Z$10)*(RASANTE!F198-PERALTE!$Z$10)-2),IF(RASANTE!F198&lt;=PERALTE!$AB$10,-2))))),IF(AND(AH!$H$12="Derecha",RASANTE!F198&lt;=PERALTE!$AB$10),IF(RASANTE!F198&lt;=PERALTE!$Q$10,-2,IF(RASANTE!F198&lt;=PERALTE!$U$10,(10/(PERALTE!$U$10-PERALTE!$Q$10)*(RASANTE!F198-PERALTE!$Q$10)-2),IF(RASANTE!F198&lt;=PERALTE!$X$10,8,IF(RASANTE!F198&lt;=PERALTE!$AB$10,(10/(PERALTE!$X$10-PERALTE!$AB$10)*(RASANTE!F198-PERALTE!$AB$10)-2))))),IF(AND(AH!$H$14="Izquierda",RASANTE!F198&lt;=PERALTE!$AB$12),IF(RASANTE!F198&lt;=PERALTE!$S$12,-2,IF(RASANTE!F198&lt;=PERALTE!$U$12,(-6/(PERALTE!$U$12-PERALTE!$S$12)*(RASANTE!F198-PERALTE!$S$12)-2),IF(RASANTE!F198&lt;=PERALTE!$X$12,-8,IF(RASANTE!F198&lt;=PERALTE!$Z$12,(-6/(PERALTE!$X$12-PERALTE!$Z$12)*(RASANTE!F198-PERALTE!$Z$12)-2),IF(RASANTE!F198&lt;=PERALTE!$AB$12,-2))))),IF(AND(AH!$H$14="Derecha",RASANTE!F198&lt;=PERALTE!$AB$12),IF(RASANTE!F198&lt;=PERALTE!$Q$12,-2,IF(RASANTE!F198&lt;=PERALTE!$U$12,(10/(PERALTE!$U$12-PERALTE!$Q$12)*(RASANTE!F198-PERALTE!$Q$12)-2),IF(RASANTE!F198&lt;=PERALTE!$X$12,8,IF(RASANTE!F198&lt;=PERALTE!$AB$12,(10/(PERALTE!$X$12-PERALTE!$AB$12)*(RASANTE!F198-PERALTE!$AB$12)-2))))),IF(AND(AH!$H$16="Izquierda",RASANTE!F198&lt;=PERALTE!$AB$14),IF(RASANTE!F198&lt;=PERALTE!$S$14,-2,IF(RASANTE!F198&lt;=PERALTE!$U$14,(-6/(PERALTE!$U$14-PERALTE!$S$14)*(RASANTE!F198-PERALTE!$S$14)-2),IF(RASANTE!F198&lt;=PERALTE!$X$14,-8,IF(RASANTE!F198&lt;=PERALTE!$Z$14,(-6/(PERALTE!$X$14-PERALTE!$Z$14)*(RASANTE!F198-PERALTE!$Z$14)-2),IF(RASANTE!F198&lt;=PERALTE!$AB$14,-2))))),IF(AND(AH!$H$16="Derecha",RASANTE!F198&lt;=PERALTE!$AB$14),IF(RASANTE!F198&lt;=PERALTE!$Q$14,-2,IF(RASANTE!F198&lt;=PERALTE!$U$14,(10/(PERALTE!$U$14-PERALTE!$Q$14)*(RASANTE!F198-PERALTE!$Q$14)-2),IF(RASANTE!F198&lt;=PERALTE!$X$14,8,IF(RASANTE!F198&lt;=PERALTE!$AB$14,(10/(PERALTE!$X$14-PERALTE!$AB$14)*(RASANTE!F198-PERALTE!$AB$14)-2))))),IF(AND(AH!$H$18="Izquierda",RASANTE!F198&lt;=PERALTE!$AB$16),IF(RASANTE!F198&lt;=PERALTE!$S$16,-2,IF(RASANTE!F198&lt;=PERALTE!$U$16,(-6/(PERALTE!$U$16-PERALTE!$S$16)*(RASANTE!F198-PERALTE!$S$16)-2),IF(RASANTE!F198&lt;=PERALTE!$X$16,-8,IF(RASANTE!F198&lt;=PERALTE!$Z$16,(-6/(PERALTE!$X$16-PERALTE!$Z$16)*(RASANTE!F198-PERALTE!$Z$16)-2),IF(RASANTE!F198&lt;=PERALTE!$AB$16,-2))))),IF(AND(AH!$H$18="Derecha",RASANTE!F198&lt;=PERALTE!$AB$16),IF(RASANTE!F198&lt;=PERALTE!$Q$16,-2,IF(RASANTE!F198&lt;=PERALTE!$U$16,(10/(PERALTE!$U$16-PERALTE!$Q$16)*(RASANTE!F198-PERALTE!$Q$16)-2),IF(RASANTE!F198&lt;=PERALTE!$X$16,8,IF(RASANTE!F198&lt;=PERALTE!$AB$16,(10/(PERALTE!$X$16-PERALTE!$AB$16)*(RASANTE!F198-PERALTE!$AB$16)-2))))),IF(AND(AH!$H$20="Izquierda",RASANTE!F198&lt;=PERALTE!$AB$18),IF(RASANTE!F198&lt;=PERALTE!$S$18,-2,IF(RASANTE!F198&lt;=PERALTE!$U$18,(-6/(PERALTE!$U$18-PERALTE!$S$18)*(RASANTE!F198-PERALTE!$S$18)-2),IF(RASANTE!F198&lt;=PERALTE!$X$18,-8,IF(RASANTE!F198&lt;=PERALTE!$Z$18,(-6/(PERALTE!$X$18-PERALTE!$Z$18)*(RASANTE!F198-PERALTE!$Z$18)-2),IF(RASANTE!F198&lt;=PERALTE!$AB$18,-2))))),IF(AND(AH!$H$20="Derecha",RASANTE!F198&lt;=PERALTE!$AB$18),IF(RASANTE!F198&lt;=PERALTE!$Q$18,-2,IF(RASANTE!F198&lt;=PERALTE!$U$18,(10/(PERALTE!$U$18-PERALTE!$Q$18)*(RASANTE!F198-PERALTE!$Q$18)-2),IF(RASANTE!F198&lt;=PERALTE!$X$18,8,IF(RASANTE!F198&lt;=PERALTE!$AB$18,(10/(PERALTE!$X$18-PERALTE!$AB$18)*(RASANTE!F198-PERALTE!$AB$18)-2))))),IF(AND(AH!$H$24="Izquierda",RASANTE!F198&lt;=PERALTE!$AB$22),IF(RASANTE!F198&lt;=PERALTE!$S$22,-2,IF(RASANTE!F198&lt;=PERALTE!$U$22,(-6/(PERALTE!$U$22-PERALTE!$S$22)*(RASANTE!F198-PERALTE!$S$22)-2),IF(RASANTE!F198&lt;=PERALTE!$X$22,-8,IF(RASANTE!F198&lt;=PERALTE!$Z$22,(-6/(PERALTE!$X$22-PERALTE!$Z$22)*(RASANTE!F198-PERALTE!$Z$22)-2),IF(RASANTE!F198&lt;=PERALTE!$AB$22,-2))))),IF(AND(AH!$H$24="Derecha",RASANTE!F198&lt;=PERALTE!$AB$22),IF(RASANTE!F198&lt;=PERALTE!$Q$22,-2,IF(RASANTE!F198&lt;=PERALTE!$U$22,(10/(PERALTE!$U$22-PERALTE!$Q$22)*(RASANTE!F198-PERALTE!$Q$22)-2),IF(RASANTE!F198&lt;=PERALTE!$X$22,8,IF(RASANTE!F198&lt;=PERALTE!$AB$22,(10/(PERALTE!$X$22-PERALTE!$AB$22)*(RASANTE!F198-PERALTE!$AB$22)-2))))),IF(AND(AH!#REF!="Izquierda",RASANTE!F198&lt;=PERALTE!#REF!),IF(RASANTE!F198&lt;=PERALTE!#REF!,-2,IF(RASANTE!F198&lt;=PERALTE!#REF!,(-6/(PERALTE!#REF!-PERALTE!#REF!)*(RASANTE!F198-PERALTE!#REF!)-2),IF(RASANTE!F198&lt;=PERALTE!#REF!,-8,IF(RASANTE!F198&lt;=PERALTE!#REF!,(-6/(PERALTE!#REF!-PERALTE!#REF!)*(RASANTE!F198-PERALTE!#REF!)-2),IF(RASANTE!F198&lt;=PERALTE!#REF!,-2))))),IF(AND(AH!#REF!="Derecha",RASANTE!F198&lt;=PERALTE!#REF!),IF(RASANTE!F198&lt;=PERALTE!#REF!,-2,IF(RASANTE!F198&lt;=PERALTE!#REF!,(10/(PERALTE!#REF!-PERALTE!#REF!)*(RASANTE!F198-PERALTE!#REF!)-2),IF(RASANTE!F198&lt;=PERALTE!#REF!,8,IF(RASANTE!F198&lt;=PERALTE!#REF!,(10/(PERALTE!#REF!-PERALTE!#REF!)*(RASANTE!F198-PERALTE!#REF!)-2))))),IF(AND(AH!#REF!="Izquierda",RASANTE!F198&lt;=PERALTE!$AB$26),IF(RASANTE!F198&lt;=PERALTE!$S$26,-2,IF(RASANTE!F198&lt;=PERALTE!$U$26,(-6/(PERALTE!$U$26-PERALTE!$S$26)*(RASANTE!F198-PERALTE!$S$26)-2),IF(RASANTE!F198&lt;=PERALTE!$X$26,-8,IF(RASANTE!F198&lt;=PERALTE!$Z$26,(-6/(PERALTE!$X$26-PERALTE!$Z$26)*(RASANTE!F198-PERALTE!$Z$26)-2),IF(RASANTE!F198&lt;=PERALTE!$AB$26,-2))))),IF(AND(AH!#REF!="Derecha",RASANTE!F198&lt;=PERALTE!$AB$26),IF(RASANTE!F198&lt;=PERALTE!$Q$26,-2,IF(RASANTE!F198&lt;=PERALTE!$U$26,(10/(PERALTE!$U$26-PERALTE!$Q$26)*(RASANTE!F198-PERALTE!$Q$26)-2),IF(RASANTE!F198&lt;=PERALTE!$X$26,8,IF(RASANTE!F198&lt;=PERALTE!$AB$26,(10/(PERALTE!$X$26-PERALTE!$AB$26)*(RASANTE!F198-PERALTE!$AB$26)-2))))),IF(F198&lt;=PERALTE!#REF!,-2,"Abscisa fuera de la vía")))))))))))))))))))))</f>
        <v>-6.5290358149511203</v>
      </c>
      <c r="I198" s="28">
        <f>+IF(AND(AH!$H$8="Derecha",RASANTE!F198&lt;=PERALTE!$AB$6),IF(RASANTE!F198&lt;=PERALTE!$S$6,-2,IF(RASANTE!F198&lt;=PERALTE!$U$6,(-6/(PERALTE!$U$6-PERALTE!$S$6)*(RASANTE!F198-PERALTE!$S$6)-2),IF(RASANTE!F198&lt;=PERALTE!$X$6,-8,IF(RASANTE!F198&lt;=PERALTE!$Z$6,(-6/(PERALTE!$X$6-PERALTE!$Z$6)*(RASANTE!F198-PERALTE!$Z$6)-2),IF(RASANTE!F198&lt;=PERALTE!$AB$6,-2))))),IF(AND(AH!$H$8="Izquierda",RASANTE!F198&lt;=PERALTE!$AB$6),IF(RASANTE!F198&lt;=PERALTE!$Q$6,-2,IF(RASANTE!F198&lt;=PERALTE!$U$6,(10/(PERALTE!$U$6-PERALTE!$Q$6)*(RASANTE!F198-PERALTE!$Q$6)-2),IF(RASANTE!F198&lt;=PERALTE!$X$6,8,IF(RASANTE!F198&lt;=PERALTE!$AB$6,(10/(PERALTE!$X$6-PERALTE!$AB$6)*(RASANTE!F198-PERALTE!$AB$6)-2))))),IF(AND(AH!$H$10="Derecha",RASANTE!F198&lt;=PERALTE!$AB$8),IF(RASANTE!F198&lt;=PERALTE!$S$8,-2,IF(RASANTE!F198&lt;=PERALTE!$U$8,(-6/(PERALTE!$U$8-PERALTE!$S$8)*(RASANTE!F198-PERALTE!$S$8)-2),IF(RASANTE!F198&lt;=PERALTE!$X$8,-8,IF(RASANTE!F198&lt;=PERALTE!$Z$8,(-6/(PERALTE!$X$8-PERALTE!$Z$8)*(RASANTE!F198-PERALTE!$Z$8)-2),IF(RASANTE!F198&lt;=PERALTE!$AB$8,-2))))),IF(AND(AH!$H$10="Izquierda",RASANTE!F198&lt;=PERALTE!$AB$8),IF(RASANTE!F198&lt;=PERALTE!$Q$8,-2,IF(RASANTE!F198&lt;=PERALTE!$U$8,(10/(PERALTE!$U$8-PERALTE!$Q$8)*(RASANTE!F198-PERALTE!$Q$8)-2),IF(RASANTE!F198&lt;=PERALTE!$X$8,8,IF(RASANTE!F198&lt;=PERALTE!$AB$8,(10/(PERALTE!$X$8-PERALTE!$AB$8)*(RASANTE!F198-PERALTE!$AB$8)-2))))),IF(AND(AH!$H$12="Derecha",RASANTE!F198&lt;=PERALTE!$AB$10),IF(RASANTE!F198&lt;=PERALTE!$S$10,-2,IF(RASANTE!F198&lt;=PERALTE!$U$10,(-6/(PERALTE!$U$10-PERALTE!$S$10)*(RASANTE!F198-PERALTE!$S$10)-2),IF(RASANTE!F198&lt;=PERALTE!$X$10,-8,IF(RASANTE!F198&lt;=PERALTE!$Z$10,(-6/(PERALTE!$X$10-PERALTE!$Z$10)*(RASANTE!F198-PERALTE!$Z$10)-2),IF(RASANTE!F198&lt;=PERALTE!$AB$10,-2))))),IF(AND(AH!$H$12="Izquierda",RASANTE!F198&lt;=PERALTE!$AB$10),IF(RASANTE!F198&lt;=PERALTE!$Q$10,-2,IF(RASANTE!F198&lt;=PERALTE!$U$10,(10/(PERALTE!$U$10-PERALTE!$Q$10)*(RASANTE!F198-PERALTE!$Q$10)-2),IF(RASANTE!F198&lt;=PERALTE!$X$10,8,IF(RASANTE!F198&lt;=PERALTE!$AB$10,(10/(PERALTE!$X$10-PERALTE!$AB$10)*(RASANTE!F198-PERALTE!$AB$10)-2))))),IF(AND(AH!$H$14="Derecha",RASANTE!F198&lt;=PERALTE!$AB$12),IF(RASANTE!F198&lt;=PERALTE!$S$12,-2,IF(RASANTE!F198&lt;=PERALTE!$U$12,(-6/(PERALTE!$U$12-PERALTE!$S$12)*(RASANTE!F198-PERALTE!$S$12)-2),IF(RASANTE!F198&lt;=PERALTE!$X$12,-8,IF(RASANTE!F198&lt;=PERALTE!$Z$12,(-6/(PERALTE!$X$12-PERALTE!$Z$12)*(RASANTE!F198-PERALTE!$Z$12)-2),IF(RASANTE!F198&lt;=PERALTE!$AB$12,-2))))),IF(AND(AH!$H$14="Izquierda",RASANTE!F198&lt;=PERALTE!$AB$12),IF(RASANTE!F198&lt;=PERALTE!$Q$12,-2,IF(RASANTE!F198&lt;=PERALTE!$U$12,(10/(PERALTE!$U$12-PERALTE!$Q$12)*(RASANTE!F198-PERALTE!$Q$12)-2),IF(RASANTE!F198&lt;=PERALTE!$X$12,8,IF(RASANTE!F198&lt;=PERALTE!$AB$12,(10/(PERALTE!$X$12-PERALTE!$AB$12)*(RASANTE!F198-PERALTE!$AB$12)-2))))),IF(AND(AH!$H$16="Derecha",RASANTE!F198&lt;=PERALTE!$AB$14),IF(RASANTE!F198&lt;=PERALTE!$S$14,-2,IF(RASANTE!F198&lt;=PERALTE!$U$14,(-6/(PERALTE!$U$14-PERALTE!$S$14)*(RASANTE!F198-PERALTE!$S$14)-2),IF(RASANTE!F198&lt;=PERALTE!$X$14,-8,IF(RASANTE!F198&lt;=PERALTE!$Z$14,(-6/(PERALTE!$X$14-PERALTE!$Z$14)*(RASANTE!F198-PERALTE!$Z$14)-2),IF(RASANTE!F198&lt;=PERALTE!$AB$14,-2))))),IF(AND(AH!$H$16="Izquierda",RASANTE!F198&lt;=PERALTE!$AB$14),IF(RASANTE!F198&lt;=PERALTE!$Q$14,-2,IF(RASANTE!F198&lt;=PERALTE!$U$14,(10/(PERALTE!$U$14-PERALTE!$Q$14)*(RASANTE!F198-PERALTE!$Q$14)-2),IF(RASANTE!F198&lt;=PERALTE!$X$14,8,IF(RASANTE!F198&lt;=PERALTE!$AB$14,(10/(PERALTE!$X$14-PERALTE!$AB$14)*(RASANTE!F198-PERALTE!$AB$14)-2))))),IF(AND(AH!$H$18="Derecha",RASANTE!F198&lt;=PERALTE!$AB$16),IF(RASANTE!F198&lt;=PERALTE!$S$16,-2,IF(RASANTE!F198&lt;=PERALTE!$U$16,(-6/(PERALTE!$U$16-PERALTE!$S$16)*(RASANTE!F198-PERALTE!$S$16)-2),IF(RASANTE!F198&lt;=PERALTE!$X$16,-8,IF(RASANTE!F198&lt;=PERALTE!$Z$16,(-6/(PERALTE!$X$16-PERALTE!$Z$16)*(RASANTE!F198-PERALTE!$Z$16)-2),IF(RASANTE!F198&lt;=PERALTE!$AB$16,-2))))),IF(AND(AH!$H$18="Izquierda",RASANTE!F198&lt;=PERALTE!$AB$16),IF(RASANTE!F198&lt;=PERALTE!$Q$16,-2,IF(RASANTE!F198&lt;=PERALTE!$U$16,(10/(PERALTE!$U$16-PERALTE!$Q$16)*(RASANTE!F198-PERALTE!$Q$16)-2),IF(RASANTE!F198&lt;=PERALTE!$X$16,8,IF(RASANTE!F198&lt;=PERALTE!$AB$16,(10/(PERALTE!$X$16-PERALTE!$AB$16)*(RASANTE!F198-PERALTE!$AB$16)-2))))),IF(AND(AH!$H$20="Derecha",RASANTE!F198&lt;=PERALTE!$AB$18),IF(RASANTE!F198&lt;=PERALTE!$S$18,-2,IF(RASANTE!F198&lt;=PERALTE!$U$18,(-6/(PERALTE!$U$18-PERALTE!$S$18)*(RASANTE!F198-PERALTE!$S$18)-2),IF(RASANTE!F198&lt;=PERALTE!$X$18,-8,IF(RASANTE!F198&lt;=PERALTE!$Z$18,(-6/(PERALTE!$X$18-PERALTE!$Z$18)*(RASANTE!F198-PERALTE!$Z$18)-2),IF(RASANTE!F198&lt;=PERALTE!$AB$18,-2))))),IF(AND(AH!$H$20="Izquierda",RASANTE!F198&lt;=PERALTE!$AB$18),IF(RASANTE!F198&lt;=PERALTE!$Q$18,-2,IF(RASANTE!F198&lt;=PERALTE!$U$18,(10/(PERALTE!$U$18-PERALTE!$Q$18)*(RASANTE!F198-PERALTE!$Q$18)-2),IF(RASANTE!F198&lt;=PERALTE!$X$18,8,IF(RASANTE!F198&lt;=PERALTE!$AB$18,(10/(PERALTE!$X$18-PERALTE!$AB$18)*(RASANTE!F198-PERALTE!$AB$18)-2))))),IF(AND(AH!$H$24="Derecha",RASANTE!F198&lt;=PERALTE!$AB$22),IF(RASANTE!F198&lt;=PERALTE!$S$22,-2,IF(RASANTE!F198&lt;=PERALTE!$U$22,(-6/(PERALTE!$U$22-PERALTE!$S$22)*(RASANTE!F198-PERALTE!$S$22)-2),IF(RASANTE!F198&lt;=PERALTE!$X$22,-8,IF(RASANTE!F198&lt;=PERALTE!$Z$22,(-6/(PERALTE!$X$22-PERALTE!$Z$22)*(RASANTE!F198-PERALTE!$Z$22)-2),IF(RASANTE!F198&lt;=PERALTE!$AB$22,-2))))),IF(AND(AH!$H$24="Izquierda",RASANTE!F198&lt;=PERALTE!$AB$22),IF(RASANTE!F198&lt;=PERALTE!$Q$22,-2,IF(RASANTE!F198&lt;=PERALTE!$U$22,(10/(PERALTE!$U$22-PERALTE!$Q$22)*(RASANTE!F198-PERALTE!$Q$22)-2),IF(RASANTE!F198&lt;=PERALTE!$X$22,8,IF(RASANTE!F198&lt;=PERALTE!$AB$22,(10/(PERALTE!$X$22-PERALTE!$AB$22)*(RASANTE!F198-PERALTE!$AB$22)-2))))),IF(AND(AH!#REF!="Derecha",RASANTE!F198&lt;=PERALTE!#REF!),IF(RASANTE!F198&lt;=PERALTE!#REF!,-2,IF(RASANTE!F198&lt;=PERALTE!#REF!,(-6/(PERALTE!#REF!-PERALTE!#REF!)*(RASANTE!F198-PERALTE!#REF!)-2),IF(RASANTE!F198&lt;=PERALTE!#REF!,-8,IF(RASANTE!F198&lt;=PERALTE!#REF!,(-6/(PERALTE!#REF!-PERALTE!#REF!)*(RASANTE!F198-PERALTE!#REF!)-2),IF(RASANTE!F198&lt;=PERALTE!#REF!,-2))))),IF(AND(AH!#REF!="Izquierda",RASANTE!F198&lt;=PERALTE!#REF!),IF(RASANTE!F198&lt;=PERALTE!#REF!,-2,IF(RASANTE!F198&lt;=PERALTE!#REF!,(10/(PERALTE!#REF!-PERALTE!#REF!)*(RASANTE!F198-PERALTE!#REF!)-2),IF(RASANTE!F198&lt;=PERALTE!#REF!,8,IF(RASANTE!F198&lt;=PERALTE!#REF!,(10/(PERALTE!#REF!-PERALTE!#REF!)*(RASANTE!F198-PERALTE!#REF!)-2))))),IF(AND(AH!#REF!="Derecha",RASANTE!F198&lt;=PERALTE!$AB$26),IF(RASANTE!F198&lt;=PERALTE!$S$26,-2,IF(RASANTE!F198&lt;=PERALTE!$U$26,(-6/(PERALTE!$U$26-PERALTE!$S$26)*(RASANTE!F198-PERALTE!$S$26)-2),IF(RASANTE!F198&lt;=PERALTE!$X$26,-8,IF(RASANTE!F198&lt;=PERALTE!$Z$26,(-6/(PERALTE!$X$26-PERALTE!$Z$26)*(RASANTE!F198-PERALTE!$Z$26)-2),IF(RASANTE!F198&lt;=PERALTE!$AB$26,-2))))),IF(AND(AH!#REF!="Izquierda",RASANTE!F198&lt;=PERALTE!$AB$26),IF(RASANTE!F198&lt;=PERALTE!$Q$26,-2,IF(RASANTE!F198&lt;=PERALTE!$U$26,(10/(PERALTE!$U$26-PERALTE!$Q$26)*(RASANTE!F198-PERALTE!$Q$26)-2),IF(RASANTE!F198&lt;=PERALTE!$X$26,8,IF(RASANTE!F198&lt;=PERALTE!$AB$26,(10/(PERALTE!$X$26-PERALTE!$AB$26)*(RASANTE!F198-PERALTE!$AB$26)-2))))),IF(F198&lt;=PERALTE!#REF!,-2,"Abscisa fuera de la vía")))))))))))))))))))))</f>
        <v>6.529035814951115</v>
      </c>
      <c r="J198" s="28">
        <f t="shared" ref="J198:J201" si="9">J197+((F198-F197)*G197/100)</f>
        <v>1625.0961320375923</v>
      </c>
      <c r="K198" s="28">
        <f>+IF(AND(AV!$S$6&lt;F198,F198&lt;=AV!$T$6),AV!$P$6*((AV!$S$6-RASANTE!F198)/(AV!$N$6))^2,IF(AND(AV!$T$6&lt;RASANTE!F198,F198&lt;AV!$U$6),AV!$P$6*((AV!$U$6-RASANTE!F198)/(AV!$O$6))^2,IF(AND(AV!$S$8&lt;F198,F198&lt;=AV!$T$8),AV!$P$8*((AV!$S$8-RASANTE!F198)/(AV!$N$8))^2,IF(AND(AV!$T$8&lt;RASANTE!F198,F198&lt;AV!$U$8),AV!$P$8*((AV!$U$8-RASANTE!F198)/(AV!$O$8))^2,IF(AND(AV!$S$10&lt;F198,F198&lt;=AV!$T$10),AV!$P$10*((AV!$S$10-RASANTE!F198)/(AV!$N$10))^2,IF(AND(AV!$T$10&lt;RASANTE!F198,F198&lt;AV!$U$10),AV!$P$10*((AV!$U$10-RASANTE!F198)/(AV!$O$10))^2,IF(AND(AV!$S$12&lt;F198,F198&lt;=AV!$T$12),AV!$P$12*((AV!$S$12-RASANTE!F198)/(AV!$N$12))^2,IF(AND(AV!$T$12&lt;RASANTE!F198,F198&lt;AV!$U$12),AV!$P$12*((AV!$U$12-RASANTE!F198)/(AV!$O$12))^2,IF(AND(AV!$S$14&lt;F198,F198&lt;=AV!$T$14),AV!$P$14*((AV!$S$14-RASANTE!F198)/(AV!$N$14))^2,IF(AND(AV!$T$14&lt;RASANTE!F198,F198&lt;AV!$U$14),AV!$P$14*((AV!$U$14-RASANTE!F198)/(AV!$O$14))^2,IF(AND(AV!$S$16&lt;F198,F198&lt;=AV!$T$16),AV!$P$16*((AV!$S$16-RASANTE!F198)/(AV!$N$16))^2,IF(AND(AV!$T$16&lt;RASANTE!F198,F198&lt;AV!$U$16),AV!$P$16*((AV!$U$16-RASANTE!F198)/(AV!$O$16))^2,IF(AND(AV!$S$18&lt;F198,F198&lt;=AV!$T$18),AV!$P$18*((AV!$S$18-RASANTE!F198)/(AV!$N$18))^2,IF(AND(AV!$T$18&lt;RASANTE!F198,F198&lt;AV!$U$18),AV!$P$18*((AV!$U$18-RASANTE!F198)/(AV!$O$18))^2,IF(AND(AV!$S$20&lt;F198,F198&lt;=AV!$T$20),AV!$P$20*((AV!$S$20-RASANTE!F198)/(AV!$N$20))^2,IF(AND(AV!$T$20&lt;RASANTE!F198,F198&lt;AV!$U$20),AV!$P$20*((AV!$U$20-RASANTE!F198)/(AV!$O$20))^2,IF(AND(AV!$S$22&lt;F198,F198&lt;=AV!$T$22),AV!$P$22*((AV!$S$22-RASANTE!F198)/(AV!$N$22))^2,IF(AND(AV!$T$22&lt;RASANTE!F198,F198&lt;AV!$U$22),AV!$P$22*((AV!$U$22-RASANTE!F198)/(AV!$O$22))^2,IF(AND(AV!$S$24&lt;F198,F198&lt;=AV!$T$24),AV!$P$24*((AV!$S$24-RASANTE!F198)/(AV!$N$24))^2,IF(AND(AV!$T$24&lt;RASANTE!F198,F198&lt;AV!$U$24),AV!$P$24*((AV!$U$24-RASANTE!F198)/(AV!$O$24))^2,0))))))))))))))))))))</f>
        <v>0</v>
      </c>
      <c r="L198" s="28">
        <f>+M198+H198%*PERALTE!$C$32</f>
        <v>1624.8676157840689</v>
      </c>
      <c r="M198" s="28">
        <f t="shared" si="7"/>
        <v>1625.0961320375923</v>
      </c>
      <c r="N198" s="28">
        <f>+M198+I198%*PERALTE!$C$32</f>
        <v>1625.3246482911156</v>
      </c>
      <c r="O198" s="92"/>
      <c r="P198" s="84"/>
      <c r="Q198" s="84"/>
      <c r="R198" s="84"/>
      <c r="S198" s="84"/>
      <c r="T198" s="84"/>
      <c r="U198" s="84"/>
      <c r="V198" s="84"/>
      <c r="W198" s="84"/>
      <c r="X198" s="84"/>
      <c r="Y198" s="84"/>
    </row>
    <row r="199" spans="1:25" ht="15.75" customHeight="1" x14ac:dyDescent="0.2">
      <c r="A199" s="90"/>
      <c r="B199" s="86"/>
      <c r="C199" s="86"/>
      <c r="D199" s="86"/>
      <c r="E199" s="149">
        <f>AV!M14</f>
        <v>30</v>
      </c>
      <c r="F199" s="34">
        <v>1250</v>
      </c>
      <c r="G199" s="88">
        <f>IF(F199&lt;=AV!$T$6,AV!$C$5,IF(RASANTE!F199&lt;=AV!$T$8,AV!$C$7,IF(RASANTE!F199&lt;=AV!$T$10,AV!$C$9,IF(RASANTE!F199&lt;=AV!$T$12,AV!$C$11,IF(RASANTE!F199&lt;=AV!$T$14,AV!$C$13,IF(RASANTE!F199&lt;=AV!$T$16,AV!$C$15, IF(RASANTE!F199&lt;=AV!$T$18,AV!$C$17,IF(RASANTE!F199&lt;=AV!$T$20,AV!$C$19,IF(RASANTE!F199&lt;=AV!$T$22,AV!$C$21,IF(RASANTE!F199&lt;=AV!$T$24,AV!$C$23,AV!$C$25))))))))))</f>
        <v>8.1999999999999993</v>
      </c>
      <c r="H199" s="28">
        <f>+IF(AND(AH!$H$8="Izquierda",RASANTE!F199&lt;=PERALTE!$AB$6),IF(RASANTE!F199&lt;=PERALTE!$S$6,-2,IF(RASANTE!F199&lt;=PERALTE!$U$6,(-6/(PERALTE!$U$6-PERALTE!$S$6)*(RASANTE!F199-PERALTE!$S$6)-2),IF(RASANTE!F199&lt;=PERALTE!$X$6,-8,IF(RASANTE!F199&lt;=PERALTE!$Z$6,(-6/(PERALTE!$X$6-PERALTE!$Z$6)*(RASANTE!F199-PERALTE!$Z$6)-2),IF(RASANTE!F199&lt;=PERALTE!$AB$6,-2))))),IF(AND(AH!$H$8="Derecha",RASANTE!F199&lt;=PERALTE!$AB$6),IF(RASANTE!F199&lt;=PERALTE!$Q$6,-2,IF(RASANTE!F199&lt;=PERALTE!$U$6,(10/(PERALTE!$U$6-PERALTE!$Q$6)*(RASANTE!F199-PERALTE!$Q$6)-2),IF(RASANTE!F199&lt;=PERALTE!$X$6,8,IF(RASANTE!F199&lt;=PERALTE!$AB$6,(10/(PERALTE!$X$6-PERALTE!$AB$6)*(RASANTE!F199-PERALTE!$AB$6)-2))))),IF(AND(AH!$H$10="Izquierda",RASANTE!F199&lt;=PERALTE!$AB$8),IF(RASANTE!F199&lt;=PERALTE!$S$8,-2,IF(RASANTE!F199&lt;=PERALTE!$U$8,(-6/(PERALTE!$U$8-PERALTE!$S$8)*(RASANTE!F199-PERALTE!$S$8)-2),IF(RASANTE!F199&lt;=PERALTE!$X$8,-8,IF(RASANTE!F199&lt;=PERALTE!$Z$8,(-6/(PERALTE!$X$8-PERALTE!$Z$8)*(RASANTE!F199-PERALTE!$Z$8)-2),IF(RASANTE!F199&lt;=PERALTE!$AB$8,-2))))),IF(AND(AH!$H$10="Derecha",RASANTE!F199&lt;=PERALTE!$AB$8),IF(RASANTE!F199&lt;=PERALTE!$Q$8,-2,IF(RASANTE!F199&lt;=PERALTE!$U$8,(10/(PERALTE!$U$8-PERALTE!$Q$8)*(RASANTE!F199-PERALTE!$Q$8)-2),IF(RASANTE!F199&lt;=PERALTE!$X$8,8,IF(RASANTE!F199&lt;=PERALTE!$AB$8,(10/(PERALTE!$X$8-PERALTE!$AB$8)*(RASANTE!F199-PERALTE!$AB$8)-2))))),IF(AND(AH!$H$12="Izquierda",RASANTE!F199&lt;=PERALTE!$AB$10),IF(RASANTE!F199&lt;=PERALTE!$S$10,-2,IF(RASANTE!F199&lt;=PERALTE!$U$10,(-6/(PERALTE!$U$10-PERALTE!$S$10)*(RASANTE!F199-PERALTE!$S$10)-2),IF(RASANTE!F199&lt;=PERALTE!$X$10,-8,IF(RASANTE!F199&lt;=PERALTE!$Z$10,(-6/(PERALTE!$X$10-PERALTE!$Z$10)*(RASANTE!F199-PERALTE!$Z$10)-2),IF(RASANTE!F199&lt;=PERALTE!$AB$10,-2))))),IF(AND(AH!$H$12="Derecha",RASANTE!F199&lt;=PERALTE!$AB$10),IF(RASANTE!F199&lt;=PERALTE!$Q$10,-2,IF(RASANTE!F199&lt;=PERALTE!$U$10,(10/(PERALTE!$U$10-PERALTE!$Q$10)*(RASANTE!F199-PERALTE!$Q$10)-2),IF(RASANTE!F199&lt;=PERALTE!$X$10,8,IF(RASANTE!F199&lt;=PERALTE!$AB$10,(10/(PERALTE!$X$10-PERALTE!$AB$10)*(RASANTE!F199-PERALTE!$AB$10)-2))))),IF(AND(AH!$H$14="Izquierda",RASANTE!F199&lt;=PERALTE!$AB$12),IF(RASANTE!F199&lt;=PERALTE!$S$12,-2,IF(RASANTE!F199&lt;=PERALTE!$U$12,(-6/(PERALTE!$U$12-PERALTE!$S$12)*(RASANTE!F199-PERALTE!$S$12)-2),IF(RASANTE!F199&lt;=PERALTE!$X$12,-8,IF(RASANTE!F199&lt;=PERALTE!$Z$12,(-6/(PERALTE!$X$12-PERALTE!$Z$12)*(RASANTE!F199-PERALTE!$Z$12)-2),IF(RASANTE!F199&lt;=PERALTE!$AB$12,-2))))),IF(AND(AH!$H$14="Derecha",RASANTE!F199&lt;=PERALTE!$AB$12),IF(RASANTE!F199&lt;=PERALTE!$Q$12,-2,IF(RASANTE!F199&lt;=PERALTE!$U$12,(10/(PERALTE!$U$12-PERALTE!$Q$12)*(RASANTE!F199-PERALTE!$Q$12)-2),IF(RASANTE!F199&lt;=PERALTE!$X$12,8,IF(RASANTE!F199&lt;=PERALTE!$AB$12,(10/(PERALTE!$X$12-PERALTE!$AB$12)*(RASANTE!F199-PERALTE!$AB$12)-2))))),IF(AND(AH!$H$16="Izquierda",RASANTE!F199&lt;=PERALTE!$AB$14),IF(RASANTE!F199&lt;=PERALTE!$S$14,-2,IF(RASANTE!F199&lt;=PERALTE!$U$14,(-6/(PERALTE!$U$14-PERALTE!$S$14)*(RASANTE!F199-PERALTE!$S$14)-2),IF(RASANTE!F199&lt;=PERALTE!$X$14,-8,IF(RASANTE!F199&lt;=PERALTE!$Z$14,(-6/(PERALTE!$X$14-PERALTE!$Z$14)*(RASANTE!F199-PERALTE!$Z$14)-2),IF(RASANTE!F199&lt;=PERALTE!$AB$14,-2))))),IF(AND(AH!$H$16="Derecha",RASANTE!F199&lt;=PERALTE!$AB$14),IF(RASANTE!F199&lt;=PERALTE!$Q$14,-2,IF(RASANTE!F199&lt;=PERALTE!$U$14,(10/(PERALTE!$U$14-PERALTE!$Q$14)*(RASANTE!F199-PERALTE!$Q$14)-2),IF(RASANTE!F199&lt;=PERALTE!$X$14,8,IF(RASANTE!F199&lt;=PERALTE!$AB$14,(10/(PERALTE!$X$14-PERALTE!$AB$14)*(RASANTE!F199-PERALTE!$AB$14)-2))))),IF(AND(AH!$H$18="Izquierda",RASANTE!F199&lt;=PERALTE!$AB$16),IF(RASANTE!F199&lt;=PERALTE!$S$16,-2,IF(RASANTE!F199&lt;=PERALTE!$U$16,(-6/(PERALTE!$U$16-PERALTE!$S$16)*(RASANTE!F199-PERALTE!$S$16)-2),IF(RASANTE!F199&lt;=PERALTE!$X$16,-8,IF(RASANTE!F199&lt;=PERALTE!$Z$16,(-6/(PERALTE!$X$16-PERALTE!$Z$16)*(RASANTE!F199-PERALTE!$Z$16)-2),IF(RASANTE!F199&lt;=PERALTE!$AB$16,-2))))),IF(AND(AH!$H$18="Derecha",RASANTE!F199&lt;=PERALTE!$AB$16),IF(RASANTE!F199&lt;=PERALTE!$Q$16,-2,IF(RASANTE!F199&lt;=PERALTE!$U$16,(10/(PERALTE!$U$16-PERALTE!$Q$16)*(RASANTE!F199-PERALTE!$Q$16)-2),IF(RASANTE!F199&lt;=PERALTE!$X$16,8,IF(RASANTE!F199&lt;=PERALTE!$AB$16,(10/(PERALTE!$X$16-PERALTE!$AB$16)*(RASANTE!F199-PERALTE!$AB$16)-2))))),IF(AND(AH!$H$20="Izquierda",RASANTE!F199&lt;=PERALTE!$AB$18),IF(RASANTE!F199&lt;=PERALTE!$S$18,-2,IF(RASANTE!F199&lt;=PERALTE!$U$18,(-6/(PERALTE!$U$18-PERALTE!$S$18)*(RASANTE!F199-PERALTE!$S$18)-2),IF(RASANTE!F199&lt;=PERALTE!$X$18,-8,IF(RASANTE!F199&lt;=PERALTE!$Z$18,(-6/(PERALTE!$X$18-PERALTE!$Z$18)*(RASANTE!F199-PERALTE!$Z$18)-2),IF(RASANTE!F199&lt;=PERALTE!$AB$18,-2))))),IF(AND(AH!$H$20="Derecha",RASANTE!F199&lt;=PERALTE!$AB$18),IF(RASANTE!F199&lt;=PERALTE!$Q$18,-2,IF(RASANTE!F199&lt;=PERALTE!$U$18,(10/(PERALTE!$U$18-PERALTE!$Q$18)*(RASANTE!F199-PERALTE!$Q$18)-2),IF(RASANTE!F199&lt;=PERALTE!$X$18,8,IF(RASANTE!F199&lt;=PERALTE!$AB$18,(10/(PERALTE!$X$18-PERALTE!$AB$18)*(RASANTE!F199-PERALTE!$AB$18)-2))))),IF(AND(AH!$H$24="Izquierda",RASANTE!F199&lt;=PERALTE!$AB$22),IF(RASANTE!F199&lt;=PERALTE!$S$22,-2,IF(RASANTE!F199&lt;=PERALTE!$U$22,(-6/(PERALTE!$U$22-PERALTE!$S$22)*(RASANTE!F199-PERALTE!$S$22)-2),IF(RASANTE!F199&lt;=PERALTE!$X$22,-8,IF(RASANTE!F199&lt;=PERALTE!$Z$22,(-6/(PERALTE!$X$22-PERALTE!$Z$22)*(RASANTE!F199-PERALTE!$Z$22)-2),IF(RASANTE!F199&lt;=PERALTE!$AB$22,-2))))),IF(AND(AH!$H$24="Derecha",RASANTE!F199&lt;=PERALTE!$AB$22),IF(RASANTE!F199&lt;=PERALTE!$Q$22,-2,IF(RASANTE!F199&lt;=PERALTE!$U$22,(10/(PERALTE!$U$22-PERALTE!$Q$22)*(RASANTE!F199-PERALTE!$Q$22)-2),IF(RASANTE!F199&lt;=PERALTE!$X$22,8,IF(RASANTE!F199&lt;=PERALTE!$AB$22,(10/(PERALTE!$X$22-PERALTE!$AB$22)*(RASANTE!F199-PERALTE!$AB$22)-2))))),IF(AND(AH!#REF!="Izquierda",RASANTE!F199&lt;=PERALTE!#REF!),IF(RASANTE!F199&lt;=PERALTE!#REF!,-2,IF(RASANTE!F199&lt;=PERALTE!#REF!,(-6/(PERALTE!#REF!-PERALTE!#REF!)*(RASANTE!F199-PERALTE!#REF!)-2),IF(RASANTE!F199&lt;=PERALTE!#REF!,-8,IF(RASANTE!F199&lt;=PERALTE!#REF!,(-6/(PERALTE!#REF!-PERALTE!#REF!)*(RASANTE!F199-PERALTE!#REF!)-2),IF(RASANTE!F199&lt;=PERALTE!#REF!,-2))))),IF(AND(AH!#REF!="Derecha",RASANTE!F199&lt;=PERALTE!#REF!),IF(RASANTE!F199&lt;=PERALTE!#REF!,-2,IF(RASANTE!F199&lt;=PERALTE!#REF!,(10/(PERALTE!#REF!-PERALTE!#REF!)*(RASANTE!F199-PERALTE!#REF!)-2),IF(RASANTE!F199&lt;=PERALTE!#REF!,8,IF(RASANTE!F199&lt;=PERALTE!#REF!,(10/(PERALTE!#REF!-PERALTE!#REF!)*(RASANTE!F199-PERALTE!#REF!)-2))))),IF(AND(AH!#REF!="Izquierda",RASANTE!F199&lt;=PERALTE!$AB$26),IF(RASANTE!F199&lt;=PERALTE!$S$26,-2,IF(RASANTE!F199&lt;=PERALTE!$U$26,(-6/(PERALTE!$U$26-PERALTE!$S$26)*(RASANTE!F199-PERALTE!$S$26)-2),IF(RASANTE!F199&lt;=PERALTE!$X$26,-8,IF(RASANTE!F199&lt;=PERALTE!$Z$26,(-6/(PERALTE!$X$26-PERALTE!$Z$26)*(RASANTE!F199-PERALTE!$Z$26)-2),IF(RASANTE!F199&lt;=PERALTE!$AB$26,-2))))),IF(AND(AH!#REF!="Derecha",RASANTE!F199&lt;=PERALTE!$AB$26),IF(RASANTE!F199&lt;=PERALTE!$Q$26,-2,IF(RASANTE!F199&lt;=PERALTE!$U$26,(10/(PERALTE!$U$26-PERALTE!$Q$26)*(RASANTE!F199-PERALTE!$Q$26)-2),IF(RASANTE!F199&lt;=PERALTE!$X$26,8,IF(RASANTE!F199&lt;=PERALTE!$AB$26,(10/(PERALTE!$X$26-PERALTE!$AB$26)*(RASANTE!F199-PERALTE!$AB$26)-2))))),IF(F199&lt;=PERALTE!#REF!,-2,"Abscisa fuera de la vía")))))))))))))))))))))</f>
        <v>-5.3887758149511207</v>
      </c>
      <c r="I199" s="28">
        <f>+IF(AND(AH!$H$8="Derecha",RASANTE!F199&lt;=PERALTE!$AB$6),IF(RASANTE!F199&lt;=PERALTE!$S$6,-2,IF(RASANTE!F199&lt;=PERALTE!$U$6,(-6/(PERALTE!$U$6-PERALTE!$S$6)*(RASANTE!F199-PERALTE!$S$6)-2),IF(RASANTE!F199&lt;=PERALTE!$X$6,-8,IF(RASANTE!F199&lt;=PERALTE!$Z$6,(-6/(PERALTE!$X$6-PERALTE!$Z$6)*(RASANTE!F199-PERALTE!$Z$6)-2),IF(RASANTE!F199&lt;=PERALTE!$AB$6,-2))))),IF(AND(AH!$H$8="Izquierda",RASANTE!F199&lt;=PERALTE!$AB$6),IF(RASANTE!F199&lt;=PERALTE!$Q$6,-2,IF(RASANTE!F199&lt;=PERALTE!$U$6,(10/(PERALTE!$U$6-PERALTE!$Q$6)*(RASANTE!F199-PERALTE!$Q$6)-2),IF(RASANTE!F199&lt;=PERALTE!$X$6,8,IF(RASANTE!F199&lt;=PERALTE!$AB$6,(10/(PERALTE!$X$6-PERALTE!$AB$6)*(RASANTE!F199-PERALTE!$AB$6)-2))))),IF(AND(AH!$H$10="Derecha",RASANTE!F199&lt;=PERALTE!$AB$8),IF(RASANTE!F199&lt;=PERALTE!$S$8,-2,IF(RASANTE!F199&lt;=PERALTE!$U$8,(-6/(PERALTE!$U$8-PERALTE!$S$8)*(RASANTE!F199-PERALTE!$S$8)-2),IF(RASANTE!F199&lt;=PERALTE!$X$8,-8,IF(RASANTE!F199&lt;=PERALTE!$Z$8,(-6/(PERALTE!$X$8-PERALTE!$Z$8)*(RASANTE!F199-PERALTE!$Z$8)-2),IF(RASANTE!F199&lt;=PERALTE!$AB$8,-2))))),IF(AND(AH!$H$10="Izquierda",RASANTE!F199&lt;=PERALTE!$AB$8),IF(RASANTE!F199&lt;=PERALTE!$Q$8,-2,IF(RASANTE!F199&lt;=PERALTE!$U$8,(10/(PERALTE!$U$8-PERALTE!$Q$8)*(RASANTE!F199-PERALTE!$Q$8)-2),IF(RASANTE!F199&lt;=PERALTE!$X$8,8,IF(RASANTE!F199&lt;=PERALTE!$AB$8,(10/(PERALTE!$X$8-PERALTE!$AB$8)*(RASANTE!F199-PERALTE!$AB$8)-2))))),IF(AND(AH!$H$12="Derecha",RASANTE!F199&lt;=PERALTE!$AB$10),IF(RASANTE!F199&lt;=PERALTE!$S$10,-2,IF(RASANTE!F199&lt;=PERALTE!$U$10,(-6/(PERALTE!$U$10-PERALTE!$S$10)*(RASANTE!F199-PERALTE!$S$10)-2),IF(RASANTE!F199&lt;=PERALTE!$X$10,-8,IF(RASANTE!F199&lt;=PERALTE!$Z$10,(-6/(PERALTE!$X$10-PERALTE!$Z$10)*(RASANTE!F199-PERALTE!$Z$10)-2),IF(RASANTE!F199&lt;=PERALTE!$AB$10,-2))))),IF(AND(AH!$H$12="Izquierda",RASANTE!F199&lt;=PERALTE!$AB$10),IF(RASANTE!F199&lt;=PERALTE!$Q$10,-2,IF(RASANTE!F199&lt;=PERALTE!$U$10,(10/(PERALTE!$U$10-PERALTE!$Q$10)*(RASANTE!F199-PERALTE!$Q$10)-2),IF(RASANTE!F199&lt;=PERALTE!$X$10,8,IF(RASANTE!F199&lt;=PERALTE!$AB$10,(10/(PERALTE!$X$10-PERALTE!$AB$10)*(RASANTE!F199-PERALTE!$AB$10)-2))))),IF(AND(AH!$H$14="Derecha",RASANTE!F199&lt;=PERALTE!$AB$12),IF(RASANTE!F199&lt;=PERALTE!$S$12,-2,IF(RASANTE!F199&lt;=PERALTE!$U$12,(-6/(PERALTE!$U$12-PERALTE!$S$12)*(RASANTE!F199-PERALTE!$S$12)-2),IF(RASANTE!F199&lt;=PERALTE!$X$12,-8,IF(RASANTE!F199&lt;=PERALTE!$Z$12,(-6/(PERALTE!$X$12-PERALTE!$Z$12)*(RASANTE!F199-PERALTE!$Z$12)-2),IF(RASANTE!F199&lt;=PERALTE!$AB$12,-2))))),IF(AND(AH!$H$14="Izquierda",RASANTE!F199&lt;=PERALTE!$AB$12),IF(RASANTE!F199&lt;=PERALTE!$Q$12,-2,IF(RASANTE!F199&lt;=PERALTE!$U$12,(10/(PERALTE!$U$12-PERALTE!$Q$12)*(RASANTE!F199-PERALTE!$Q$12)-2),IF(RASANTE!F199&lt;=PERALTE!$X$12,8,IF(RASANTE!F199&lt;=PERALTE!$AB$12,(10/(PERALTE!$X$12-PERALTE!$AB$12)*(RASANTE!F199-PERALTE!$AB$12)-2))))),IF(AND(AH!$H$16="Derecha",RASANTE!F199&lt;=PERALTE!$AB$14),IF(RASANTE!F199&lt;=PERALTE!$S$14,-2,IF(RASANTE!F199&lt;=PERALTE!$U$14,(-6/(PERALTE!$U$14-PERALTE!$S$14)*(RASANTE!F199-PERALTE!$S$14)-2),IF(RASANTE!F199&lt;=PERALTE!$X$14,-8,IF(RASANTE!F199&lt;=PERALTE!$Z$14,(-6/(PERALTE!$X$14-PERALTE!$Z$14)*(RASANTE!F199-PERALTE!$Z$14)-2),IF(RASANTE!F199&lt;=PERALTE!$AB$14,-2))))),IF(AND(AH!$H$16="Izquierda",RASANTE!F199&lt;=PERALTE!$AB$14),IF(RASANTE!F199&lt;=PERALTE!$Q$14,-2,IF(RASANTE!F199&lt;=PERALTE!$U$14,(10/(PERALTE!$U$14-PERALTE!$Q$14)*(RASANTE!F199-PERALTE!$Q$14)-2),IF(RASANTE!F199&lt;=PERALTE!$X$14,8,IF(RASANTE!F199&lt;=PERALTE!$AB$14,(10/(PERALTE!$X$14-PERALTE!$AB$14)*(RASANTE!F199-PERALTE!$AB$14)-2))))),IF(AND(AH!$H$18="Derecha",RASANTE!F199&lt;=PERALTE!$AB$16),IF(RASANTE!F199&lt;=PERALTE!$S$16,-2,IF(RASANTE!F199&lt;=PERALTE!$U$16,(-6/(PERALTE!$U$16-PERALTE!$S$16)*(RASANTE!F199-PERALTE!$S$16)-2),IF(RASANTE!F199&lt;=PERALTE!$X$16,-8,IF(RASANTE!F199&lt;=PERALTE!$Z$16,(-6/(PERALTE!$X$16-PERALTE!$Z$16)*(RASANTE!F199-PERALTE!$Z$16)-2),IF(RASANTE!F199&lt;=PERALTE!$AB$16,-2))))),IF(AND(AH!$H$18="Izquierda",RASANTE!F199&lt;=PERALTE!$AB$16),IF(RASANTE!F199&lt;=PERALTE!$Q$16,-2,IF(RASANTE!F199&lt;=PERALTE!$U$16,(10/(PERALTE!$U$16-PERALTE!$Q$16)*(RASANTE!F199-PERALTE!$Q$16)-2),IF(RASANTE!F199&lt;=PERALTE!$X$16,8,IF(RASANTE!F199&lt;=PERALTE!$AB$16,(10/(PERALTE!$X$16-PERALTE!$AB$16)*(RASANTE!F199-PERALTE!$AB$16)-2))))),IF(AND(AH!$H$20="Derecha",RASANTE!F199&lt;=PERALTE!$AB$18),IF(RASANTE!F199&lt;=PERALTE!$S$18,-2,IF(RASANTE!F199&lt;=PERALTE!$U$18,(-6/(PERALTE!$U$18-PERALTE!$S$18)*(RASANTE!F199-PERALTE!$S$18)-2),IF(RASANTE!F199&lt;=PERALTE!$X$18,-8,IF(RASANTE!F199&lt;=PERALTE!$Z$18,(-6/(PERALTE!$X$18-PERALTE!$Z$18)*(RASANTE!F199-PERALTE!$Z$18)-2),IF(RASANTE!F199&lt;=PERALTE!$AB$18,-2))))),IF(AND(AH!$H$20="Izquierda",RASANTE!F199&lt;=PERALTE!$AB$18),IF(RASANTE!F199&lt;=PERALTE!$Q$18,-2,IF(RASANTE!F199&lt;=PERALTE!$U$18,(10/(PERALTE!$U$18-PERALTE!$Q$18)*(RASANTE!F199-PERALTE!$Q$18)-2),IF(RASANTE!F199&lt;=PERALTE!$X$18,8,IF(RASANTE!F199&lt;=PERALTE!$AB$18,(10/(PERALTE!$X$18-PERALTE!$AB$18)*(RASANTE!F199-PERALTE!$AB$18)-2))))),IF(AND(AH!$H$24="Derecha",RASANTE!F199&lt;=PERALTE!$AB$22),IF(RASANTE!F199&lt;=PERALTE!$S$22,-2,IF(RASANTE!F199&lt;=PERALTE!$U$22,(-6/(PERALTE!$U$22-PERALTE!$S$22)*(RASANTE!F199-PERALTE!$S$22)-2),IF(RASANTE!F199&lt;=PERALTE!$X$22,-8,IF(RASANTE!F199&lt;=PERALTE!$Z$22,(-6/(PERALTE!$X$22-PERALTE!$Z$22)*(RASANTE!F199-PERALTE!$Z$22)-2),IF(RASANTE!F199&lt;=PERALTE!$AB$22,-2))))),IF(AND(AH!$H$24="Izquierda",RASANTE!F199&lt;=PERALTE!$AB$22),IF(RASANTE!F199&lt;=PERALTE!$Q$22,-2,IF(RASANTE!F199&lt;=PERALTE!$U$22,(10/(PERALTE!$U$22-PERALTE!$Q$22)*(RASANTE!F199-PERALTE!$Q$22)-2),IF(RASANTE!F199&lt;=PERALTE!$X$22,8,IF(RASANTE!F199&lt;=PERALTE!$AB$22,(10/(PERALTE!$X$22-PERALTE!$AB$22)*(RASANTE!F199-PERALTE!$AB$22)-2))))),IF(AND(AH!#REF!="Derecha",RASANTE!F199&lt;=PERALTE!#REF!),IF(RASANTE!F199&lt;=PERALTE!#REF!,-2,IF(RASANTE!F199&lt;=PERALTE!#REF!,(-6/(PERALTE!#REF!-PERALTE!#REF!)*(RASANTE!F199-PERALTE!#REF!)-2),IF(RASANTE!F199&lt;=PERALTE!#REF!,-8,IF(RASANTE!F199&lt;=PERALTE!#REF!,(-6/(PERALTE!#REF!-PERALTE!#REF!)*(RASANTE!F199-PERALTE!#REF!)-2),IF(RASANTE!F199&lt;=PERALTE!#REF!,-2))))),IF(AND(AH!#REF!="Izquierda",RASANTE!F199&lt;=PERALTE!#REF!),IF(RASANTE!F199&lt;=PERALTE!#REF!,-2,IF(RASANTE!F199&lt;=PERALTE!#REF!,(10/(PERALTE!#REF!-PERALTE!#REF!)*(RASANTE!F199-PERALTE!#REF!)-2),IF(RASANTE!F199&lt;=PERALTE!#REF!,8,IF(RASANTE!F199&lt;=PERALTE!#REF!,(10/(PERALTE!#REF!-PERALTE!#REF!)*(RASANTE!F199-PERALTE!#REF!)-2))))),IF(AND(AH!#REF!="Derecha",RASANTE!F199&lt;=PERALTE!$AB$26),IF(RASANTE!F199&lt;=PERALTE!$S$26,-2,IF(RASANTE!F199&lt;=PERALTE!$U$26,(-6/(PERALTE!$U$26-PERALTE!$S$26)*(RASANTE!F199-PERALTE!$S$26)-2),IF(RASANTE!F199&lt;=PERALTE!$X$26,-8,IF(RASANTE!F199&lt;=PERALTE!$Z$26,(-6/(PERALTE!$X$26-PERALTE!$Z$26)*(RASANTE!F199-PERALTE!$Z$26)-2),IF(RASANTE!F199&lt;=PERALTE!$AB$26,-2))))),IF(AND(AH!#REF!="Izquierda",RASANTE!F199&lt;=PERALTE!$AB$26),IF(RASANTE!F199&lt;=PERALTE!$Q$26,-2,IF(RASANTE!F199&lt;=PERALTE!$U$26,(10/(PERALTE!$U$26-PERALTE!$Q$26)*(RASANTE!F199-PERALTE!$Q$26)-2),IF(RASANTE!F199&lt;=PERALTE!$X$26,8,IF(RASANTE!F199&lt;=PERALTE!$AB$26,(10/(PERALTE!$X$26-PERALTE!$AB$26)*(RASANTE!F199-PERALTE!$AB$26)-2))))),IF(F199&lt;=PERALTE!#REF!,-2,"Abscisa fuera de la vía")))))))))))))))))))))</f>
        <v>5.3887758149511118</v>
      </c>
      <c r="J199" s="28">
        <f t="shared" si="9"/>
        <v>1625.5211380375922</v>
      </c>
      <c r="K199" s="28">
        <f>+IF(AND(AV!$S$6&lt;F199,F199&lt;=AV!$T$6),AV!$P$6*((AV!$S$6-RASANTE!F199)/(AV!$N$6))^2,IF(AND(AV!$T$6&lt;RASANTE!F199,F199&lt;AV!$U$6),AV!$P$6*((AV!$U$6-RASANTE!F199)/(AV!$O$6))^2,IF(AND(AV!$S$8&lt;F199,F199&lt;=AV!$T$8),AV!$P$8*((AV!$S$8-RASANTE!F199)/(AV!$N$8))^2,IF(AND(AV!$T$8&lt;RASANTE!F199,F199&lt;AV!$U$8),AV!$P$8*((AV!$U$8-RASANTE!F199)/(AV!$O$8))^2,IF(AND(AV!$S$10&lt;F199,F199&lt;=AV!$T$10),AV!$P$10*((AV!$S$10-RASANTE!F199)/(AV!$N$10))^2,IF(AND(AV!$T$10&lt;RASANTE!F199,F199&lt;AV!$U$10),AV!$P$10*((AV!$U$10-RASANTE!F199)/(AV!$O$10))^2,IF(AND(AV!$S$12&lt;F199,F199&lt;=AV!$T$12),AV!$P$12*((AV!$S$12-RASANTE!F199)/(AV!$N$12))^2,IF(AND(AV!$T$12&lt;RASANTE!F199,F199&lt;AV!$U$12),AV!$P$12*((AV!$U$12-RASANTE!F199)/(AV!$O$12))^2,IF(AND(AV!$S$14&lt;F199,F199&lt;=AV!$T$14),AV!$P$14*((AV!$S$14-RASANTE!F199)/(AV!$N$14))^2,IF(AND(AV!$T$14&lt;RASANTE!F199,F199&lt;AV!$U$14),AV!$P$14*((AV!$U$14-RASANTE!F199)/(AV!$O$14))^2,IF(AND(AV!$S$16&lt;F199,F199&lt;=AV!$T$16),AV!$P$16*((AV!$S$16-RASANTE!F199)/(AV!$N$16))^2,IF(AND(AV!$T$16&lt;RASANTE!F199,F199&lt;AV!$U$16),AV!$P$16*((AV!$U$16-RASANTE!F199)/(AV!$O$16))^2,IF(AND(AV!$S$18&lt;F199,F199&lt;=AV!$T$18),AV!$P$18*((AV!$S$18-RASANTE!F199)/(AV!$N$18))^2,IF(AND(AV!$T$18&lt;RASANTE!F199,F199&lt;AV!$U$18),AV!$P$18*((AV!$U$18-RASANTE!F199)/(AV!$O$18))^2,IF(AND(AV!$S$20&lt;F199,F199&lt;=AV!$T$20),AV!$P$20*((AV!$S$20-RASANTE!F199)/(AV!$N$20))^2,IF(AND(AV!$T$20&lt;RASANTE!F199,F199&lt;AV!$U$20),AV!$P$20*((AV!$U$20-RASANTE!F199)/(AV!$O$20))^2,IF(AND(AV!$S$22&lt;F199,F199&lt;=AV!$T$22),AV!$P$22*((AV!$S$22-RASANTE!F199)/(AV!$N$22))^2,IF(AND(AV!$T$22&lt;RASANTE!F199,F199&lt;AV!$U$22),AV!$P$22*((AV!$U$22-RASANTE!F199)/(AV!$O$22))^2,IF(AND(AV!$S$24&lt;F199,F199&lt;=AV!$T$24),AV!$P$24*((AV!$S$24-RASANTE!F199)/(AV!$N$24))^2,IF(AND(AV!$T$24&lt;RASANTE!F199,F199&lt;AV!$U$24),AV!$P$24*((AV!$U$24-RASANTE!F199)/(AV!$O$24))^2,0))))))))))))))))))))</f>
        <v>-2.4177140099999928E-2</v>
      </c>
      <c r="L199" s="28">
        <f>+M199+H199%*PERALTE!$C$32</f>
        <v>1625.3083537439691</v>
      </c>
      <c r="M199" s="28">
        <f t="shared" si="7"/>
        <v>1625.4969608974923</v>
      </c>
      <c r="N199" s="28">
        <f>+M199+I199%*PERALTE!$C$32</f>
        <v>1625.6855680510155</v>
      </c>
      <c r="O199" s="92"/>
      <c r="P199" s="84"/>
      <c r="Q199" s="84"/>
      <c r="R199" s="84"/>
      <c r="S199" s="84"/>
      <c r="T199" s="84"/>
      <c r="U199" s="84"/>
      <c r="V199" s="84"/>
      <c r="W199" s="84"/>
      <c r="X199" s="84"/>
      <c r="Y199" s="84"/>
    </row>
    <row r="200" spans="1:25" ht="15.75" customHeight="1" x14ac:dyDescent="0.2">
      <c r="A200" s="90" t="s">
        <v>354</v>
      </c>
      <c r="B200" s="102"/>
      <c r="C200" s="102"/>
      <c r="D200" s="102"/>
      <c r="E200" s="150">
        <f>AV!N14</f>
        <v>15</v>
      </c>
      <c r="F200" s="34">
        <f>PERALTE!Y14</f>
        <v>1256.312617340687</v>
      </c>
      <c r="G200" s="88">
        <f>IF(F200&lt;=AV!$T$6,AV!$C$5,IF(RASANTE!F200&lt;=AV!$T$8,AV!$C$7,IF(RASANTE!F200&lt;=AV!$T$10,AV!$C$9,IF(RASANTE!F200&lt;=AV!$T$12,AV!$C$11,IF(RASANTE!F200&lt;=AV!$T$14,AV!$C$13,IF(RASANTE!F200&lt;=AV!$T$16,AV!$C$15, IF(RASANTE!F200&lt;=AV!$T$18,AV!$C$17,IF(RASANTE!F200&lt;=AV!$T$20,AV!$C$19,IF(RASANTE!F200&lt;=AV!$T$22,AV!$C$21,IF(RASANTE!F200&lt;=AV!$T$24,AV!$C$23,AV!$C$25))))))))))</f>
        <v>8.1999999999999993</v>
      </c>
      <c r="H200" s="28">
        <f>+IF(AND(AH!$H$8="Izquierda",RASANTE!F200&lt;=PERALTE!$AB$6),IF(RASANTE!F200&lt;=PERALTE!$S$6,-2,IF(RASANTE!F200&lt;=PERALTE!$U$6,(-6/(PERALTE!$U$6-PERALTE!$S$6)*(RASANTE!F200-PERALTE!$S$6)-2),IF(RASANTE!F200&lt;=PERALTE!$X$6,-8,IF(RASANTE!F200&lt;=PERALTE!$Z$6,(-6/(PERALTE!$X$6-PERALTE!$Z$6)*(RASANTE!F200-PERALTE!$Z$6)-2),IF(RASANTE!F200&lt;=PERALTE!$AB$6,-2))))),IF(AND(AH!$H$8="Derecha",RASANTE!F200&lt;=PERALTE!$AB$6),IF(RASANTE!F200&lt;=PERALTE!$Q$6,-2,IF(RASANTE!F200&lt;=PERALTE!$U$6,(10/(PERALTE!$U$6-PERALTE!$Q$6)*(RASANTE!F200-PERALTE!$Q$6)-2),IF(RASANTE!F200&lt;=PERALTE!$X$6,8,IF(RASANTE!F200&lt;=PERALTE!$AB$6,(10/(PERALTE!$X$6-PERALTE!$AB$6)*(RASANTE!F200-PERALTE!$AB$6)-2))))),IF(AND(AH!$H$10="Izquierda",RASANTE!F200&lt;=PERALTE!$AB$8),IF(RASANTE!F200&lt;=PERALTE!$S$8,-2,IF(RASANTE!F200&lt;=PERALTE!$U$8,(-6/(PERALTE!$U$8-PERALTE!$S$8)*(RASANTE!F200-PERALTE!$S$8)-2),IF(RASANTE!F200&lt;=PERALTE!$X$8,-8,IF(RASANTE!F200&lt;=PERALTE!$Z$8,(-6/(PERALTE!$X$8-PERALTE!$Z$8)*(RASANTE!F200-PERALTE!$Z$8)-2),IF(RASANTE!F200&lt;=PERALTE!$AB$8,-2))))),IF(AND(AH!$H$10="Derecha",RASANTE!F200&lt;=PERALTE!$AB$8),IF(RASANTE!F200&lt;=PERALTE!$Q$8,-2,IF(RASANTE!F200&lt;=PERALTE!$U$8,(10/(PERALTE!$U$8-PERALTE!$Q$8)*(RASANTE!F200-PERALTE!$Q$8)-2),IF(RASANTE!F200&lt;=PERALTE!$X$8,8,IF(RASANTE!F200&lt;=PERALTE!$AB$8,(10/(PERALTE!$X$8-PERALTE!$AB$8)*(RASANTE!F200-PERALTE!$AB$8)-2))))),IF(AND(AH!$H$12="Izquierda",RASANTE!F200&lt;=PERALTE!$AB$10),IF(RASANTE!F200&lt;=PERALTE!$S$10,-2,IF(RASANTE!F200&lt;=PERALTE!$U$10,(-6/(PERALTE!$U$10-PERALTE!$S$10)*(RASANTE!F200-PERALTE!$S$10)-2),IF(RASANTE!F200&lt;=PERALTE!$X$10,-8,IF(RASANTE!F200&lt;=PERALTE!$Z$10,(-6/(PERALTE!$X$10-PERALTE!$Z$10)*(RASANTE!F200-PERALTE!$Z$10)-2),IF(RASANTE!F200&lt;=PERALTE!$AB$10,-2))))),IF(AND(AH!$H$12="Derecha",RASANTE!F200&lt;=PERALTE!$AB$10),IF(RASANTE!F200&lt;=PERALTE!$Q$10,-2,IF(RASANTE!F200&lt;=PERALTE!$U$10,(10/(PERALTE!$U$10-PERALTE!$Q$10)*(RASANTE!F200-PERALTE!$Q$10)-2),IF(RASANTE!F200&lt;=PERALTE!$X$10,8,IF(RASANTE!F200&lt;=PERALTE!$AB$10,(10/(PERALTE!$X$10-PERALTE!$AB$10)*(RASANTE!F200-PERALTE!$AB$10)-2))))),IF(AND(AH!$H$14="Izquierda",RASANTE!F200&lt;=PERALTE!$AB$12),IF(RASANTE!F200&lt;=PERALTE!$S$12,-2,IF(RASANTE!F200&lt;=PERALTE!$U$12,(-6/(PERALTE!$U$12-PERALTE!$S$12)*(RASANTE!F200-PERALTE!$S$12)-2),IF(RASANTE!F200&lt;=PERALTE!$X$12,-8,IF(RASANTE!F200&lt;=PERALTE!$Z$12,(-6/(PERALTE!$X$12-PERALTE!$Z$12)*(RASANTE!F200-PERALTE!$Z$12)-2),IF(RASANTE!F200&lt;=PERALTE!$AB$12,-2))))),IF(AND(AH!$H$14="Derecha",RASANTE!F200&lt;=PERALTE!$AB$12),IF(RASANTE!F200&lt;=PERALTE!$Q$12,-2,IF(RASANTE!F200&lt;=PERALTE!$U$12,(10/(PERALTE!$U$12-PERALTE!$Q$12)*(RASANTE!F200-PERALTE!$Q$12)-2),IF(RASANTE!F200&lt;=PERALTE!$X$12,8,IF(RASANTE!F200&lt;=PERALTE!$AB$12,(10/(PERALTE!$X$12-PERALTE!$AB$12)*(RASANTE!F200-PERALTE!$AB$12)-2))))),IF(AND(AH!$H$16="Izquierda",RASANTE!F200&lt;=PERALTE!$AB$14),IF(RASANTE!F200&lt;=PERALTE!$S$14,-2,IF(RASANTE!F200&lt;=PERALTE!$U$14,(-6/(PERALTE!$U$14-PERALTE!$S$14)*(RASANTE!F200-PERALTE!$S$14)-2),IF(RASANTE!F200&lt;=PERALTE!$X$14,-8,IF(RASANTE!F200&lt;=PERALTE!$Z$14,(-6/(PERALTE!$X$14-PERALTE!$Z$14)*(RASANTE!F200-PERALTE!$Z$14)-2),IF(RASANTE!F200&lt;=PERALTE!$AB$14,-2))))),IF(AND(AH!$H$16="Derecha",RASANTE!F200&lt;=PERALTE!$AB$14),IF(RASANTE!F200&lt;=PERALTE!$Q$14,-2,IF(RASANTE!F200&lt;=PERALTE!$U$14,(10/(PERALTE!$U$14-PERALTE!$Q$14)*(RASANTE!F200-PERALTE!$Q$14)-2),IF(RASANTE!F200&lt;=PERALTE!$X$14,8,IF(RASANTE!F200&lt;=PERALTE!$AB$14,(10/(PERALTE!$X$14-PERALTE!$AB$14)*(RASANTE!F200-PERALTE!$AB$14)-2))))),IF(AND(AH!$H$18="Izquierda",RASANTE!F200&lt;=PERALTE!$AB$16),IF(RASANTE!F200&lt;=PERALTE!$S$16,-2,IF(RASANTE!F200&lt;=PERALTE!$U$16,(-6/(PERALTE!$U$16-PERALTE!$S$16)*(RASANTE!F200-PERALTE!$S$16)-2),IF(RASANTE!F200&lt;=PERALTE!$X$16,-8,IF(RASANTE!F200&lt;=PERALTE!$Z$16,(-6/(PERALTE!$X$16-PERALTE!$Z$16)*(RASANTE!F200-PERALTE!$Z$16)-2),IF(RASANTE!F200&lt;=PERALTE!$AB$16,-2))))),IF(AND(AH!$H$18="Derecha",RASANTE!F200&lt;=PERALTE!$AB$16),IF(RASANTE!F200&lt;=PERALTE!$Q$16,-2,IF(RASANTE!F200&lt;=PERALTE!$U$16,(10/(PERALTE!$U$16-PERALTE!$Q$16)*(RASANTE!F200-PERALTE!$Q$16)-2),IF(RASANTE!F200&lt;=PERALTE!$X$16,8,IF(RASANTE!F200&lt;=PERALTE!$AB$16,(10/(PERALTE!$X$16-PERALTE!$AB$16)*(RASANTE!F200-PERALTE!$AB$16)-2))))),IF(AND(AH!$H$20="Izquierda",RASANTE!F200&lt;=PERALTE!$AB$18),IF(RASANTE!F200&lt;=PERALTE!$S$18,-2,IF(RASANTE!F200&lt;=PERALTE!$U$18,(-6/(PERALTE!$U$18-PERALTE!$S$18)*(RASANTE!F200-PERALTE!$S$18)-2),IF(RASANTE!F200&lt;=PERALTE!$X$18,-8,IF(RASANTE!F200&lt;=PERALTE!$Z$18,(-6/(PERALTE!$X$18-PERALTE!$Z$18)*(RASANTE!F200-PERALTE!$Z$18)-2),IF(RASANTE!F200&lt;=PERALTE!$AB$18,-2))))),IF(AND(AH!$H$20="Derecha",RASANTE!F200&lt;=PERALTE!$AB$18),IF(RASANTE!F200&lt;=PERALTE!$Q$18,-2,IF(RASANTE!F200&lt;=PERALTE!$U$18,(10/(PERALTE!$U$18-PERALTE!$Q$18)*(RASANTE!F200-PERALTE!$Q$18)-2),IF(RASANTE!F200&lt;=PERALTE!$X$18,8,IF(RASANTE!F200&lt;=PERALTE!$AB$18,(10/(PERALTE!$X$18-PERALTE!$AB$18)*(RASANTE!F200-PERALTE!$AB$18)-2))))),IF(AND(AH!$H$24="Izquierda",RASANTE!F200&lt;=PERALTE!$AB$22),IF(RASANTE!F200&lt;=PERALTE!$S$22,-2,IF(RASANTE!F200&lt;=PERALTE!$U$22,(-6/(PERALTE!$U$22-PERALTE!$S$22)*(RASANTE!F200-PERALTE!$S$22)-2),IF(RASANTE!F200&lt;=PERALTE!$X$22,-8,IF(RASANTE!F200&lt;=PERALTE!$Z$22,(-6/(PERALTE!$X$22-PERALTE!$Z$22)*(RASANTE!F200-PERALTE!$Z$22)-2),IF(RASANTE!F200&lt;=PERALTE!$AB$22,-2))))),IF(AND(AH!$H$24="Derecha",RASANTE!F200&lt;=PERALTE!$AB$22),IF(RASANTE!F200&lt;=PERALTE!$Q$22,-2,IF(RASANTE!F200&lt;=PERALTE!$U$22,(10/(PERALTE!$U$22-PERALTE!$Q$22)*(RASANTE!F200-PERALTE!$Q$22)-2),IF(RASANTE!F200&lt;=PERALTE!$X$22,8,IF(RASANTE!F200&lt;=PERALTE!$AB$22,(10/(PERALTE!$X$22-PERALTE!$AB$22)*(RASANTE!F200-PERALTE!$AB$22)-2))))),IF(AND(AH!#REF!="Izquierda",RASANTE!F200&lt;=PERALTE!#REF!),IF(RASANTE!F200&lt;=PERALTE!#REF!,-2,IF(RASANTE!F200&lt;=PERALTE!#REF!,(-6/(PERALTE!#REF!-PERALTE!#REF!)*(RASANTE!F200-PERALTE!#REF!)-2),IF(RASANTE!F200&lt;=PERALTE!#REF!,-8,IF(RASANTE!F200&lt;=PERALTE!#REF!,(-6/(PERALTE!#REF!-PERALTE!#REF!)*(RASANTE!F200-PERALTE!#REF!)-2),IF(RASANTE!F200&lt;=PERALTE!#REF!,-2))))),IF(AND(AH!#REF!="Derecha",RASANTE!F200&lt;=PERALTE!#REF!),IF(RASANTE!F200&lt;=PERALTE!#REF!,-2,IF(RASANTE!F200&lt;=PERALTE!#REF!,(10/(PERALTE!#REF!-PERALTE!#REF!)*(RASANTE!F200-PERALTE!#REF!)-2),IF(RASANTE!F200&lt;=PERALTE!#REF!,8,IF(RASANTE!F200&lt;=PERALTE!#REF!,(10/(PERALTE!#REF!-PERALTE!#REF!)*(RASANTE!F200-PERALTE!#REF!)-2))))),IF(AND(AH!#REF!="Izquierda",RASANTE!F200&lt;=PERALTE!$AB$26),IF(RASANTE!F200&lt;=PERALTE!$S$26,-2,IF(RASANTE!F200&lt;=PERALTE!$U$26,(-6/(PERALTE!$U$26-PERALTE!$S$26)*(RASANTE!F200-PERALTE!$S$26)-2),IF(RASANTE!F200&lt;=PERALTE!$X$26,-8,IF(RASANTE!F200&lt;=PERALTE!$Z$26,(-6/(PERALTE!$X$26-PERALTE!$Z$26)*(RASANTE!F200-PERALTE!$Z$26)-2),IF(RASANTE!F200&lt;=PERALTE!$AB$26,-2))))),IF(AND(AH!#REF!="Derecha",RASANTE!F200&lt;=PERALTE!$AB$26),IF(RASANTE!F200&lt;=PERALTE!$Q$26,-2,IF(RASANTE!F200&lt;=PERALTE!$U$26,(10/(PERALTE!$U$26-PERALTE!$Q$26)*(RASANTE!F200-PERALTE!$Q$26)-2),IF(RASANTE!F200&lt;=PERALTE!$X$26,8,IF(RASANTE!F200&lt;=PERALTE!$AB$26,(10/(PERALTE!$X$26-PERALTE!$AB$26)*(RASANTE!F200-PERALTE!$AB$26)-2))))),IF(F200&lt;=PERALTE!#REF!,-2,"Abscisa fuera de la vía")))))))))))))))))))))</f>
        <v>-3.9999999999999831</v>
      </c>
      <c r="I200" s="28">
        <f>+IF(AND(AH!$H$8="Derecha",RASANTE!F200&lt;=PERALTE!$AB$6),IF(RASANTE!F200&lt;=PERALTE!$S$6,-2,IF(RASANTE!F200&lt;=PERALTE!$U$6,(-6/(PERALTE!$U$6-PERALTE!$S$6)*(RASANTE!F200-PERALTE!$S$6)-2),IF(RASANTE!F200&lt;=PERALTE!$X$6,-8,IF(RASANTE!F200&lt;=PERALTE!$Z$6,(-6/(PERALTE!$X$6-PERALTE!$Z$6)*(RASANTE!F200-PERALTE!$Z$6)-2),IF(RASANTE!F200&lt;=PERALTE!$AB$6,-2))))),IF(AND(AH!$H$8="Izquierda",RASANTE!F200&lt;=PERALTE!$AB$6),IF(RASANTE!F200&lt;=PERALTE!$Q$6,-2,IF(RASANTE!F200&lt;=PERALTE!$U$6,(10/(PERALTE!$U$6-PERALTE!$Q$6)*(RASANTE!F200-PERALTE!$Q$6)-2),IF(RASANTE!F200&lt;=PERALTE!$X$6,8,IF(RASANTE!F200&lt;=PERALTE!$AB$6,(10/(PERALTE!$X$6-PERALTE!$AB$6)*(RASANTE!F200-PERALTE!$AB$6)-2))))),IF(AND(AH!$H$10="Derecha",RASANTE!F200&lt;=PERALTE!$AB$8),IF(RASANTE!F200&lt;=PERALTE!$S$8,-2,IF(RASANTE!F200&lt;=PERALTE!$U$8,(-6/(PERALTE!$U$8-PERALTE!$S$8)*(RASANTE!F200-PERALTE!$S$8)-2),IF(RASANTE!F200&lt;=PERALTE!$X$8,-8,IF(RASANTE!F200&lt;=PERALTE!$Z$8,(-6/(PERALTE!$X$8-PERALTE!$Z$8)*(RASANTE!F200-PERALTE!$Z$8)-2),IF(RASANTE!F200&lt;=PERALTE!$AB$8,-2))))),IF(AND(AH!$H$10="Izquierda",RASANTE!F200&lt;=PERALTE!$AB$8),IF(RASANTE!F200&lt;=PERALTE!$Q$8,-2,IF(RASANTE!F200&lt;=PERALTE!$U$8,(10/(PERALTE!$U$8-PERALTE!$Q$8)*(RASANTE!F200-PERALTE!$Q$8)-2),IF(RASANTE!F200&lt;=PERALTE!$X$8,8,IF(RASANTE!F200&lt;=PERALTE!$AB$8,(10/(PERALTE!$X$8-PERALTE!$AB$8)*(RASANTE!F200-PERALTE!$AB$8)-2))))),IF(AND(AH!$H$12="Derecha",RASANTE!F200&lt;=PERALTE!$AB$10),IF(RASANTE!F200&lt;=PERALTE!$S$10,-2,IF(RASANTE!F200&lt;=PERALTE!$U$10,(-6/(PERALTE!$U$10-PERALTE!$S$10)*(RASANTE!F200-PERALTE!$S$10)-2),IF(RASANTE!F200&lt;=PERALTE!$X$10,-8,IF(RASANTE!F200&lt;=PERALTE!$Z$10,(-6/(PERALTE!$X$10-PERALTE!$Z$10)*(RASANTE!F200-PERALTE!$Z$10)-2),IF(RASANTE!F200&lt;=PERALTE!$AB$10,-2))))),IF(AND(AH!$H$12="Izquierda",RASANTE!F200&lt;=PERALTE!$AB$10),IF(RASANTE!F200&lt;=PERALTE!$Q$10,-2,IF(RASANTE!F200&lt;=PERALTE!$U$10,(10/(PERALTE!$U$10-PERALTE!$Q$10)*(RASANTE!F200-PERALTE!$Q$10)-2),IF(RASANTE!F200&lt;=PERALTE!$X$10,8,IF(RASANTE!F200&lt;=PERALTE!$AB$10,(10/(PERALTE!$X$10-PERALTE!$AB$10)*(RASANTE!F200-PERALTE!$AB$10)-2))))),IF(AND(AH!$H$14="Derecha",RASANTE!F200&lt;=PERALTE!$AB$12),IF(RASANTE!F200&lt;=PERALTE!$S$12,-2,IF(RASANTE!F200&lt;=PERALTE!$U$12,(-6/(PERALTE!$U$12-PERALTE!$S$12)*(RASANTE!F200-PERALTE!$S$12)-2),IF(RASANTE!F200&lt;=PERALTE!$X$12,-8,IF(RASANTE!F200&lt;=PERALTE!$Z$12,(-6/(PERALTE!$X$12-PERALTE!$Z$12)*(RASANTE!F200-PERALTE!$Z$12)-2),IF(RASANTE!F200&lt;=PERALTE!$AB$12,-2))))),IF(AND(AH!$H$14="Izquierda",RASANTE!F200&lt;=PERALTE!$AB$12),IF(RASANTE!F200&lt;=PERALTE!$Q$12,-2,IF(RASANTE!F200&lt;=PERALTE!$U$12,(10/(PERALTE!$U$12-PERALTE!$Q$12)*(RASANTE!F200-PERALTE!$Q$12)-2),IF(RASANTE!F200&lt;=PERALTE!$X$12,8,IF(RASANTE!F200&lt;=PERALTE!$AB$12,(10/(PERALTE!$X$12-PERALTE!$AB$12)*(RASANTE!F200-PERALTE!$AB$12)-2))))),IF(AND(AH!$H$16="Derecha",RASANTE!F200&lt;=PERALTE!$AB$14),IF(RASANTE!F200&lt;=PERALTE!$S$14,-2,IF(RASANTE!F200&lt;=PERALTE!$U$14,(-6/(PERALTE!$U$14-PERALTE!$S$14)*(RASANTE!F200-PERALTE!$S$14)-2),IF(RASANTE!F200&lt;=PERALTE!$X$14,-8,IF(RASANTE!F200&lt;=PERALTE!$Z$14,(-6/(PERALTE!$X$14-PERALTE!$Z$14)*(RASANTE!F200-PERALTE!$Z$14)-2),IF(RASANTE!F200&lt;=PERALTE!$AB$14,-2))))),IF(AND(AH!$H$16="Izquierda",RASANTE!F200&lt;=PERALTE!$AB$14),IF(RASANTE!F200&lt;=PERALTE!$Q$14,-2,IF(RASANTE!F200&lt;=PERALTE!$U$14,(10/(PERALTE!$U$14-PERALTE!$Q$14)*(RASANTE!F200-PERALTE!$Q$14)-2),IF(RASANTE!F200&lt;=PERALTE!$X$14,8,IF(RASANTE!F200&lt;=PERALTE!$AB$14,(10/(PERALTE!$X$14-PERALTE!$AB$14)*(RASANTE!F200-PERALTE!$AB$14)-2))))),IF(AND(AH!$H$18="Derecha",RASANTE!F200&lt;=PERALTE!$AB$16),IF(RASANTE!F200&lt;=PERALTE!$S$16,-2,IF(RASANTE!F200&lt;=PERALTE!$U$16,(-6/(PERALTE!$U$16-PERALTE!$S$16)*(RASANTE!F200-PERALTE!$S$16)-2),IF(RASANTE!F200&lt;=PERALTE!$X$16,-8,IF(RASANTE!F200&lt;=PERALTE!$Z$16,(-6/(PERALTE!$X$16-PERALTE!$Z$16)*(RASANTE!F200-PERALTE!$Z$16)-2),IF(RASANTE!F200&lt;=PERALTE!$AB$16,-2))))),IF(AND(AH!$H$18="Izquierda",RASANTE!F200&lt;=PERALTE!$AB$16),IF(RASANTE!F200&lt;=PERALTE!$Q$16,-2,IF(RASANTE!F200&lt;=PERALTE!$U$16,(10/(PERALTE!$U$16-PERALTE!$Q$16)*(RASANTE!F200-PERALTE!$Q$16)-2),IF(RASANTE!F200&lt;=PERALTE!$X$16,8,IF(RASANTE!F200&lt;=PERALTE!$AB$16,(10/(PERALTE!$X$16-PERALTE!$AB$16)*(RASANTE!F200-PERALTE!$AB$16)-2))))),IF(AND(AH!$H$20="Derecha",RASANTE!F200&lt;=PERALTE!$AB$18),IF(RASANTE!F200&lt;=PERALTE!$S$18,-2,IF(RASANTE!F200&lt;=PERALTE!$U$18,(-6/(PERALTE!$U$18-PERALTE!$S$18)*(RASANTE!F200-PERALTE!$S$18)-2),IF(RASANTE!F200&lt;=PERALTE!$X$18,-8,IF(RASANTE!F200&lt;=PERALTE!$Z$18,(-6/(PERALTE!$X$18-PERALTE!$Z$18)*(RASANTE!F200-PERALTE!$Z$18)-2),IF(RASANTE!F200&lt;=PERALTE!$AB$18,-2))))),IF(AND(AH!$H$20="Izquierda",RASANTE!F200&lt;=PERALTE!$AB$18),IF(RASANTE!F200&lt;=PERALTE!$Q$18,-2,IF(RASANTE!F200&lt;=PERALTE!$U$18,(10/(PERALTE!$U$18-PERALTE!$Q$18)*(RASANTE!F200-PERALTE!$Q$18)-2),IF(RASANTE!F200&lt;=PERALTE!$X$18,8,IF(RASANTE!F200&lt;=PERALTE!$AB$18,(10/(PERALTE!$X$18-PERALTE!$AB$18)*(RASANTE!F200-PERALTE!$AB$18)-2))))),IF(AND(AH!$H$24="Derecha",RASANTE!F200&lt;=PERALTE!$AB$22),IF(RASANTE!F200&lt;=PERALTE!$S$22,-2,IF(RASANTE!F200&lt;=PERALTE!$U$22,(-6/(PERALTE!$U$22-PERALTE!$S$22)*(RASANTE!F200-PERALTE!$S$22)-2),IF(RASANTE!F200&lt;=PERALTE!$X$22,-8,IF(RASANTE!F200&lt;=PERALTE!$Z$22,(-6/(PERALTE!$X$22-PERALTE!$Z$22)*(RASANTE!F200-PERALTE!$Z$22)-2),IF(RASANTE!F200&lt;=PERALTE!$AB$22,-2))))),IF(AND(AH!$H$24="Izquierda",RASANTE!F200&lt;=PERALTE!$AB$22),IF(RASANTE!F200&lt;=PERALTE!$Q$22,-2,IF(RASANTE!F200&lt;=PERALTE!$U$22,(10/(PERALTE!$U$22-PERALTE!$Q$22)*(RASANTE!F200-PERALTE!$Q$22)-2),IF(RASANTE!F200&lt;=PERALTE!$X$22,8,IF(RASANTE!F200&lt;=PERALTE!$AB$22,(10/(PERALTE!$X$22-PERALTE!$AB$22)*(RASANTE!F200-PERALTE!$AB$22)-2))))),IF(AND(AH!#REF!="Derecha",RASANTE!F200&lt;=PERALTE!#REF!),IF(RASANTE!F200&lt;=PERALTE!#REF!,-2,IF(RASANTE!F200&lt;=PERALTE!#REF!,(-6/(PERALTE!#REF!-PERALTE!#REF!)*(RASANTE!F200-PERALTE!#REF!)-2),IF(RASANTE!F200&lt;=PERALTE!#REF!,-8,IF(RASANTE!F200&lt;=PERALTE!#REF!,(-6/(PERALTE!#REF!-PERALTE!#REF!)*(RASANTE!F200-PERALTE!#REF!)-2),IF(RASANTE!F200&lt;=PERALTE!#REF!,-2))))),IF(AND(AH!#REF!="Izquierda",RASANTE!F200&lt;=PERALTE!#REF!),IF(RASANTE!F200&lt;=PERALTE!#REF!,-2,IF(RASANTE!F200&lt;=PERALTE!#REF!,(10/(PERALTE!#REF!-PERALTE!#REF!)*(RASANTE!F200-PERALTE!#REF!)-2),IF(RASANTE!F200&lt;=PERALTE!#REF!,8,IF(RASANTE!F200&lt;=PERALTE!#REF!,(10/(PERALTE!#REF!-PERALTE!#REF!)*(RASANTE!F200-PERALTE!#REF!)-2))))),IF(AND(AH!#REF!="Derecha",RASANTE!F200&lt;=PERALTE!$AB$26),IF(RASANTE!F200&lt;=PERALTE!$S$26,-2,IF(RASANTE!F200&lt;=PERALTE!$U$26,(-6/(PERALTE!$U$26-PERALTE!$S$26)*(RASANTE!F200-PERALTE!$S$26)-2),IF(RASANTE!F200&lt;=PERALTE!$X$26,-8,IF(RASANTE!F200&lt;=PERALTE!$Z$26,(-6/(PERALTE!$X$26-PERALTE!$Z$26)*(RASANTE!F200-PERALTE!$Z$26)-2),IF(RASANTE!F200&lt;=PERALTE!$AB$26,-2))))),IF(AND(AH!#REF!="Izquierda",RASANTE!F200&lt;=PERALTE!$AB$26),IF(RASANTE!F200&lt;=PERALTE!$Q$26,-2,IF(RASANTE!F200&lt;=PERALTE!$U$26,(10/(PERALTE!$U$26-PERALTE!$Q$26)*(RASANTE!F200-PERALTE!$Q$26)-2),IF(RASANTE!F200&lt;=PERALTE!$X$26,8,IF(RASANTE!F200&lt;=PERALTE!$AB$26,(10/(PERALTE!$X$26-PERALTE!$AB$26)*(RASANTE!F200-PERALTE!$AB$26)-2))))),IF(F200&lt;=PERALTE!#REF!,-2,"Abscisa fuera de la vía")))))))))))))))))))))</f>
        <v>3.9999999999999698</v>
      </c>
      <c r="J200" s="28">
        <f t="shared" si="9"/>
        <v>1626.0387726595286</v>
      </c>
      <c r="K200" s="28">
        <f>+IF(AND(AV!$S$6&lt;F200,F200&lt;=AV!$T$6),AV!$P$6*((AV!$S$6-RASANTE!F200)/(AV!$N$6))^2,IF(AND(AV!$T$6&lt;RASANTE!F200,F200&lt;AV!$U$6),AV!$P$6*((AV!$U$6-RASANTE!F200)/(AV!$O$6))^2,IF(AND(AV!$S$8&lt;F200,F200&lt;=AV!$T$8),AV!$P$8*((AV!$S$8-RASANTE!F200)/(AV!$N$8))^2,IF(AND(AV!$T$8&lt;RASANTE!F200,F200&lt;AV!$U$8),AV!$P$8*((AV!$U$8-RASANTE!F200)/(AV!$O$8))^2,IF(AND(AV!$S$10&lt;F200,F200&lt;=AV!$T$10),AV!$P$10*((AV!$S$10-RASANTE!F200)/(AV!$N$10))^2,IF(AND(AV!$T$10&lt;RASANTE!F200,F200&lt;AV!$U$10),AV!$P$10*((AV!$U$10-RASANTE!F200)/(AV!$O$10))^2,IF(AND(AV!$S$12&lt;F200,F200&lt;=AV!$T$12),AV!$P$12*((AV!$S$12-RASANTE!F200)/(AV!$N$12))^2,IF(AND(AV!$T$12&lt;RASANTE!F200,F200&lt;AV!$U$12),AV!$P$12*((AV!$U$12-RASANTE!F200)/(AV!$O$12))^2,IF(AND(AV!$S$14&lt;F200,F200&lt;=AV!$T$14),AV!$P$14*((AV!$S$14-RASANTE!F200)/(AV!$N$14))^2,IF(AND(AV!$T$14&lt;RASANTE!F200,F200&lt;AV!$U$14),AV!$P$14*((AV!$U$14-RASANTE!F200)/(AV!$O$14))^2,IF(AND(AV!$S$16&lt;F200,F200&lt;=AV!$T$16),AV!$P$16*((AV!$S$16-RASANTE!F200)/(AV!$N$16))^2,IF(AND(AV!$T$16&lt;RASANTE!F200,F200&lt;AV!$U$16),AV!$P$16*((AV!$U$16-RASANTE!F200)/(AV!$O$16))^2,IF(AND(AV!$S$18&lt;F200,F200&lt;=AV!$T$18),AV!$P$18*((AV!$S$18-RASANTE!F200)/(AV!$N$18))^2,IF(AND(AV!$T$18&lt;RASANTE!F200,F200&lt;AV!$U$18),AV!$P$18*((AV!$U$18-RASANTE!F200)/(AV!$O$18))^2,IF(AND(AV!$S$20&lt;F200,F200&lt;=AV!$T$20),AV!$P$20*((AV!$S$20-RASANTE!F200)/(AV!$N$20))^2,IF(AND(AV!$T$20&lt;RASANTE!F200,F200&lt;AV!$U$20),AV!$P$20*((AV!$U$20-RASANTE!F200)/(AV!$O$20))^2,IF(AND(AV!$S$22&lt;F200,F200&lt;=AV!$T$22),AV!$P$22*((AV!$S$22-RASANTE!F200)/(AV!$N$22))^2,IF(AND(AV!$T$22&lt;RASANTE!F200,F200&lt;AV!$U$22),AV!$P$22*((AV!$U$22-RASANTE!F200)/(AV!$O$22))^2,IF(AND(AV!$S$24&lt;F200,F200&lt;=AV!$T$24),AV!$P$24*((AV!$S$24-RASANTE!F200)/(AV!$N$24))^2,IF(AND(AV!$T$24&lt;RASANTE!F200,F200&lt;AV!$U$24),AV!$P$24*((AV!$U$24-RASANTE!F200)/(AV!$O$24))^2,0))))))))))))))))))))</f>
        <v>-0.11893429623915278</v>
      </c>
      <c r="L200" s="28">
        <f>+M200+H200%*PERALTE!$C$32</f>
        <v>1625.7798383632894</v>
      </c>
      <c r="M200" s="28">
        <f t="shared" si="7"/>
        <v>1625.9198383632895</v>
      </c>
      <c r="N200" s="28">
        <f>+M200+I200%*PERALTE!$C$32</f>
        <v>1626.0598383632896</v>
      </c>
      <c r="O200" s="92"/>
      <c r="P200" s="84"/>
      <c r="Q200" s="84"/>
      <c r="R200" s="84"/>
      <c r="S200" s="84"/>
      <c r="T200" s="84"/>
      <c r="U200" s="84"/>
      <c r="V200" s="84"/>
      <c r="W200" s="84"/>
      <c r="X200" s="84"/>
      <c r="Y200" s="84"/>
    </row>
    <row r="201" spans="1:25" ht="15.75" customHeight="1" x14ac:dyDescent="0.2">
      <c r="A201" s="90" t="s">
        <v>115</v>
      </c>
      <c r="B201" s="86"/>
      <c r="C201" s="86"/>
      <c r="D201" s="86"/>
      <c r="E201" s="151">
        <f>AV!O14</f>
        <v>15</v>
      </c>
      <c r="F201" s="34">
        <f>AV!T14</f>
        <v>1259.817</v>
      </c>
      <c r="G201" s="88">
        <f>IF(F201&lt;=AV!$T$6,AV!$C$5,IF(RASANTE!F201&lt;=AV!$T$8,AV!$C$7,IF(RASANTE!F201&lt;=AV!$T$10,AV!$C$9,IF(RASANTE!F201&lt;=AV!$T$12,AV!$C$11,IF(RASANTE!F201&lt;=AV!$T$14,AV!$C$13,IF(RASANTE!F201&lt;=AV!$T$16,AV!$C$15, IF(RASANTE!F201&lt;=AV!$T$18,AV!$C$17,IF(RASANTE!F201&lt;=AV!$T$20,AV!$C$19,IF(RASANTE!F201&lt;=AV!$T$22,AV!$C$21,IF(RASANTE!F201&lt;=AV!$T$24,AV!$C$23,AV!$C$25))))))))))</f>
        <v>8.1999999999999993</v>
      </c>
      <c r="H201" s="28">
        <f>+IF(AND(AH!$H$8="Izquierda",RASANTE!F201&lt;=PERALTE!$AB$6),IF(RASANTE!F201&lt;=PERALTE!$S$6,-2,IF(RASANTE!F201&lt;=PERALTE!$U$6,(-6/(PERALTE!$U$6-PERALTE!$S$6)*(RASANTE!F201-PERALTE!$S$6)-2),IF(RASANTE!F201&lt;=PERALTE!$X$6,-8,IF(RASANTE!F201&lt;=PERALTE!$Z$6,(-6/(PERALTE!$X$6-PERALTE!$Z$6)*(RASANTE!F201-PERALTE!$Z$6)-2),IF(RASANTE!F201&lt;=PERALTE!$AB$6,-2))))),IF(AND(AH!$H$8="Derecha",RASANTE!F201&lt;=PERALTE!$AB$6),IF(RASANTE!F201&lt;=PERALTE!$Q$6,-2,IF(RASANTE!F201&lt;=PERALTE!$U$6,(10/(PERALTE!$U$6-PERALTE!$Q$6)*(RASANTE!F201-PERALTE!$Q$6)-2),IF(RASANTE!F201&lt;=PERALTE!$X$6,8,IF(RASANTE!F201&lt;=PERALTE!$AB$6,(10/(PERALTE!$X$6-PERALTE!$AB$6)*(RASANTE!F201-PERALTE!$AB$6)-2))))),IF(AND(AH!$H$10="Izquierda",RASANTE!F201&lt;=PERALTE!$AB$8),IF(RASANTE!F201&lt;=PERALTE!$S$8,-2,IF(RASANTE!F201&lt;=PERALTE!$U$8,(-6/(PERALTE!$U$8-PERALTE!$S$8)*(RASANTE!F201-PERALTE!$S$8)-2),IF(RASANTE!F201&lt;=PERALTE!$X$8,-8,IF(RASANTE!F201&lt;=PERALTE!$Z$8,(-6/(PERALTE!$X$8-PERALTE!$Z$8)*(RASANTE!F201-PERALTE!$Z$8)-2),IF(RASANTE!F201&lt;=PERALTE!$AB$8,-2))))),IF(AND(AH!$H$10="Derecha",RASANTE!F201&lt;=PERALTE!$AB$8),IF(RASANTE!F201&lt;=PERALTE!$Q$8,-2,IF(RASANTE!F201&lt;=PERALTE!$U$8,(10/(PERALTE!$U$8-PERALTE!$Q$8)*(RASANTE!F201-PERALTE!$Q$8)-2),IF(RASANTE!F201&lt;=PERALTE!$X$8,8,IF(RASANTE!F201&lt;=PERALTE!$AB$8,(10/(PERALTE!$X$8-PERALTE!$AB$8)*(RASANTE!F201-PERALTE!$AB$8)-2))))),IF(AND(AH!$H$12="Izquierda",RASANTE!F201&lt;=PERALTE!$AB$10),IF(RASANTE!F201&lt;=PERALTE!$S$10,-2,IF(RASANTE!F201&lt;=PERALTE!$U$10,(-6/(PERALTE!$U$10-PERALTE!$S$10)*(RASANTE!F201-PERALTE!$S$10)-2),IF(RASANTE!F201&lt;=PERALTE!$X$10,-8,IF(RASANTE!F201&lt;=PERALTE!$Z$10,(-6/(PERALTE!$X$10-PERALTE!$Z$10)*(RASANTE!F201-PERALTE!$Z$10)-2),IF(RASANTE!F201&lt;=PERALTE!$AB$10,-2))))),IF(AND(AH!$H$12="Derecha",RASANTE!F201&lt;=PERALTE!$AB$10),IF(RASANTE!F201&lt;=PERALTE!$Q$10,-2,IF(RASANTE!F201&lt;=PERALTE!$U$10,(10/(PERALTE!$U$10-PERALTE!$Q$10)*(RASANTE!F201-PERALTE!$Q$10)-2),IF(RASANTE!F201&lt;=PERALTE!$X$10,8,IF(RASANTE!F201&lt;=PERALTE!$AB$10,(10/(PERALTE!$X$10-PERALTE!$AB$10)*(RASANTE!F201-PERALTE!$AB$10)-2))))),IF(AND(AH!$H$14="Izquierda",RASANTE!F201&lt;=PERALTE!$AB$12),IF(RASANTE!F201&lt;=PERALTE!$S$12,-2,IF(RASANTE!F201&lt;=PERALTE!$U$12,(-6/(PERALTE!$U$12-PERALTE!$S$12)*(RASANTE!F201-PERALTE!$S$12)-2),IF(RASANTE!F201&lt;=PERALTE!$X$12,-8,IF(RASANTE!F201&lt;=PERALTE!$Z$12,(-6/(PERALTE!$X$12-PERALTE!$Z$12)*(RASANTE!F201-PERALTE!$Z$12)-2),IF(RASANTE!F201&lt;=PERALTE!$AB$12,-2))))),IF(AND(AH!$H$14="Derecha",RASANTE!F201&lt;=PERALTE!$AB$12),IF(RASANTE!F201&lt;=PERALTE!$Q$12,-2,IF(RASANTE!F201&lt;=PERALTE!$U$12,(10/(PERALTE!$U$12-PERALTE!$Q$12)*(RASANTE!F201-PERALTE!$Q$12)-2),IF(RASANTE!F201&lt;=PERALTE!$X$12,8,IF(RASANTE!F201&lt;=PERALTE!$AB$12,(10/(PERALTE!$X$12-PERALTE!$AB$12)*(RASANTE!F201-PERALTE!$AB$12)-2))))),IF(AND(AH!$H$16="Izquierda",RASANTE!F201&lt;=PERALTE!$AB$14),IF(RASANTE!F201&lt;=PERALTE!$S$14,-2,IF(RASANTE!F201&lt;=PERALTE!$U$14,(-6/(PERALTE!$U$14-PERALTE!$S$14)*(RASANTE!F201-PERALTE!$S$14)-2),IF(RASANTE!F201&lt;=PERALTE!$X$14,-8,IF(RASANTE!F201&lt;=PERALTE!$Z$14,(-6/(PERALTE!$X$14-PERALTE!$Z$14)*(RASANTE!F201-PERALTE!$Z$14)-2),IF(RASANTE!F201&lt;=PERALTE!$AB$14,-2))))),IF(AND(AH!$H$16="Derecha",RASANTE!F201&lt;=PERALTE!$AB$14),IF(RASANTE!F201&lt;=PERALTE!$Q$14,-2,IF(RASANTE!F201&lt;=PERALTE!$U$14,(10/(PERALTE!$U$14-PERALTE!$Q$14)*(RASANTE!F201-PERALTE!$Q$14)-2),IF(RASANTE!F201&lt;=PERALTE!$X$14,8,IF(RASANTE!F201&lt;=PERALTE!$AB$14,(10/(PERALTE!$X$14-PERALTE!$AB$14)*(RASANTE!F201-PERALTE!$AB$14)-2))))),IF(AND(AH!$H$18="Izquierda",RASANTE!F201&lt;=PERALTE!$AB$16),IF(RASANTE!F201&lt;=PERALTE!$S$16,-2,IF(RASANTE!F201&lt;=PERALTE!$U$16,(-6/(PERALTE!$U$16-PERALTE!$S$16)*(RASANTE!F201-PERALTE!$S$16)-2),IF(RASANTE!F201&lt;=PERALTE!$X$16,-8,IF(RASANTE!F201&lt;=PERALTE!$Z$16,(-6/(PERALTE!$X$16-PERALTE!$Z$16)*(RASANTE!F201-PERALTE!$Z$16)-2),IF(RASANTE!F201&lt;=PERALTE!$AB$16,-2))))),IF(AND(AH!$H$18="Derecha",RASANTE!F201&lt;=PERALTE!$AB$16),IF(RASANTE!F201&lt;=PERALTE!$Q$16,-2,IF(RASANTE!F201&lt;=PERALTE!$U$16,(10/(PERALTE!$U$16-PERALTE!$Q$16)*(RASANTE!F201-PERALTE!$Q$16)-2),IF(RASANTE!F201&lt;=PERALTE!$X$16,8,IF(RASANTE!F201&lt;=PERALTE!$AB$16,(10/(PERALTE!$X$16-PERALTE!$AB$16)*(RASANTE!F201-PERALTE!$AB$16)-2))))),IF(AND(AH!$H$20="Izquierda",RASANTE!F201&lt;=PERALTE!$AB$18),IF(RASANTE!F201&lt;=PERALTE!$S$18,-2,IF(RASANTE!F201&lt;=PERALTE!$U$18,(-6/(PERALTE!$U$18-PERALTE!$S$18)*(RASANTE!F201-PERALTE!$S$18)-2),IF(RASANTE!F201&lt;=PERALTE!$X$18,-8,IF(RASANTE!F201&lt;=PERALTE!$Z$18,(-6/(PERALTE!$X$18-PERALTE!$Z$18)*(RASANTE!F201-PERALTE!$Z$18)-2),IF(RASANTE!F201&lt;=PERALTE!$AB$18,-2))))),IF(AND(AH!$H$20="Derecha",RASANTE!F201&lt;=PERALTE!$AB$18),IF(RASANTE!F201&lt;=PERALTE!$Q$18,-2,IF(RASANTE!F201&lt;=PERALTE!$U$18,(10/(PERALTE!$U$18-PERALTE!$Q$18)*(RASANTE!F201-PERALTE!$Q$18)-2),IF(RASANTE!F201&lt;=PERALTE!$X$18,8,IF(RASANTE!F201&lt;=PERALTE!$AB$18,(10/(PERALTE!$X$18-PERALTE!$AB$18)*(RASANTE!F201-PERALTE!$AB$18)-2))))),IF(AND(AH!$H$24="Izquierda",RASANTE!F201&lt;=PERALTE!$AB$22),IF(RASANTE!F201&lt;=PERALTE!$S$22,-2,IF(RASANTE!F201&lt;=PERALTE!$U$22,(-6/(PERALTE!$U$22-PERALTE!$S$22)*(RASANTE!F201-PERALTE!$S$22)-2),IF(RASANTE!F201&lt;=PERALTE!$X$22,-8,IF(RASANTE!F201&lt;=PERALTE!$Z$22,(-6/(PERALTE!$X$22-PERALTE!$Z$22)*(RASANTE!F201-PERALTE!$Z$22)-2),IF(RASANTE!F201&lt;=PERALTE!$AB$22,-2))))),IF(AND(AH!$H$24="Derecha",RASANTE!F201&lt;=PERALTE!$AB$22),IF(RASANTE!F201&lt;=PERALTE!$Q$22,-2,IF(RASANTE!F201&lt;=PERALTE!$U$22,(10/(PERALTE!$U$22-PERALTE!$Q$22)*(RASANTE!F201-PERALTE!$Q$22)-2),IF(RASANTE!F201&lt;=PERALTE!$X$22,8,IF(RASANTE!F201&lt;=PERALTE!$AB$22,(10/(PERALTE!$X$22-PERALTE!$AB$22)*(RASANTE!F201-PERALTE!$AB$22)-2))))),IF(AND(AH!#REF!="Izquierda",RASANTE!F201&lt;=PERALTE!#REF!),IF(RASANTE!F201&lt;=PERALTE!#REF!,-2,IF(RASANTE!F201&lt;=PERALTE!#REF!,(-6/(PERALTE!#REF!-PERALTE!#REF!)*(RASANTE!F201-PERALTE!#REF!)-2),IF(RASANTE!F201&lt;=PERALTE!#REF!,-8,IF(RASANTE!F201&lt;=PERALTE!#REF!,(-6/(PERALTE!#REF!-PERALTE!#REF!)*(RASANTE!F201-PERALTE!#REF!)-2),IF(RASANTE!F201&lt;=PERALTE!#REF!,-2))))),IF(AND(AH!#REF!="Derecha",RASANTE!F201&lt;=PERALTE!#REF!),IF(RASANTE!F201&lt;=PERALTE!#REF!,-2,IF(RASANTE!F201&lt;=PERALTE!#REF!,(10/(PERALTE!#REF!-PERALTE!#REF!)*(RASANTE!F201-PERALTE!#REF!)-2),IF(RASANTE!F201&lt;=PERALTE!#REF!,8,IF(RASANTE!F201&lt;=PERALTE!#REF!,(10/(PERALTE!#REF!-PERALTE!#REF!)*(RASANTE!F201-PERALTE!#REF!)-2))))),IF(AND(AH!#REF!="Izquierda",RASANTE!F201&lt;=PERALTE!$AB$26),IF(RASANTE!F201&lt;=PERALTE!$S$26,-2,IF(RASANTE!F201&lt;=PERALTE!$U$26,(-6/(PERALTE!$U$26-PERALTE!$S$26)*(RASANTE!F201-PERALTE!$S$26)-2),IF(RASANTE!F201&lt;=PERALTE!$X$26,-8,IF(RASANTE!F201&lt;=PERALTE!$Z$26,(-6/(PERALTE!$X$26-PERALTE!$Z$26)*(RASANTE!F201-PERALTE!$Z$26)-2),IF(RASANTE!F201&lt;=PERALTE!$AB$26,-2))))),IF(AND(AH!#REF!="Derecha",RASANTE!F201&lt;=PERALTE!$AB$26),IF(RASANTE!F201&lt;=PERALTE!$Q$26,-2,IF(RASANTE!F201&lt;=PERALTE!$U$26,(10/(PERALTE!$U$26-PERALTE!$Q$26)*(RASANTE!F201-PERALTE!$Q$26)-2),IF(RASANTE!F201&lt;=PERALTE!$X$26,8,IF(RASANTE!F201&lt;=PERALTE!$AB$26,(10/(PERALTE!$X$26-PERALTE!$AB$26)*(RASANTE!F201-PERALTE!$AB$26)-2))))),IF(F201&lt;=PERALTE!#REF!,-2,"Abscisa fuera de la vía")))))))))))))))))))))</f>
        <v>-3.2290358149511178</v>
      </c>
      <c r="I201" s="28">
        <f>+IF(AND(AH!$H$8="Derecha",RASANTE!F201&lt;=PERALTE!$AB$6),IF(RASANTE!F201&lt;=PERALTE!$S$6,-2,IF(RASANTE!F201&lt;=PERALTE!$U$6,(-6/(PERALTE!$U$6-PERALTE!$S$6)*(RASANTE!F201-PERALTE!$S$6)-2),IF(RASANTE!F201&lt;=PERALTE!$X$6,-8,IF(RASANTE!F201&lt;=PERALTE!$Z$6,(-6/(PERALTE!$X$6-PERALTE!$Z$6)*(RASANTE!F201-PERALTE!$Z$6)-2),IF(RASANTE!F201&lt;=PERALTE!$AB$6,-2))))),IF(AND(AH!$H$8="Izquierda",RASANTE!F201&lt;=PERALTE!$AB$6),IF(RASANTE!F201&lt;=PERALTE!$Q$6,-2,IF(RASANTE!F201&lt;=PERALTE!$U$6,(10/(PERALTE!$U$6-PERALTE!$Q$6)*(RASANTE!F201-PERALTE!$Q$6)-2),IF(RASANTE!F201&lt;=PERALTE!$X$6,8,IF(RASANTE!F201&lt;=PERALTE!$AB$6,(10/(PERALTE!$X$6-PERALTE!$AB$6)*(RASANTE!F201-PERALTE!$AB$6)-2))))),IF(AND(AH!$H$10="Derecha",RASANTE!F201&lt;=PERALTE!$AB$8),IF(RASANTE!F201&lt;=PERALTE!$S$8,-2,IF(RASANTE!F201&lt;=PERALTE!$U$8,(-6/(PERALTE!$U$8-PERALTE!$S$8)*(RASANTE!F201-PERALTE!$S$8)-2),IF(RASANTE!F201&lt;=PERALTE!$X$8,-8,IF(RASANTE!F201&lt;=PERALTE!$Z$8,(-6/(PERALTE!$X$8-PERALTE!$Z$8)*(RASANTE!F201-PERALTE!$Z$8)-2),IF(RASANTE!F201&lt;=PERALTE!$AB$8,-2))))),IF(AND(AH!$H$10="Izquierda",RASANTE!F201&lt;=PERALTE!$AB$8),IF(RASANTE!F201&lt;=PERALTE!$Q$8,-2,IF(RASANTE!F201&lt;=PERALTE!$U$8,(10/(PERALTE!$U$8-PERALTE!$Q$8)*(RASANTE!F201-PERALTE!$Q$8)-2),IF(RASANTE!F201&lt;=PERALTE!$X$8,8,IF(RASANTE!F201&lt;=PERALTE!$AB$8,(10/(PERALTE!$X$8-PERALTE!$AB$8)*(RASANTE!F201-PERALTE!$AB$8)-2))))),IF(AND(AH!$H$12="Derecha",RASANTE!F201&lt;=PERALTE!$AB$10),IF(RASANTE!F201&lt;=PERALTE!$S$10,-2,IF(RASANTE!F201&lt;=PERALTE!$U$10,(-6/(PERALTE!$U$10-PERALTE!$S$10)*(RASANTE!F201-PERALTE!$S$10)-2),IF(RASANTE!F201&lt;=PERALTE!$X$10,-8,IF(RASANTE!F201&lt;=PERALTE!$Z$10,(-6/(PERALTE!$X$10-PERALTE!$Z$10)*(RASANTE!F201-PERALTE!$Z$10)-2),IF(RASANTE!F201&lt;=PERALTE!$AB$10,-2))))),IF(AND(AH!$H$12="Izquierda",RASANTE!F201&lt;=PERALTE!$AB$10),IF(RASANTE!F201&lt;=PERALTE!$Q$10,-2,IF(RASANTE!F201&lt;=PERALTE!$U$10,(10/(PERALTE!$U$10-PERALTE!$Q$10)*(RASANTE!F201-PERALTE!$Q$10)-2),IF(RASANTE!F201&lt;=PERALTE!$X$10,8,IF(RASANTE!F201&lt;=PERALTE!$AB$10,(10/(PERALTE!$X$10-PERALTE!$AB$10)*(RASANTE!F201-PERALTE!$AB$10)-2))))),IF(AND(AH!$H$14="Derecha",RASANTE!F201&lt;=PERALTE!$AB$12),IF(RASANTE!F201&lt;=PERALTE!$S$12,-2,IF(RASANTE!F201&lt;=PERALTE!$U$12,(-6/(PERALTE!$U$12-PERALTE!$S$12)*(RASANTE!F201-PERALTE!$S$12)-2),IF(RASANTE!F201&lt;=PERALTE!$X$12,-8,IF(RASANTE!F201&lt;=PERALTE!$Z$12,(-6/(PERALTE!$X$12-PERALTE!$Z$12)*(RASANTE!F201-PERALTE!$Z$12)-2),IF(RASANTE!F201&lt;=PERALTE!$AB$12,-2))))),IF(AND(AH!$H$14="Izquierda",RASANTE!F201&lt;=PERALTE!$AB$12),IF(RASANTE!F201&lt;=PERALTE!$Q$12,-2,IF(RASANTE!F201&lt;=PERALTE!$U$12,(10/(PERALTE!$U$12-PERALTE!$Q$12)*(RASANTE!F201-PERALTE!$Q$12)-2),IF(RASANTE!F201&lt;=PERALTE!$X$12,8,IF(RASANTE!F201&lt;=PERALTE!$AB$12,(10/(PERALTE!$X$12-PERALTE!$AB$12)*(RASANTE!F201-PERALTE!$AB$12)-2))))),IF(AND(AH!$H$16="Derecha",RASANTE!F201&lt;=PERALTE!$AB$14),IF(RASANTE!F201&lt;=PERALTE!$S$14,-2,IF(RASANTE!F201&lt;=PERALTE!$U$14,(-6/(PERALTE!$U$14-PERALTE!$S$14)*(RASANTE!F201-PERALTE!$S$14)-2),IF(RASANTE!F201&lt;=PERALTE!$X$14,-8,IF(RASANTE!F201&lt;=PERALTE!$Z$14,(-6/(PERALTE!$X$14-PERALTE!$Z$14)*(RASANTE!F201-PERALTE!$Z$14)-2),IF(RASANTE!F201&lt;=PERALTE!$AB$14,-2))))),IF(AND(AH!$H$16="Izquierda",RASANTE!F201&lt;=PERALTE!$AB$14),IF(RASANTE!F201&lt;=PERALTE!$Q$14,-2,IF(RASANTE!F201&lt;=PERALTE!$U$14,(10/(PERALTE!$U$14-PERALTE!$Q$14)*(RASANTE!F201-PERALTE!$Q$14)-2),IF(RASANTE!F201&lt;=PERALTE!$X$14,8,IF(RASANTE!F201&lt;=PERALTE!$AB$14,(10/(PERALTE!$X$14-PERALTE!$AB$14)*(RASANTE!F201-PERALTE!$AB$14)-2))))),IF(AND(AH!$H$18="Derecha",RASANTE!F201&lt;=PERALTE!$AB$16),IF(RASANTE!F201&lt;=PERALTE!$S$16,-2,IF(RASANTE!F201&lt;=PERALTE!$U$16,(-6/(PERALTE!$U$16-PERALTE!$S$16)*(RASANTE!F201-PERALTE!$S$16)-2),IF(RASANTE!F201&lt;=PERALTE!$X$16,-8,IF(RASANTE!F201&lt;=PERALTE!$Z$16,(-6/(PERALTE!$X$16-PERALTE!$Z$16)*(RASANTE!F201-PERALTE!$Z$16)-2),IF(RASANTE!F201&lt;=PERALTE!$AB$16,-2))))),IF(AND(AH!$H$18="Izquierda",RASANTE!F201&lt;=PERALTE!$AB$16),IF(RASANTE!F201&lt;=PERALTE!$Q$16,-2,IF(RASANTE!F201&lt;=PERALTE!$U$16,(10/(PERALTE!$U$16-PERALTE!$Q$16)*(RASANTE!F201-PERALTE!$Q$16)-2),IF(RASANTE!F201&lt;=PERALTE!$X$16,8,IF(RASANTE!F201&lt;=PERALTE!$AB$16,(10/(PERALTE!$X$16-PERALTE!$AB$16)*(RASANTE!F201-PERALTE!$AB$16)-2))))),IF(AND(AH!$H$20="Derecha",RASANTE!F201&lt;=PERALTE!$AB$18),IF(RASANTE!F201&lt;=PERALTE!$S$18,-2,IF(RASANTE!F201&lt;=PERALTE!$U$18,(-6/(PERALTE!$U$18-PERALTE!$S$18)*(RASANTE!F201-PERALTE!$S$18)-2),IF(RASANTE!F201&lt;=PERALTE!$X$18,-8,IF(RASANTE!F201&lt;=PERALTE!$Z$18,(-6/(PERALTE!$X$18-PERALTE!$Z$18)*(RASANTE!F201-PERALTE!$Z$18)-2),IF(RASANTE!F201&lt;=PERALTE!$AB$18,-2))))),IF(AND(AH!$H$20="Izquierda",RASANTE!F201&lt;=PERALTE!$AB$18),IF(RASANTE!F201&lt;=PERALTE!$Q$18,-2,IF(RASANTE!F201&lt;=PERALTE!$U$18,(10/(PERALTE!$U$18-PERALTE!$Q$18)*(RASANTE!F201-PERALTE!$Q$18)-2),IF(RASANTE!F201&lt;=PERALTE!$X$18,8,IF(RASANTE!F201&lt;=PERALTE!$AB$18,(10/(PERALTE!$X$18-PERALTE!$AB$18)*(RASANTE!F201-PERALTE!$AB$18)-2))))),IF(AND(AH!$H$24="Derecha",RASANTE!F201&lt;=PERALTE!$AB$22),IF(RASANTE!F201&lt;=PERALTE!$S$22,-2,IF(RASANTE!F201&lt;=PERALTE!$U$22,(-6/(PERALTE!$U$22-PERALTE!$S$22)*(RASANTE!F201-PERALTE!$S$22)-2),IF(RASANTE!F201&lt;=PERALTE!$X$22,-8,IF(RASANTE!F201&lt;=PERALTE!$Z$22,(-6/(PERALTE!$X$22-PERALTE!$Z$22)*(RASANTE!F201-PERALTE!$Z$22)-2),IF(RASANTE!F201&lt;=PERALTE!$AB$22,-2))))),IF(AND(AH!$H$24="Izquierda",RASANTE!F201&lt;=PERALTE!$AB$22),IF(RASANTE!F201&lt;=PERALTE!$Q$22,-2,IF(RASANTE!F201&lt;=PERALTE!$U$22,(10/(PERALTE!$U$22-PERALTE!$Q$22)*(RASANTE!F201-PERALTE!$Q$22)-2),IF(RASANTE!F201&lt;=PERALTE!$X$22,8,IF(RASANTE!F201&lt;=PERALTE!$AB$22,(10/(PERALTE!$X$22-PERALTE!$AB$22)*(RASANTE!F201-PERALTE!$AB$22)-2))))),IF(AND(AH!#REF!="Derecha",RASANTE!F201&lt;=PERALTE!#REF!),IF(RASANTE!F201&lt;=PERALTE!#REF!,-2,IF(RASANTE!F201&lt;=PERALTE!#REF!,(-6/(PERALTE!#REF!-PERALTE!#REF!)*(RASANTE!F201-PERALTE!#REF!)-2),IF(RASANTE!F201&lt;=PERALTE!#REF!,-8,IF(RASANTE!F201&lt;=PERALTE!#REF!,(-6/(PERALTE!#REF!-PERALTE!#REF!)*(RASANTE!F201-PERALTE!#REF!)-2),IF(RASANTE!F201&lt;=PERALTE!#REF!,-2))))),IF(AND(AH!#REF!="Izquierda",RASANTE!F201&lt;=PERALTE!#REF!),IF(RASANTE!F201&lt;=PERALTE!#REF!,-2,IF(RASANTE!F201&lt;=PERALTE!#REF!,(10/(PERALTE!#REF!-PERALTE!#REF!)*(RASANTE!F201-PERALTE!#REF!)-2),IF(RASANTE!F201&lt;=PERALTE!#REF!,8,IF(RASANTE!F201&lt;=PERALTE!#REF!,(10/(PERALTE!#REF!-PERALTE!#REF!)*(RASANTE!F201-PERALTE!#REF!)-2))))),IF(AND(AH!#REF!="Derecha",RASANTE!F201&lt;=PERALTE!$AB$26),IF(RASANTE!F201&lt;=PERALTE!$S$26,-2,IF(RASANTE!F201&lt;=PERALTE!$U$26,(-6/(PERALTE!$U$26-PERALTE!$S$26)*(RASANTE!F201-PERALTE!$S$26)-2),IF(RASANTE!F201&lt;=PERALTE!$X$26,-8,IF(RASANTE!F201&lt;=PERALTE!$Z$26,(-6/(PERALTE!$X$26-PERALTE!$Z$26)*(RASANTE!F201-PERALTE!$Z$26)-2),IF(RASANTE!F201&lt;=PERALTE!$AB$26,-2))))),IF(AND(AH!#REF!="Izquierda",RASANTE!F201&lt;=PERALTE!$AB$26),IF(RASANTE!F201&lt;=PERALTE!$Q$26,-2,IF(RASANTE!F201&lt;=PERALTE!$U$26,(10/(PERALTE!$U$26-PERALTE!$Q$26)*(RASANTE!F201-PERALTE!$Q$26)-2),IF(RASANTE!F201&lt;=PERALTE!$X$26,8,IF(RASANTE!F201&lt;=PERALTE!$AB$26,(10/(PERALTE!$X$26-PERALTE!$AB$26)*(RASANTE!F201-PERALTE!$AB$26)-2))))),IF(F201&lt;=PERALTE!#REF!,-2,"Abscisa fuera de la vía")))))))))))))))))))))</f>
        <v>3.2290358149511018</v>
      </c>
      <c r="J201" s="28">
        <f t="shared" si="9"/>
        <v>1626.3261320375923</v>
      </c>
      <c r="K201" s="28">
        <f>+IF(AND(AV!$S$6&lt;F201,F201&lt;=AV!$T$6),AV!$P$6*((AV!$S$6-RASANTE!F201)/(AV!$N$6))^2,IF(AND(AV!$T$6&lt;RASANTE!F201,F201&lt;AV!$U$6),AV!$P$6*((AV!$U$6-RASANTE!F201)/(AV!$O$6))^2,IF(AND(AV!$S$8&lt;F201,F201&lt;=AV!$T$8),AV!$P$8*((AV!$S$8-RASANTE!F201)/(AV!$N$8))^2,IF(AND(AV!$T$8&lt;RASANTE!F201,F201&lt;AV!$U$8),AV!$P$8*((AV!$U$8-RASANTE!F201)/(AV!$O$8))^2,IF(AND(AV!$S$10&lt;F201,F201&lt;=AV!$T$10),AV!$P$10*((AV!$S$10-RASANTE!F201)/(AV!$N$10))^2,IF(AND(AV!$T$10&lt;RASANTE!F201,F201&lt;AV!$U$10),AV!$P$10*((AV!$U$10-RASANTE!F201)/(AV!$O$10))^2,IF(AND(AV!$S$12&lt;F201,F201&lt;=AV!$T$12),AV!$P$12*((AV!$S$12-RASANTE!F201)/(AV!$N$12))^2,IF(AND(AV!$T$12&lt;RASANTE!F201,F201&lt;AV!$U$12),AV!$P$12*((AV!$U$12-RASANTE!F201)/(AV!$O$12))^2,IF(AND(AV!$S$14&lt;F201,F201&lt;=AV!$T$14),AV!$P$14*((AV!$S$14-RASANTE!F201)/(AV!$N$14))^2,IF(AND(AV!$T$14&lt;RASANTE!F201,F201&lt;AV!$U$14),AV!$P$14*((AV!$U$14-RASANTE!F201)/(AV!$O$14))^2,IF(AND(AV!$S$16&lt;F201,F201&lt;=AV!$T$16),AV!$P$16*((AV!$S$16-RASANTE!F201)/(AV!$N$16))^2,IF(AND(AV!$T$16&lt;RASANTE!F201,F201&lt;AV!$U$16),AV!$P$16*((AV!$U$16-RASANTE!F201)/(AV!$O$16))^2,IF(AND(AV!$S$18&lt;F201,F201&lt;=AV!$T$18),AV!$P$18*((AV!$S$18-RASANTE!F201)/(AV!$N$18))^2,IF(AND(AV!$T$18&lt;RASANTE!F201,F201&lt;AV!$U$18),AV!$P$18*((AV!$U$18-RASANTE!F201)/(AV!$O$18))^2,IF(AND(AV!$S$20&lt;F201,F201&lt;=AV!$T$20),AV!$P$20*((AV!$S$20-RASANTE!F201)/(AV!$N$20))^2,IF(AND(AV!$T$20&lt;RASANTE!F201,F201&lt;AV!$U$20),AV!$P$20*((AV!$U$20-RASANTE!F201)/(AV!$O$20))^2,IF(AND(AV!$S$22&lt;F201,F201&lt;=AV!$T$22),AV!$P$22*((AV!$S$22-RASANTE!F201)/(AV!$N$22))^2,IF(AND(AV!$T$22&lt;RASANTE!F201,F201&lt;AV!$U$22),AV!$P$22*((AV!$U$22-RASANTE!F201)/(AV!$O$22))^2,IF(AND(AV!$S$24&lt;F201,F201&lt;=AV!$T$24),AV!$P$24*((AV!$S$24-RASANTE!F201)/(AV!$N$24))^2,IF(AND(AV!$T$24&lt;RASANTE!F201,F201&lt;AV!$U$24),AV!$P$24*((AV!$U$24-RASANTE!F201)/(AV!$O$24))^2,0))))))))))))))))))))</f>
        <v>-0.20249999999999996</v>
      </c>
      <c r="L201" s="28">
        <f>+M201+H201%*PERALTE!$C$32</f>
        <v>1626.0106157840689</v>
      </c>
      <c r="M201" s="28">
        <f t="shared" si="7"/>
        <v>1626.1236320375922</v>
      </c>
      <c r="N201" s="28">
        <f>+M201+I201%*PERALTE!$C$32</f>
        <v>1626.2366482911154</v>
      </c>
      <c r="O201" s="92"/>
      <c r="P201" s="84"/>
      <c r="Q201" s="84"/>
      <c r="R201" s="84"/>
      <c r="S201" s="84"/>
      <c r="T201" s="84"/>
      <c r="U201" s="84"/>
      <c r="V201" s="84"/>
      <c r="W201" s="84"/>
      <c r="X201" s="84"/>
      <c r="Y201" s="84"/>
    </row>
    <row r="202" spans="1:25" ht="15.75" customHeight="1" x14ac:dyDescent="0.2">
      <c r="A202" s="90"/>
      <c r="B202" s="86"/>
      <c r="C202" s="86"/>
      <c r="D202" s="86"/>
      <c r="E202" s="152">
        <f>AV!P14</f>
        <v>-0.20249999999999996</v>
      </c>
      <c r="F202" s="34">
        <v>1260</v>
      </c>
      <c r="G202" s="352">
        <f>IF(F202&lt;=AV!$T$6,AV!$C$5,IF(RASANTE!F202&lt;=AV!$T$8,AV!$C$7,IF(RASANTE!F202&lt;=AV!$T$10,AV!$C$9,IF(RASANTE!F202&lt;=AV!$T$12,AV!#REF!,IF(RASANTE!F202&lt;=AV!$T$14,AV!$C$11,IF(RASANTE!F202&lt;=AV!$T$16,AV!$C$13, IF(RASANTE!F202&lt;=AV!$T$18,AV!$C$15,IF(RASANTE!F202&lt;=AV!$T$20,AV!$C$19,IF(RASANTE!F202&lt;=AV!$T$22,AV!$C$21,IF(RASANTE!F202&lt;=AV!$T$24,AV!$C$23,AV!$C$25))))))))))</f>
        <v>8.1999999999999993</v>
      </c>
      <c r="H202" s="28">
        <f>+IF(AND(AH!$H$8="Izquierda",RASANTE!F202&lt;=PERALTE!$AB$6),IF(RASANTE!F202&lt;=PERALTE!$S$6,-2,IF(RASANTE!F202&lt;=PERALTE!$U$6,(-6/(PERALTE!$U$6-PERALTE!$S$6)*(RASANTE!F202-PERALTE!$S$6)-2),IF(RASANTE!F202&lt;=PERALTE!$X$6,-8,IF(RASANTE!F202&lt;=PERALTE!$Z$6,(-6/(PERALTE!$X$6-PERALTE!$Z$6)*(RASANTE!F202-PERALTE!$Z$6)-2),IF(RASANTE!F202&lt;=PERALTE!$AB$6,-2))))),IF(AND(AH!$H$8="Derecha",RASANTE!F202&lt;=PERALTE!$AB$6),IF(RASANTE!F202&lt;=PERALTE!$Q$6,-2,IF(RASANTE!F202&lt;=PERALTE!$U$6,(10/(PERALTE!$U$6-PERALTE!$Q$6)*(RASANTE!F202-PERALTE!$Q$6)-2),IF(RASANTE!F202&lt;=PERALTE!$X$6,8,IF(RASANTE!F202&lt;=PERALTE!$AB$6,(10/(PERALTE!$X$6-PERALTE!$AB$6)*(RASANTE!F202-PERALTE!$AB$6)-2))))),IF(AND(AH!$H$10="Izquierda",RASANTE!F202&lt;=PERALTE!$AB$8),IF(RASANTE!F202&lt;=PERALTE!$S$8,-2,IF(RASANTE!F202&lt;=PERALTE!$U$8,(-6/(PERALTE!$U$8-PERALTE!$S$8)*(RASANTE!F202-PERALTE!$S$8)-2),IF(RASANTE!F202&lt;=PERALTE!$X$8,-8,IF(RASANTE!F202&lt;=PERALTE!$Z$8,(-6/(PERALTE!$X$8-PERALTE!$Z$8)*(RASANTE!F202-PERALTE!$Z$8)-2),IF(RASANTE!F202&lt;=PERALTE!$AB$8,-2))))),IF(AND(AH!$H$10="Derecha",RASANTE!F202&lt;=PERALTE!$AB$8),IF(RASANTE!F202&lt;=PERALTE!$Q$8,-2,IF(RASANTE!F202&lt;=PERALTE!$U$8,(10/(PERALTE!$U$8-PERALTE!$Q$8)*(RASANTE!F202-PERALTE!$Q$8)-2),IF(RASANTE!F202&lt;=PERALTE!$X$8,8,IF(RASANTE!F202&lt;=PERALTE!$AB$8,(10/(PERALTE!$X$8-PERALTE!$AB$8)*(RASANTE!F202-PERALTE!$AB$8)-2))))),IF(AND(AH!$H$12="Izquierda",RASANTE!F202&lt;=PERALTE!$AB$10),IF(RASANTE!F202&lt;=PERALTE!$S$10,-2,IF(RASANTE!F202&lt;=PERALTE!$U$10,(-6/(PERALTE!$U$10-PERALTE!$S$10)*(RASANTE!F202-PERALTE!$S$10)-2),IF(RASANTE!F202&lt;=PERALTE!$X$10,-8,IF(RASANTE!F202&lt;=PERALTE!$Z$10,(-6/(PERALTE!$X$10-PERALTE!$Z$10)*(RASANTE!F202-PERALTE!$Z$10)-2),IF(RASANTE!F202&lt;=PERALTE!$AB$10,-2))))),IF(AND(AH!$H$12="Derecha",RASANTE!F202&lt;=PERALTE!$AB$10),IF(RASANTE!F202&lt;=PERALTE!$Q$10,-2,IF(RASANTE!F202&lt;=PERALTE!$U$10,(10/(PERALTE!$U$10-PERALTE!$Q$10)*(RASANTE!F202-PERALTE!$Q$10)-2),IF(RASANTE!F202&lt;=PERALTE!$X$10,8,IF(RASANTE!F202&lt;=PERALTE!$AB$10,(10/(PERALTE!$X$10-PERALTE!$AB$10)*(RASANTE!F202-PERALTE!$AB$10)-2))))),IF(AND(AH!$H$14="Izquierda",RASANTE!F202&lt;=PERALTE!$AB$12),IF(RASANTE!F202&lt;=PERALTE!$S$12,-2,IF(RASANTE!F202&lt;=PERALTE!$U$12,(-6/(PERALTE!$U$12-PERALTE!$S$12)*(RASANTE!F202-PERALTE!$S$12)-2),IF(RASANTE!F202&lt;=PERALTE!$X$12,-8,IF(RASANTE!F202&lt;=PERALTE!$Z$12,(-6/(PERALTE!$X$12-PERALTE!$Z$12)*(RASANTE!F202-PERALTE!$Z$12)-2),IF(RASANTE!F202&lt;=PERALTE!$AB$12,-2))))),IF(AND(AH!$H$14="Derecha",RASANTE!F202&lt;=PERALTE!$AB$12),IF(RASANTE!F202&lt;=PERALTE!$Q$12,-2,IF(RASANTE!F202&lt;=PERALTE!$U$12,(10/(PERALTE!$U$12-PERALTE!$Q$12)*(RASANTE!F202-PERALTE!$Q$12)-2),IF(RASANTE!F202&lt;=PERALTE!$X$12,8,IF(RASANTE!F202&lt;=PERALTE!$AB$12,(10/(PERALTE!$X$12-PERALTE!$AB$12)*(RASANTE!F202-PERALTE!$AB$12)-2))))),IF(AND(AH!$H$16="Izquierda",RASANTE!F202&lt;=PERALTE!$AB$14),IF(RASANTE!F202&lt;=PERALTE!$S$14,-2,IF(RASANTE!F202&lt;=PERALTE!$U$14,(-6/(PERALTE!$U$14-PERALTE!$S$14)*(RASANTE!F202-PERALTE!$S$14)-2),IF(RASANTE!F202&lt;=PERALTE!$X$14,-8,IF(RASANTE!F202&lt;=PERALTE!$Z$14,(-6/(PERALTE!$X$14-PERALTE!$Z$14)*(RASANTE!F202-PERALTE!$Z$14)-2),IF(RASANTE!F202&lt;=PERALTE!$AB$14,-2))))),IF(AND(AH!$H$16="Derecha",RASANTE!F202&lt;=PERALTE!$AB$14),IF(RASANTE!F202&lt;=PERALTE!$Q$14,-2,IF(RASANTE!F202&lt;=PERALTE!$U$14,(10/(PERALTE!$U$14-PERALTE!$Q$14)*(RASANTE!F202-PERALTE!$Q$14)-2),IF(RASANTE!F202&lt;=PERALTE!$X$14,8,IF(RASANTE!F202&lt;=PERALTE!$AB$14,(10/(PERALTE!$X$14-PERALTE!$AB$14)*(RASANTE!F202-PERALTE!$AB$14)-2))))),IF(AND(AH!$H$18="Izquierda",RASANTE!F202&lt;=PERALTE!$AB$16),IF(RASANTE!F202&lt;=PERALTE!$S$16,-2,IF(RASANTE!F202&lt;=PERALTE!$U$16,(-6/(PERALTE!$U$16-PERALTE!$S$16)*(RASANTE!F202-PERALTE!$S$16)-2),IF(RASANTE!F202&lt;=PERALTE!$X$16,-8,IF(RASANTE!F202&lt;=PERALTE!$Z$16,(-6/(PERALTE!$X$16-PERALTE!$Z$16)*(RASANTE!F202-PERALTE!$Z$16)-2),IF(RASANTE!F202&lt;=PERALTE!$AB$16,-2))))),IF(AND(AH!$H$18="Derecha",RASANTE!F202&lt;=PERALTE!$AB$16),IF(RASANTE!F202&lt;=PERALTE!$Q$16,-2,IF(RASANTE!F202&lt;=PERALTE!$U$16,(10/(PERALTE!$U$16-PERALTE!$Q$16)*(RASANTE!F202-PERALTE!$Q$16)-2),IF(RASANTE!F202&lt;=PERALTE!$X$16,8,IF(RASANTE!F202&lt;=PERALTE!$AB$16,(10/(PERALTE!$X$16-PERALTE!$AB$16)*(RASANTE!F202-PERALTE!$AB$16)-2))))),IF(AND(AH!$H$20="Izquierda",RASANTE!F202&lt;=PERALTE!$AB$18),IF(RASANTE!F202&lt;=PERALTE!$S$18,-2,IF(RASANTE!F202&lt;=PERALTE!$U$18,(-6/(PERALTE!$U$18-PERALTE!$S$18)*(RASANTE!F202-PERALTE!$S$18)-2),IF(RASANTE!F202&lt;=PERALTE!$X$18,-8,IF(RASANTE!F202&lt;=PERALTE!$Z$18,(-6/(PERALTE!$X$18-PERALTE!$Z$18)*(RASANTE!F202-PERALTE!$Z$18)-2),IF(RASANTE!F202&lt;=PERALTE!$AB$18,-2))))),IF(AND(AH!$H$20="Derecha",RASANTE!F202&lt;=PERALTE!$AB$18),IF(RASANTE!F202&lt;=PERALTE!$Q$18,-2,IF(RASANTE!F202&lt;=PERALTE!$U$18,(10/(PERALTE!$U$18-PERALTE!$Q$18)*(RASANTE!F202-PERALTE!$Q$18)-2),IF(RASANTE!F202&lt;=PERALTE!$X$18,8,IF(RASANTE!F202&lt;=PERALTE!$AB$18,(10/(PERALTE!$X$18-PERALTE!$AB$18)*(RASANTE!F202-PERALTE!$AB$18)-2))))),IF(AND(AH!$H$24="Izquierda",RASANTE!F202&lt;=PERALTE!$AB$22),IF(RASANTE!F202&lt;=PERALTE!$S$22,-2,IF(RASANTE!F202&lt;=PERALTE!$U$22,(-6/(PERALTE!$U$22-PERALTE!$S$22)*(RASANTE!F202-PERALTE!$S$22)-2),IF(RASANTE!F202&lt;=PERALTE!$X$22,-8,IF(RASANTE!F202&lt;=PERALTE!$Z$22,(-6/(PERALTE!$X$22-PERALTE!$Z$22)*(RASANTE!F202-PERALTE!$Z$22)-2),IF(RASANTE!F202&lt;=PERALTE!$AB$22,-2))))),IF(AND(AH!$H$24="Derecha",RASANTE!F202&lt;=PERALTE!$AB$22),IF(RASANTE!F202&lt;=PERALTE!$Q$22,-2,IF(RASANTE!F202&lt;=PERALTE!$U$22,(10/(PERALTE!$U$22-PERALTE!$Q$22)*(RASANTE!F202-PERALTE!$Q$22)-2),IF(RASANTE!F202&lt;=PERALTE!$X$22,8,IF(RASANTE!F202&lt;=PERALTE!$AB$22,(10/(PERALTE!$X$22-PERALTE!$AB$22)*(RASANTE!F202-PERALTE!$AB$22)-2))))),IF(AND(AH!#REF!="Izquierda",RASANTE!F202&lt;=PERALTE!#REF!),IF(RASANTE!F202&lt;=PERALTE!#REF!,-2,IF(RASANTE!F202&lt;=PERALTE!#REF!,(-6/(PERALTE!#REF!-PERALTE!#REF!)*(RASANTE!F202-PERALTE!#REF!)-2),IF(RASANTE!F202&lt;=PERALTE!#REF!,-8,IF(RASANTE!F202&lt;=PERALTE!#REF!,(-6/(PERALTE!#REF!-PERALTE!#REF!)*(RASANTE!F202-PERALTE!#REF!)-2),IF(RASANTE!F202&lt;=PERALTE!#REF!,-2))))),IF(AND(AH!#REF!="Derecha",RASANTE!F202&lt;=PERALTE!#REF!),IF(RASANTE!F202&lt;=PERALTE!#REF!,-2,IF(RASANTE!F202&lt;=PERALTE!#REF!,(10/(PERALTE!#REF!-PERALTE!#REF!)*(RASANTE!F202-PERALTE!#REF!)-2),IF(RASANTE!F202&lt;=PERALTE!#REF!,8,IF(RASANTE!F202&lt;=PERALTE!#REF!,(10/(PERALTE!#REF!-PERALTE!#REF!)*(RASANTE!F202-PERALTE!#REF!)-2))))),IF(AND(AH!#REF!="Izquierda",RASANTE!F202&lt;=PERALTE!$AB$26),IF(RASANTE!F202&lt;=PERALTE!$S$26,-2,IF(RASANTE!F202&lt;=PERALTE!$U$26,(-6/(PERALTE!$U$26-PERALTE!$S$26)*(RASANTE!F202-PERALTE!$S$26)-2),IF(RASANTE!F202&lt;=PERALTE!$X$26,-8,IF(RASANTE!F202&lt;=PERALTE!$Z$26,(-6/(PERALTE!$X$26-PERALTE!$Z$26)*(RASANTE!F202-PERALTE!$Z$26)-2),IF(RASANTE!F202&lt;=PERALTE!$AB$26,-2))))),IF(AND(AH!#REF!="Derecha",RASANTE!F202&lt;=PERALTE!$AB$26),IF(RASANTE!F202&lt;=PERALTE!$Q$26,-2,IF(RASANTE!F202&lt;=PERALTE!$U$26,(10/(PERALTE!$U$26-PERALTE!$Q$26)*(RASANTE!F202-PERALTE!$Q$26)-2),IF(RASANTE!F202&lt;=PERALTE!$X$26,8,IF(RASANTE!F202&lt;=PERALTE!$AB$26,(10/(PERALTE!$X$26-PERALTE!$AB$26)*(RASANTE!F202-PERALTE!$AB$26)-2))))),IF(F202&lt;=PERALTE!#REF!,-2,"Abscisa fuera de la vía")))))))))))))))))))))</f>
        <v>-3.1887758149511192</v>
      </c>
      <c r="I202" s="28">
        <f>+IF(AND(AH!$H$8="Derecha",RASANTE!F202&lt;=PERALTE!$AB$6),IF(RASANTE!F202&lt;=PERALTE!$S$6,-2,IF(RASANTE!F202&lt;=PERALTE!$U$6,(-6/(PERALTE!$U$6-PERALTE!$S$6)*(RASANTE!F202-PERALTE!$S$6)-2),IF(RASANTE!F202&lt;=PERALTE!$X$6,-8,IF(RASANTE!F202&lt;=PERALTE!$Z$6,(-6/(PERALTE!$X$6-PERALTE!$Z$6)*(RASANTE!F202-PERALTE!$Z$6)-2),IF(RASANTE!F202&lt;=PERALTE!$AB$6,-2))))),IF(AND(AH!$H$8="Izquierda",RASANTE!F202&lt;=PERALTE!$AB$6),IF(RASANTE!F202&lt;=PERALTE!$Q$6,-2,IF(RASANTE!F202&lt;=PERALTE!$U$6,(10/(PERALTE!$U$6-PERALTE!$Q$6)*(RASANTE!F202-PERALTE!$Q$6)-2),IF(RASANTE!F202&lt;=PERALTE!$X$6,8,IF(RASANTE!F202&lt;=PERALTE!$AB$6,(10/(PERALTE!$X$6-PERALTE!$AB$6)*(RASANTE!F202-PERALTE!$AB$6)-2))))),IF(AND(AH!$H$10="Derecha",RASANTE!F202&lt;=PERALTE!$AB$8),IF(RASANTE!F202&lt;=PERALTE!$S$8,-2,IF(RASANTE!F202&lt;=PERALTE!$U$8,(-6/(PERALTE!$U$8-PERALTE!$S$8)*(RASANTE!F202-PERALTE!$S$8)-2),IF(RASANTE!F202&lt;=PERALTE!$X$8,-8,IF(RASANTE!F202&lt;=PERALTE!$Z$8,(-6/(PERALTE!$X$8-PERALTE!$Z$8)*(RASANTE!F202-PERALTE!$Z$8)-2),IF(RASANTE!F202&lt;=PERALTE!$AB$8,-2))))),IF(AND(AH!$H$10="Izquierda",RASANTE!F202&lt;=PERALTE!$AB$8),IF(RASANTE!F202&lt;=PERALTE!$Q$8,-2,IF(RASANTE!F202&lt;=PERALTE!$U$8,(10/(PERALTE!$U$8-PERALTE!$Q$8)*(RASANTE!F202-PERALTE!$Q$8)-2),IF(RASANTE!F202&lt;=PERALTE!$X$8,8,IF(RASANTE!F202&lt;=PERALTE!$AB$8,(10/(PERALTE!$X$8-PERALTE!$AB$8)*(RASANTE!F202-PERALTE!$AB$8)-2))))),IF(AND(AH!$H$12="Derecha",RASANTE!F202&lt;=PERALTE!$AB$10),IF(RASANTE!F202&lt;=PERALTE!$S$10,-2,IF(RASANTE!F202&lt;=PERALTE!$U$10,(-6/(PERALTE!$U$10-PERALTE!$S$10)*(RASANTE!F202-PERALTE!$S$10)-2),IF(RASANTE!F202&lt;=PERALTE!$X$10,-8,IF(RASANTE!F202&lt;=PERALTE!$Z$10,(-6/(PERALTE!$X$10-PERALTE!$Z$10)*(RASANTE!F202-PERALTE!$Z$10)-2),IF(RASANTE!F202&lt;=PERALTE!$AB$10,-2))))),IF(AND(AH!$H$12="Izquierda",RASANTE!F202&lt;=PERALTE!$AB$10),IF(RASANTE!F202&lt;=PERALTE!$Q$10,-2,IF(RASANTE!F202&lt;=PERALTE!$U$10,(10/(PERALTE!$U$10-PERALTE!$Q$10)*(RASANTE!F202-PERALTE!$Q$10)-2),IF(RASANTE!F202&lt;=PERALTE!$X$10,8,IF(RASANTE!F202&lt;=PERALTE!$AB$10,(10/(PERALTE!$X$10-PERALTE!$AB$10)*(RASANTE!F202-PERALTE!$AB$10)-2))))),IF(AND(AH!$H$14="Derecha",RASANTE!F202&lt;=PERALTE!$AB$12),IF(RASANTE!F202&lt;=PERALTE!$S$12,-2,IF(RASANTE!F202&lt;=PERALTE!$U$12,(-6/(PERALTE!$U$12-PERALTE!$S$12)*(RASANTE!F202-PERALTE!$S$12)-2),IF(RASANTE!F202&lt;=PERALTE!$X$12,-8,IF(RASANTE!F202&lt;=PERALTE!$Z$12,(-6/(PERALTE!$X$12-PERALTE!$Z$12)*(RASANTE!F202-PERALTE!$Z$12)-2),IF(RASANTE!F202&lt;=PERALTE!$AB$12,-2))))),IF(AND(AH!$H$14="Izquierda",RASANTE!F202&lt;=PERALTE!$AB$12),IF(RASANTE!F202&lt;=PERALTE!$Q$12,-2,IF(RASANTE!F202&lt;=PERALTE!$U$12,(10/(PERALTE!$U$12-PERALTE!$Q$12)*(RASANTE!F202-PERALTE!$Q$12)-2),IF(RASANTE!F202&lt;=PERALTE!$X$12,8,IF(RASANTE!F202&lt;=PERALTE!$AB$12,(10/(PERALTE!$X$12-PERALTE!$AB$12)*(RASANTE!F202-PERALTE!$AB$12)-2))))),IF(AND(AH!$H$16="Derecha",RASANTE!F202&lt;=PERALTE!$AB$14),IF(RASANTE!F202&lt;=PERALTE!$S$14,-2,IF(RASANTE!F202&lt;=PERALTE!$U$14,(-6/(PERALTE!$U$14-PERALTE!$S$14)*(RASANTE!F202-PERALTE!$S$14)-2),IF(RASANTE!F202&lt;=PERALTE!$X$14,-8,IF(RASANTE!F202&lt;=PERALTE!$Z$14,(-6/(PERALTE!$X$14-PERALTE!$Z$14)*(RASANTE!F202-PERALTE!$Z$14)-2),IF(RASANTE!F202&lt;=PERALTE!$AB$14,-2))))),IF(AND(AH!$H$16="Izquierda",RASANTE!F202&lt;=PERALTE!$AB$14),IF(RASANTE!F202&lt;=PERALTE!$Q$14,-2,IF(RASANTE!F202&lt;=PERALTE!$U$14,(10/(PERALTE!$U$14-PERALTE!$Q$14)*(RASANTE!F202-PERALTE!$Q$14)-2),IF(RASANTE!F202&lt;=PERALTE!$X$14,8,IF(RASANTE!F202&lt;=PERALTE!$AB$14,(10/(PERALTE!$X$14-PERALTE!$AB$14)*(RASANTE!F202-PERALTE!$AB$14)-2))))),IF(AND(AH!$H$18="Derecha",RASANTE!F202&lt;=PERALTE!$AB$16),IF(RASANTE!F202&lt;=PERALTE!$S$16,-2,IF(RASANTE!F202&lt;=PERALTE!$U$16,(-6/(PERALTE!$U$16-PERALTE!$S$16)*(RASANTE!F202-PERALTE!$S$16)-2),IF(RASANTE!F202&lt;=PERALTE!$X$16,-8,IF(RASANTE!F202&lt;=PERALTE!$Z$16,(-6/(PERALTE!$X$16-PERALTE!$Z$16)*(RASANTE!F202-PERALTE!$Z$16)-2),IF(RASANTE!F202&lt;=PERALTE!$AB$16,-2))))),IF(AND(AH!$H$18="Izquierda",RASANTE!F202&lt;=PERALTE!$AB$16),IF(RASANTE!F202&lt;=PERALTE!$Q$16,-2,IF(RASANTE!F202&lt;=PERALTE!$U$16,(10/(PERALTE!$U$16-PERALTE!$Q$16)*(RASANTE!F202-PERALTE!$Q$16)-2),IF(RASANTE!F202&lt;=PERALTE!$X$16,8,IF(RASANTE!F202&lt;=PERALTE!$AB$16,(10/(PERALTE!$X$16-PERALTE!$AB$16)*(RASANTE!F202-PERALTE!$AB$16)-2))))),IF(AND(AH!$H$20="Derecha",RASANTE!F202&lt;=PERALTE!$AB$18),IF(RASANTE!F202&lt;=PERALTE!$S$18,-2,IF(RASANTE!F202&lt;=PERALTE!$U$18,(-6/(PERALTE!$U$18-PERALTE!$S$18)*(RASANTE!F202-PERALTE!$S$18)-2),IF(RASANTE!F202&lt;=PERALTE!$X$18,-8,IF(RASANTE!F202&lt;=PERALTE!$Z$18,(-6/(PERALTE!$X$18-PERALTE!$Z$18)*(RASANTE!F202-PERALTE!$Z$18)-2),IF(RASANTE!F202&lt;=PERALTE!$AB$18,-2))))),IF(AND(AH!$H$20="Izquierda",RASANTE!F202&lt;=PERALTE!$AB$18),IF(RASANTE!F202&lt;=PERALTE!$Q$18,-2,IF(RASANTE!F202&lt;=PERALTE!$U$18,(10/(PERALTE!$U$18-PERALTE!$Q$18)*(RASANTE!F202-PERALTE!$Q$18)-2),IF(RASANTE!F202&lt;=PERALTE!$X$18,8,IF(RASANTE!F202&lt;=PERALTE!$AB$18,(10/(PERALTE!$X$18-PERALTE!$AB$18)*(RASANTE!F202-PERALTE!$AB$18)-2))))),IF(AND(AH!$H$24="Derecha",RASANTE!F202&lt;=PERALTE!$AB$22),IF(RASANTE!F202&lt;=PERALTE!$S$22,-2,IF(RASANTE!F202&lt;=PERALTE!$U$22,(-6/(PERALTE!$U$22-PERALTE!$S$22)*(RASANTE!F202-PERALTE!$S$22)-2),IF(RASANTE!F202&lt;=PERALTE!$X$22,-8,IF(RASANTE!F202&lt;=PERALTE!$Z$22,(-6/(PERALTE!$X$22-PERALTE!$Z$22)*(RASANTE!F202-PERALTE!$Z$22)-2),IF(RASANTE!F202&lt;=PERALTE!$AB$22,-2))))),IF(AND(AH!$H$24="Izquierda",RASANTE!F202&lt;=PERALTE!$AB$22),IF(RASANTE!F202&lt;=PERALTE!$Q$22,-2,IF(RASANTE!F202&lt;=PERALTE!$U$22,(10/(PERALTE!$U$22-PERALTE!$Q$22)*(RASANTE!F202-PERALTE!$Q$22)-2),IF(RASANTE!F202&lt;=PERALTE!$X$22,8,IF(RASANTE!F202&lt;=PERALTE!$AB$22,(10/(PERALTE!$X$22-PERALTE!$AB$22)*(RASANTE!F202-PERALTE!$AB$22)-2))))),IF(AND(AH!#REF!="Derecha",RASANTE!F202&lt;=PERALTE!#REF!),IF(RASANTE!F202&lt;=PERALTE!#REF!,-2,IF(RASANTE!F202&lt;=PERALTE!#REF!,(-6/(PERALTE!#REF!-PERALTE!#REF!)*(RASANTE!F202-PERALTE!#REF!)-2),IF(RASANTE!F202&lt;=PERALTE!#REF!,-8,IF(RASANTE!F202&lt;=PERALTE!#REF!,(-6/(PERALTE!#REF!-PERALTE!#REF!)*(RASANTE!F202-PERALTE!#REF!)-2),IF(RASANTE!F202&lt;=PERALTE!#REF!,-2))))),IF(AND(AH!#REF!="Izquierda",RASANTE!F202&lt;=PERALTE!#REF!),IF(RASANTE!F202&lt;=PERALTE!#REF!,-2,IF(RASANTE!F202&lt;=PERALTE!#REF!,(10/(PERALTE!#REF!-PERALTE!#REF!)*(RASANTE!F202-PERALTE!#REF!)-2),IF(RASANTE!F202&lt;=PERALTE!#REF!,8,IF(RASANTE!F202&lt;=PERALTE!#REF!,(10/(PERALTE!#REF!-PERALTE!#REF!)*(RASANTE!F202-PERALTE!#REF!)-2))))),IF(AND(AH!#REF!="Derecha",RASANTE!F202&lt;=PERALTE!$AB$26),IF(RASANTE!F202&lt;=PERALTE!$S$26,-2,IF(RASANTE!F202&lt;=PERALTE!$U$26,(-6/(PERALTE!$U$26-PERALTE!$S$26)*(RASANTE!F202-PERALTE!$S$26)-2),IF(RASANTE!F202&lt;=PERALTE!$X$26,-8,IF(RASANTE!F202&lt;=PERALTE!$Z$26,(-6/(PERALTE!$X$26-PERALTE!$Z$26)*(RASANTE!F202-PERALTE!$Z$26)-2),IF(RASANTE!F202&lt;=PERALTE!$AB$26,-2))))),IF(AND(AH!#REF!="Izquierda",RASANTE!F202&lt;=PERALTE!$AB$26),IF(RASANTE!F202&lt;=PERALTE!$Q$26,-2,IF(RASANTE!F202&lt;=PERALTE!$U$26,(10/(PERALTE!$U$26-PERALTE!$Q$26)*(RASANTE!F202-PERALTE!$Q$26)-2),IF(RASANTE!F202&lt;=PERALTE!$X$26,8,IF(RASANTE!F202&lt;=PERALTE!$AB$26,(10/(PERALTE!$X$26-PERALTE!$AB$26)*(RASANTE!F202-PERALTE!$AB$26)-2))))),IF(F202&lt;=PERALTE!#REF!,-2,"Abscisa fuera de la vía")))))))))))))))))))))</f>
        <v>3.1887758149511027</v>
      </c>
      <c r="J202" s="28">
        <f>J201+((F202-F201)*G201/100)</f>
        <v>1626.3411380375924</v>
      </c>
      <c r="K202" s="28">
        <f>+IF(AND(AV!$S$6&lt;F202,F202&lt;=AV!$T$6),AV!$P$6*((AV!$S$6-RASANTE!F202)/(AV!$N$6))^2,IF(AND(AV!$T$6&lt;RASANTE!F202,F202&lt;AV!$U$6),AV!$P$6*((AV!$U$6-RASANTE!F202)/(AV!$O$6))^2,IF(AND(AV!$S$8&lt;F202,F202&lt;=AV!$T$8),AV!$P$8*((AV!$S$8-RASANTE!F202)/(AV!$N$8))^2,IF(AND(AV!$T$8&lt;RASANTE!F202,F202&lt;AV!$U$8),AV!$P$8*((AV!$U$8-RASANTE!F202)/(AV!$O$8))^2,IF(AND(AV!$S$10&lt;F202,F202&lt;=AV!$T$10),AV!$P$10*((AV!$S$10-RASANTE!F202)/(AV!$N$10))^2,IF(AND(AV!$T$10&lt;RASANTE!F202,F202&lt;AV!$U$10),AV!$P$10*((AV!$U$10-RASANTE!F202)/(AV!$O$10))^2,IF(AND(AV!$S$12&lt;F202,F202&lt;=AV!$T$12),AV!$P$12*((AV!$S$12-RASANTE!F202)/(AV!$N$12))^2,IF(AND(AV!$T$12&lt;RASANTE!F202,F202&lt;AV!$U$12),AV!$P$12*((AV!$U$12-RASANTE!F202)/(AV!$O$12))^2,IF(AND(AV!$S$14&lt;F202,F202&lt;=AV!$T$14),AV!$P$14*((AV!$S$14-RASANTE!F202)/(AV!$N$14))^2,IF(AND(AV!$T$14&lt;RASANTE!F202,F202&lt;AV!$U$14),AV!$P$14*((AV!$U$14-RASANTE!F202)/(AV!$O$14))^2,IF(AND(AV!$S$16&lt;F202,F202&lt;=AV!$T$16),AV!$P$16*((AV!$S$16-RASANTE!F202)/(AV!$N$16))^2,IF(AND(AV!$T$16&lt;RASANTE!F202,F202&lt;AV!$U$16),AV!$P$16*((AV!$U$16-RASANTE!F202)/(AV!$O$16))^2,IF(AND(AV!$S$18&lt;F202,F202&lt;=AV!$T$18),AV!$P$18*((AV!$S$18-RASANTE!F202)/(AV!$N$18))^2,IF(AND(AV!$T$18&lt;RASANTE!F202,F202&lt;AV!$U$18),AV!$P$18*((AV!$U$18-RASANTE!F202)/(AV!$O$18))^2,IF(AND(AV!$S$20&lt;F202,F202&lt;=AV!$T$20),AV!$P$20*((AV!$S$20-RASANTE!F202)/(AV!$N$20))^2,IF(AND(AV!$T$20&lt;RASANTE!F202,F202&lt;AV!$U$20),AV!$P$20*((AV!$U$20-RASANTE!F202)/(AV!$O$20))^2,IF(AND(AV!$S$22&lt;F202,F202&lt;=AV!$T$22),AV!$P$22*((AV!$S$22-RASANTE!F202)/(AV!$N$22))^2,IF(AND(AV!$T$22&lt;RASANTE!F202,F202&lt;AV!$U$22),AV!$P$22*((AV!$U$22-RASANTE!F202)/(AV!$O$22))^2,IF(AND(AV!$S$24&lt;F202,F202&lt;=AV!$T$24),AV!$P$24*((AV!$S$24-RASANTE!F202)/(AV!$N$24))^2,IF(AND(AV!$T$24&lt;RASANTE!F202,F202&lt;AV!$U$24),AV!$P$24*((AV!$U$24-RASANTE!F202)/(AV!$O$24))^2,0))))))))))))))))))))</f>
        <v>-0.19758914010000014</v>
      </c>
      <c r="L202" s="28">
        <f>+M202+H202%*PERALTE!$C$32</f>
        <v>1626.0319417439691</v>
      </c>
      <c r="M202" s="28">
        <f t="shared" si="7"/>
        <v>1626.1435488974923</v>
      </c>
      <c r="N202" s="28">
        <f>+M202+I202%*PERALTE!$C$32</f>
        <v>1626.2551560510155</v>
      </c>
      <c r="O202" s="92"/>
      <c r="P202" s="84"/>
      <c r="Q202" s="84"/>
      <c r="R202" s="84"/>
      <c r="S202" s="84"/>
      <c r="T202" s="84"/>
      <c r="U202" s="84"/>
      <c r="V202" s="84"/>
      <c r="W202" s="84"/>
      <c r="X202" s="84"/>
      <c r="Y202" s="84"/>
    </row>
    <row r="203" spans="1:25" ht="15.75" customHeight="1" x14ac:dyDescent="0.2">
      <c r="A203" s="90" t="s">
        <v>355</v>
      </c>
      <c r="B203" s="97"/>
      <c r="C203" s="97"/>
      <c r="D203" s="97"/>
      <c r="E203" s="153">
        <f>AV!C11</f>
        <v>-7.2409999999999997</v>
      </c>
      <c r="F203" s="34">
        <f>PERALTE!Z14</f>
        <v>1265.403526431596</v>
      </c>
      <c r="G203" s="88">
        <f>IF(F203&lt;=AV!$T$6,AV!$C$5,IF(RASANTE!F203&lt;=AV!$T$8,AV!$C$7,IF(RASANTE!F203&lt;=AV!$T$10,AV!$C$9,IF(RASANTE!F203&lt;=AV!$T$12,AV!$C$11,IF(RASANTE!F203&lt;=AV!$T$14,AV!$C$13,IF(RASANTE!F203&lt;=AV!$T$16,AV!$C$15, IF(RASANTE!F203&lt;=AV!$T$18,AV!$C$17,IF(RASANTE!F203&lt;=AV!$T$20,AV!$C$19,IF(RASANTE!F203&lt;=AV!$T$22,AV!$C$21,IF(RASANTE!F203&lt;=AV!$T$24,AV!$C$23,AV!$C$25))))))))))</f>
        <v>2.8</v>
      </c>
      <c r="H203" s="28">
        <f>+IF(AND(AH!$H$8="Izquierda",RASANTE!F203&lt;=PERALTE!$AB$6),IF(RASANTE!F203&lt;=PERALTE!$S$6,-2,IF(RASANTE!F203&lt;=PERALTE!$U$6,(-6/(PERALTE!$U$6-PERALTE!$S$6)*(RASANTE!F203-PERALTE!$S$6)-2),IF(RASANTE!F203&lt;=PERALTE!$X$6,-8,IF(RASANTE!F203&lt;=PERALTE!$Z$6,(-6/(PERALTE!$X$6-PERALTE!$Z$6)*(RASANTE!F203-PERALTE!$Z$6)-2),IF(RASANTE!F203&lt;=PERALTE!$AB$6,-2))))),IF(AND(AH!$H$8="Derecha",RASANTE!F203&lt;=PERALTE!$AB$6),IF(RASANTE!F203&lt;=PERALTE!$Q$6,-2,IF(RASANTE!F203&lt;=PERALTE!$U$6,(10/(PERALTE!$U$6-PERALTE!$Q$6)*(RASANTE!F203-PERALTE!$Q$6)-2),IF(RASANTE!F203&lt;=PERALTE!$X$6,8,IF(RASANTE!F203&lt;=PERALTE!$AB$6,(10/(PERALTE!$X$6-PERALTE!$AB$6)*(RASANTE!F203-PERALTE!$AB$6)-2))))),IF(AND(AH!$H$10="Izquierda",RASANTE!F203&lt;=PERALTE!$AB$8),IF(RASANTE!F203&lt;=PERALTE!$S$8,-2,IF(RASANTE!F203&lt;=PERALTE!$U$8,(-6/(PERALTE!$U$8-PERALTE!$S$8)*(RASANTE!F203-PERALTE!$S$8)-2),IF(RASANTE!F203&lt;=PERALTE!$X$8,-8,IF(RASANTE!F203&lt;=PERALTE!$Z$8,(-6/(PERALTE!$X$8-PERALTE!$Z$8)*(RASANTE!F203-PERALTE!$Z$8)-2),IF(RASANTE!F203&lt;=PERALTE!$AB$8,-2))))),IF(AND(AH!$H$10="Derecha",RASANTE!F203&lt;=PERALTE!$AB$8),IF(RASANTE!F203&lt;=PERALTE!$Q$8,-2,IF(RASANTE!F203&lt;=PERALTE!$U$8,(10/(PERALTE!$U$8-PERALTE!$Q$8)*(RASANTE!F203-PERALTE!$Q$8)-2),IF(RASANTE!F203&lt;=PERALTE!$X$8,8,IF(RASANTE!F203&lt;=PERALTE!$AB$8,(10/(PERALTE!$X$8-PERALTE!$AB$8)*(RASANTE!F203-PERALTE!$AB$8)-2))))),IF(AND(AH!$H$12="Izquierda",RASANTE!F203&lt;=PERALTE!$AB$10),IF(RASANTE!F203&lt;=PERALTE!$S$10,-2,IF(RASANTE!F203&lt;=PERALTE!$U$10,(-6/(PERALTE!$U$10-PERALTE!$S$10)*(RASANTE!F203-PERALTE!$S$10)-2),IF(RASANTE!F203&lt;=PERALTE!$X$10,-8,IF(RASANTE!F203&lt;=PERALTE!$Z$10,(-6/(PERALTE!$X$10-PERALTE!$Z$10)*(RASANTE!F203-PERALTE!$Z$10)-2),IF(RASANTE!F203&lt;=PERALTE!$AB$10,-2))))),IF(AND(AH!$H$12="Derecha",RASANTE!F203&lt;=PERALTE!$AB$10),IF(RASANTE!F203&lt;=PERALTE!$Q$10,-2,IF(RASANTE!F203&lt;=PERALTE!$U$10,(10/(PERALTE!$U$10-PERALTE!$Q$10)*(RASANTE!F203-PERALTE!$Q$10)-2),IF(RASANTE!F203&lt;=PERALTE!$X$10,8,IF(RASANTE!F203&lt;=PERALTE!$AB$10,(10/(PERALTE!$X$10-PERALTE!$AB$10)*(RASANTE!F203-PERALTE!$AB$10)-2))))),IF(AND(AH!$H$14="Izquierda",RASANTE!F203&lt;=PERALTE!$AB$12),IF(RASANTE!F203&lt;=PERALTE!$S$12,-2,IF(RASANTE!F203&lt;=PERALTE!$U$12,(-6/(PERALTE!$U$12-PERALTE!$S$12)*(RASANTE!F203-PERALTE!$S$12)-2),IF(RASANTE!F203&lt;=PERALTE!$X$12,-8,IF(RASANTE!F203&lt;=PERALTE!$Z$12,(-6/(PERALTE!$X$12-PERALTE!$Z$12)*(RASANTE!F203-PERALTE!$Z$12)-2),IF(RASANTE!F203&lt;=PERALTE!$AB$12,-2))))),IF(AND(AH!$H$14="Derecha",RASANTE!F203&lt;=PERALTE!$AB$12),IF(RASANTE!F203&lt;=PERALTE!$Q$12,-2,IF(RASANTE!F203&lt;=PERALTE!$U$12,(10/(PERALTE!$U$12-PERALTE!$Q$12)*(RASANTE!F203-PERALTE!$Q$12)-2),IF(RASANTE!F203&lt;=PERALTE!$X$12,8,IF(RASANTE!F203&lt;=PERALTE!$AB$12,(10/(PERALTE!$X$12-PERALTE!$AB$12)*(RASANTE!F203-PERALTE!$AB$12)-2))))),IF(AND(AH!$H$16="Izquierda",RASANTE!F203&lt;=PERALTE!$AB$14),IF(RASANTE!F203&lt;=PERALTE!$S$14,-2,IF(RASANTE!F203&lt;=PERALTE!$U$14,(-6/(PERALTE!$U$14-PERALTE!$S$14)*(RASANTE!F203-PERALTE!$S$14)-2),IF(RASANTE!F203&lt;=PERALTE!$X$14,-8,IF(RASANTE!F203&lt;=PERALTE!$Z$14,(-6/(PERALTE!$X$14-PERALTE!$Z$14)*(RASANTE!F203-PERALTE!$Z$14)-2),IF(RASANTE!F203&lt;=PERALTE!$AB$14,-2))))),IF(AND(AH!$H$16="Derecha",RASANTE!F203&lt;=PERALTE!$AB$14),IF(RASANTE!F203&lt;=PERALTE!$Q$14,-2,IF(RASANTE!F203&lt;=PERALTE!$U$14,(10/(PERALTE!$U$14-PERALTE!$Q$14)*(RASANTE!F203-PERALTE!$Q$14)-2),IF(RASANTE!F203&lt;=PERALTE!$X$14,8,IF(RASANTE!F203&lt;=PERALTE!$AB$14,(10/(PERALTE!$X$14-PERALTE!$AB$14)*(RASANTE!F203-PERALTE!$AB$14)-2))))),IF(AND(AH!$H$18="Izquierda",RASANTE!F203&lt;=PERALTE!$AB$16),IF(RASANTE!F203&lt;=PERALTE!$S$16,-2,IF(RASANTE!F203&lt;=PERALTE!$U$16,(-6/(PERALTE!$U$16-PERALTE!$S$16)*(RASANTE!F203-PERALTE!$S$16)-2),IF(RASANTE!F203&lt;=PERALTE!$X$16,-8,IF(RASANTE!F203&lt;=PERALTE!$Z$16,(-6/(PERALTE!$X$16-PERALTE!$Z$16)*(RASANTE!F203-PERALTE!$Z$16)-2),IF(RASANTE!F203&lt;=PERALTE!$AB$16,-2))))),IF(AND(AH!$H$18="Derecha",RASANTE!F203&lt;=PERALTE!$AB$16),IF(RASANTE!F203&lt;=PERALTE!$Q$16,-2,IF(RASANTE!F203&lt;=PERALTE!$U$16,(10/(PERALTE!$U$16-PERALTE!$Q$16)*(RASANTE!F203-PERALTE!$Q$16)-2),IF(RASANTE!F203&lt;=PERALTE!$X$16,8,IF(RASANTE!F203&lt;=PERALTE!$AB$16,(10/(PERALTE!$X$16-PERALTE!$AB$16)*(RASANTE!F203-PERALTE!$AB$16)-2))))),IF(AND(AH!$H$20="Izquierda",RASANTE!F203&lt;=PERALTE!$AB$18),IF(RASANTE!F203&lt;=PERALTE!$S$18,-2,IF(RASANTE!F203&lt;=PERALTE!$U$18,(-6/(PERALTE!$U$18-PERALTE!$S$18)*(RASANTE!F203-PERALTE!$S$18)-2),IF(RASANTE!F203&lt;=PERALTE!$X$18,-8,IF(RASANTE!F203&lt;=PERALTE!$Z$18,(-6/(PERALTE!$X$18-PERALTE!$Z$18)*(RASANTE!F203-PERALTE!$Z$18)-2),IF(RASANTE!F203&lt;=PERALTE!$AB$18,-2))))),IF(AND(AH!$H$20="Derecha",RASANTE!F203&lt;=PERALTE!$AB$18),IF(RASANTE!F203&lt;=PERALTE!$Q$18,-2,IF(RASANTE!F203&lt;=PERALTE!$U$18,(10/(PERALTE!$U$18-PERALTE!$Q$18)*(RASANTE!F203-PERALTE!$Q$18)-2),IF(RASANTE!F203&lt;=PERALTE!$X$18,8,IF(RASANTE!F203&lt;=PERALTE!$AB$18,(10/(PERALTE!$X$18-PERALTE!$AB$18)*(RASANTE!F203-PERALTE!$AB$18)-2))))),IF(AND(AH!$H$24="Izquierda",RASANTE!F203&lt;=PERALTE!$AB$22),IF(RASANTE!F203&lt;=PERALTE!$S$22,-2,IF(RASANTE!F203&lt;=PERALTE!$U$22,(-6/(PERALTE!$U$22-PERALTE!$S$22)*(RASANTE!F203-PERALTE!$S$22)-2),IF(RASANTE!F203&lt;=PERALTE!$X$22,-8,IF(RASANTE!F203&lt;=PERALTE!$Z$22,(-6/(PERALTE!$X$22-PERALTE!$Z$22)*(RASANTE!F203-PERALTE!$Z$22)-2),IF(RASANTE!F203&lt;=PERALTE!$AB$22,-2))))),IF(AND(AH!$H$24="Derecha",RASANTE!F203&lt;=PERALTE!$AB$22),IF(RASANTE!F203&lt;=PERALTE!$Q$22,-2,IF(RASANTE!F203&lt;=PERALTE!$U$22,(10/(PERALTE!$U$22-PERALTE!$Q$22)*(RASANTE!F203-PERALTE!$Q$22)-2),IF(RASANTE!F203&lt;=PERALTE!$X$22,8,IF(RASANTE!F203&lt;=PERALTE!$AB$22,(10/(PERALTE!$X$22-PERALTE!$AB$22)*(RASANTE!F203-PERALTE!$AB$22)-2))))),IF(AND(AH!#REF!="Izquierda",RASANTE!F203&lt;=PERALTE!#REF!),IF(RASANTE!F203&lt;=PERALTE!#REF!,-2,IF(RASANTE!F203&lt;=PERALTE!#REF!,(-6/(PERALTE!#REF!-PERALTE!#REF!)*(RASANTE!F203-PERALTE!#REF!)-2),IF(RASANTE!F203&lt;=PERALTE!#REF!,-8,IF(RASANTE!F203&lt;=PERALTE!#REF!,(-6/(PERALTE!#REF!-PERALTE!#REF!)*(RASANTE!F203-PERALTE!#REF!)-2),IF(RASANTE!F203&lt;=PERALTE!#REF!,-2))))),IF(AND(AH!#REF!="Derecha",RASANTE!F203&lt;=PERALTE!#REF!),IF(RASANTE!F203&lt;=PERALTE!#REF!,-2,IF(RASANTE!F203&lt;=PERALTE!#REF!,(10/(PERALTE!#REF!-PERALTE!#REF!)*(RASANTE!F203-PERALTE!#REF!)-2),IF(RASANTE!F203&lt;=PERALTE!#REF!,8,IF(RASANTE!F203&lt;=PERALTE!#REF!,(10/(PERALTE!#REF!-PERALTE!#REF!)*(RASANTE!F203-PERALTE!#REF!)-2))))),IF(AND(AH!#REF!="Izquierda",RASANTE!F203&lt;=PERALTE!$AB$26),IF(RASANTE!F203&lt;=PERALTE!$S$26,-2,IF(RASANTE!F203&lt;=PERALTE!$U$26,(-6/(PERALTE!$U$26-PERALTE!$S$26)*(RASANTE!F203-PERALTE!$S$26)-2),IF(RASANTE!F203&lt;=PERALTE!$X$26,-8,IF(RASANTE!F203&lt;=PERALTE!$Z$26,(-6/(PERALTE!$X$26-PERALTE!$Z$26)*(RASANTE!F203-PERALTE!$Z$26)-2),IF(RASANTE!F203&lt;=PERALTE!$AB$26,-2))))),IF(AND(AH!#REF!="Derecha",RASANTE!F203&lt;=PERALTE!$AB$26),IF(RASANTE!F203&lt;=PERALTE!$Q$26,-2,IF(RASANTE!F203&lt;=PERALTE!$U$26,(10/(PERALTE!$U$26-PERALTE!$Q$26)*(RASANTE!F203-PERALTE!$Q$26)-2),IF(RASANTE!F203&lt;=PERALTE!$X$26,8,IF(RASANTE!F203&lt;=PERALTE!$AB$26,(10/(PERALTE!$X$26-PERALTE!$AB$26)*(RASANTE!F203-PERALTE!$AB$26)-2))))),IF(F203&lt;=PERALTE!#REF!,-2,"Abscisa fuera de la vía")))))))))))))))))))))</f>
        <v>-2</v>
      </c>
      <c r="I203" s="28">
        <f>+IF(AND(AH!$H$8="Derecha",RASANTE!F203&lt;=PERALTE!$AB$6),IF(RASANTE!F203&lt;=PERALTE!$S$6,-2,IF(RASANTE!F203&lt;=PERALTE!$U$6,(-6/(PERALTE!$U$6-PERALTE!$S$6)*(RASANTE!F203-PERALTE!$S$6)-2),IF(RASANTE!F203&lt;=PERALTE!$X$6,-8,IF(RASANTE!F203&lt;=PERALTE!$Z$6,(-6/(PERALTE!$X$6-PERALTE!$Z$6)*(RASANTE!F203-PERALTE!$Z$6)-2),IF(RASANTE!F203&lt;=PERALTE!$AB$6,-2))))),IF(AND(AH!$H$8="Izquierda",RASANTE!F203&lt;=PERALTE!$AB$6),IF(RASANTE!F203&lt;=PERALTE!$Q$6,-2,IF(RASANTE!F203&lt;=PERALTE!$U$6,(10/(PERALTE!$U$6-PERALTE!$Q$6)*(RASANTE!F203-PERALTE!$Q$6)-2),IF(RASANTE!F203&lt;=PERALTE!$X$6,8,IF(RASANTE!F203&lt;=PERALTE!$AB$6,(10/(PERALTE!$X$6-PERALTE!$AB$6)*(RASANTE!F203-PERALTE!$AB$6)-2))))),IF(AND(AH!$H$10="Derecha",RASANTE!F203&lt;=PERALTE!$AB$8),IF(RASANTE!F203&lt;=PERALTE!$S$8,-2,IF(RASANTE!F203&lt;=PERALTE!$U$8,(-6/(PERALTE!$U$8-PERALTE!$S$8)*(RASANTE!F203-PERALTE!$S$8)-2),IF(RASANTE!F203&lt;=PERALTE!$X$8,-8,IF(RASANTE!F203&lt;=PERALTE!$Z$8,(-6/(PERALTE!$X$8-PERALTE!$Z$8)*(RASANTE!F203-PERALTE!$Z$8)-2),IF(RASANTE!F203&lt;=PERALTE!$AB$8,-2))))),IF(AND(AH!$H$10="Izquierda",RASANTE!F203&lt;=PERALTE!$AB$8),IF(RASANTE!F203&lt;=PERALTE!$Q$8,-2,IF(RASANTE!F203&lt;=PERALTE!$U$8,(10/(PERALTE!$U$8-PERALTE!$Q$8)*(RASANTE!F203-PERALTE!$Q$8)-2),IF(RASANTE!F203&lt;=PERALTE!$X$8,8,IF(RASANTE!F203&lt;=PERALTE!$AB$8,(10/(PERALTE!$X$8-PERALTE!$AB$8)*(RASANTE!F203-PERALTE!$AB$8)-2))))),IF(AND(AH!$H$12="Derecha",RASANTE!F203&lt;=PERALTE!$AB$10),IF(RASANTE!F203&lt;=PERALTE!$S$10,-2,IF(RASANTE!F203&lt;=PERALTE!$U$10,(-6/(PERALTE!$U$10-PERALTE!$S$10)*(RASANTE!F203-PERALTE!$S$10)-2),IF(RASANTE!F203&lt;=PERALTE!$X$10,-8,IF(RASANTE!F203&lt;=PERALTE!$Z$10,(-6/(PERALTE!$X$10-PERALTE!$Z$10)*(RASANTE!F203-PERALTE!$Z$10)-2),IF(RASANTE!F203&lt;=PERALTE!$AB$10,-2))))),IF(AND(AH!$H$12="Izquierda",RASANTE!F203&lt;=PERALTE!$AB$10),IF(RASANTE!F203&lt;=PERALTE!$Q$10,-2,IF(RASANTE!F203&lt;=PERALTE!$U$10,(10/(PERALTE!$U$10-PERALTE!$Q$10)*(RASANTE!F203-PERALTE!$Q$10)-2),IF(RASANTE!F203&lt;=PERALTE!$X$10,8,IF(RASANTE!F203&lt;=PERALTE!$AB$10,(10/(PERALTE!$X$10-PERALTE!$AB$10)*(RASANTE!F203-PERALTE!$AB$10)-2))))),IF(AND(AH!$H$14="Derecha",RASANTE!F203&lt;=PERALTE!$AB$12),IF(RASANTE!F203&lt;=PERALTE!$S$12,-2,IF(RASANTE!F203&lt;=PERALTE!$U$12,(-6/(PERALTE!$U$12-PERALTE!$S$12)*(RASANTE!F203-PERALTE!$S$12)-2),IF(RASANTE!F203&lt;=PERALTE!$X$12,-8,IF(RASANTE!F203&lt;=PERALTE!$Z$12,(-6/(PERALTE!$X$12-PERALTE!$Z$12)*(RASANTE!F203-PERALTE!$Z$12)-2),IF(RASANTE!F203&lt;=PERALTE!$AB$12,-2))))),IF(AND(AH!$H$14="Izquierda",RASANTE!F203&lt;=PERALTE!$AB$12),IF(RASANTE!F203&lt;=PERALTE!$Q$12,-2,IF(RASANTE!F203&lt;=PERALTE!$U$12,(10/(PERALTE!$U$12-PERALTE!$Q$12)*(RASANTE!F203-PERALTE!$Q$12)-2),IF(RASANTE!F203&lt;=PERALTE!$X$12,8,IF(RASANTE!F203&lt;=PERALTE!$AB$12,(10/(PERALTE!$X$12-PERALTE!$AB$12)*(RASANTE!F203-PERALTE!$AB$12)-2))))),IF(AND(AH!$H$16="Derecha",RASANTE!F203&lt;=PERALTE!$AB$14),IF(RASANTE!F203&lt;=PERALTE!$S$14,-2,IF(RASANTE!F203&lt;=PERALTE!$U$14,(-6/(PERALTE!$U$14-PERALTE!$S$14)*(RASANTE!F203-PERALTE!$S$14)-2),IF(RASANTE!F203&lt;=PERALTE!$X$14,-8,IF(RASANTE!F203&lt;=PERALTE!$Z$14,(-6/(PERALTE!$X$14-PERALTE!$Z$14)*(RASANTE!F203-PERALTE!$Z$14)-2),IF(RASANTE!F203&lt;=PERALTE!$AB$14,-2))))),IF(AND(AH!$H$16="Izquierda",RASANTE!F203&lt;=PERALTE!$AB$14),IF(RASANTE!F203&lt;=PERALTE!$Q$14,-2,IF(RASANTE!F203&lt;=PERALTE!$U$14,(10/(PERALTE!$U$14-PERALTE!$Q$14)*(RASANTE!F203-PERALTE!$Q$14)-2),IF(RASANTE!F203&lt;=PERALTE!$X$14,8,IF(RASANTE!F203&lt;=PERALTE!$AB$14,(10/(PERALTE!$X$14-PERALTE!$AB$14)*(RASANTE!F203-PERALTE!$AB$14)-2))))),IF(AND(AH!$H$18="Derecha",RASANTE!F203&lt;=PERALTE!$AB$16),IF(RASANTE!F203&lt;=PERALTE!$S$16,-2,IF(RASANTE!F203&lt;=PERALTE!$U$16,(-6/(PERALTE!$U$16-PERALTE!$S$16)*(RASANTE!F203-PERALTE!$S$16)-2),IF(RASANTE!F203&lt;=PERALTE!$X$16,-8,IF(RASANTE!F203&lt;=PERALTE!$Z$16,(-6/(PERALTE!$X$16-PERALTE!$Z$16)*(RASANTE!F203-PERALTE!$Z$16)-2),IF(RASANTE!F203&lt;=PERALTE!$AB$16,-2))))),IF(AND(AH!$H$18="Izquierda",RASANTE!F203&lt;=PERALTE!$AB$16),IF(RASANTE!F203&lt;=PERALTE!$Q$16,-2,IF(RASANTE!F203&lt;=PERALTE!$U$16,(10/(PERALTE!$U$16-PERALTE!$Q$16)*(RASANTE!F203-PERALTE!$Q$16)-2),IF(RASANTE!F203&lt;=PERALTE!$X$16,8,IF(RASANTE!F203&lt;=PERALTE!$AB$16,(10/(PERALTE!$X$16-PERALTE!$AB$16)*(RASANTE!F203-PERALTE!$AB$16)-2))))),IF(AND(AH!$H$20="Derecha",RASANTE!F203&lt;=PERALTE!$AB$18),IF(RASANTE!F203&lt;=PERALTE!$S$18,-2,IF(RASANTE!F203&lt;=PERALTE!$U$18,(-6/(PERALTE!$U$18-PERALTE!$S$18)*(RASANTE!F203-PERALTE!$S$18)-2),IF(RASANTE!F203&lt;=PERALTE!$X$18,-8,IF(RASANTE!F203&lt;=PERALTE!$Z$18,(-6/(PERALTE!$X$18-PERALTE!$Z$18)*(RASANTE!F203-PERALTE!$Z$18)-2),IF(RASANTE!F203&lt;=PERALTE!$AB$18,-2))))),IF(AND(AH!$H$20="Izquierda",RASANTE!F203&lt;=PERALTE!$AB$18),IF(RASANTE!F203&lt;=PERALTE!$Q$18,-2,IF(RASANTE!F203&lt;=PERALTE!$U$18,(10/(PERALTE!$U$18-PERALTE!$Q$18)*(RASANTE!F203-PERALTE!$Q$18)-2),IF(RASANTE!F203&lt;=PERALTE!$X$18,8,IF(RASANTE!F203&lt;=PERALTE!$AB$18,(10/(PERALTE!$X$18-PERALTE!$AB$18)*(RASANTE!F203-PERALTE!$AB$18)-2))))),IF(AND(AH!$H$24="Derecha",RASANTE!F203&lt;=PERALTE!$AB$22),IF(RASANTE!F203&lt;=PERALTE!$S$22,-2,IF(RASANTE!F203&lt;=PERALTE!$U$22,(-6/(PERALTE!$U$22-PERALTE!$S$22)*(RASANTE!F203-PERALTE!$S$22)-2),IF(RASANTE!F203&lt;=PERALTE!$X$22,-8,IF(RASANTE!F203&lt;=PERALTE!$Z$22,(-6/(PERALTE!$X$22-PERALTE!$Z$22)*(RASANTE!F203-PERALTE!$Z$22)-2),IF(RASANTE!F203&lt;=PERALTE!$AB$22,-2))))),IF(AND(AH!$H$24="Izquierda",RASANTE!F203&lt;=PERALTE!$AB$22),IF(RASANTE!F203&lt;=PERALTE!$Q$22,-2,IF(RASANTE!F203&lt;=PERALTE!$U$22,(10/(PERALTE!$U$22-PERALTE!$Q$22)*(RASANTE!F203-PERALTE!$Q$22)-2),IF(RASANTE!F203&lt;=PERALTE!$X$22,8,IF(RASANTE!F203&lt;=PERALTE!$AB$22,(10/(PERALTE!$X$22-PERALTE!$AB$22)*(RASANTE!F203-PERALTE!$AB$22)-2))))),IF(AND(AH!#REF!="Derecha",RASANTE!F203&lt;=PERALTE!#REF!),IF(RASANTE!F203&lt;=PERALTE!#REF!,-2,IF(RASANTE!F203&lt;=PERALTE!#REF!,(-6/(PERALTE!#REF!-PERALTE!#REF!)*(RASANTE!F203-PERALTE!#REF!)-2),IF(RASANTE!F203&lt;=PERALTE!#REF!,-8,IF(RASANTE!F203&lt;=PERALTE!#REF!,(-6/(PERALTE!#REF!-PERALTE!#REF!)*(RASANTE!F203-PERALTE!#REF!)-2),IF(RASANTE!F203&lt;=PERALTE!#REF!,-2))))),IF(AND(AH!#REF!="Izquierda",RASANTE!F203&lt;=PERALTE!#REF!),IF(RASANTE!F203&lt;=PERALTE!#REF!,-2,IF(RASANTE!F203&lt;=PERALTE!#REF!,(10/(PERALTE!#REF!-PERALTE!#REF!)*(RASANTE!F203-PERALTE!#REF!)-2),IF(RASANTE!F203&lt;=PERALTE!#REF!,8,IF(RASANTE!F203&lt;=PERALTE!#REF!,(10/(PERALTE!#REF!-PERALTE!#REF!)*(RASANTE!F203-PERALTE!#REF!)-2))))),IF(AND(AH!#REF!="Derecha",RASANTE!F203&lt;=PERALTE!$AB$26),IF(RASANTE!F203&lt;=PERALTE!$S$26,-2,IF(RASANTE!F203&lt;=PERALTE!$U$26,(-6/(PERALTE!$U$26-PERALTE!$S$26)*(RASANTE!F203-PERALTE!$S$26)-2),IF(RASANTE!F203&lt;=PERALTE!$X$26,-8,IF(RASANTE!F203&lt;=PERALTE!$Z$26,(-6/(PERALTE!$X$26-PERALTE!$Z$26)*(RASANTE!F203-PERALTE!$Z$26)-2),IF(RASANTE!F203&lt;=PERALTE!$AB$26,-2))))),IF(AND(AH!#REF!="Izquierda",RASANTE!F203&lt;=PERALTE!$AB$26),IF(RASANTE!F203&lt;=PERALTE!$Q$26,-2,IF(RASANTE!F203&lt;=PERALTE!$U$26,(10/(PERALTE!$U$26-PERALTE!$Q$26)*(RASANTE!F203-PERALTE!$Q$26)-2),IF(RASANTE!F203&lt;=PERALTE!$X$26,8,IF(RASANTE!F203&lt;=PERALTE!$AB$26,(10/(PERALTE!$X$26-PERALTE!$AB$26)*(RASANTE!F203-PERALTE!$AB$26)-2))))),IF(F203&lt;=PERALTE!#REF!,-2,"Abscisa fuera de la vía")))))))))))))))))))))</f>
        <v>1.9999999999999796</v>
      </c>
      <c r="J203" s="28">
        <f>J202+((F203-F202)*G202/100)</f>
        <v>1626.7842272049832</v>
      </c>
      <c r="K203" s="28">
        <f>+IF(AND(AV!$S$6&lt;F203,F203&lt;=AV!$T$6),AV!$P$6*((AV!$S$6-RASANTE!F203)/(AV!$N$6))^2,IF(AND(AV!$T$6&lt;RASANTE!F203,F203&lt;AV!$U$6),AV!$P$6*((AV!$U$6-RASANTE!F203)/(AV!$O$6))^2,IF(AND(AV!$S$8&lt;F203,F203&lt;=AV!$T$8),AV!$P$8*((AV!$S$8-RASANTE!F203)/(AV!$N$8))^2,IF(AND(AV!$T$8&lt;RASANTE!F203,F203&lt;AV!$U$8),AV!$P$8*((AV!$U$8-RASANTE!F203)/(AV!$O$8))^2,IF(AND(AV!$S$10&lt;F203,F203&lt;=AV!$T$10),AV!$P$10*((AV!$S$10-RASANTE!F203)/(AV!$N$10))^2,IF(AND(AV!$T$10&lt;RASANTE!F203,F203&lt;AV!$U$10),AV!$P$10*((AV!$U$10-RASANTE!F203)/(AV!$O$10))^2,IF(AND(AV!$S$12&lt;F203,F203&lt;=AV!$T$12),AV!$P$12*((AV!$S$12-RASANTE!F203)/(AV!$N$12))^2,IF(AND(AV!$T$12&lt;RASANTE!F203,F203&lt;AV!$U$12),AV!$P$12*((AV!$U$12-RASANTE!F203)/(AV!$O$12))^2,IF(AND(AV!$S$14&lt;F203,F203&lt;=AV!$T$14),AV!$P$14*((AV!$S$14-RASANTE!F203)/(AV!$N$14))^2,IF(AND(AV!$T$14&lt;RASANTE!F203,F203&lt;AV!$U$14),AV!$P$14*((AV!$U$14-RASANTE!F203)/(AV!$O$14))^2,IF(AND(AV!$S$16&lt;F203,F203&lt;=AV!$T$16),AV!$P$16*((AV!$S$16-RASANTE!F203)/(AV!$N$16))^2,IF(AND(AV!$T$16&lt;RASANTE!F203,F203&lt;AV!$U$16),AV!$P$16*((AV!$U$16-RASANTE!F203)/(AV!$O$16))^2,IF(AND(AV!$S$18&lt;F203,F203&lt;=AV!$T$18),AV!$P$18*((AV!$S$18-RASANTE!F203)/(AV!$N$18))^2,IF(AND(AV!$T$18&lt;RASANTE!F203,F203&lt;AV!$U$18),AV!$P$18*((AV!$U$18-RASANTE!F203)/(AV!$O$18))^2,IF(AND(AV!$S$20&lt;F203,F203&lt;=AV!$T$20),AV!$P$20*((AV!$S$20-RASANTE!F203)/(AV!$N$20))^2,IF(AND(AV!$T$20&lt;RASANTE!F203,F203&lt;AV!$U$20),AV!$P$20*((AV!$U$20-RASANTE!F203)/(AV!$O$20))^2,IF(AND(AV!$S$22&lt;F203,F203&lt;=AV!$T$22),AV!$P$22*((AV!$S$22-RASANTE!F203)/(AV!$N$22))^2,IF(AND(AV!$T$22&lt;RASANTE!F203,F203&lt;AV!$U$22),AV!$P$22*((AV!$U$22-RASANTE!F203)/(AV!$O$22))^2,IF(AND(AV!$S$24&lt;F203,F203&lt;=AV!$T$24),AV!$P$24*((AV!$S$24-RASANTE!F203)/(AV!$N$24))^2,IF(AND(AV!$T$24&lt;RASANTE!F203,F203&lt;AV!$U$24),AV!$P$24*((AV!$U$24-RASANTE!F203)/(AV!$O$24))^2,0))))))))))))))))))))</f>
        <v>-7.9752136160736911E-2</v>
      </c>
      <c r="L203" s="28">
        <f>+M203+H203%*PERALTE!$C$32</f>
        <v>1626.6344750688224</v>
      </c>
      <c r="M203" s="28">
        <f t="shared" si="7"/>
        <v>1626.7044750688224</v>
      </c>
      <c r="N203" s="28">
        <f>+M203+I203%*PERALTE!$C$32</f>
        <v>1626.7744750688223</v>
      </c>
      <c r="O203" s="92"/>
      <c r="P203" s="84"/>
      <c r="Q203" s="84"/>
      <c r="R203" s="84"/>
      <c r="S203" s="84"/>
      <c r="T203" s="84"/>
      <c r="U203" s="84"/>
      <c r="V203" s="84"/>
      <c r="W203" s="84"/>
      <c r="X203" s="84"/>
      <c r="Y203" s="84"/>
    </row>
    <row r="204" spans="1:25" ht="15.75" customHeight="1" x14ac:dyDescent="0.2">
      <c r="A204" s="90"/>
      <c r="B204" s="86"/>
      <c r="C204" s="86"/>
      <c r="D204" s="86"/>
      <c r="E204" s="197">
        <f>AV!C13</f>
        <v>8.1999999999999993</v>
      </c>
      <c r="F204" s="34">
        <v>1270</v>
      </c>
      <c r="G204" s="88">
        <f>IF(F204&lt;=AV!$T$6,AV!$C$5,IF(RASANTE!F204&lt;=AV!$T$8,AV!$C$7,IF(RASANTE!F204&lt;=AV!$T$10,AV!$C$9,IF(RASANTE!F204&lt;=AV!$T$12,AV!$C$11,IF(RASANTE!F204&lt;=AV!$T$14,AV!$C$13,IF(RASANTE!F204&lt;=AV!$T$16,AV!$C$15, IF(RASANTE!F204&lt;=AV!$T$18,AV!$C$17,IF(RASANTE!F204&lt;=AV!$T$20,AV!$C$19,IF(RASANTE!F204&lt;=AV!$T$22,AV!$C$21,IF(RASANTE!F204&lt;=AV!$T$24,AV!$C$23,AV!$C$25))))))))))</f>
        <v>2.8</v>
      </c>
      <c r="H204" s="28">
        <f>+IF(AND(AH!$H$8="Izquierda",RASANTE!F204&lt;=PERALTE!$AB$6),IF(RASANTE!F204&lt;=PERALTE!$S$6,-2,IF(RASANTE!F204&lt;=PERALTE!$U$6,(-6/(PERALTE!$U$6-PERALTE!$S$6)*(RASANTE!F204-PERALTE!$S$6)-2),IF(RASANTE!F204&lt;=PERALTE!$X$6,-8,IF(RASANTE!F204&lt;=PERALTE!$Z$6,(-6/(PERALTE!$X$6-PERALTE!$Z$6)*(RASANTE!F204-PERALTE!$Z$6)-2),IF(RASANTE!F204&lt;=PERALTE!$AB$6,-2))))),IF(AND(AH!$H$8="Derecha",RASANTE!F204&lt;=PERALTE!$AB$6),IF(RASANTE!F204&lt;=PERALTE!$Q$6,-2,IF(RASANTE!F204&lt;=PERALTE!$U$6,(10/(PERALTE!$U$6-PERALTE!$Q$6)*(RASANTE!F204-PERALTE!$Q$6)-2),IF(RASANTE!F204&lt;=PERALTE!$X$6,8,IF(RASANTE!F204&lt;=PERALTE!$AB$6,(10/(PERALTE!$X$6-PERALTE!$AB$6)*(RASANTE!F204-PERALTE!$AB$6)-2))))),IF(AND(AH!$H$10="Izquierda",RASANTE!F204&lt;=PERALTE!$AB$8),IF(RASANTE!F204&lt;=PERALTE!$S$8,-2,IF(RASANTE!F204&lt;=PERALTE!$U$8,(-6/(PERALTE!$U$8-PERALTE!$S$8)*(RASANTE!F204-PERALTE!$S$8)-2),IF(RASANTE!F204&lt;=PERALTE!$X$8,-8,IF(RASANTE!F204&lt;=PERALTE!$Z$8,(-6/(PERALTE!$X$8-PERALTE!$Z$8)*(RASANTE!F204-PERALTE!$Z$8)-2),IF(RASANTE!F204&lt;=PERALTE!$AB$8,-2))))),IF(AND(AH!$H$10="Derecha",RASANTE!F204&lt;=PERALTE!$AB$8),IF(RASANTE!F204&lt;=PERALTE!$Q$8,-2,IF(RASANTE!F204&lt;=PERALTE!$U$8,(10/(PERALTE!$U$8-PERALTE!$Q$8)*(RASANTE!F204-PERALTE!$Q$8)-2),IF(RASANTE!F204&lt;=PERALTE!$X$8,8,IF(RASANTE!F204&lt;=PERALTE!$AB$8,(10/(PERALTE!$X$8-PERALTE!$AB$8)*(RASANTE!F204-PERALTE!$AB$8)-2))))),IF(AND(AH!$H$12="Izquierda",RASANTE!F204&lt;=PERALTE!$AB$10),IF(RASANTE!F204&lt;=PERALTE!$S$10,-2,IF(RASANTE!F204&lt;=PERALTE!$U$10,(-6/(PERALTE!$U$10-PERALTE!$S$10)*(RASANTE!F204-PERALTE!$S$10)-2),IF(RASANTE!F204&lt;=PERALTE!$X$10,-8,IF(RASANTE!F204&lt;=PERALTE!$Z$10,(-6/(PERALTE!$X$10-PERALTE!$Z$10)*(RASANTE!F204-PERALTE!$Z$10)-2),IF(RASANTE!F204&lt;=PERALTE!$AB$10,-2))))),IF(AND(AH!$H$12="Derecha",RASANTE!F204&lt;=PERALTE!$AB$10),IF(RASANTE!F204&lt;=PERALTE!$Q$10,-2,IF(RASANTE!F204&lt;=PERALTE!$U$10,(10/(PERALTE!$U$10-PERALTE!$Q$10)*(RASANTE!F204-PERALTE!$Q$10)-2),IF(RASANTE!F204&lt;=PERALTE!$X$10,8,IF(RASANTE!F204&lt;=PERALTE!$AB$10,(10/(PERALTE!$X$10-PERALTE!$AB$10)*(RASANTE!F204-PERALTE!$AB$10)-2))))),IF(AND(AH!$H$14="Izquierda",RASANTE!F204&lt;=PERALTE!$AB$12),IF(RASANTE!F204&lt;=PERALTE!$S$12,-2,IF(RASANTE!F204&lt;=PERALTE!$U$12,(-6/(PERALTE!$U$12-PERALTE!$S$12)*(RASANTE!F204-PERALTE!$S$12)-2),IF(RASANTE!F204&lt;=PERALTE!$X$12,-8,IF(RASANTE!F204&lt;=PERALTE!$Z$12,(-6/(PERALTE!$X$12-PERALTE!$Z$12)*(RASANTE!F204-PERALTE!$Z$12)-2),IF(RASANTE!F204&lt;=PERALTE!$AB$12,-2))))),IF(AND(AH!$H$14="Derecha",RASANTE!F204&lt;=PERALTE!$AB$12),IF(RASANTE!F204&lt;=PERALTE!$Q$12,-2,IF(RASANTE!F204&lt;=PERALTE!$U$12,(10/(PERALTE!$U$12-PERALTE!$Q$12)*(RASANTE!F204-PERALTE!$Q$12)-2),IF(RASANTE!F204&lt;=PERALTE!$X$12,8,IF(RASANTE!F204&lt;=PERALTE!$AB$12,(10/(PERALTE!$X$12-PERALTE!$AB$12)*(RASANTE!F204-PERALTE!$AB$12)-2))))),IF(AND(AH!$H$16="Izquierda",RASANTE!F204&lt;=PERALTE!$AB$14),IF(RASANTE!F204&lt;=PERALTE!$S$14,-2,IF(RASANTE!F204&lt;=PERALTE!$U$14,(-6/(PERALTE!$U$14-PERALTE!$S$14)*(RASANTE!F204-PERALTE!$S$14)-2),IF(RASANTE!F204&lt;=PERALTE!$X$14,-8,IF(RASANTE!F204&lt;=PERALTE!$Z$14,(-6/(PERALTE!$X$14-PERALTE!$Z$14)*(RASANTE!F204-PERALTE!$Z$14)-2),IF(RASANTE!F204&lt;=PERALTE!$AB$14,-2))))),IF(AND(AH!$H$16="Derecha",RASANTE!F204&lt;=PERALTE!$AB$14),IF(RASANTE!F204&lt;=PERALTE!$Q$14,-2,IF(RASANTE!F204&lt;=PERALTE!$U$14,(10/(PERALTE!$U$14-PERALTE!$Q$14)*(RASANTE!F204-PERALTE!$Q$14)-2),IF(RASANTE!F204&lt;=PERALTE!$X$14,8,IF(RASANTE!F204&lt;=PERALTE!$AB$14,(10/(PERALTE!$X$14-PERALTE!$AB$14)*(RASANTE!F204-PERALTE!$AB$14)-2))))),IF(AND(AH!$H$18="Izquierda",RASANTE!F204&lt;=PERALTE!$AB$16),IF(RASANTE!F204&lt;=PERALTE!$S$16,-2,IF(RASANTE!F204&lt;=PERALTE!$U$16,(-6/(PERALTE!$U$16-PERALTE!$S$16)*(RASANTE!F204-PERALTE!$S$16)-2),IF(RASANTE!F204&lt;=PERALTE!$X$16,-8,IF(RASANTE!F204&lt;=PERALTE!$Z$16,(-6/(PERALTE!$X$16-PERALTE!$Z$16)*(RASANTE!F204-PERALTE!$Z$16)-2),IF(RASANTE!F204&lt;=PERALTE!$AB$16,-2))))),IF(AND(AH!$H$18="Derecha",RASANTE!F204&lt;=PERALTE!$AB$16),IF(RASANTE!F204&lt;=PERALTE!$Q$16,-2,IF(RASANTE!F204&lt;=PERALTE!$U$16,(10/(PERALTE!$U$16-PERALTE!$Q$16)*(RASANTE!F204-PERALTE!$Q$16)-2),IF(RASANTE!F204&lt;=PERALTE!$X$16,8,IF(RASANTE!F204&lt;=PERALTE!$AB$16,(10/(PERALTE!$X$16-PERALTE!$AB$16)*(RASANTE!F204-PERALTE!$AB$16)-2))))),IF(AND(AH!$H$20="Izquierda",RASANTE!F204&lt;=PERALTE!$AB$18),IF(RASANTE!F204&lt;=PERALTE!$S$18,-2,IF(RASANTE!F204&lt;=PERALTE!$U$18,(-6/(PERALTE!$U$18-PERALTE!$S$18)*(RASANTE!F204-PERALTE!$S$18)-2),IF(RASANTE!F204&lt;=PERALTE!$X$18,-8,IF(RASANTE!F204&lt;=PERALTE!$Z$18,(-6/(PERALTE!$X$18-PERALTE!$Z$18)*(RASANTE!F204-PERALTE!$Z$18)-2),IF(RASANTE!F204&lt;=PERALTE!$AB$18,-2))))),IF(AND(AH!$H$20="Derecha",RASANTE!F204&lt;=PERALTE!$AB$18),IF(RASANTE!F204&lt;=PERALTE!$Q$18,-2,IF(RASANTE!F204&lt;=PERALTE!$U$18,(10/(PERALTE!$U$18-PERALTE!$Q$18)*(RASANTE!F204-PERALTE!$Q$18)-2),IF(RASANTE!F204&lt;=PERALTE!$X$18,8,IF(RASANTE!F204&lt;=PERALTE!$AB$18,(10/(PERALTE!$X$18-PERALTE!$AB$18)*(RASANTE!F204-PERALTE!$AB$18)-2))))),IF(AND(AH!$H$24="Izquierda",RASANTE!F204&lt;=PERALTE!$AB$22),IF(RASANTE!F204&lt;=PERALTE!$S$22,-2,IF(RASANTE!F204&lt;=PERALTE!$U$22,(-6/(PERALTE!$U$22-PERALTE!$S$22)*(RASANTE!F204-PERALTE!$S$22)-2),IF(RASANTE!F204&lt;=PERALTE!$X$22,-8,IF(RASANTE!F204&lt;=PERALTE!$Z$22,(-6/(PERALTE!$X$22-PERALTE!$Z$22)*(RASANTE!F204-PERALTE!$Z$22)-2),IF(RASANTE!F204&lt;=PERALTE!$AB$22,-2))))),IF(AND(AH!$H$24="Derecha",RASANTE!F204&lt;=PERALTE!$AB$22),IF(RASANTE!F204&lt;=PERALTE!$Q$22,-2,IF(RASANTE!F204&lt;=PERALTE!$U$22,(10/(PERALTE!$U$22-PERALTE!$Q$22)*(RASANTE!F204-PERALTE!$Q$22)-2),IF(RASANTE!F204&lt;=PERALTE!$X$22,8,IF(RASANTE!F204&lt;=PERALTE!$AB$22,(10/(PERALTE!$X$22-PERALTE!$AB$22)*(RASANTE!F204-PERALTE!$AB$22)-2))))),IF(AND(AH!#REF!="Izquierda",RASANTE!F204&lt;=PERALTE!#REF!),IF(RASANTE!F204&lt;=PERALTE!#REF!,-2,IF(RASANTE!F204&lt;=PERALTE!#REF!,(-6/(PERALTE!#REF!-PERALTE!#REF!)*(RASANTE!F204-PERALTE!#REF!)-2),IF(RASANTE!F204&lt;=PERALTE!#REF!,-8,IF(RASANTE!F204&lt;=PERALTE!#REF!,(-6/(PERALTE!#REF!-PERALTE!#REF!)*(RASANTE!F204-PERALTE!#REF!)-2),IF(RASANTE!F204&lt;=PERALTE!#REF!,-2))))),IF(AND(AH!#REF!="Derecha",RASANTE!F204&lt;=PERALTE!#REF!),IF(RASANTE!F204&lt;=PERALTE!#REF!,-2,IF(RASANTE!F204&lt;=PERALTE!#REF!,(10/(PERALTE!#REF!-PERALTE!#REF!)*(RASANTE!F204-PERALTE!#REF!)-2),IF(RASANTE!F204&lt;=PERALTE!#REF!,8,IF(RASANTE!F204&lt;=PERALTE!#REF!,(10/(PERALTE!#REF!-PERALTE!#REF!)*(RASANTE!F204-PERALTE!#REF!)-2))))),IF(AND(AH!#REF!="Izquierda",RASANTE!F204&lt;=PERALTE!$AB$26),IF(RASANTE!F204&lt;=PERALTE!$S$26,-2,IF(RASANTE!F204&lt;=PERALTE!$U$26,(-6/(PERALTE!$U$26-PERALTE!$S$26)*(RASANTE!F204-PERALTE!$S$26)-2),IF(RASANTE!F204&lt;=PERALTE!$X$26,-8,IF(RASANTE!F204&lt;=PERALTE!$Z$26,(-6/(PERALTE!$X$26-PERALTE!$Z$26)*(RASANTE!F204-PERALTE!$Z$26)-2),IF(RASANTE!F204&lt;=PERALTE!$AB$26,-2))))),IF(AND(AH!#REF!="Derecha",RASANTE!F204&lt;=PERALTE!$AB$26),IF(RASANTE!F204&lt;=PERALTE!$Q$26,-2,IF(RASANTE!F204&lt;=PERALTE!$U$26,(10/(PERALTE!$U$26-PERALTE!$Q$26)*(RASANTE!F204-PERALTE!$Q$26)-2),IF(RASANTE!F204&lt;=PERALTE!$X$26,8,IF(RASANTE!F204&lt;=PERALTE!$AB$26,(10/(PERALTE!$X$26-PERALTE!$AB$26)*(RASANTE!F204-PERALTE!$AB$26)-2))))),IF(F204&lt;=PERALTE!#REF!,-2,"Abscisa fuera de la vía")))))))))))))))))))))</f>
        <v>-2</v>
      </c>
      <c r="I204" s="28">
        <f>+IF(AND(AH!$H$8="Derecha",RASANTE!F204&lt;=PERALTE!$AB$6),IF(RASANTE!F204&lt;=PERALTE!$S$6,-2,IF(RASANTE!F204&lt;=PERALTE!$U$6,(-6/(PERALTE!$U$6-PERALTE!$S$6)*(RASANTE!F204-PERALTE!$S$6)-2),IF(RASANTE!F204&lt;=PERALTE!$X$6,-8,IF(RASANTE!F204&lt;=PERALTE!$Z$6,(-6/(PERALTE!$X$6-PERALTE!$Z$6)*(RASANTE!F204-PERALTE!$Z$6)-2),IF(RASANTE!F204&lt;=PERALTE!$AB$6,-2))))),IF(AND(AH!$H$8="Izquierda",RASANTE!F204&lt;=PERALTE!$AB$6),IF(RASANTE!F204&lt;=PERALTE!$Q$6,-2,IF(RASANTE!F204&lt;=PERALTE!$U$6,(10/(PERALTE!$U$6-PERALTE!$Q$6)*(RASANTE!F204-PERALTE!$Q$6)-2),IF(RASANTE!F204&lt;=PERALTE!$X$6,8,IF(RASANTE!F204&lt;=PERALTE!$AB$6,(10/(PERALTE!$X$6-PERALTE!$AB$6)*(RASANTE!F204-PERALTE!$AB$6)-2))))),IF(AND(AH!$H$10="Derecha",RASANTE!F204&lt;=PERALTE!$AB$8),IF(RASANTE!F204&lt;=PERALTE!$S$8,-2,IF(RASANTE!F204&lt;=PERALTE!$U$8,(-6/(PERALTE!$U$8-PERALTE!$S$8)*(RASANTE!F204-PERALTE!$S$8)-2),IF(RASANTE!F204&lt;=PERALTE!$X$8,-8,IF(RASANTE!F204&lt;=PERALTE!$Z$8,(-6/(PERALTE!$X$8-PERALTE!$Z$8)*(RASANTE!F204-PERALTE!$Z$8)-2),IF(RASANTE!F204&lt;=PERALTE!$AB$8,-2))))),IF(AND(AH!$H$10="Izquierda",RASANTE!F204&lt;=PERALTE!$AB$8),IF(RASANTE!F204&lt;=PERALTE!$Q$8,-2,IF(RASANTE!F204&lt;=PERALTE!$U$8,(10/(PERALTE!$U$8-PERALTE!$Q$8)*(RASANTE!F204-PERALTE!$Q$8)-2),IF(RASANTE!F204&lt;=PERALTE!$X$8,8,IF(RASANTE!F204&lt;=PERALTE!$AB$8,(10/(PERALTE!$X$8-PERALTE!$AB$8)*(RASANTE!F204-PERALTE!$AB$8)-2))))),IF(AND(AH!$H$12="Derecha",RASANTE!F204&lt;=PERALTE!$AB$10),IF(RASANTE!F204&lt;=PERALTE!$S$10,-2,IF(RASANTE!F204&lt;=PERALTE!$U$10,(-6/(PERALTE!$U$10-PERALTE!$S$10)*(RASANTE!F204-PERALTE!$S$10)-2),IF(RASANTE!F204&lt;=PERALTE!$X$10,-8,IF(RASANTE!F204&lt;=PERALTE!$Z$10,(-6/(PERALTE!$X$10-PERALTE!$Z$10)*(RASANTE!F204-PERALTE!$Z$10)-2),IF(RASANTE!F204&lt;=PERALTE!$AB$10,-2))))),IF(AND(AH!$H$12="Izquierda",RASANTE!F204&lt;=PERALTE!$AB$10),IF(RASANTE!F204&lt;=PERALTE!$Q$10,-2,IF(RASANTE!F204&lt;=PERALTE!$U$10,(10/(PERALTE!$U$10-PERALTE!$Q$10)*(RASANTE!F204-PERALTE!$Q$10)-2),IF(RASANTE!F204&lt;=PERALTE!$X$10,8,IF(RASANTE!F204&lt;=PERALTE!$AB$10,(10/(PERALTE!$X$10-PERALTE!$AB$10)*(RASANTE!F204-PERALTE!$AB$10)-2))))),IF(AND(AH!$H$14="Derecha",RASANTE!F204&lt;=PERALTE!$AB$12),IF(RASANTE!F204&lt;=PERALTE!$S$12,-2,IF(RASANTE!F204&lt;=PERALTE!$U$12,(-6/(PERALTE!$U$12-PERALTE!$S$12)*(RASANTE!F204-PERALTE!$S$12)-2),IF(RASANTE!F204&lt;=PERALTE!$X$12,-8,IF(RASANTE!F204&lt;=PERALTE!$Z$12,(-6/(PERALTE!$X$12-PERALTE!$Z$12)*(RASANTE!F204-PERALTE!$Z$12)-2),IF(RASANTE!F204&lt;=PERALTE!$AB$12,-2))))),IF(AND(AH!$H$14="Izquierda",RASANTE!F204&lt;=PERALTE!$AB$12),IF(RASANTE!F204&lt;=PERALTE!$Q$12,-2,IF(RASANTE!F204&lt;=PERALTE!$U$12,(10/(PERALTE!$U$12-PERALTE!$Q$12)*(RASANTE!F204-PERALTE!$Q$12)-2),IF(RASANTE!F204&lt;=PERALTE!$X$12,8,IF(RASANTE!F204&lt;=PERALTE!$AB$12,(10/(PERALTE!$X$12-PERALTE!$AB$12)*(RASANTE!F204-PERALTE!$AB$12)-2))))),IF(AND(AH!$H$16="Derecha",RASANTE!F204&lt;=PERALTE!$AB$14),IF(RASANTE!F204&lt;=PERALTE!$S$14,-2,IF(RASANTE!F204&lt;=PERALTE!$U$14,(-6/(PERALTE!$U$14-PERALTE!$S$14)*(RASANTE!F204-PERALTE!$S$14)-2),IF(RASANTE!F204&lt;=PERALTE!$X$14,-8,IF(RASANTE!F204&lt;=PERALTE!$Z$14,(-6/(PERALTE!$X$14-PERALTE!$Z$14)*(RASANTE!F204-PERALTE!$Z$14)-2),IF(RASANTE!F204&lt;=PERALTE!$AB$14,-2))))),IF(AND(AH!$H$16="Izquierda",RASANTE!F204&lt;=PERALTE!$AB$14),IF(RASANTE!F204&lt;=PERALTE!$Q$14,-2,IF(RASANTE!F204&lt;=PERALTE!$U$14,(10/(PERALTE!$U$14-PERALTE!$Q$14)*(RASANTE!F204-PERALTE!$Q$14)-2),IF(RASANTE!F204&lt;=PERALTE!$X$14,8,IF(RASANTE!F204&lt;=PERALTE!$AB$14,(10/(PERALTE!$X$14-PERALTE!$AB$14)*(RASANTE!F204-PERALTE!$AB$14)-2))))),IF(AND(AH!$H$18="Derecha",RASANTE!F204&lt;=PERALTE!$AB$16),IF(RASANTE!F204&lt;=PERALTE!$S$16,-2,IF(RASANTE!F204&lt;=PERALTE!$U$16,(-6/(PERALTE!$U$16-PERALTE!$S$16)*(RASANTE!F204-PERALTE!$S$16)-2),IF(RASANTE!F204&lt;=PERALTE!$X$16,-8,IF(RASANTE!F204&lt;=PERALTE!$Z$16,(-6/(PERALTE!$X$16-PERALTE!$Z$16)*(RASANTE!F204-PERALTE!$Z$16)-2),IF(RASANTE!F204&lt;=PERALTE!$AB$16,-2))))),IF(AND(AH!$H$18="Izquierda",RASANTE!F204&lt;=PERALTE!$AB$16),IF(RASANTE!F204&lt;=PERALTE!$Q$16,-2,IF(RASANTE!F204&lt;=PERALTE!$U$16,(10/(PERALTE!$U$16-PERALTE!$Q$16)*(RASANTE!F204-PERALTE!$Q$16)-2),IF(RASANTE!F204&lt;=PERALTE!$X$16,8,IF(RASANTE!F204&lt;=PERALTE!$AB$16,(10/(PERALTE!$X$16-PERALTE!$AB$16)*(RASANTE!F204-PERALTE!$AB$16)-2))))),IF(AND(AH!$H$20="Derecha",RASANTE!F204&lt;=PERALTE!$AB$18),IF(RASANTE!F204&lt;=PERALTE!$S$18,-2,IF(RASANTE!F204&lt;=PERALTE!$U$18,(-6/(PERALTE!$U$18-PERALTE!$S$18)*(RASANTE!F204-PERALTE!$S$18)-2),IF(RASANTE!F204&lt;=PERALTE!$X$18,-8,IF(RASANTE!F204&lt;=PERALTE!$Z$18,(-6/(PERALTE!$X$18-PERALTE!$Z$18)*(RASANTE!F204-PERALTE!$Z$18)-2),IF(RASANTE!F204&lt;=PERALTE!$AB$18,-2))))),IF(AND(AH!$H$20="Izquierda",RASANTE!F204&lt;=PERALTE!$AB$18),IF(RASANTE!F204&lt;=PERALTE!$Q$18,-2,IF(RASANTE!F204&lt;=PERALTE!$U$18,(10/(PERALTE!$U$18-PERALTE!$Q$18)*(RASANTE!F204-PERALTE!$Q$18)-2),IF(RASANTE!F204&lt;=PERALTE!$X$18,8,IF(RASANTE!F204&lt;=PERALTE!$AB$18,(10/(PERALTE!$X$18-PERALTE!$AB$18)*(RASANTE!F204-PERALTE!$AB$18)-2))))),IF(AND(AH!$H$24="Derecha",RASANTE!F204&lt;=PERALTE!$AB$22),IF(RASANTE!F204&lt;=PERALTE!$S$22,-2,IF(RASANTE!F204&lt;=PERALTE!$U$22,(-6/(PERALTE!$U$22-PERALTE!$S$22)*(RASANTE!F204-PERALTE!$S$22)-2),IF(RASANTE!F204&lt;=PERALTE!$X$22,-8,IF(RASANTE!F204&lt;=PERALTE!$Z$22,(-6/(PERALTE!$X$22-PERALTE!$Z$22)*(RASANTE!F204-PERALTE!$Z$22)-2),IF(RASANTE!F204&lt;=PERALTE!$AB$22,-2))))),IF(AND(AH!$H$24="Izquierda",RASANTE!F204&lt;=PERALTE!$AB$22),IF(RASANTE!F204&lt;=PERALTE!$Q$22,-2,IF(RASANTE!F204&lt;=PERALTE!$U$22,(10/(PERALTE!$U$22-PERALTE!$Q$22)*(RASANTE!F204-PERALTE!$Q$22)-2),IF(RASANTE!F204&lt;=PERALTE!$X$22,8,IF(RASANTE!F204&lt;=PERALTE!$AB$22,(10/(PERALTE!$X$22-PERALTE!$AB$22)*(RASANTE!F204-PERALTE!$AB$22)-2))))),IF(AND(AH!#REF!="Derecha",RASANTE!F204&lt;=PERALTE!#REF!),IF(RASANTE!F204&lt;=PERALTE!#REF!,-2,IF(RASANTE!F204&lt;=PERALTE!#REF!,(-6/(PERALTE!#REF!-PERALTE!#REF!)*(RASANTE!F204-PERALTE!#REF!)-2),IF(RASANTE!F204&lt;=PERALTE!#REF!,-8,IF(RASANTE!F204&lt;=PERALTE!#REF!,(-6/(PERALTE!#REF!-PERALTE!#REF!)*(RASANTE!F204-PERALTE!#REF!)-2),IF(RASANTE!F204&lt;=PERALTE!#REF!,-2))))),IF(AND(AH!#REF!="Izquierda",RASANTE!F204&lt;=PERALTE!#REF!),IF(RASANTE!F204&lt;=PERALTE!#REF!,-2,IF(RASANTE!F204&lt;=PERALTE!#REF!,(10/(PERALTE!#REF!-PERALTE!#REF!)*(RASANTE!F204-PERALTE!#REF!)-2),IF(RASANTE!F204&lt;=PERALTE!#REF!,8,IF(RASANTE!F204&lt;=PERALTE!#REF!,(10/(PERALTE!#REF!-PERALTE!#REF!)*(RASANTE!F204-PERALTE!#REF!)-2))))),IF(AND(AH!#REF!="Derecha",RASANTE!F204&lt;=PERALTE!$AB$26),IF(RASANTE!F204&lt;=PERALTE!$S$26,-2,IF(RASANTE!F204&lt;=PERALTE!$U$26,(-6/(PERALTE!$U$26-PERALTE!$S$26)*(RASANTE!F204-PERALTE!$S$26)-2),IF(RASANTE!F204&lt;=PERALTE!$X$26,-8,IF(RASANTE!F204&lt;=PERALTE!$Z$26,(-6/(PERALTE!$X$26-PERALTE!$Z$26)*(RASANTE!F204-PERALTE!$Z$26)-2),IF(RASANTE!F204&lt;=PERALTE!$AB$26,-2))))),IF(AND(AH!#REF!="Izquierda",RASANTE!F204&lt;=PERALTE!$AB$26),IF(RASANTE!F204&lt;=PERALTE!$Q$26,-2,IF(RASANTE!F204&lt;=PERALTE!$U$26,(10/(PERALTE!$U$26-PERALTE!$Q$26)*(RASANTE!F204-PERALTE!$Q$26)-2),IF(RASANTE!F204&lt;=PERALTE!$X$26,8,IF(RASANTE!F204&lt;=PERALTE!$AB$26,(10/(PERALTE!$X$26-PERALTE!$AB$26)*(RASANTE!F204-PERALTE!$AB$26)-2))))),IF(F204&lt;=PERALTE!#REF!,-2,"Abscisa fuera de la vía")))))))))))))))))))))</f>
        <v>0.98877581495109412</v>
      </c>
      <c r="J204" s="28">
        <f t="shared" ref="J204:J207" si="10">J203+((F204-F203)*G203/100)</f>
        <v>1626.9129284648984</v>
      </c>
      <c r="K204" s="28">
        <f>+IF(AND(AV!$S$6&lt;F204,F204&lt;=AV!$T$6),AV!$P$6*((AV!$S$6-RASANTE!F204)/(AV!$N$6))^2,IF(AND(AV!$T$6&lt;RASANTE!F204,F204&lt;AV!$U$6),AV!$P$6*((AV!$U$6-RASANTE!F204)/(AV!$O$6))^2,IF(AND(AV!$S$8&lt;F204,F204&lt;=AV!$T$8),AV!$P$8*((AV!$S$8-RASANTE!F204)/(AV!$N$8))^2,IF(AND(AV!$T$8&lt;RASANTE!F204,F204&lt;AV!$U$8),AV!$P$8*((AV!$U$8-RASANTE!F204)/(AV!$O$8))^2,IF(AND(AV!$S$10&lt;F204,F204&lt;=AV!$T$10),AV!$P$10*((AV!$S$10-RASANTE!F204)/(AV!$N$10))^2,IF(AND(AV!$T$10&lt;RASANTE!F204,F204&lt;AV!$U$10),AV!$P$10*((AV!$U$10-RASANTE!F204)/(AV!$O$10))^2,IF(AND(AV!$S$12&lt;F204,F204&lt;=AV!$T$12),AV!$P$12*((AV!$S$12-RASANTE!F204)/(AV!$N$12))^2,IF(AND(AV!$T$12&lt;RASANTE!F204,F204&lt;AV!$U$12),AV!$P$12*((AV!$U$12-RASANTE!F204)/(AV!$O$12))^2,IF(AND(AV!$S$14&lt;F204,F204&lt;=AV!$T$14),AV!$P$14*((AV!$S$14-RASANTE!F204)/(AV!$N$14))^2,IF(AND(AV!$T$14&lt;RASANTE!F204,F204&lt;AV!$U$14),AV!$P$14*((AV!$U$14-RASANTE!F204)/(AV!$O$14))^2,IF(AND(AV!$S$16&lt;F204,F204&lt;=AV!$T$16),AV!$P$16*((AV!$S$16-RASANTE!F204)/(AV!$N$16))^2,IF(AND(AV!$T$16&lt;RASANTE!F204,F204&lt;AV!$U$16),AV!$P$16*((AV!$U$16-RASANTE!F204)/(AV!$O$16))^2,IF(AND(AV!$S$18&lt;F204,F204&lt;=AV!$T$18),AV!$P$18*((AV!$S$18-RASANTE!F204)/(AV!$N$18))^2,IF(AND(AV!$T$18&lt;RASANTE!F204,F204&lt;AV!$U$18),AV!$P$18*((AV!$U$18-RASANTE!F204)/(AV!$O$18))^2,IF(AND(AV!$S$20&lt;F204,F204&lt;=AV!$T$20),AV!$P$20*((AV!$S$20-RASANTE!F204)/(AV!$N$20))^2,IF(AND(AV!$T$20&lt;RASANTE!F204,F204&lt;AV!$U$20),AV!$P$20*((AV!$U$20-RASANTE!F204)/(AV!$O$20))^2,IF(AND(AV!$S$22&lt;F204,F204&lt;=AV!$T$22),AV!$P$22*((AV!$S$22-RASANTE!F204)/(AV!$N$22))^2,IF(AND(AV!$T$22&lt;RASANTE!F204,F204&lt;AV!$U$22),AV!$P$22*((AV!$U$22-RASANTE!F204)/(AV!$O$22))^2,IF(AND(AV!$S$24&lt;F204,F204&lt;=AV!$T$24),AV!$P$24*((AV!$S$24-RASANTE!F204)/(AV!$N$24))^2,IF(AND(AV!$T$24&lt;RASANTE!F204,F204&lt;AV!$U$24),AV!$P$24*((AV!$U$24-RASANTE!F204)/(AV!$O$24))^2,0))))))))))))))))))))</f>
        <v>-2.0883140100000062E-2</v>
      </c>
      <c r="L204" s="28">
        <f>+M204+H204%*PERALTE!$C$32</f>
        <v>1626.8220453247984</v>
      </c>
      <c r="M204" s="28">
        <f t="shared" si="7"/>
        <v>1626.8920453247983</v>
      </c>
      <c r="N204" s="28">
        <f>+M204+I204%*PERALTE!$C$32</f>
        <v>1626.9266524783216</v>
      </c>
      <c r="O204" s="92"/>
      <c r="P204" s="84"/>
      <c r="Q204" s="84"/>
      <c r="R204" s="84"/>
      <c r="S204" s="84"/>
      <c r="T204" s="84"/>
      <c r="U204" s="84"/>
      <c r="V204" s="84"/>
      <c r="W204" s="84"/>
      <c r="X204" s="84"/>
      <c r="Y204" s="84"/>
    </row>
    <row r="205" spans="1:25" ht="15.75" customHeight="1" x14ac:dyDescent="0.2">
      <c r="A205" s="130" t="s">
        <v>220</v>
      </c>
      <c r="B205" s="86"/>
      <c r="C205" s="86"/>
      <c r="D205" s="86"/>
      <c r="E205" s="316" t="str">
        <f>AV!Q14</f>
        <v>CONVEXA</v>
      </c>
      <c r="F205" s="34">
        <f>AV!U14</f>
        <v>1274.817</v>
      </c>
      <c r="G205" s="88">
        <f>IF(F205&lt;=AV!$T$6,AV!$C$5,IF(RASANTE!F205&lt;=AV!$T$8,AV!$C$7,IF(RASANTE!F205&lt;=AV!$T$10,AV!$C$9,IF(RASANTE!F205&lt;=AV!$T$12,AV!$C$11,IF(RASANTE!F205&lt;=AV!$T$14,AV!$C$13,IF(RASANTE!F205&lt;=AV!$T$16,AV!$C$15, IF(RASANTE!F205&lt;=AV!$T$18,AV!$C$17,IF(RASANTE!F205&lt;=AV!$T$20,AV!$C$19,IF(RASANTE!F205&lt;=AV!$T$22,AV!$C$21,IF(RASANTE!F205&lt;=AV!$T$24,AV!$C$23,AV!$C$25))))))))))</f>
        <v>2.8</v>
      </c>
      <c r="H205" s="28">
        <f>+IF(AND(AH!$H$8="Izquierda",RASANTE!F205&lt;=PERALTE!$AB$6),IF(RASANTE!F205&lt;=PERALTE!$S$6,-2,IF(RASANTE!F205&lt;=PERALTE!$U$6,(-6/(PERALTE!$U$6-PERALTE!$S$6)*(RASANTE!F205-PERALTE!$S$6)-2),IF(RASANTE!F205&lt;=PERALTE!$X$6,-8,IF(RASANTE!F205&lt;=PERALTE!$Z$6,(-6/(PERALTE!$X$6-PERALTE!$Z$6)*(RASANTE!F205-PERALTE!$Z$6)-2),IF(RASANTE!F205&lt;=PERALTE!$AB$6,-2))))),IF(AND(AH!$H$8="Derecha",RASANTE!F205&lt;=PERALTE!$AB$6),IF(RASANTE!F205&lt;=PERALTE!$Q$6,-2,IF(RASANTE!F205&lt;=PERALTE!$U$6,(10/(PERALTE!$U$6-PERALTE!$Q$6)*(RASANTE!F205-PERALTE!$Q$6)-2),IF(RASANTE!F205&lt;=PERALTE!$X$6,8,IF(RASANTE!F205&lt;=PERALTE!$AB$6,(10/(PERALTE!$X$6-PERALTE!$AB$6)*(RASANTE!F205-PERALTE!$AB$6)-2))))),IF(AND(AH!$H$10="Izquierda",RASANTE!F205&lt;=PERALTE!$AB$8),IF(RASANTE!F205&lt;=PERALTE!$S$8,-2,IF(RASANTE!F205&lt;=PERALTE!$U$8,(-6/(PERALTE!$U$8-PERALTE!$S$8)*(RASANTE!F205-PERALTE!$S$8)-2),IF(RASANTE!F205&lt;=PERALTE!$X$8,-8,IF(RASANTE!F205&lt;=PERALTE!$Z$8,(-6/(PERALTE!$X$8-PERALTE!$Z$8)*(RASANTE!F205-PERALTE!$Z$8)-2),IF(RASANTE!F205&lt;=PERALTE!$AB$8,-2))))),IF(AND(AH!$H$10="Derecha",RASANTE!F205&lt;=PERALTE!$AB$8),IF(RASANTE!F205&lt;=PERALTE!$Q$8,-2,IF(RASANTE!F205&lt;=PERALTE!$U$8,(10/(PERALTE!$U$8-PERALTE!$Q$8)*(RASANTE!F205-PERALTE!$Q$8)-2),IF(RASANTE!F205&lt;=PERALTE!$X$8,8,IF(RASANTE!F205&lt;=PERALTE!$AB$8,(10/(PERALTE!$X$8-PERALTE!$AB$8)*(RASANTE!F205-PERALTE!$AB$8)-2))))),IF(AND(AH!$H$12="Izquierda",RASANTE!F205&lt;=PERALTE!$AB$10),IF(RASANTE!F205&lt;=PERALTE!$S$10,-2,IF(RASANTE!F205&lt;=PERALTE!$U$10,(-6/(PERALTE!$U$10-PERALTE!$S$10)*(RASANTE!F205-PERALTE!$S$10)-2),IF(RASANTE!F205&lt;=PERALTE!$X$10,-8,IF(RASANTE!F205&lt;=PERALTE!$Z$10,(-6/(PERALTE!$X$10-PERALTE!$Z$10)*(RASANTE!F205-PERALTE!$Z$10)-2),IF(RASANTE!F205&lt;=PERALTE!$AB$10,-2))))),IF(AND(AH!$H$12="Derecha",RASANTE!F205&lt;=PERALTE!$AB$10),IF(RASANTE!F205&lt;=PERALTE!$Q$10,-2,IF(RASANTE!F205&lt;=PERALTE!$U$10,(10/(PERALTE!$U$10-PERALTE!$Q$10)*(RASANTE!F205-PERALTE!$Q$10)-2),IF(RASANTE!F205&lt;=PERALTE!$X$10,8,IF(RASANTE!F205&lt;=PERALTE!$AB$10,(10/(PERALTE!$X$10-PERALTE!$AB$10)*(RASANTE!F205-PERALTE!$AB$10)-2))))),IF(AND(AH!$H$14="Izquierda",RASANTE!F205&lt;=PERALTE!$AB$12),IF(RASANTE!F205&lt;=PERALTE!$S$12,-2,IF(RASANTE!F205&lt;=PERALTE!$U$12,(-6/(PERALTE!$U$12-PERALTE!$S$12)*(RASANTE!F205-PERALTE!$S$12)-2),IF(RASANTE!F205&lt;=PERALTE!$X$12,-8,IF(RASANTE!F205&lt;=PERALTE!$Z$12,(-6/(PERALTE!$X$12-PERALTE!$Z$12)*(RASANTE!F205-PERALTE!$Z$12)-2),IF(RASANTE!F205&lt;=PERALTE!$AB$12,-2))))),IF(AND(AH!$H$14="Derecha",RASANTE!F205&lt;=PERALTE!$AB$12),IF(RASANTE!F205&lt;=PERALTE!$Q$12,-2,IF(RASANTE!F205&lt;=PERALTE!$U$12,(10/(PERALTE!$U$12-PERALTE!$Q$12)*(RASANTE!F205-PERALTE!$Q$12)-2),IF(RASANTE!F205&lt;=PERALTE!$X$12,8,IF(RASANTE!F205&lt;=PERALTE!$AB$12,(10/(PERALTE!$X$12-PERALTE!$AB$12)*(RASANTE!F205-PERALTE!$AB$12)-2))))),IF(AND(AH!$H$16="Izquierda",RASANTE!F205&lt;=PERALTE!$AB$14),IF(RASANTE!F205&lt;=PERALTE!$S$14,-2,IF(RASANTE!F205&lt;=PERALTE!$U$14,(-6/(PERALTE!$U$14-PERALTE!$S$14)*(RASANTE!F205-PERALTE!$S$14)-2),IF(RASANTE!F205&lt;=PERALTE!$X$14,-8,IF(RASANTE!F205&lt;=PERALTE!$Z$14,(-6/(PERALTE!$X$14-PERALTE!$Z$14)*(RASANTE!F205-PERALTE!$Z$14)-2),IF(RASANTE!F205&lt;=PERALTE!$AB$14,-2))))),IF(AND(AH!$H$16="Derecha",RASANTE!F205&lt;=PERALTE!$AB$14),IF(RASANTE!F205&lt;=PERALTE!$Q$14,-2,IF(RASANTE!F205&lt;=PERALTE!$U$14,(10/(PERALTE!$U$14-PERALTE!$Q$14)*(RASANTE!F205-PERALTE!$Q$14)-2),IF(RASANTE!F205&lt;=PERALTE!$X$14,8,IF(RASANTE!F205&lt;=PERALTE!$AB$14,(10/(PERALTE!$X$14-PERALTE!$AB$14)*(RASANTE!F205-PERALTE!$AB$14)-2))))),IF(AND(AH!$H$18="Izquierda",RASANTE!F205&lt;=PERALTE!$AB$16),IF(RASANTE!F205&lt;=PERALTE!$S$16,-2,IF(RASANTE!F205&lt;=PERALTE!$U$16,(-6/(PERALTE!$U$16-PERALTE!$S$16)*(RASANTE!F205-PERALTE!$S$16)-2),IF(RASANTE!F205&lt;=PERALTE!$X$16,-8,IF(RASANTE!F205&lt;=PERALTE!$Z$16,(-6/(PERALTE!$X$16-PERALTE!$Z$16)*(RASANTE!F205-PERALTE!$Z$16)-2),IF(RASANTE!F205&lt;=PERALTE!$AB$16,-2))))),IF(AND(AH!$H$18="Derecha",RASANTE!F205&lt;=PERALTE!$AB$16),IF(RASANTE!F205&lt;=PERALTE!$Q$16,-2,IF(RASANTE!F205&lt;=PERALTE!$U$16,(10/(PERALTE!$U$16-PERALTE!$Q$16)*(RASANTE!F205-PERALTE!$Q$16)-2),IF(RASANTE!F205&lt;=PERALTE!$X$16,8,IF(RASANTE!F205&lt;=PERALTE!$AB$16,(10/(PERALTE!$X$16-PERALTE!$AB$16)*(RASANTE!F205-PERALTE!$AB$16)-2))))),IF(AND(AH!$H$20="Izquierda",RASANTE!F205&lt;=PERALTE!$AB$18),IF(RASANTE!F205&lt;=PERALTE!$S$18,-2,IF(RASANTE!F205&lt;=PERALTE!$U$18,(-6/(PERALTE!$U$18-PERALTE!$S$18)*(RASANTE!F205-PERALTE!$S$18)-2),IF(RASANTE!F205&lt;=PERALTE!$X$18,-8,IF(RASANTE!F205&lt;=PERALTE!$Z$18,(-6/(PERALTE!$X$18-PERALTE!$Z$18)*(RASANTE!F205-PERALTE!$Z$18)-2),IF(RASANTE!F205&lt;=PERALTE!$AB$18,-2))))),IF(AND(AH!$H$20="Derecha",RASANTE!F205&lt;=PERALTE!$AB$18),IF(RASANTE!F205&lt;=PERALTE!$Q$18,-2,IF(RASANTE!F205&lt;=PERALTE!$U$18,(10/(PERALTE!$U$18-PERALTE!$Q$18)*(RASANTE!F205-PERALTE!$Q$18)-2),IF(RASANTE!F205&lt;=PERALTE!$X$18,8,IF(RASANTE!F205&lt;=PERALTE!$AB$18,(10/(PERALTE!$X$18-PERALTE!$AB$18)*(RASANTE!F205-PERALTE!$AB$18)-2))))),IF(AND(AH!$H$24="Izquierda",RASANTE!F205&lt;=PERALTE!$AB$22),IF(RASANTE!F205&lt;=PERALTE!$S$22,-2,IF(RASANTE!F205&lt;=PERALTE!$U$22,(-6/(PERALTE!$U$22-PERALTE!$S$22)*(RASANTE!F205-PERALTE!$S$22)-2),IF(RASANTE!F205&lt;=PERALTE!$X$22,-8,IF(RASANTE!F205&lt;=PERALTE!$Z$22,(-6/(PERALTE!$X$22-PERALTE!$Z$22)*(RASANTE!F205-PERALTE!$Z$22)-2),IF(RASANTE!F205&lt;=PERALTE!$AB$22,-2))))),IF(AND(AH!$H$24="Derecha",RASANTE!F205&lt;=PERALTE!$AB$22),IF(RASANTE!F205&lt;=PERALTE!$Q$22,-2,IF(RASANTE!F205&lt;=PERALTE!$U$22,(10/(PERALTE!$U$22-PERALTE!$Q$22)*(RASANTE!F205-PERALTE!$Q$22)-2),IF(RASANTE!F205&lt;=PERALTE!$X$22,8,IF(RASANTE!F205&lt;=PERALTE!$AB$22,(10/(PERALTE!$X$22-PERALTE!$AB$22)*(RASANTE!F205-PERALTE!$AB$22)-2))))),IF(AND(AH!#REF!="Izquierda",RASANTE!F205&lt;=PERALTE!#REF!),IF(RASANTE!F205&lt;=PERALTE!#REF!,-2,IF(RASANTE!F205&lt;=PERALTE!#REF!,(-6/(PERALTE!#REF!-PERALTE!#REF!)*(RASANTE!F205-PERALTE!#REF!)-2),IF(RASANTE!F205&lt;=PERALTE!#REF!,-8,IF(RASANTE!F205&lt;=PERALTE!#REF!,(-6/(PERALTE!#REF!-PERALTE!#REF!)*(RASANTE!F205-PERALTE!#REF!)-2),IF(RASANTE!F205&lt;=PERALTE!#REF!,-2))))),IF(AND(AH!#REF!="Derecha",RASANTE!F205&lt;=PERALTE!#REF!),IF(RASANTE!F205&lt;=PERALTE!#REF!,-2,IF(RASANTE!F205&lt;=PERALTE!#REF!,(10/(PERALTE!#REF!-PERALTE!#REF!)*(RASANTE!F205-PERALTE!#REF!)-2),IF(RASANTE!F205&lt;=PERALTE!#REF!,8,IF(RASANTE!F205&lt;=PERALTE!#REF!,(10/(PERALTE!#REF!-PERALTE!#REF!)*(RASANTE!F205-PERALTE!#REF!)-2))))),IF(AND(AH!#REF!="Izquierda",RASANTE!F205&lt;=PERALTE!$AB$26),IF(RASANTE!F205&lt;=PERALTE!$S$26,-2,IF(RASANTE!F205&lt;=PERALTE!$U$26,(-6/(PERALTE!$U$26-PERALTE!$S$26)*(RASANTE!F205-PERALTE!$S$26)-2),IF(RASANTE!F205&lt;=PERALTE!$X$26,-8,IF(RASANTE!F205&lt;=PERALTE!$Z$26,(-6/(PERALTE!$X$26-PERALTE!$Z$26)*(RASANTE!F205-PERALTE!$Z$26)-2),IF(RASANTE!F205&lt;=PERALTE!$AB$26,-2))))),IF(AND(AH!#REF!="Derecha",RASANTE!F205&lt;=PERALTE!$AB$26),IF(RASANTE!F205&lt;=PERALTE!$Q$26,-2,IF(RASANTE!F205&lt;=PERALTE!$U$26,(10/(PERALTE!$U$26-PERALTE!$Q$26)*(RASANTE!F205-PERALTE!$Q$26)-2),IF(RASANTE!F205&lt;=PERALTE!$X$26,8,IF(RASANTE!F205&lt;=PERALTE!$AB$26,(10/(PERALTE!$X$26-PERALTE!$AB$26)*(RASANTE!F205-PERALTE!$AB$26)-2))))),IF(F205&lt;=PERALTE!#REF!,-2,"Abscisa fuera de la vía")))))))))))))))))))))</f>
        <v>-2</v>
      </c>
      <c r="I205" s="28">
        <f>+IF(AND(AH!$H$8="Derecha",RASANTE!F205&lt;=PERALTE!$AB$6),IF(RASANTE!F205&lt;=PERALTE!$S$6,-2,IF(RASANTE!F205&lt;=PERALTE!$U$6,(-6/(PERALTE!$U$6-PERALTE!$S$6)*(RASANTE!F205-PERALTE!$S$6)-2),IF(RASANTE!F205&lt;=PERALTE!$X$6,-8,IF(RASANTE!F205&lt;=PERALTE!$Z$6,(-6/(PERALTE!$X$6-PERALTE!$Z$6)*(RASANTE!F205-PERALTE!$Z$6)-2),IF(RASANTE!F205&lt;=PERALTE!$AB$6,-2))))),IF(AND(AH!$H$8="Izquierda",RASANTE!F205&lt;=PERALTE!$AB$6),IF(RASANTE!F205&lt;=PERALTE!$Q$6,-2,IF(RASANTE!F205&lt;=PERALTE!$U$6,(10/(PERALTE!$U$6-PERALTE!$Q$6)*(RASANTE!F205-PERALTE!$Q$6)-2),IF(RASANTE!F205&lt;=PERALTE!$X$6,8,IF(RASANTE!F205&lt;=PERALTE!$AB$6,(10/(PERALTE!$X$6-PERALTE!$AB$6)*(RASANTE!F205-PERALTE!$AB$6)-2))))),IF(AND(AH!$H$10="Derecha",RASANTE!F205&lt;=PERALTE!$AB$8),IF(RASANTE!F205&lt;=PERALTE!$S$8,-2,IF(RASANTE!F205&lt;=PERALTE!$U$8,(-6/(PERALTE!$U$8-PERALTE!$S$8)*(RASANTE!F205-PERALTE!$S$8)-2),IF(RASANTE!F205&lt;=PERALTE!$X$8,-8,IF(RASANTE!F205&lt;=PERALTE!$Z$8,(-6/(PERALTE!$X$8-PERALTE!$Z$8)*(RASANTE!F205-PERALTE!$Z$8)-2),IF(RASANTE!F205&lt;=PERALTE!$AB$8,-2))))),IF(AND(AH!$H$10="Izquierda",RASANTE!F205&lt;=PERALTE!$AB$8),IF(RASANTE!F205&lt;=PERALTE!$Q$8,-2,IF(RASANTE!F205&lt;=PERALTE!$U$8,(10/(PERALTE!$U$8-PERALTE!$Q$8)*(RASANTE!F205-PERALTE!$Q$8)-2),IF(RASANTE!F205&lt;=PERALTE!$X$8,8,IF(RASANTE!F205&lt;=PERALTE!$AB$8,(10/(PERALTE!$X$8-PERALTE!$AB$8)*(RASANTE!F205-PERALTE!$AB$8)-2))))),IF(AND(AH!$H$12="Derecha",RASANTE!F205&lt;=PERALTE!$AB$10),IF(RASANTE!F205&lt;=PERALTE!$S$10,-2,IF(RASANTE!F205&lt;=PERALTE!$U$10,(-6/(PERALTE!$U$10-PERALTE!$S$10)*(RASANTE!F205-PERALTE!$S$10)-2),IF(RASANTE!F205&lt;=PERALTE!$X$10,-8,IF(RASANTE!F205&lt;=PERALTE!$Z$10,(-6/(PERALTE!$X$10-PERALTE!$Z$10)*(RASANTE!F205-PERALTE!$Z$10)-2),IF(RASANTE!F205&lt;=PERALTE!$AB$10,-2))))),IF(AND(AH!$H$12="Izquierda",RASANTE!F205&lt;=PERALTE!$AB$10),IF(RASANTE!F205&lt;=PERALTE!$Q$10,-2,IF(RASANTE!F205&lt;=PERALTE!$U$10,(10/(PERALTE!$U$10-PERALTE!$Q$10)*(RASANTE!F205-PERALTE!$Q$10)-2),IF(RASANTE!F205&lt;=PERALTE!$X$10,8,IF(RASANTE!F205&lt;=PERALTE!$AB$10,(10/(PERALTE!$X$10-PERALTE!$AB$10)*(RASANTE!F205-PERALTE!$AB$10)-2))))),IF(AND(AH!$H$14="Derecha",RASANTE!F205&lt;=PERALTE!$AB$12),IF(RASANTE!F205&lt;=PERALTE!$S$12,-2,IF(RASANTE!F205&lt;=PERALTE!$U$12,(-6/(PERALTE!$U$12-PERALTE!$S$12)*(RASANTE!F205-PERALTE!$S$12)-2),IF(RASANTE!F205&lt;=PERALTE!$X$12,-8,IF(RASANTE!F205&lt;=PERALTE!$Z$12,(-6/(PERALTE!$X$12-PERALTE!$Z$12)*(RASANTE!F205-PERALTE!$Z$12)-2),IF(RASANTE!F205&lt;=PERALTE!$AB$12,-2))))),IF(AND(AH!$H$14="Izquierda",RASANTE!F205&lt;=PERALTE!$AB$12),IF(RASANTE!F205&lt;=PERALTE!$Q$12,-2,IF(RASANTE!F205&lt;=PERALTE!$U$12,(10/(PERALTE!$U$12-PERALTE!$Q$12)*(RASANTE!F205-PERALTE!$Q$12)-2),IF(RASANTE!F205&lt;=PERALTE!$X$12,8,IF(RASANTE!F205&lt;=PERALTE!$AB$12,(10/(PERALTE!$X$12-PERALTE!$AB$12)*(RASANTE!F205-PERALTE!$AB$12)-2))))),IF(AND(AH!$H$16="Derecha",RASANTE!F205&lt;=PERALTE!$AB$14),IF(RASANTE!F205&lt;=PERALTE!$S$14,-2,IF(RASANTE!F205&lt;=PERALTE!$U$14,(-6/(PERALTE!$U$14-PERALTE!$S$14)*(RASANTE!F205-PERALTE!$S$14)-2),IF(RASANTE!F205&lt;=PERALTE!$X$14,-8,IF(RASANTE!F205&lt;=PERALTE!$Z$14,(-6/(PERALTE!$X$14-PERALTE!$Z$14)*(RASANTE!F205-PERALTE!$Z$14)-2),IF(RASANTE!F205&lt;=PERALTE!$AB$14,-2))))),IF(AND(AH!$H$16="Izquierda",RASANTE!F205&lt;=PERALTE!$AB$14),IF(RASANTE!F205&lt;=PERALTE!$Q$14,-2,IF(RASANTE!F205&lt;=PERALTE!$U$14,(10/(PERALTE!$U$14-PERALTE!$Q$14)*(RASANTE!F205-PERALTE!$Q$14)-2),IF(RASANTE!F205&lt;=PERALTE!$X$14,8,IF(RASANTE!F205&lt;=PERALTE!$AB$14,(10/(PERALTE!$X$14-PERALTE!$AB$14)*(RASANTE!F205-PERALTE!$AB$14)-2))))),IF(AND(AH!$H$18="Derecha",RASANTE!F205&lt;=PERALTE!$AB$16),IF(RASANTE!F205&lt;=PERALTE!$S$16,-2,IF(RASANTE!F205&lt;=PERALTE!$U$16,(-6/(PERALTE!$U$16-PERALTE!$S$16)*(RASANTE!F205-PERALTE!$S$16)-2),IF(RASANTE!F205&lt;=PERALTE!$X$16,-8,IF(RASANTE!F205&lt;=PERALTE!$Z$16,(-6/(PERALTE!$X$16-PERALTE!$Z$16)*(RASANTE!F205-PERALTE!$Z$16)-2),IF(RASANTE!F205&lt;=PERALTE!$AB$16,-2))))),IF(AND(AH!$H$18="Izquierda",RASANTE!F205&lt;=PERALTE!$AB$16),IF(RASANTE!F205&lt;=PERALTE!$Q$16,-2,IF(RASANTE!F205&lt;=PERALTE!$U$16,(10/(PERALTE!$U$16-PERALTE!$Q$16)*(RASANTE!F205-PERALTE!$Q$16)-2),IF(RASANTE!F205&lt;=PERALTE!$X$16,8,IF(RASANTE!F205&lt;=PERALTE!$AB$16,(10/(PERALTE!$X$16-PERALTE!$AB$16)*(RASANTE!F205-PERALTE!$AB$16)-2))))),IF(AND(AH!$H$20="Derecha",RASANTE!F205&lt;=PERALTE!$AB$18),IF(RASANTE!F205&lt;=PERALTE!$S$18,-2,IF(RASANTE!F205&lt;=PERALTE!$U$18,(-6/(PERALTE!$U$18-PERALTE!$S$18)*(RASANTE!F205-PERALTE!$S$18)-2),IF(RASANTE!F205&lt;=PERALTE!$X$18,-8,IF(RASANTE!F205&lt;=PERALTE!$Z$18,(-6/(PERALTE!$X$18-PERALTE!$Z$18)*(RASANTE!F205-PERALTE!$Z$18)-2),IF(RASANTE!F205&lt;=PERALTE!$AB$18,-2))))),IF(AND(AH!$H$20="Izquierda",RASANTE!F205&lt;=PERALTE!$AB$18),IF(RASANTE!F205&lt;=PERALTE!$Q$18,-2,IF(RASANTE!F205&lt;=PERALTE!$U$18,(10/(PERALTE!$U$18-PERALTE!$Q$18)*(RASANTE!F205-PERALTE!$Q$18)-2),IF(RASANTE!F205&lt;=PERALTE!$X$18,8,IF(RASANTE!F205&lt;=PERALTE!$AB$18,(10/(PERALTE!$X$18-PERALTE!$AB$18)*(RASANTE!F205-PERALTE!$AB$18)-2))))),IF(AND(AH!$H$24="Derecha",RASANTE!F205&lt;=PERALTE!$AB$22),IF(RASANTE!F205&lt;=PERALTE!$S$22,-2,IF(RASANTE!F205&lt;=PERALTE!$U$22,(-6/(PERALTE!$U$22-PERALTE!$S$22)*(RASANTE!F205-PERALTE!$S$22)-2),IF(RASANTE!F205&lt;=PERALTE!$X$22,-8,IF(RASANTE!F205&lt;=PERALTE!$Z$22,(-6/(PERALTE!$X$22-PERALTE!$Z$22)*(RASANTE!F205-PERALTE!$Z$22)-2),IF(RASANTE!F205&lt;=PERALTE!$AB$22,-2))))),IF(AND(AH!$H$24="Izquierda",RASANTE!F205&lt;=PERALTE!$AB$22),IF(RASANTE!F205&lt;=PERALTE!$Q$22,-2,IF(RASANTE!F205&lt;=PERALTE!$U$22,(10/(PERALTE!$U$22-PERALTE!$Q$22)*(RASANTE!F205-PERALTE!$Q$22)-2),IF(RASANTE!F205&lt;=PERALTE!$X$22,8,IF(RASANTE!F205&lt;=PERALTE!$AB$22,(10/(PERALTE!$X$22-PERALTE!$AB$22)*(RASANTE!F205-PERALTE!$AB$22)-2))))),IF(AND(AH!#REF!="Derecha",RASANTE!F205&lt;=PERALTE!#REF!),IF(RASANTE!F205&lt;=PERALTE!#REF!,-2,IF(RASANTE!F205&lt;=PERALTE!#REF!,(-6/(PERALTE!#REF!-PERALTE!#REF!)*(RASANTE!F205-PERALTE!#REF!)-2),IF(RASANTE!F205&lt;=PERALTE!#REF!,-8,IF(RASANTE!F205&lt;=PERALTE!#REF!,(-6/(PERALTE!#REF!-PERALTE!#REF!)*(RASANTE!F205-PERALTE!#REF!)-2),IF(RASANTE!F205&lt;=PERALTE!#REF!,-2))))),IF(AND(AH!#REF!="Izquierda",RASANTE!F205&lt;=PERALTE!#REF!),IF(RASANTE!F205&lt;=PERALTE!#REF!,-2,IF(RASANTE!F205&lt;=PERALTE!#REF!,(10/(PERALTE!#REF!-PERALTE!#REF!)*(RASANTE!F205-PERALTE!#REF!)-2),IF(RASANTE!F205&lt;=PERALTE!#REF!,8,IF(RASANTE!F205&lt;=PERALTE!#REF!,(10/(PERALTE!#REF!-PERALTE!#REF!)*(RASANTE!F205-PERALTE!#REF!)-2))))),IF(AND(AH!#REF!="Derecha",RASANTE!F205&lt;=PERALTE!$AB$26),IF(RASANTE!F205&lt;=PERALTE!$S$26,-2,IF(RASANTE!F205&lt;=PERALTE!$U$26,(-6/(PERALTE!$U$26-PERALTE!$S$26)*(RASANTE!F205-PERALTE!$S$26)-2),IF(RASANTE!F205&lt;=PERALTE!$X$26,-8,IF(RASANTE!F205&lt;=PERALTE!$Z$26,(-6/(PERALTE!$X$26-PERALTE!$Z$26)*(RASANTE!F205-PERALTE!$Z$26)-2),IF(RASANTE!F205&lt;=PERALTE!$AB$26,-2))))),IF(AND(AH!#REF!="Izquierda",RASANTE!F205&lt;=PERALTE!$AB$26),IF(RASANTE!F205&lt;=PERALTE!$Q$26,-2,IF(RASANTE!F205&lt;=PERALTE!$U$26,(10/(PERALTE!$U$26-PERALTE!$Q$26)*(RASANTE!F205-PERALTE!$Q$26)-2),IF(RASANTE!F205&lt;=PERALTE!$X$26,8,IF(RASANTE!F205&lt;=PERALTE!$AB$26,(10/(PERALTE!$X$26-PERALTE!$AB$26)*(RASANTE!F205-PERALTE!$AB$26)-2))))),IF(F205&lt;=PERALTE!#REF!,-2,"Abscisa fuera de la vía")))))))))))))))))))))</f>
        <v>-7.0964185048911999E-2</v>
      </c>
      <c r="J205" s="28">
        <f t="shared" si="10"/>
        <v>1627.0478044648985</v>
      </c>
      <c r="K205" s="28">
        <f>+IF(AND(AV!$S$6&lt;F205,F205&lt;=AV!$T$6),AV!$P$6*((AV!$S$6-RASANTE!F205)/(AV!$N$6))^2,IF(AND(AV!$T$6&lt;RASANTE!F205,F205&lt;AV!$U$6),AV!$P$6*((AV!$U$6-RASANTE!F205)/(AV!$O$6))^2,IF(AND(AV!$S$8&lt;F205,F205&lt;=AV!$T$8),AV!$P$8*((AV!$S$8-RASANTE!F205)/(AV!$N$8))^2,IF(AND(AV!$T$8&lt;RASANTE!F205,F205&lt;AV!$U$8),AV!$P$8*((AV!$U$8-RASANTE!F205)/(AV!$O$8))^2,IF(AND(AV!$S$10&lt;F205,F205&lt;=AV!$T$10),AV!$P$10*((AV!$S$10-RASANTE!F205)/(AV!$N$10))^2,IF(AND(AV!$T$10&lt;RASANTE!F205,F205&lt;AV!$U$10),AV!$P$10*((AV!$U$10-RASANTE!F205)/(AV!$O$10))^2,IF(AND(AV!$S$12&lt;F205,F205&lt;=AV!$T$12),AV!$P$12*((AV!$S$12-RASANTE!F205)/(AV!$N$12))^2,IF(AND(AV!$T$12&lt;RASANTE!F205,F205&lt;AV!$U$12),AV!$P$12*((AV!$U$12-RASANTE!F205)/(AV!$O$12))^2,IF(AND(AV!$S$14&lt;F205,F205&lt;=AV!$T$14),AV!$P$14*((AV!$S$14-RASANTE!F205)/(AV!$N$14))^2,IF(AND(AV!$T$14&lt;RASANTE!F205,F205&lt;AV!$U$14),AV!$P$14*((AV!$U$14-RASANTE!F205)/(AV!$O$14))^2,IF(AND(AV!$S$16&lt;F205,F205&lt;=AV!$T$16),AV!$P$16*((AV!$S$16-RASANTE!F205)/(AV!$N$16))^2,IF(AND(AV!$T$16&lt;RASANTE!F205,F205&lt;AV!$U$16),AV!$P$16*((AV!$U$16-RASANTE!F205)/(AV!$O$16))^2,IF(AND(AV!$S$18&lt;F205,F205&lt;=AV!$T$18),AV!$P$18*((AV!$S$18-RASANTE!F205)/(AV!$N$18))^2,IF(AND(AV!$T$18&lt;RASANTE!F205,F205&lt;AV!$U$18),AV!$P$18*((AV!$U$18-RASANTE!F205)/(AV!$O$18))^2,IF(AND(AV!$S$20&lt;F205,F205&lt;=AV!$T$20),AV!$P$20*((AV!$S$20-RASANTE!F205)/(AV!$N$20))^2,IF(AND(AV!$T$20&lt;RASANTE!F205,F205&lt;AV!$U$20),AV!$P$20*((AV!$U$20-RASANTE!F205)/(AV!$O$20))^2,IF(AND(AV!$S$22&lt;F205,F205&lt;=AV!$T$22),AV!$P$22*((AV!$S$22-RASANTE!F205)/(AV!$N$22))^2,IF(AND(AV!$T$22&lt;RASANTE!F205,F205&lt;AV!$U$22),AV!$P$22*((AV!$U$22-RASANTE!F205)/(AV!$O$22))^2,IF(AND(AV!$S$24&lt;F205,F205&lt;=AV!$T$24),AV!$P$24*((AV!$S$24-RASANTE!F205)/(AV!$N$24))^2,IF(AND(AV!$T$24&lt;RASANTE!F205,F205&lt;AV!$U$24),AV!$P$24*((AV!$U$24-RASANTE!F205)/(AV!$O$24))^2,0))))))))))))))))))))</f>
        <v>0</v>
      </c>
      <c r="L205" s="28">
        <f>+M205+H205%*PERALTE!$C$32</f>
        <v>1626.9778044648986</v>
      </c>
      <c r="M205" s="28">
        <f t="shared" si="7"/>
        <v>1627.0478044648985</v>
      </c>
      <c r="N205" s="28">
        <f>+M205+I205%*PERALTE!$C$32</f>
        <v>1627.0453207184219</v>
      </c>
      <c r="O205" s="92"/>
      <c r="P205" s="84"/>
      <c r="Q205" s="84"/>
      <c r="R205" s="84"/>
      <c r="S205" s="84"/>
      <c r="T205" s="84"/>
      <c r="U205" s="84"/>
      <c r="V205" s="84"/>
      <c r="W205" s="84"/>
      <c r="X205" s="84"/>
      <c r="Y205" s="84"/>
    </row>
    <row r="206" spans="1:25" ht="15.75" customHeight="1" x14ac:dyDescent="0.2">
      <c r="A206" s="90" t="s">
        <v>356</v>
      </c>
      <c r="B206" s="93"/>
      <c r="C206" s="93"/>
      <c r="D206" s="93"/>
      <c r="E206" s="91"/>
      <c r="F206" s="34">
        <f>PERALTE!AA14</f>
        <v>1274.494435522505</v>
      </c>
      <c r="G206" s="88">
        <f>IF(F206&lt;=AV!$T$6,AV!$C$5,IF(RASANTE!F206&lt;=AV!$T$8,AV!$C$7,IF(RASANTE!F206&lt;=AV!$T$10,AV!$C$9,IF(RASANTE!F206&lt;=AV!$T$12,AV!$C$11,IF(RASANTE!F206&lt;=AV!$T$14,AV!$C$13,IF(RASANTE!F206&lt;=AV!$T$16,AV!$C$15, IF(RASANTE!F206&lt;=AV!$T$18,AV!$C$17,IF(RASANTE!F206&lt;=AV!$T$20,AV!$C$19,IF(RASANTE!F206&lt;=AV!$T$22,AV!$C$21,IF(RASANTE!F206&lt;=AV!$T$24,AV!$C$23,AV!$C$25))))))))))</f>
        <v>2.8</v>
      </c>
      <c r="H206" s="28">
        <f>+IF(AND(AH!$H$8="Izquierda",RASANTE!F206&lt;=PERALTE!$AB$6),IF(RASANTE!F206&lt;=PERALTE!$S$6,-2,IF(RASANTE!F206&lt;=PERALTE!$U$6,(-6/(PERALTE!$U$6-PERALTE!$S$6)*(RASANTE!F206-PERALTE!$S$6)-2),IF(RASANTE!F206&lt;=PERALTE!$X$6,-8,IF(RASANTE!F206&lt;=PERALTE!$Z$6,(-6/(PERALTE!$X$6-PERALTE!$Z$6)*(RASANTE!F206-PERALTE!$Z$6)-2),IF(RASANTE!F206&lt;=PERALTE!$AB$6,-2))))),IF(AND(AH!$H$8="Derecha",RASANTE!F206&lt;=PERALTE!$AB$6),IF(RASANTE!F206&lt;=PERALTE!$Q$6,-2,IF(RASANTE!F206&lt;=PERALTE!$U$6,(10/(PERALTE!$U$6-PERALTE!$Q$6)*(RASANTE!F206-PERALTE!$Q$6)-2),IF(RASANTE!F206&lt;=PERALTE!$X$6,8,IF(RASANTE!F206&lt;=PERALTE!$AB$6,(10/(PERALTE!$X$6-PERALTE!$AB$6)*(RASANTE!F206-PERALTE!$AB$6)-2))))),IF(AND(AH!$H$10="Izquierda",RASANTE!F206&lt;=PERALTE!$AB$8),IF(RASANTE!F206&lt;=PERALTE!$S$8,-2,IF(RASANTE!F206&lt;=PERALTE!$U$8,(-6/(PERALTE!$U$8-PERALTE!$S$8)*(RASANTE!F206-PERALTE!$S$8)-2),IF(RASANTE!F206&lt;=PERALTE!$X$8,-8,IF(RASANTE!F206&lt;=PERALTE!$Z$8,(-6/(PERALTE!$X$8-PERALTE!$Z$8)*(RASANTE!F206-PERALTE!$Z$8)-2),IF(RASANTE!F206&lt;=PERALTE!$AB$8,-2))))),IF(AND(AH!$H$10="Derecha",RASANTE!F206&lt;=PERALTE!$AB$8),IF(RASANTE!F206&lt;=PERALTE!$Q$8,-2,IF(RASANTE!F206&lt;=PERALTE!$U$8,(10/(PERALTE!$U$8-PERALTE!$Q$8)*(RASANTE!F206-PERALTE!$Q$8)-2),IF(RASANTE!F206&lt;=PERALTE!$X$8,8,IF(RASANTE!F206&lt;=PERALTE!$AB$8,(10/(PERALTE!$X$8-PERALTE!$AB$8)*(RASANTE!F206-PERALTE!$AB$8)-2))))),IF(AND(AH!$H$12="Izquierda",RASANTE!F206&lt;=PERALTE!$AB$10),IF(RASANTE!F206&lt;=PERALTE!$S$10,-2,IF(RASANTE!F206&lt;=PERALTE!$U$10,(-6/(PERALTE!$U$10-PERALTE!$S$10)*(RASANTE!F206-PERALTE!$S$10)-2),IF(RASANTE!F206&lt;=PERALTE!$X$10,-8,IF(RASANTE!F206&lt;=PERALTE!$Z$10,(-6/(PERALTE!$X$10-PERALTE!$Z$10)*(RASANTE!F206-PERALTE!$Z$10)-2),IF(RASANTE!F206&lt;=PERALTE!$AB$10,-2))))),IF(AND(AH!$H$12="Derecha",RASANTE!F206&lt;=PERALTE!$AB$10),IF(RASANTE!F206&lt;=PERALTE!$Q$10,-2,IF(RASANTE!F206&lt;=PERALTE!$U$10,(10/(PERALTE!$U$10-PERALTE!$Q$10)*(RASANTE!F206-PERALTE!$Q$10)-2),IF(RASANTE!F206&lt;=PERALTE!$X$10,8,IF(RASANTE!F206&lt;=PERALTE!$AB$10,(10/(PERALTE!$X$10-PERALTE!$AB$10)*(RASANTE!F206-PERALTE!$AB$10)-2))))),IF(AND(AH!$H$14="Izquierda",RASANTE!F206&lt;=PERALTE!$AB$12),IF(RASANTE!F206&lt;=PERALTE!$S$12,-2,IF(RASANTE!F206&lt;=PERALTE!$U$12,(-6/(PERALTE!$U$12-PERALTE!$S$12)*(RASANTE!F206-PERALTE!$S$12)-2),IF(RASANTE!F206&lt;=PERALTE!$X$12,-8,IF(RASANTE!F206&lt;=PERALTE!$Z$12,(-6/(PERALTE!$X$12-PERALTE!$Z$12)*(RASANTE!F206-PERALTE!$Z$12)-2),IF(RASANTE!F206&lt;=PERALTE!$AB$12,-2))))),IF(AND(AH!$H$14="Derecha",RASANTE!F206&lt;=PERALTE!$AB$12),IF(RASANTE!F206&lt;=PERALTE!$Q$12,-2,IF(RASANTE!F206&lt;=PERALTE!$U$12,(10/(PERALTE!$U$12-PERALTE!$Q$12)*(RASANTE!F206-PERALTE!$Q$12)-2),IF(RASANTE!F206&lt;=PERALTE!$X$12,8,IF(RASANTE!F206&lt;=PERALTE!$AB$12,(10/(PERALTE!$X$12-PERALTE!$AB$12)*(RASANTE!F206-PERALTE!$AB$12)-2))))),IF(AND(AH!$H$16="Izquierda",RASANTE!F206&lt;=PERALTE!$AB$14),IF(RASANTE!F206&lt;=PERALTE!$S$14,-2,IF(RASANTE!F206&lt;=PERALTE!$U$14,(-6/(PERALTE!$U$14-PERALTE!$S$14)*(RASANTE!F206-PERALTE!$S$14)-2),IF(RASANTE!F206&lt;=PERALTE!$X$14,-8,IF(RASANTE!F206&lt;=PERALTE!$Z$14,(-6/(PERALTE!$X$14-PERALTE!$Z$14)*(RASANTE!F206-PERALTE!$Z$14)-2),IF(RASANTE!F206&lt;=PERALTE!$AB$14,-2))))),IF(AND(AH!$H$16="Derecha",RASANTE!F206&lt;=PERALTE!$AB$14),IF(RASANTE!F206&lt;=PERALTE!$Q$14,-2,IF(RASANTE!F206&lt;=PERALTE!$U$14,(10/(PERALTE!$U$14-PERALTE!$Q$14)*(RASANTE!F206-PERALTE!$Q$14)-2),IF(RASANTE!F206&lt;=PERALTE!$X$14,8,IF(RASANTE!F206&lt;=PERALTE!$AB$14,(10/(PERALTE!$X$14-PERALTE!$AB$14)*(RASANTE!F206-PERALTE!$AB$14)-2))))),IF(AND(AH!$H$18="Izquierda",RASANTE!F206&lt;=PERALTE!$AB$16),IF(RASANTE!F206&lt;=PERALTE!$S$16,-2,IF(RASANTE!F206&lt;=PERALTE!$U$16,(-6/(PERALTE!$U$16-PERALTE!$S$16)*(RASANTE!F206-PERALTE!$S$16)-2),IF(RASANTE!F206&lt;=PERALTE!$X$16,-8,IF(RASANTE!F206&lt;=PERALTE!$Z$16,(-6/(PERALTE!$X$16-PERALTE!$Z$16)*(RASANTE!F206-PERALTE!$Z$16)-2),IF(RASANTE!F206&lt;=PERALTE!$AB$16,-2))))),IF(AND(AH!$H$18="Derecha",RASANTE!F206&lt;=PERALTE!$AB$16),IF(RASANTE!F206&lt;=PERALTE!$Q$16,-2,IF(RASANTE!F206&lt;=PERALTE!$U$16,(10/(PERALTE!$U$16-PERALTE!$Q$16)*(RASANTE!F206-PERALTE!$Q$16)-2),IF(RASANTE!F206&lt;=PERALTE!$X$16,8,IF(RASANTE!F206&lt;=PERALTE!$AB$16,(10/(PERALTE!$X$16-PERALTE!$AB$16)*(RASANTE!F206-PERALTE!$AB$16)-2))))),IF(AND(AH!$H$20="Izquierda",RASANTE!F206&lt;=PERALTE!$AB$18),IF(RASANTE!F206&lt;=PERALTE!$S$18,-2,IF(RASANTE!F206&lt;=PERALTE!$U$18,(-6/(PERALTE!$U$18-PERALTE!$S$18)*(RASANTE!F206-PERALTE!$S$18)-2),IF(RASANTE!F206&lt;=PERALTE!$X$18,-8,IF(RASANTE!F206&lt;=PERALTE!$Z$18,(-6/(PERALTE!$X$18-PERALTE!$Z$18)*(RASANTE!F206-PERALTE!$Z$18)-2),IF(RASANTE!F206&lt;=PERALTE!$AB$18,-2))))),IF(AND(AH!$H$20="Derecha",RASANTE!F206&lt;=PERALTE!$AB$18),IF(RASANTE!F206&lt;=PERALTE!$Q$18,-2,IF(RASANTE!F206&lt;=PERALTE!$U$18,(10/(PERALTE!$U$18-PERALTE!$Q$18)*(RASANTE!F206-PERALTE!$Q$18)-2),IF(RASANTE!F206&lt;=PERALTE!$X$18,8,IF(RASANTE!F206&lt;=PERALTE!$AB$18,(10/(PERALTE!$X$18-PERALTE!$AB$18)*(RASANTE!F206-PERALTE!$AB$18)-2))))),IF(AND(AH!$H$24="Izquierda",RASANTE!F206&lt;=PERALTE!$AB$22),IF(RASANTE!F206&lt;=PERALTE!$S$22,-2,IF(RASANTE!F206&lt;=PERALTE!$U$22,(-6/(PERALTE!$U$22-PERALTE!$S$22)*(RASANTE!F206-PERALTE!$S$22)-2),IF(RASANTE!F206&lt;=PERALTE!$X$22,-8,IF(RASANTE!F206&lt;=PERALTE!$Z$22,(-6/(PERALTE!$X$22-PERALTE!$Z$22)*(RASANTE!F206-PERALTE!$Z$22)-2),IF(RASANTE!F206&lt;=PERALTE!$AB$22,-2))))),IF(AND(AH!$H$24="Derecha",RASANTE!F206&lt;=PERALTE!$AB$22),IF(RASANTE!F206&lt;=PERALTE!$Q$22,-2,IF(RASANTE!F206&lt;=PERALTE!$U$22,(10/(PERALTE!$U$22-PERALTE!$Q$22)*(RASANTE!F206-PERALTE!$Q$22)-2),IF(RASANTE!F206&lt;=PERALTE!$X$22,8,IF(RASANTE!F206&lt;=PERALTE!$AB$22,(10/(PERALTE!$X$22-PERALTE!$AB$22)*(RASANTE!F206-PERALTE!$AB$22)-2))))),IF(AND(AH!#REF!="Izquierda",RASANTE!F206&lt;=PERALTE!#REF!),IF(RASANTE!F206&lt;=PERALTE!#REF!,-2,IF(RASANTE!F206&lt;=PERALTE!#REF!,(-6/(PERALTE!#REF!-PERALTE!#REF!)*(RASANTE!F206-PERALTE!#REF!)-2),IF(RASANTE!F206&lt;=PERALTE!#REF!,-8,IF(RASANTE!F206&lt;=PERALTE!#REF!,(-6/(PERALTE!#REF!-PERALTE!#REF!)*(RASANTE!F206-PERALTE!#REF!)-2),IF(RASANTE!F206&lt;=PERALTE!#REF!,-2))))),IF(AND(AH!#REF!="Derecha",RASANTE!F206&lt;=PERALTE!#REF!),IF(RASANTE!F206&lt;=PERALTE!#REF!,-2,IF(RASANTE!F206&lt;=PERALTE!#REF!,(10/(PERALTE!#REF!-PERALTE!#REF!)*(RASANTE!F206-PERALTE!#REF!)-2),IF(RASANTE!F206&lt;=PERALTE!#REF!,8,IF(RASANTE!F206&lt;=PERALTE!#REF!,(10/(PERALTE!#REF!-PERALTE!#REF!)*(RASANTE!F206-PERALTE!#REF!)-2))))),IF(AND(AH!#REF!="Izquierda",RASANTE!F206&lt;=PERALTE!$AB$26),IF(RASANTE!F206&lt;=PERALTE!$S$26,-2,IF(RASANTE!F206&lt;=PERALTE!$U$26,(-6/(PERALTE!$U$26-PERALTE!$S$26)*(RASANTE!F206-PERALTE!$S$26)-2),IF(RASANTE!F206&lt;=PERALTE!$X$26,-8,IF(RASANTE!F206&lt;=PERALTE!$Z$26,(-6/(PERALTE!$X$26-PERALTE!$Z$26)*(RASANTE!F206-PERALTE!$Z$26)-2),IF(RASANTE!F206&lt;=PERALTE!$AB$26,-2))))),IF(AND(AH!#REF!="Derecha",RASANTE!F206&lt;=PERALTE!$AB$26),IF(RASANTE!F206&lt;=PERALTE!$Q$26,-2,IF(RASANTE!F206&lt;=PERALTE!$U$26,(10/(PERALTE!$U$26-PERALTE!$Q$26)*(RASANTE!F206-PERALTE!$Q$26)-2),IF(RASANTE!F206&lt;=PERALTE!$X$26,8,IF(RASANTE!F206&lt;=PERALTE!$AB$26,(10/(PERALTE!$X$26-PERALTE!$AB$26)*(RASANTE!F206-PERALTE!$AB$26)-2))))),IF(F206&lt;=PERALTE!#REF!,-2,"Abscisa fuera de la vía")))))))))))))))))))))</f>
        <v>-2</v>
      </c>
      <c r="I206" s="28">
        <f>+IF(AND(AH!$H$8="Derecha",RASANTE!F206&lt;=PERALTE!$AB$6),IF(RASANTE!F206&lt;=PERALTE!$S$6,-2,IF(RASANTE!F206&lt;=PERALTE!$U$6,(-6/(PERALTE!$U$6-PERALTE!$S$6)*(RASANTE!F206-PERALTE!$S$6)-2),IF(RASANTE!F206&lt;=PERALTE!$X$6,-8,IF(RASANTE!F206&lt;=PERALTE!$Z$6,(-6/(PERALTE!$X$6-PERALTE!$Z$6)*(RASANTE!F206-PERALTE!$Z$6)-2),IF(RASANTE!F206&lt;=PERALTE!$AB$6,-2))))),IF(AND(AH!$H$8="Izquierda",RASANTE!F206&lt;=PERALTE!$AB$6),IF(RASANTE!F206&lt;=PERALTE!$Q$6,-2,IF(RASANTE!F206&lt;=PERALTE!$U$6,(10/(PERALTE!$U$6-PERALTE!$Q$6)*(RASANTE!F206-PERALTE!$Q$6)-2),IF(RASANTE!F206&lt;=PERALTE!$X$6,8,IF(RASANTE!F206&lt;=PERALTE!$AB$6,(10/(PERALTE!$X$6-PERALTE!$AB$6)*(RASANTE!F206-PERALTE!$AB$6)-2))))),IF(AND(AH!$H$10="Derecha",RASANTE!F206&lt;=PERALTE!$AB$8),IF(RASANTE!F206&lt;=PERALTE!$S$8,-2,IF(RASANTE!F206&lt;=PERALTE!$U$8,(-6/(PERALTE!$U$8-PERALTE!$S$8)*(RASANTE!F206-PERALTE!$S$8)-2),IF(RASANTE!F206&lt;=PERALTE!$X$8,-8,IF(RASANTE!F206&lt;=PERALTE!$Z$8,(-6/(PERALTE!$X$8-PERALTE!$Z$8)*(RASANTE!F206-PERALTE!$Z$8)-2),IF(RASANTE!F206&lt;=PERALTE!$AB$8,-2))))),IF(AND(AH!$H$10="Izquierda",RASANTE!F206&lt;=PERALTE!$AB$8),IF(RASANTE!F206&lt;=PERALTE!$Q$8,-2,IF(RASANTE!F206&lt;=PERALTE!$U$8,(10/(PERALTE!$U$8-PERALTE!$Q$8)*(RASANTE!F206-PERALTE!$Q$8)-2),IF(RASANTE!F206&lt;=PERALTE!$X$8,8,IF(RASANTE!F206&lt;=PERALTE!$AB$8,(10/(PERALTE!$X$8-PERALTE!$AB$8)*(RASANTE!F206-PERALTE!$AB$8)-2))))),IF(AND(AH!$H$12="Derecha",RASANTE!F206&lt;=PERALTE!$AB$10),IF(RASANTE!F206&lt;=PERALTE!$S$10,-2,IF(RASANTE!F206&lt;=PERALTE!$U$10,(-6/(PERALTE!$U$10-PERALTE!$S$10)*(RASANTE!F206-PERALTE!$S$10)-2),IF(RASANTE!F206&lt;=PERALTE!$X$10,-8,IF(RASANTE!F206&lt;=PERALTE!$Z$10,(-6/(PERALTE!$X$10-PERALTE!$Z$10)*(RASANTE!F206-PERALTE!$Z$10)-2),IF(RASANTE!F206&lt;=PERALTE!$AB$10,-2))))),IF(AND(AH!$H$12="Izquierda",RASANTE!F206&lt;=PERALTE!$AB$10),IF(RASANTE!F206&lt;=PERALTE!$Q$10,-2,IF(RASANTE!F206&lt;=PERALTE!$U$10,(10/(PERALTE!$U$10-PERALTE!$Q$10)*(RASANTE!F206-PERALTE!$Q$10)-2),IF(RASANTE!F206&lt;=PERALTE!$X$10,8,IF(RASANTE!F206&lt;=PERALTE!$AB$10,(10/(PERALTE!$X$10-PERALTE!$AB$10)*(RASANTE!F206-PERALTE!$AB$10)-2))))),IF(AND(AH!$H$14="Derecha",RASANTE!F206&lt;=PERALTE!$AB$12),IF(RASANTE!F206&lt;=PERALTE!$S$12,-2,IF(RASANTE!F206&lt;=PERALTE!$U$12,(-6/(PERALTE!$U$12-PERALTE!$S$12)*(RASANTE!F206-PERALTE!$S$12)-2),IF(RASANTE!F206&lt;=PERALTE!$X$12,-8,IF(RASANTE!F206&lt;=PERALTE!$Z$12,(-6/(PERALTE!$X$12-PERALTE!$Z$12)*(RASANTE!F206-PERALTE!$Z$12)-2),IF(RASANTE!F206&lt;=PERALTE!$AB$12,-2))))),IF(AND(AH!$H$14="Izquierda",RASANTE!F206&lt;=PERALTE!$AB$12),IF(RASANTE!F206&lt;=PERALTE!$Q$12,-2,IF(RASANTE!F206&lt;=PERALTE!$U$12,(10/(PERALTE!$U$12-PERALTE!$Q$12)*(RASANTE!F206-PERALTE!$Q$12)-2),IF(RASANTE!F206&lt;=PERALTE!$X$12,8,IF(RASANTE!F206&lt;=PERALTE!$AB$12,(10/(PERALTE!$X$12-PERALTE!$AB$12)*(RASANTE!F206-PERALTE!$AB$12)-2))))),IF(AND(AH!$H$16="Derecha",RASANTE!F206&lt;=PERALTE!$AB$14),IF(RASANTE!F206&lt;=PERALTE!$S$14,-2,IF(RASANTE!F206&lt;=PERALTE!$U$14,(-6/(PERALTE!$U$14-PERALTE!$S$14)*(RASANTE!F206-PERALTE!$S$14)-2),IF(RASANTE!F206&lt;=PERALTE!$X$14,-8,IF(RASANTE!F206&lt;=PERALTE!$Z$14,(-6/(PERALTE!$X$14-PERALTE!$Z$14)*(RASANTE!F206-PERALTE!$Z$14)-2),IF(RASANTE!F206&lt;=PERALTE!$AB$14,-2))))),IF(AND(AH!$H$16="Izquierda",RASANTE!F206&lt;=PERALTE!$AB$14),IF(RASANTE!F206&lt;=PERALTE!$Q$14,-2,IF(RASANTE!F206&lt;=PERALTE!$U$14,(10/(PERALTE!$U$14-PERALTE!$Q$14)*(RASANTE!F206-PERALTE!$Q$14)-2),IF(RASANTE!F206&lt;=PERALTE!$X$14,8,IF(RASANTE!F206&lt;=PERALTE!$AB$14,(10/(PERALTE!$X$14-PERALTE!$AB$14)*(RASANTE!F206-PERALTE!$AB$14)-2))))),IF(AND(AH!$H$18="Derecha",RASANTE!F206&lt;=PERALTE!$AB$16),IF(RASANTE!F206&lt;=PERALTE!$S$16,-2,IF(RASANTE!F206&lt;=PERALTE!$U$16,(-6/(PERALTE!$U$16-PERALTE!$S$16)*(RASANTE!F206-PERALTE!$S$16)-2),IF(RASANTE!F206&lt;=PERALTE!$X$16,-8,IF(RASANTE!F206&lt;=PERALTE!$Z$16,(-6/(PERALTE!$X$16-PERALTE!$Z$16)*(RASANTE!F206-PERALTE!$Z$16)-2),IF(RASANTE!F206&lt;=PERALTE!$AB$16,-2))))),IF(AND(AH!$H$18="Izquierda",RASANTE!F206&lt;=PERALTE!$AB$16),IF(RASANTE!F206&lt;=PERALTE!$Q$16,-2,IF(RASANTE!F206&lt;=PERALTE!$U$16,(10/(PERALTE!$U$16-PERALTE!$Q$16)*(RASANTE!F206-PERALTE!$Q$16)-2),IF(RASANTE!F206&lt;=PERALTE!$X$16,8,IF(RASANTE!F206&lt;=PERALTE!$AB$16,(10/(PERALTE!$X$16-PERALTE!$AB$16)*(RASANTE!F206-PERALTE!$AB$16)-2))))),IF(AND(AH!$H$20="Derecha",RASANTE!F206&lt;=PERALTE!$AB$18),IF(RASANTE!F206&lt;=PERALTE!$S$18,-2,IF(RASANTE!F206&lt;=PERALTE!$U$18,(-6/(PERALTE!$U$18-PERALTE!$S$18)*(RASANTE!F206-PERALTE!$S$18)-2),IF(RASANTE!F206&lt;=PERALTE!$X$18,-8,IF(RASANTE!F206&lt;=PERALTE!$Z$18,(-6/(PERALTE!$X$18-PERALTE!$Z$18)*(RASANTE!F206-PERALTE!$Z$18)-2),IF(RASANTE!F206&lt;=PERALTE!$AB$18,-2))))),IF(AND(AH!$H$20="Izquierda",RASANTE!F206&lt;=PERALTE!$AB$18),IF(RASANTE!F206&lt;=PERALTE!$Q$18,-2,IF(RASANTE!F206&lt;=PERALTE!$U$18,(10/(PERALTE!$U$18-PERALTE!$Q$18)*(RASANTE!F206-PERALTE!$Q$18)-2),IF(RASANTE!F206&lt;=PERALTE!$X$18,8,IF(RASANTE!F206&lt;=PERALTE!$AB$18,(10/(PERALTE!$X$18-PERALTE!$AB$18)*(RASANTE!F206-PERALTE!$AB$18)-2))))),IF(AND(AH!$H$24="Derecha",RASANTE!F206&lt;=PERALTE!$AB$22),IF(RASANTE!F206&lt;=PERALTE!$S$22,-2,IF(RASANTE!F206&lt;=PERALTE!$U$22,(-6/(PERALTE!$U$22-PERALTE!$S$22)*(RASANTE!F206-PERALTE!$S$22)-2),IF(RASANTE!F206&lt;=PERALTE!$X$22,-8,IF(RASANTE!F206&lt;=PERALTE!$Z$22,(-6/(PERALTE!$X$22-PERALTE!$Z$22)*(RASANTE!F206-PERALTE!$Z$22)-2),IF(RASANTE!F206&lt;=PERALTE!$AB$22,-2))))),IF(AND(AH!$H$24="Izquierda",RASANTE!F206&lt;=PERALTE!$AB$22),IF(RASANTE!F206&lt;=PERALTE!$Q$22,-2,IF(RASANTE!F206&lt;=PERALTE!$U$22,(10/(PERALTE!$U$22-PERALTE!$Q$22)*(RASANTE!F206-PERALTE!$Q$22)-2),IF(RASANTE!F206&lt;=PERALTE!$X$22,8,IF(RASANTE!F206&lt;=PERALTE!$AB$22,(10/(PERALTE!$X$22-PERALTE!$AB$22)*(RASANTE!F206-PERALTE!$AB$22)-2))))),IF(AND(AH!#REF!="Derecha",RASANTE!F206&lt;=PERALTE!#REF!),IF(RASANTE!F206&lt;=PERALTE!#REF!,-2,IF(RASANTE!F206&lt;=PERALTE!#REF!,(-6/(PERALTE!#REF!-PERALTE!#REF!)*(RASANTE!F206-PERALTE!#REF!)-2),IF(RASANTE!F206&lt;=PERALTE!#REF!,-8,IF(RASANTE!F206&lt;=PERALTE!#REF!,(-6/(PERALTE!#REF!-PERALTE!#REF!)*(RASANTE!F206-PERALTE!#REF!)-2),IF(RASANTE!F206&lt;=PERALTE!#REF!,-2))))),IF(AND(AH!#REF!="Izquierda",RASANTE!F206&lt;=PERALTE!#REF!),IF(RASANTE!F206&lt;=PERALTE!#REF!,-2,IF(RASANTE!F206&lt;=PERALTE!#REF!,(10/(PERALTE!#REF!-PERALTE!#REF!)*(RASANTE!F206-PERALTE!#REF!)-2),IF(RASANTE!F206&lt;=PERALTE!#REF!,8,IF(RASANTE!F206&lt;=PERALTE!#REF!,(10/(PERALTE!#REF!-PERALTE!#REF!)*(RASANTE!F206-PERALTE!#REF!)-2))))),IF(AND(AH!#REF!="Derecha",RASANTE!F206&lt;=PERALTE!$AB$26),IF(RASANTE!F206&lt;=PERALTE!$S$26,-2,IF(RASANTE!F206&lt;=PERALTE!$U$26,(-6/(PERALTE!$U$26-PERALTE!$S$26)*(RASANTE!F206-PERALTE!$S$26)-2),IF(RASANTE!F206&lt;=PERALTE!$X$26,-8,IF(RASANTE!F206&lt;=PERALTE!$Z$26,(-6/(PERALTE!$X$26-PERALTE!$Z$26)*(RASANTE!F206-PERALTE!$Z$26)-2),IF(RASANTE!F206&lt;=PERALTE!$AB$26,-2))))),IF(AND(AH!#REF!="Izquierda",RASANTE!F206&lt;=PERALTE!$AB$26),IF(RASANTE!F206&lt;=PERALTE!$Q$26,-2,IF(RASANTE!F206&lt;=PERALTE!$U$26,(10/(PERALTE!$U$26-PERALTE!$Q$26)*(RASANTE!F206-PERALTE!$Q$26)-2),IF(RASANTE!F206&lt;=PERALTE!$X$26,8,IF(RASANTE!F206&lt;=PERALTE!$AB$26,(10/(PERALTE!$X$26-PERALTE!$AB$26)*(RASANTE!F206-PERALTE!$AB$26)-2))))),IF(F206&lt;=PERALTE!#REF!,-2,"Abscisa fuera de la vía")))))))))))))))))))))</f>
        <v>-1.021405182655144E-14</v>
      </c>
      <c r="J206" s="28">
        <f t="shared" si="10"/>
        <v>1627.0387726595286</v>
      </c>
      <c r="K206" s="28">
        <f>+IF(AND(AV!$S$6&lt;F206,F206&lt;=AV!$T$6),AV!$P$6*((AV!$S$6-RASANTE!F206)/(AV!$N$6))^2,IF(AND(AV!$T$6&lt;RASANTE!F206,F206&lt;AV!$U$6),AV!$P$6*((AV!$U$6-RASANTE!F206)/(AV!$O$6))^2,IF(AND(AV!$S$8&lt;F206,F206&lt;=AV!$T$8),AV!$P$8*((AV!$S$8-RASANTE!F206)/(AV!$N$8))^2,IF(AND(AV!$T$8&lt;RASANTE!F206,F206&lt;AV!$U$8),AV!$P$8*((AV!$U$8-RASANTE!F206)/(AV!$O$8))^2,IF(AND(AV!$S$10&lt;F206,F206&lt;=AV!$T$10),AV!$P$10*((AV!$S$10-RASANTE!F206)/(AV!$N$10))^2,IF(AND(AV!$T$10&lt;RASANTE!F206,F206&lt;AV!$U$10),AV!$P$10*((AV!$U$10-RASANTE!F206)/(AV!$O$10))^2,IF(AND(AV!$S$12&lt;F206,F206&lt;=AV!$T$12),AV!$P$12*((AV!$S$12-RASANTE!F206)/(AV!$N$12))^2,IF(AND(AV!$T$12&lt;RASANTE!F206,F206&lt;AV!$U$12),AV!$P$12*((AV!$U$12-RASANTE!F206)/(AV!$O$12))^2,IF(AND(AV!$S$14&lt;F206,F206&lt;=AV!$T$14),AV!$P$14*((AV!$S$14-RASANTE!F206)/(AV!$N$14))^2,IF(AND(AV!$T$14&lt;RASANTE!F206,F206&lt;AV!$U$14),AV!$P$14*((AV!$U$14-RASANTE!F206)/(AV!$O$14))^2,IF(AND(AV!$S$16&lt;F206,F206&lt;=AV!$T$16),AV!$P$16*((AV!$S$16-RASANTE!F206)/(AV!$N$16))^2,IF(AND(AV!$T$16&lt;RASANTE!F206,F206&lt;AV!$U$16),AV!$P$16*((AV!$U$16-RASANTE!F206)/(AV!$O$16))^2,IF(AND(AV!$S$18&lt;F206,F206&lt;=AV!$T$18),AV!$P$18*((AV!$S$18-RASANTE!F206)/(AV!$N$18))^2,IF(AND(AV!$T$18&lt;RASANTE!F206,F206&lt;AV!$U$18),AV!$P$18*((AV!$U$18-RASANTE!F206)/(AV!$O$18))^2,IF(AND(AV!$S$20&lt;F206,F206&lt;=AV!$T$20),AV!$P$20*((AV!$S$20-RASANTE!F206)/(AV!$N$20))^2,IF(AND(AV!$T$20&lt;RASANTE!F206,F206&lt;AV!$U$20),AV!$P$20*((AV!$U$20-RASANTE!F206)/(AV!$O$20))^2,IF(AND(AV!$S$22&lt;F206,F206&lt;=AV!$T$22),AV!$P$22*((AV!$S$22-RASANTE!F206)/(AV!$N$22))^2,IF(AND(AV!$T$22&lt;RASANTE!F206,F206&lt;AV!$U$22),AV!$P$22*((AV!$U$22-RASANTE!F206)/(AV!$O$22))^2,IF(AND(AV!$S$24&lt;F206,F206&lt;=AV!$T$24),AV!$P$24*((AV!$S$24-RASANTE!F206)/(AV!$N$24))^2,IF(AND(AV!$T$24&lt;RASANTE!F206,F206&lt;AV!$U$24),AV!$P$24*((AV!$U$24-RASANTE!F206)/(AV!$O$24))^2,0))))))))))))))))))))</f>
        <v>-9.3643057927464133E-5</v>
      </c>
      <c r="L206" s="28">
        <f>+M206+H206%*PERALTE!$C$32</f>
        <v>1626.9686790164708</v>
      </c>
      <c r="M206" s="28">
        <f t="shared" si="7"/>
        <v>1627.0386790164707</v>
      </c>
      <c r="N206" s="28">
        <f>+M206+I206%*PERALTE!$C$32</f>
        <v>1627.0386790164707</v>
      </c>
      <c r="O206" s="92"/>
      <c r="P206" s="84"/>
      <c r="Q206" s="84"/>
      <c r="R206" s="84"/>
      <c r="S206" s="84"/>
      <c r="T206" s="84"/>
      <c r="U206" s="84"/>
      <c r="V206" s="84"/>
      <c r="W206" s="84"/>
      <c r="X206" s="84"/>
      <c r="Y206" s="84"/>
    </row>
    <row r="207" spans="1:25" ht="15.75" customHeight="1" x14ac:dyDescent="0.2">
      <c r="A207" s="90"/>
      <c r="B207" s="86"/>
      <c r="C207" s="86"/>
      <c r="D207" s="86"/>
      <c r="F207" s="34">
        <v>1280</v>
      </c>
      <c r="G207" s="88">
        <f>IF(F207&lt;=AV!$T$6,AV!$C$5,IF(RASANTE!F207&lt;=AV!$T$8,AV!$C$7,IF(RASANTE!F207&lt;=AV!$T$10,AV!$C$9,IF(RASANTE!F207&lt;=AV!$T$12,AV!$C$11,IF(RASANTE!F207&lt;=AV!$T$14,AV!$C$13,IF(RASANTE!F207&lt;=AV!$T$16,AV!$C$15, IF(RASANTE!F207&lt;=AV!$T$18,AV!$C$17,IF(RASANTE!F207&lt;=AV!$T$20,AV!$C$19,IF(RASANTE!F207&lt;=AV!$T$22,AV!$C$21,IF(RASANTE!F207&lt;=AV!$T$24,AV!$C$23,AV!$C$25))))))))))</f>
        <v>2.8</v>
      </c>
      <c r="H207" s="28">
        <f>+IF(AND(AH!$H$8="Izquierda",RASANTE!F207&lt;=PERALTE!$AB$6),IF(RASANTE!F207&lt;=PERALTE!$S$6,-2,IF(RASANTE!F207&lt;=PERALTE!$U$6,(-6/(PERALTE!$U$6-PERALTE!$S$6)*(RASANTE!F207-PERALTE!$S$6)-2),IF(RASANTE!F207&lt;=PERALTE!$X$6,-8,IF(RASANTE!F207&lt;=PERALTE!$Z$6,(-6/(PERALTE!$X$6-PERALTE!$Z$6)*(RASANTE!F207-PERALTE!$Z$6)-2),IF(RASANTE!F207&lt;=PERALTE!$AB$6,-2))))),IF(AND(AH!$H$8="Derecha",RASANTE!F207&lt;=PERALTE!$AB$6),IF(RASANTE!F207&lt;=PERALTE!$Q$6,-2,IF(RASANTE!F207&lt;=PERALTE!$U$6,(10/(PERALTE!$U$6-PERALTE!$Q$6)*(RASANTE!F207-PERALTE!$Q$6)-2),IF(RASANTE!F207&lt;=PERALTE!$X$6,8,IF(RASANTE!F207&lt;=PERALTE!$AB$6,(10/(PERALTE!$X$6-PERALTE!$AB$6)*(RASANTE!F207-PERALTE!$AB$6)-2))))),IF(AND(AH!$H$10="Izquierda",RASANTE!F207&lt;=PERALTE!$AB$8),IF(RASANTE!F207&lt;=PERALTE!$S$8,-2,IF(RASANTE!F207&lt;=PERALTE!$U$8,(-6/(PERALTE!$U$8-PERALTE!$S$8)*(RASANTE!F207-PERALTE!$S$8)-2),IF(RASANTE!F207&lt;=PERALTE!$X$8,-8,IF(RASANTE!F207&lt;=PERALTE!$Z$8,(-6/(PERALTE!$X$8-PERALTE!$Z$8)*(RASANTE!F207-PERALTE!$Z$8)-2),IF(RASANTE!F207&lt;=PERALTE!$AB$8,-2))))),IF(AND(AH!$H$10="Derecha",RASANTE!F207&lt;=PERALTE!$AB$8),IF(RASANTE!F207&lt;=PERALTE!$Q$8,-2,IF(RASANTE!F207&lt;=PERALTE!$U$8,(10/(PERALTE!$U$8-PERALTE!$Q$8)*(RASANTE!F207-PERALTE!$Q$8)-2),IF(RASANTE!F207&lt;=PERALTE!$X$8,8,IF(RASANTE!F207&lt;=PERALTE!$AB$8,(10/(PERALTE!$X$8-PERALTE!$AB$8)*(RASANTE!F207-PERALTE!$AB$8)-2))))),IF(AND(AH!$H$12="Izquierda",RASANTE!F207&lt;=PERALTE!$AB$10),IF(RASANTE!F207&lt;=PERALTE!$S$10,-2,IF(RASANTE!F207&lt;=PERALTE!$U$10,(-6/(PERALTE!$U$10-PERALTE!$S$10)*(RASANTE!F207-PERALTE!$S$10)-2),IF(RASANTE!F207&lt;=PERALTE!$X$10,-8,IF(RASANTE!F207&lt;=PERALTE!$Z$10,(-6/(PERALTE!$X$10-PERALTE!$Z$10)*(RASANTE!F207-PERALTE!$Z$10)-2),IF(RASANTE!F207&lt;=PERALTE!$AB$10,-2))))),IF(AND(AH!$H$12="Derecha",RASANTE!F207&lt;=PERALTE!$AB$10),IF(RASANTE!F207&lt;=PERALTE!$Q$10,-2,IF(RASANTE!F207&lt;=PERALTE!$U$10,(10/(PERALTE!$U$10-PERALTE!$Q$10)*(RASANTE!F207-PERALTE!$Q$10)-2),IF(RASANTE!F207&lt;=PERALTE!$X$10,8,IF(RASANTE!F207&lt;=PERALTE!$AB$10,(10/(PERALTE!$X$10-PERALTE!$AB$10)*(RASANTE!F207-PERALTE!$AB$10)-2))))),IF(AND(AH!$H$14="Izquierda",RASANTE!F207&lt;=PERALTE!$AB$12),IF(RASANTE!F207&lt;=PERALTE!$S$12,-2,IF(RASANTE!F207&lt;=PERALTE!$U$12,(-6/(PERALTE!$U$12-PERALTE!$S$12)*(RASANTE!F207-PERALTE!$S$12)-2),IF(RASANTE!F207&lt;=PERALTE!$X$12,-8,IF(RASANTE!F207&lt;=PERALTE!$Z$12,(-6/(PERALTE!$X$12-PERALTE!$Z$12)*(RASANTE!F207-PERALTE!$Z$12)-2),IF(RASANTE!F207&lt;=PERALTE!$AB$12,-2))))),IF(AND(AH!$H$14="Derecha",RASANTE!F207&lt;=PERALTE!$AB$12),IF(RASANTE!F207&lt;=PERALTE!$Q$12,-2,IF(RASANTE!F207&lt;=PERALTE!$U$12,(10/(PERALTE!$U$12-PERALTE!$Q$12)*(RASANTE!F207-PERALTE!$Q$12)-2),IF(RASANTE!F207&lt;=PERALTE!$X$12,8,IF(RASANTE!F207&lt;=PERALTE!$AB$12,(10/(PERALTE!$X$12-PERALTE!$AB$12)*(RASANTE!F207-PERALTE!$AB$12)-2))))),IF(AND(AH!$H$16="Izquierda",RASANTE!F207&lt;=PERALTE!$AB$14),IF(RASANTE!F207&lt;=PERALTE!$S$14,-2,IF(RASANTE!F207&lt;=PERALTE!$U$14,(-6/(PERALTE!$U$14-PERALTE!$S$14)*(RASANTE!F207-PERALTE!$S$14)-2),IF(RASANTE!F207&lt;=PERALTE!$X$14,-8,IF(RASANTE!F207&lt;=PERALTE!$Z$14,(-6/(PERALTE!$X$14-PERALTE!$Z$14)*(RASANTE!F207-PERALTE!$Z$14)-2),IF(RASANTE!F207&lt;=PERALTE!$AB$14,-2))))),IF(AND(AH!$H$16="Derecha",RASANTE!F207&lt;=PERALTE!$AB$14),IF(RASANTE!F207&lt;=PERALTE!$Q$14,-2,IF(RASANTE!F207&lt;=PERALTE!$U$14,(10/(PERALTE!$U$14-PERALTE!$Q$14)*(RASANTE!F207-PERALTE!$Q$14)-2),IF(RASANTE!F207&lt;=PERALTE!$X$14,8,IF(RASANTE!F207&lt;=PERALTE!$AB$14,(10/(PERALTE!$X$14-PERALTE!$AB$14)*(RASANTE!F207-PERALTE!$AB$14)-2))))),IF(AND(AH!$H$18="Izquierda",RASANTE!F207&lt;=PERALTE!$AB$16),IF(RASANTE!F207&lt;=PERALTE!$S$16,-2,IF(RASANTE!F207&lt;=PERALTE!$U$16,(-6/(PERALTE!$U$16-PERALTE!$S$16)*(RASANTE!F207-PERALTE!$S$16)-2),IF(RASANTE!F207&lt;=PERALTE!$X$16,-8,IF(RASANTE!F207&lt;=PERALTE!$Z$16,(-6/(PERALTE!$X$16-PERALTE!$Z$16)*(RASANTE!F207-PERALTE!$Z$16)-2),IF(RASANTE!F207&lt;=PERALTE!$AB$16,-2))))),IF(AND(AH!$H$18="Derecha",RASANTE!F207&lt;=PERALTE!$AB$16),IF(RASANTE!F207&lt;=PERALTE!$Q$16,-2,IF(RASANTE!F207&lt;=PERALTE!$U$16,(10/(PERALTE!$U$16-PERALTE!$Q$16)*(RASANTE!F207-PERALTE!$Q$16)-2),IF(RASANTE!F207&lt;=PERALTE!$X$16,8,IF(RASANTE!F207&lt;=PERALTE!$AB$16,(10/(PERALTE!$X$16-PERALTE!$AB$16)*(RASANTE!F207-PERALTE!$AB$16)-2))))),IF(AND(AH!$H$20="Izquierda",RASANTE!F207&lt;=PERALTE!$AB$18),IF(RASANTE!F207&lt;=PERALTE!$S$18,-2,IF(RASANTE!F207&lt;=PERALTE!$U$18,(-6/(PERALTE!$U$18-PERALTE!$S$18)*(RASANTE!F207-PERALTE!$S$18)-2),IF(RASANTE!F207&lt;=PERALTE!$X$18,-8,IF(RASANTE!F207&lt;=PERALTE!$Z$18,(-6/(PERALTE!$X$18-PERALTE!$Z$18)*(RASANTE!F207-PERALTE!$Z$18)-2),IF(RASANTE!F207&lt;=PERALTE!$AB$18,-2))))),IF(AND(AH!$H$20="Derecha",RASANTE!F207&lt;=PERALTE!$AB$18),IF(RASANTE!F207&lt;=PERALTE!$Q$18,-2,IF(RASANTE!F207&lt;=PERALTE!$U$18,(10/(PERALTE!$U$18-PERALTE!$Q$18)*(RASANTE!F207-PERALTE!$Q$18)-2),IF(RASANTE!F207&lt;=PERALTE!$X$18,8,IF(RASANTE!F207&lt;=PERALTE!$AB$18,(10/(PERALTE!$X$18-PERALTE!$AB$18)*(RASANTE!F207-PERALTE!$AB$18)-2))))),IF(AND(AH!$H$24="Izquierda",RASANTE!F207&lt;=PERALTE!$AB$22),IF(RASANTE!F207&lt;=PERALTE!$S$22,-2,IF(RASANTE!F207&lt;=PERALTE!$U$22,(-6/(PERALTE!$U$22-PERALTE!$S$22)*(RASANTE!F207-PERALTE!$S$22)-2),IF(RASANTE!F207&lt;=PERALTE!$X$22,-8,IF(RASANTE!F207&lt;=PERALTE!$Z$22,(-6/(PERALTE!$X$22-PERALTE!$Z$22)*(RASANTE!F207-PERALTE!$Z$22)-2),IF(RASANTE!F207&lt;=PERALTE!$AB$22,-2))))),IF(AND(AH!$H$24="Derecha",RASANTE!F207&lt;=PERALTE!$AB$22),IF(RASANTE!F207&lt;=PERALTE!$Q$22,-2,IF(RASANTE!F207&lt;=PERALTE!$U$22,(10/(PERALTE!$U$22-PERALTE!$Q$22)*(RASANTE!F207-PERALTE!$Q$22)-2),IF(RASANTE!F207&lt;=PERALTE!$X$22,8,IF(RASANTE!F207&lt;=PERALTE!$AB$22,(10/(PERALTE!$X$22-PERALTE!$AB$22)*(RASANTE!F207-PERALTE!$AB$22)-2))))),IF(AND(AH!#REF!="Izquierda",RASANTE!F207&lt;=PERALTE!#REF!),IF(RASANTE!F207&lt;=PERALTE!#REF!,-2,IF(RASANTE!F207&lt;=PERALTE!#REF!,(-6/(PERALTE!#REF!-PERALTE!#REF!)*(RASANTE!F207-PERALTE!#REF!)-2),IF(RASANTE!F207&lt;=PERALTE!#REF!,-8,IF(RASANTE!F207&lt;=PERALTE!#REF!,(-6/(PERALTE!#REF!-PERALTE!#REF!)*(RASANTE!F207-PERALTE!#REF!)-2),IF(RASANTE!F207&lt;=PERALTE!#REF!,-2))))),IF(AND(AH!#REF!="Derecha",RASANTE!F207&lt;=PERALTE!#REF!),IF(RASANTE!F207&lt;=PERALTE!#REF!,-2,IF(RASANTE!F207&lt;=PERALTE!#REF!,(10/(PERALTE!#REF!-PERALTE!#REF!)*(RASANTE!F207-PERALTE!#REF!)-2),IF(RASANTE!F207&lt;=PERALTE!#REF!,8,IF(RASANTE!F207&lt;=PERALTE!#REF!,(10/(PERALTE!#REF!-PERALTE!#REF!)*(RASANTE!F207-PERALTE!#REF!)-2))))),IF(AND(AH!#REF!="Izquierda",RASANTE!F207&lt;=PERALTE!$AB$26),IF(RASANTE!F207&lt;=PERALTE!$S$26,-2,IF(RASANTE!F207&lt;=PERALTE!$U$26,(-6/(PERALTE!$U$26-PERALTE!$S$26)*(RASANTE!F207-PERALTE!$S$26)-2),IF(RASANTE!F207&lt;=PERALTE!$X$26,-8,IF(RASANTE!F207&lt;=PERALTE!$Z$26,(-6/(PERALTE!$X$26-PERALTE!$Z$26)*(RASANTE!F207-PERALTE!$Z$26)-2),IF(RASANTE!F207&lt;=PERALTE!$AB$26,-2))))),IF(AND(AH!#REF!="Derecha",RASANTE!F207&lt;=PERALTE!$AB$26),IF(RASANTE!F207&lt;=PERALTE!$Q$26,-2,IF(RASANTE!F207&lt;=PERALTE!$U$26,(10/(PERALTE!$U$26-PERALTE!$Q$26)*(RASANTE!F207-PERALTE!$Q$26)-2),IF(RASANTE!F207&lt;=PERALTE!$X$26,8,IF(RASANTE!F207&lt;=PERALTE!$AB$26,(10/(PERALTE!$X$26-PERALTE!$AB$26)*(RASANTE!F207-PERALTE!$AB$26)-2))))),IF(F207&lt;=PERALTE!#REF!,-2,"Abscisa fuera de la vía")))))))))))))))))))))</f>
        <v>-2</v>
      </c>
      <c r="I207" s="28">
        <f>+IF(AND(AH!$H$8="Derecha",RASANTE!F207&lt;=PERALTE!$AB$6),IF(RASANTE!F207&lt;=PERALTE!$S$6,-2,IF(RASANTE!F207&lt;=PERALTE!$U$6,(-6/(PERALTE!$U$6-PERALTE!$S$6)*(RASANTE!F207-PERALTE!$S$6)-2),IF(RASANTE!F207&lt;=PERALTE!$X$6,-8,IF(RASANTE!F207&lt;=PERALTE!$Z$6,(-6/(PERALTE!$X$6-PERALTE!$Z$6)*(RASANTE!F207-PERALTE!$Z$6)-2),IF(RASANTE!F207&lt;=PERALTE!$AB$6,-2))))),IF(AND(AH!$H$8="Izquierda",RASANTE!F207&lt;=PERALTE!$AB$6),IF(RASANTE!F207&lt;=PERALTE!$Q$6,-2,IF(RASANTE!F207&lt;=PERALTE!$U$6,(10/(PERALTE!$U$6-PERALTE!$Q$6)*(RASANTE!F207-PERALTE!$Q$6)-2),IF(RASANTE!F207&lt;=PERALTE!$X$6,8,IF(RASANTE!F207&lt;=PERALTE!$AB$6,(10/(PERALTE!$X$6-PERALTE!$AB$6)*(RASANTE!F207-PERALTE!$AB$6)-2))))),IF(AND(AH!$H$10="Derecha",RASANTE!F207&lt;=PERALTE!$AB$8),IF(RASANTE!F207&lt;=PERALTE!$S$8,-2,IF(RASANTE!F207&lt;=PERALTE!$U$8,(-6/(PERALTE!$U$8-PERALTE!$S$8)*(RASANTE!F207-PERALTE!$S$8)-2),IF(RASANTE!F207&lt;=PERALTE!$X$8,-8,IF(RASANTE!F207&lt;=PERALTE!$Z$8,(-6/(PERALTE!$X$8-PERALTE!$Z$8)*(RASANTE!F207-PERALTE!$Z$8)-2),IF(RASANTE!F207&lt;=PERALTE!$AB$8,-2))))),IF(AND(AH!$H$10="Izquierda",RASANTE!F207&lt;=PERALTE!$AB$8),IF(RASANTE!F207&lt;=PERALTE!$Q$8,-2,IF(RASANTE!F207&lt;=PERALTE!$U$8,(10/(PERALTE!$U$8-PERALTE!$Q$8)*(RASANTE!F207-PERALTE!$Q$8)-2),IF(RASANTE!F207&lt;=PERALTE!$X$8,8,IF(RASANTE!F207&lt;=PERALTE!$AB$8,(10/(PERALTE!$X$8-PERALTE!$AB$8)*(RASANTE!F207-PERALTE!$AB$8)-2))))),IF(AND(AH!$H$12="Derecha",RASANTE!F207&lt;=PERALTE!$AB$10),IF(RASANTE!F207&lt;=PERALTE!$S$10,-2,IF(RASANTE!F207&lt;=PERALTE!$U$10,(-6/(PERALTE!$U$10-PERALTE!$S$10)*(RASANTE!F207-PERALTE!$S$10)-2),IF(RASANTE!F207&lt;=PERALTE!$X$10,-8,IF(RASANTE!F207&lt;=PERALTE!$Z$10,(-6/(PERALTE!$X$10-PERALTE!$Z$10)*(RASANTE!F207-PERALTE!$Z$10)-2),IF(RASANTE!F207&lt;=PERALTE!$AB$10,-2))))),IF(AND(AH!$H$12="Izquierda",RASANTE!F207&lt;=PERALTE!$AB$10),IF(RASANTE!F207&lt;=PERALTE!$Q$10,-2,IF(RASANTE!F207&lt;=PERALTE!$U$10,(10/(PERALTE!$U$10-PERALTE!$Q$10)*(RASANTE!F207-PERALTE!$Q$10)-2),IF(RASANTE!F207&lt;=PERALTE!$X$10,8,IF(RASANTE!F207&lt;=PERALTE!$AB$10,(10/(PERALTE!$X$10-PERALTE!$AB$10)*(RASANTE!F207-PERALTE!$AB$10)-2))))),IF(AND(AH!$H$14="Derecha",RASANTE!F207&lt;=PERALTE!$AB$12),IF(RASANTE!F207&lt;=PERALTE!$S$12,-2,IF(RASANTE!F207&lt;=PERALTE!$U$12,(-6/(PERALTE!$U$12-PERALTE!$S$12)*(RASANTE!F207-PERALTE!$S$12)-2),IF(RASANTE!F207&lt;=PERALTE!$X$12,-8,IF(RASANTE!F207&lt;=PERALTE!$Z$12,(-6/(PERALTE!$X$12-PERALTE!$Z$12)*(RASANTE!F207-PERALTE!$Z$12)-2),IF(RASANTE!F207&lt;=PERALTE!$AB$12,-2))))),IF(AND(AH!$H$14="Izquierda",RASANTE!F207&lt;=PERALTE!$AB$12),IF(RASANTE!F207&lt;=PERALTE!$Q$12,-2,IF(RASANTE!F207&lt;=PERALTE!$U$12,(10/(PERALTE!$U$12-PERALTE!$Q$12)*(RASANTE!F207-PERALTE!$Q$12)-2),IF(RASANTE!F207&lt;=PERALTE!$X$12,8,IF(RASANTE!F207&lt;=PERALTE!$AB$12,(10/(PERALTE!$X$12-PERALTE!$AB$12)*(RASANTE!F207-PERALTE!$AB$12)-2))))),IF(AND(AH!$H$16="Derecha",RASANTE!F207&lt;=PERALTE!$AB$14),IF(RASANTE!F207&lt;=PERALTE!$S$14,-2,IF(RASANTE!F207&lt;=PERALTE!$U$14,(-6/(PERALTE!$U$14-PERALTE!$S$14)*(RASANTE!F207-PERALTE!$S$14)-2),IF(RASANTE!F207&lt;=PERALTE!$X$14,-8,IF(RASANTE!F207&lt;=PERALTE!$Z$14,(-6/(PERALTE!$X$14-PERALTE!$Z$14)*(RASANTE!F207-PERALTE!$Z$14)-2),IF(RASANTE!F207&lt;=PERALTE!$AB$14,-2))))),IF(AND(AH!$H$16="Izquierda",RASANTE!F207&lt;=PERALTE!$AB$14),IF(RASANTE!F207&lt;=PERALTE!$Q$14,-2,IF(RASANTE!F207&lt;=PERALTE!$U$14,(10/(PERALTE!$U$14-PERALTE!$Q$14)*(RASANTE!F207-PERALTE!$Q$14)-2),IF(RASANTE!F207&lt;=PERALTE!$X$14,8,IF(RASANTE!F207&lt;=PERALTE!$AB$14,(10/(PERALTE!$X$14-PERALTE!$AB$14)*(RASANTE!F207-PERALTE!$AB$14)-2))))),IF(AND(AH!$H$18="Derecha",RASANTE!F207&lt;=PERALTE!$AB$16),IF(RASANTE!F207&lt;=PERALTE!$S$16,-2,IF(RASANTE!F207&lt;=PERALTE!$U$16,(-6/(PERALTE!$U$16-PERALTE!$S$16)*(RASANTE!F207-PERALTE!$S$16)-2),IF(RASANTE!F207&lt;=PERALTE!$X$16,-8,IF(RASANTE!F207&lt;=PERALTE!$Z$16,(-6/(PERALTE!$X$16-PERALTE!$Z$16)*(RASANTE!F207-PERALTE!$Z$16)-2),IF(RASANTE!F207&lt;=PERALTE!$AB$16,-2))))),IF(AND(AH!$H$18="Izquierda",RASANTE!F207&lt;=PERALTE!$AB$16),IF(RASANTE!F207&lt;=PERALTE!$Q$16,-2,IF(RASANTE!F207&lt;=PERALTE!$U$16,(10/(PERALTE!$U$16-PERALTE!$Q$16)*(RASANTE!F207-PERALTE!$Q$16)-2),IF(RASANTE!F207&lt;=PERALTE!$X$16,8,IF(RASANTE!F207&lt;=PERALTE!$AB$16,(10/(PERALTE!$X$16-PERALTE!$AB$16)*(RASANTE!F207-PERALTE!$AB$16)-2))))),IF(AND(AH!$H$20="Derecha",RASANTE!F207&lt;=PERALTE!$AB$18),IF(RASANTE!F207&lt;=PERALTE!$S$18,-2,IF(RASANTE!F207&lt;=PERALTE!$U$18,(-6/(PERALTE!$U$18-PERALTE!$S$18)*(RASANTE!F207-PERALTE!$S$18)-2),IF(RASANTE!F207&lt;=PERALTE!$X$18,-8,IF(RASANTE!F207&lt;=PERALTE!$Z$18,(-6/(PERALTE!$X$18-PERALTE!$Z$18)*(RASANTE!F207-PERALTE!$Z$18)-2),IF(RASANTE!F207&lt;=PERALTE!$AB$18,-2))))),IF(AND(AH!$H$20="Izquierda",RASANTE!F207&lt;=PERALTE!$AB$18),IF(RASANTE!F207&lt;=PERALTE!$Q$18,-2,IF(RASANTE!F207&lt;=PERALTE!$U$18,(10/(PERALTE!$U$18-PERALTE!$Q$18)*(RASANTE!F207-PERALTE!$Q$18)-2),IF(RASANTE!F207&lt;=PERALTE!$X$18,8,IF(RASANTE!F207&lt;=PERALTE!$AB$18,(10/(PERALTE!$X$18-PERALTE!$AB$18)*(RASANTE!F207-PERALTE!$AB$18)-2))))),IF(AND(AH!$H$24="Derecha",RASANTE!F207&lt;=PERALTE!$AB$22),IF(RASANTE!F207&lt;=PERALTE!$S$22,-2,IF(RASANTE!F207&lt;=PERALTE!$U$22,(-6/(PERALTE!$U$22-PERALTE!$S$22)*(RASANTE!F207-PERALTE!$S$22)-2),IF(RASANTE!F207&lt;=PERALTE!$X$22,-8,IF(RASANTE!F207&lt;=PERALTE!$Z$22,(-6/(PERALTE!$X$22-PERALTE!$Z$22)*(RASANTE!F207-PERALTE!$Z$22)-2),IF(RASANTE!F207&lt;=PERALTE!$AB$22,-2))))),IF(AND(AH!$H$24="Izquierda",RASANTE!F207&lt;=PERALTE!$AB$22),IF(RASANTE!F207&lt;=PERALTE!$Q$22,-2,IF(RASANTE!F207&lt;=PERALTE!$U$22,(10/(PERALTE!$U$22-PERALTE!$Q$22)*(RASANTE!F207-PERALTE!$Q$22)-2),IF(RASANTE!F207&lt;=PERALTE!$X$22,8,IF(RASANTE!F207&lt;=PERALTE!$AB$22,(10/(PERALTE!$X$22-PERALTE!$AB$22)*(RASANTE!F207-PERALTE!$AB$22)-2))))),IF(AND(AH!#REF!="Derecha",RASANTE!F207&lt;=PERALTE!#REF!),IF(RASANTE!F207&lt;=PERALTE!#REF!,-2,IF(RASANTE!F207&lt;=PERALTE!#REF!,(-6/(PERALTE!#REF!-PERALTE!#REF!)*(RASANTE!F207-PERALTE!#REF!)-2),IF(RASANTE!F207&lt;=PERALTE!#REF!,-8,IF(RASANTE!F207&lt;=PERALTE!#REF!,(-6/(PERALTE!#REF!-PERALTE!#REF!)*(RASANTE!F207-PERALTE!#REF!)-2),IF(RASANTE!F207&lt;=PERALTE!#REF!,-2))))),IF(AND(AH!#REF!="Izquierda",RASANTE!F207&lt;=PERALTE!#REF!),IF(RASANTE!F207&lt;=PERALTE!#REF!,-2,IF(RASANTE!F207&lt;=PERALTE!#REF!,(10/(PERALTE!#REF!-PERALTE!#REF!)*(RASANTE!F207-PERALTE!#REF!)-2),IF(RASANTE!F207&lt;=PERALTE!#REF!,8,IF(RASANTE!F207&lt;=PERALTE!#REF!,(10/(PERALTE!#REF!-PERALTE!#REF!)*(RASANTE!F207-PERALTE!#REF!)-2))))),IF(AND(AH!#REF!="Derecha",RASANTE!F207&lt;=PERALTE!$AB$26),IF(RASANTE!F207&lt;=PERALTE!$S$26,-2,IF(RASANTE!F207&lt;=PERALTE!$U$26,(-6/(PERALTE!$U$26-PERALTE!$S$26)*(RASANTE!F207-PERALTE!$S$26)-2),IF(RASANTE!F207&lt;=PERALTE!$X$26,-8,IF(RASANTE!F207&lt;=PERALTE!$Z$26,(-6/(PERALTE!$X$26-PERALTE!$Z$26)*(RASANTE!F207-PERALTE!$Z$26)-2),IF(RASANTE!F207&lt;=PERALTE!$AB$26,-2))))),IF(AND(AH!#REF!="Izquierda",RASANTE!F207&lt;=PERALTE!$AB$26),IF(RASANTE!F207&lt;=PERALTE!$Q$26,-2,IF(RASANTE!F207&lt;=PERALTE!$U$26,(10/(PERALTE!$U$26-PERALTE!$Q$26)*(RASANTE!F207-PERALTE!$Q$26)-2),IF(RASANTE!F207&lt;=PERALTE!$X$26,8,IF(RASANTE!F207&lt;=PERALTE!$AB$26,(10/(PERALTE!$X$26-PERALTE!$AB$26)*(RASANTE!F207-PERALTE!$AB$26)-2))))),IF(F207&lt;=PERALTE!#REF!,-2,"Abscisa fuera de la vía")))))))))))))))))))))</f>
        <v>-1.2112241850489149</v>
      </c>
      <c r="J207" s="28">
        <f t="shared" si="10"/>
        <v>1627.1929284648984</v>
      </c>
      <c r="K207" s="28">
        <f>+IF(AND(AV!$S$6&lt;F207,F207&lt;=AV!$T$6),AV!$P$6*((AV!$S$6-RASANTE!F207)/(AV!$N$6))^2,IF(AND(AV!$T$6&lt;RASANTE!F207,F207&lt;AV!$U$6),AV!$P$6*((AV!$U$6-RASANTE!F207)/(AV!$O$6))^2,IF(AND(AV!$S$8&lt;F207,F207&lt;=AV!$T$8),AV!$P$8*((AV!$S$8-RASANTE!F207)/(AV!$N$8))^2,IF(AND(AV!$T$8&lt;RASANTE!F207,F207&lt;AV!$U$8),AV!$P$8*((AV!$U$8-RASANTE!F207)/(AV!$O$8))^2,IF(AND(AV!$S$10&lt;F207,F207&lt;=AV!$T$10),AV!$P$10*((AV!$S$10-RASANTE!F207)/(AV!$N$10))^2,IF(AND(AV!$T$10&lt;RASANTE!F207,F207&lt;AV!$U$10),AV!$P$10*((AV!$U$10-RASANTE!F207)/(AV!$O$10))^2,IF(AND(AV!$S$12&lt;F207,F207&lt;=AV!$T$12),AV!$P$12*((AV!$S$12-RASANTE!F207)/(AV!$N$12))^2,IF(AND(AV!$T$12&lt;RASANTE!F207,F207&lt;AV!$U$12),AV!$P$12*((AV!$U$12-RASANTE!F207)/(AV!$O$12))^2,IF(AND(AV!$S$14&lt;F207,F207&lt;=AV!$T$14),AV!$P$14*((AV!$S$14-RASANTE!F207)/(AV!$N$14))^2,IF(AND(AV!$T$14&lt;RASANTE!F207,F207&lt;AV!$U$14),AV!$P$14*((AV!$U$14-RASANTE!F207)/(AV!$O$14))^2,IF(AND(AV!$S$16&lt;F207,F207&lt;=AV!$T$16),AV!$P$16*((AV!$S$16-RASANTE!F207)/(AV!$N$16))^2,IF(AND(AV!$T$16&lt;RASANTE!F207,F207&lt;AV!$U$16),AV!$P$16*((AV!$U$16-RASANTE!F207)/(AV!$O$16))^2,IF(AND(AV!$S$18&lt;F207,F207&lt;=AV!$T$18),AV!$P$18*((AV!$S$18-RASANTE!F207)/(AV!$N$18))^2,IF(AND(AV!$T$18&lt;RASANTE!F207,F207&lt;AV!$U$18),AV!$P$18*((AV!$U$18-RASANTE!F207)/(AV!$O$18))^2,IF(AND(AV!$S$20&lt;F207,F207&lt;=AV!$T$20),AV!$P$20*((AV!$S$20-RASANTE!F207)/(AV!$N$20))^2,IF(AND(AV!$T$20&lt;RASANTE!F207,F207&lt;AV!$U$20),AV!$P$20*((AV!$U$20-RASANTE!F207)/(AV!$O$20))^2,IF(AND(AV!$S$22&lt;F207,F207&lt;=AV!$T$22),AV!$P$22*((AV!$S$22-RASANTE!F207)/(AV!$N$22))^2,IF(AND(AV!$T$22&lt;RASANTE!F207,F207&lt;AV!$U$22),AV!$P$22*((AV!$U$22-RASANTE!F207)/(AV!$O$22))^2,IF(AND(AV!$S$24&lt;F207,F207&lt;=AV!$T$24),AV!$P$24*((AV!$S$24-RASANTE!F207)/(AV!$N$24))^2,IF(AND(AV!$T$24&lt;RASANTE!F207,F207&lt;AV!$U$24),AV!$P$24*((AV!$U$24-RASANTE!F207)/(AV!$O$24))^2,0))))))))))))))))))))</f>
        <v>0</v>
      </c>
      <c r="L207" s="28">
        <f>+M207+H207%*PERALTE!$C$32</f>
        <v>1627.1229284648985</v>
      </c>
      <c r="M207" s="28">
        <f t="shared" si="7"/>
        <v>1627.1929284648984</v>
      </c>
      <c r="N207" s="28">
        <f>+M207+I207%*PERALTE!$C$32</f>
        <v>1627.1505356184216</v>
      </c>
      <c r="O207" s="92"/>
      <c r="P207" s="84"/>
      <c r="Q207" s="84"/>
      <c r="R207" s="84"/>
      <c r="S207" s="84"/>
      <c r="T207" s="84"/>
      <c r="U207" s="84"/>
      <c r="V207" s="84"/>
      <c r="W207" s="84"/>
      <c r="X207" s="84"/>
      <c r="Y207" s="84"/>
    </row>
    <row r="208" spans="1:25" ht="15.75" customHeight="1" x14ac:dyDescent="0.2">
      <c r="A208" s="90" t="s">
        <v>357</v>
      </c>
      <c r="B208" s="86"/>
      <c r="C208" s="86"/>
      <c r="D208" s="86"/>
      <c r="E208" s="91"/>
      <c r="F208" s="34">
        <f>PERALTE!AB14</f>
        <v>1283.585344613414</v>
      </c>
      <c r="G208" s="88">
        <f>IF(F208&lt;=AV!$T$6,AV!$C$5,IF(RASANTE!F208&lt;=AV!$T$8,AV!$C$7,IF(RASANTE!F208&lt;=AV!$T$10,AV!$C$9,IF(RASANTE!F208&lt;=AV!$T$12,AV!$C$11,IF(RASANTE!F208&lt;=AV!$T$14,AV!$C$13,IF(RASANTE!F208&lt;=AV!$T$16,AV!$C$15, IF(RASANTE!F208&lt;=AV!$T$18,AV!$C$17,IF(RASANTE!F208&lt;=AV!$T$20,AV!$C$19,IF(RASANTE!F208&lt;=AV!$T$22,AV!$C$21,IF(RASANTE!F208&lt;=AV!$T$24,AV!$C$23,AV!$C$25))))))))))</f>
        <v>2.8</v>
      </c>
      <c r="H208" s="28">
        <f>+IF(AND(AH!$H$8="Izquierda",RASANTE!F208&lt;=PERALTE!$AB$6),IF(RASANTE!F208&lt;=PERALTE!$S$6,-2,IF(RASANTE!F208&lt;=PERALTE!$U$6,(-6/(PERALTE!$U$6-PERALTE!$S$6)*(RASANTE!F208-PERALTE!$S$6)-2),IF(RASANTE!F208&lt;=PERALTE!$X$6,-8,IF(RASANTE!F208&lt;=PERALTE!$Z$6,(-6/(PERALTE!$X$6-PERALTE!$Z$6)*(RASANTE!F208-PERALTE!$Z$6)-2),IF(RASANTE!F208&lt;=PERALTE!$AB$6,-2))))),IF(AND(AH!$H$8="Derecha",RASANTE!F208&lt;=PERALTE!$AB$6),IF(RASANTE!F208&lt;=PERALTE!$Q$6,-2,IF(RASANTE!F208&lt;=PERALTE!$U$6,(10/(PERALTE!$U$6-PERALTE!$Q$6)*(RASANTE!F208-PERALTE!$Q$6)-2),IF(RASANTE!F208&lt;=PERALTE!$X$6,8,IF(RASANTE!F208&lt;=PERALTE!$AB$6,(10/(PERALTE!$X$6-PERALTE!$AB$6)*(RASANTE!F208-PERALTE!$AB$6)-2))))),IF(AND(AH!$H$10="Izquierda",RASANTE!F208&lt;=PERALTE!$AB$8),IF(RASANTE!F208&lt;=PERALTE!$S$8,-2,IF(RASANTE!F208&lt;=PERALTE!$U$8,(-6/(PERALTE!$U$8-PERALTE!$S$8)*(RASANTE!F208-PERALTE!$S$8)-2),IF(RASANTE!F208&lt;=PERALTE!$X$8,-8,IF(RASANTE!F208&lt;=PERALTE!$Z$8,(-6/(PERALTE!$X$8-PERALTE!$Z$8)*(RASANTE!F208-PERALTE!$Z$8)-2),IF(RASANTE!F208&lt;=PERALTE!$AB$8,-2))))),IF(AND(AH!$H$10="Derecha",RASANTE!F208&lt;=PERALTE!$AB$8),IF(RASANTE!F208&lt;=PERALTE!$Q$8,-2,IF(RASANTE!F208&lt;=PERALTE!$U$8,(10/(PERALTE!$U$8-PERALTE!$Q$8)*(RASANTE!F208-PERALTE!$Q$8)-2),IF(RASANTE!F208&lt;=PERALTE!$X$8,8,IF(RASANTE!F208&lt;=PERALTE!$AB$8,(10/(PERALTE!$X$8-PERALTE!$AB$8)*(RASANTE!F208-PERALTE!$AB$8)-2))))),IF(AND(AH!$H$12="Izquierda",RASANTE!F208&lt;=PERALTE!$AB$10),IF(RASANTE!F208&lt;=PERALTE!$S$10,-2,IF(RASANTE!F208&lt;=PERALTE!$U$10,(-6/(PERALTE!$U$10-PERALTE!$S$10)*(RASANTE!F208-PERALTE!$S$10)-2),IF(RASANTE!F208&lt;=PERALTE!$X$10,-8,IF(RASANTE!F208&lt;=PERALTE!$Z$10,(-6/(PERALTE!$X$10-PERALTE!$Z$10)*(RASANTE!F208-PERALTE!$Z$10)-2),IF(RASANTE!F208&lt;=PERALTE!$AB$10,-2))))),IF(AND(AH!$H$12="Derecha",RASANTE!F208&lt;=PERALTE!$AB$10),IF(RASANTE!F208&lt;=PERALTE!$Q$10,-2,IF(RASANTE!F208&lt;=PERALTE!$U$10,(10/(PERALTE!$U$10-PERALTE!$Q$10)*(RASANTE!F208-PERALTE!$Q$10)-2),IF(RASANTE!F208&lt;=PERALTE!$X$10,8,IF(RASANTE!F208&lt;=PERALTE!$AB$10,(10/(PERALTE!$X$10-PERALTE!$AB$10)*(RASANTE!F208-PERALTE!$AB$10)-2))))),IF(AND(AH!$H$14="Izquierda",RASANTE!F208&lt;=PERALTE!$AB$12),IF(RASANTE!F208&lt;=PERALTE!$S$12,-2,IF(RASANTE!F208&lt;=PERALTE!$U$12,(-6/(PERALTE!$U$12-PERALTE!$S$12)*(RASANTE!F208-PERALTE!$S$12)-2),IF(RASANTE!F208&lt;=PERALTE!$X$12,-8,IF(RASANTE!F208&lt;=PERALTE!$Z$12,(-6/(PERALTE!$X$12-PERALTE!$Z$12)*(RASANTE!F208-PERALTE!$Z$12)-2),IF(RASANTE!F208&lt;=PERALTE!$AB$12,-2))))),IF(AND(AH!$H$14="Derecha",RASANTE!F208&lt;=PERALTE!$AB$12),IF(RASANTE!F208&lt;=PERALTE!$Q$12,-2,IF(RASANTE!F208&lt;=PERALTE!$U$12,(10/(PERALTE!$U$12-PERALTE!$Q$12)*(RASANTE!F208-PERALTE!$Q$12)-2),IF(RASANTE!F208&lt;=PERALTE!$X$12,8,IF(RASANTE!F208&lt;=PERALTE!$AB$12,(10/(PERALTE!$X$12-PERALTE!$AB$12)*(RASANTE!F208-PERALTE!$AB$12)-2))))),IF(AND(AH!$H$16="Izquierda",RASANTE!F208&lt;=PERALTE!$AB$14),IF(RASANTE!F208&lt;=PERALTE!$S$14,-2,IF(RASANTE!F208&lt;=PERALTE!$U$14,(-6/(PERALTE!$U$14-PERALTE!$S$14)*(RASANTE!F208-PERALTE!$S$14)-2),IF(RASANTE!F208&lt;=PERALTE!$X$14,-8,IF(RASANTE!F208&lt;=PERALTE!$Z$14,(-6/(PERALTE!$X$14-PERALTE!$Z$14)*(RASANTE!F208-PERALTE!$Z$14)-2),IF(RASANTE!F208&lt;=PERALTE!$AB$14,-2))))),IF(AND(AH!$H$16="Derecha",RASANTE!F208&lt;=PERALTE!$AB$14),IF(RASANTE!F208&lt;=PERALTE!$Q$14,-2,IF(RASANTE!F208&lt;=PERALTE!$U$14,(10/(PERALTE!$U$14-PERALTE!$Q$14)*(RASANTE!F208-PERALTE!$Q$14)-2),IF(RASANTE!F208&lt;=PERALTE!$X$14,8,IF(RASANTE!F208&lt;=PERALTE!$AB$14,(10/(PERALTE!$X$14-PERALTE!$AB$14)*(RASANTE!F208-PERALTE!$AB$14)-2))))),IF(AND(AH!$H$18="Izquierda",RASANTE!F208&lt;=PERALTE!$AB$16),IF(RASANTE!F208&lt;=PERALTE!$S$16,-2,IF(RASANTE!F208&lt;=PERALTE!$U$16,(-6/(PERALTE!$U$16-PERALTE!$S$16)*(RASANTE!F208-PERALTE!$S$16)-2),IF(RASANTE!F208&lt;=PERALTE!$X$16,-8,IF(RASANTE!F208&lt;=PERALTE!$Z$16,(-6/(PERALTE!$X$16-PERALTE!$Z$16)*(RASANTE!F208-PERALTE!$Z$16)-2),IF(RASANTE!F208&lt;=PERALTE!$AB$16,-2))))),IF(AND(AH!$H$18="Derecha",RASANTE!F208&lt;=PERALTE!$AB$16),IF(RASANTE!F208&lt;=PERALTE!$Q$16,-2,IF(RASANTE!F208&lt;=PERALTE!$U$16,(10/(PERALTE!$U$16-PERALTE!$Q$16)*(RASANTE!F208-PERALTE!$Q$16)-2),IF(RASANTE!F208&lt;=PERALTE!$X$16,8,IF(RASANTE!F208&lt;=PERALTE!$AB$16,(10/(PERALTE!$X$16-PERALTE!$AB$16)*(RASANTE!F208-PERALTE!$AB$16)-2))))),IF(AND(AH!$H$20="Izquierda",RASANTE!F208&lt;=PERALTE!$AB$18),IF(RASANTE!F208&lt;=PERALTE!$S$18,-2,IF(RASANTE!F208&lt;=PERALTE!$U$18,(-6/(PERALTE!$U$18-PERALTE!$S$18)*(RASANTE!F208-PERALTE!$S$18)-2),IF(RASANTE!F208&lt;=PERALTE!$X$18,-8,IF(RASANTE!F208&lt;=PERALTE!$Z$18,(-6/(PERALTE!$X$18-PERALTE!$Z$18)*(RASANTE!F208-PERALTE!$Z$18)-2),IF(RASANTE!F208&lt;=PERALTE!$AB$18,-2))))),IF(AND(AH!$H$20="Derecha",RASANTE!F208&lt;=PERALTE!$AB$18),IF(RASANTE!F208&lt;=PERALTE!$Q$18,-2,IF(RASANTE!F208&lt;=PERALTE!$U$18,(10/(PERALTE!$U$18-PERALTE!$Q$18)*(RASANTE!F208-PERALTE!$Q$18)-2),IF(RASANTE!F208&lt;=PERALTE!$X$18,8,IF(RASANTE!F208&lt;=PERALTE!$AB$18,(10/(PERALTE!$X$18-PERALTE!$AB$18)*(RASANTE!F208-PERALTE!$AB$18)-2))))),IF(AND(AH!$H$24="Izquierda",RASANTE!F208&lt;=PERALTE!$AB$22),IF(RASANTE!F208&lt;=PERALTE!$S$22,-2,IF(RASANTE!F208&lt;=PERALTE!$U$22,(-6/(PERALTE!$U$22-PERALTE!$S$22)*(RASANTE!F208-PERALTE!$S$22)-2),IF(RASANTE!F208&lt;=PERALTE!$X$22,-8,IF(RASANTE!F208&lt;=PERALTE!$Z$22,(-6/(PERALTE!$X$22-PERALTE!$Z$22)*(RASANTE!F208-PERALTE!$Z$22)-2),IF(RASANTE!F208&lt;=PERALTE!$AB$22,-2))))),IF(AND(AH!$H$24="Derecha",RASANTE!F208&lt;=PERALTE!$AB$22),IF(RASANTE!F208&lt;=PERALTE!$Q$22,-2,IF(RASANTE!F208&lt;=PERALTE!$U$22,(10/(PERALTE!$U$22-PERALTE!$Q$22)*(RASANTE!F208-PERALTE!$Q$22)-2),IF(RASANTE!F208&lt;=PERALTE!$X$22,8,IF(RASANTE!F208&lt;=PERALTE!$AB$22,(10/(PERALTE!$X$22-PERALTE!$AB$22)*(RASANTE!F208-PERALTE!$AB$22)-2))))),IF(AND(AH!#REF!="Izquierda",RASANTE!F208&lt;=PERALTE!#REF!),IF(RASANTE!F208&lt;=PERALTE!#REF!,-2,IF(RASANTE!F208&lt;=PERALTE!#REF!,(-6/(PERALTE!#REF!-PERALTE!#REF!)*(RASANTE!F208-PERALTE!#REF!)-2),IF(RASANTE!F208&lt;=PERALTE!#REF!,-8,IF(RASANTE!F208&lt;=PERALTE!#REF!,(-6/(PERALTE!#REF!-PERALTE!#REF!)*(RASANTE!F208-PERALTE!#REF!)-2),IF(RASANTE!F208&lt;=PERALTE!#REF!,-2))))),IF(AND(AH!#REF!="Derecha",RASANTE!F208&lt;=PERALTE!#REF!),IF(RASANTE!F208&lt;=PERALTE!#REF!,-2,IF(RASANTE!F208&lt;=PERALTE!#REF!,(10/(PERALTE!#REF!-PERALTE!#REF!)*(RASANTE!F208-PERALTE!#REF!)-2),IF(RASANTE!F208&lt;=PERALTE!#REF!,8,IF(RASANTE!F208&lt;=PERALTE!#REF!,(10/(PERALTE!#REF!-PERALTE!#REF!)*(RASANTE!F208-PERALTE!#REF!)-2))))),IF(AND(AH!#REF!="Izquierda",RASANTE!F208&lt;=PERALTE!$AB$26),IF(RASANTE!F208&lt;=PERALTE!$S$26,-2,IF(RASANTE!F208&lt;=PERALTE!$U$26,(-6/(PERALTE!$U$26-PERALTE!$S$26)*(RASANTE!F208-PERALTE!$S$26)-2),IF(RASANTE!F208&lt;=PERALTE!$X$26,-8,IF(RASANTE!F208&lt;=PERALTE!$Z$26,(-6/(PERALTE!$X$26-PERALTE!$Z$26)*(RASANTE!F208-PERALTE!$Z$26)-2),IF(RASANTE!F208&lt;=PERALTE!$AB$26,-2))))),IF(AND(AH!#REF!="Derecha",RASANTE!F208&lt;=PERALTE!$AB$26),IF(RASANTE!F208&lt;=PERALTE!$Q$26,-2,IF(RASANTE!F208&lt;=PERALTE!$U$26,(10/(PERALTE!$U$26-PERALTE!$Q$26)*(RASANTE!F208-PERALTE!$Q$26)-2),IF(RASANTE!F208&lt;=PERALTE!$X$26,8,IF(RASANTE!F208&lt;=PERALTE!$AB$26,(10/(PERALTE!$X$26-PERALTE!$AB$26)*(RASANTE!F208-PERALTE!$AB$26)-2))))),IF(F208&lt;=PERALTE!#REF!,-2,"Abscisa fuera de la vía")))))))))))))))))))))</f>
        <v>-2</v>
      </c>
      <c r="I208" s="28">
        <f>+IF(AND(AH!$H$8="Derecha",RASANTE!F208&lt;=PERALTE!$AB$6),IF(RASANTE!F208&lt;=PERALTE!$S$6,-2,IF(RASANTE!F208&lt;=PERALTE!$U$6,(-6/(PERALTE!$U$6-PERALTE!$S$6)*(RASANTE!F208-PERALTE!$S$6)-2),IF(RASANTE!F208&lt;=PERALTE!$X$6,-8,IF(RASANTE!F208&lt;=PERALTE!$Z$6,(-6/(PERALTE!$X$6-PERALTE!$Z$6)*(RASANTE!F208-PERALTE!$Z$6)-2),IF(RASANTE!F208&lt;=PERALTE!$AB$6,-2))))),IF(AND(AH!$H$8="Izquierda",RASANTE!F208&lt;=PERALTE!$AB$6),IF(RASANTE!F208&lt;=PERALTE!$Q$6,-2,IF(RASANTE!F208&lt;=PERALTE!$U$6,(10/(PERALTE!$U$6-PERALTE!$Q$6)*(RASANTE!F208-PERALTE!$Q$6)-2),IF(RASANTE!F208&lt;=PERALTE!$X$6,8,IF(RASANTE!F208&lt;=PERALTE!$AB$6,(10/(PERALTE!$X$6-PERALTE!$AB$6)*(RASANTE!F208-PERALTE!$AB$6)-2))))),IF(AND(AH!$H$10="Derecha",RASANTE!F208&lt;=PERALTE!$AB$8),IF(RASANTE!F208&lt;=PERALTE!$S$8,-2,IF(RASANTE!F208&lt;=PERALTE!$U$8,(-6/(PERALTE!$U$8-PERALTE!$S$8)*(RASANTE!F208-PERALTE!$S$8)-2),IF(RASANTE!F208&lt;=PERALTE!$X$8,-8,IF(RASANTE!F208&lt;=PERALTE!$Z$8,(-6/(PERALTE!$X$8-PERALTE!$Z$8)*(RASANTE!F208-PERALTE!$Z$8)-2),IF(RASANTE!F208&lt;=PERALTE!$AB$8,-2))))),IF(AND(AH!$H$10="Izquierda",RASANTE!F208&lt;=PERALTE!$AB$8),IF(RASANTE!F208&lt;=PERALTE!$Q$8,-2,IF(RASANTE!F208&lt;=PERALTE!$U$8,(10/(PERALTE!$U$8-PERALTE!$Q$8)*(RASANTE!F208-PERALTE!$Q$8)-2),IF(RASANTE!F208&lt;=PERALTE!$X$8,8,IF(RASANTE!F208&lt;=PERALTE!$AB$8,(10/(PERALTE!$X$8-PERALTE!$AB$8)*(RASANTE!F208-PERALTE!$AB$8)-2))))),IF(AND(AH!$H$12="Derecha",RASANTE!F208&lt;=PERALTE!$AB$10),IF(RASANTE!F208&lt;=PERALTE!$S$10,-2,IF(RASANTE!F208&lt;=PERALTE!$U$10,(-6/(PERALTE!$U$10-PERALTE!$S$10)*(RASANTE!F208-PERALTE!$S$10)-2),IF(RASANTE!F208&lt;=PERALTE!$X$10,-8,IF(RASANTE!F208&lt;=PERALTE!$Z$10,(-6/(PERALTE!$X$10-PERALTE!$Z$10)*(RASANTE!F208-PERALTE!$Z$10)-2),IF(RASANTE!F208&lt;=PERALTE!$AB$10,-2))))),IF(AND(AH!$H$12="Izquierda",RASANTE!F208&lt;=PERALTE!$AB$10),IF(RASANTE!F208&lt;=PERALTE!$Q$10,-2,IF(RASANTE!F208&lt;=PERALTE!$U$10,(10/(PERALTE!$U$10-PERALTE!$Q$10)*(RASANTE!F208-PERALTE!$Q$10)-2),IF(RASANTE!F208&lt;=PERALTE!$X$10,8,IF(RASANTE!F208&lt;=PERALTE!$AB$10,(10/(PERALTE!$X$10-PERALTE!$AB$10)*(RASANTE!F208-PERALTE!$AB$10)-2))))),IF(AND(AH!$H$14="Derecha",RASANTE!F208&lt;=PERALTE!$AB$12),IF(RASANTE!F208&lt;=PERALTE!$S$12,-2,IF(RASANTE!F208&lt;=PERALTE!$U$12,(-6/(PERALTE!$U$12-PERALTE!$S$12)*(RASANTE!F208-PERALTE!$S$12)-2),IF(RASANTE!F208&lt;=PERALTE!$X$12,-8,IF(RASANTE!F208&lt;=PERALTE!$Z$12,(-6/(PERALTE!$X$12-PERALTE!$Z$12)*(RASANTE!F208-PERALTE!$Z$12)-2),IF(RASANTE!F208&lt;=PERALTE!$AB$12,-2))))),IF(AND(AH!$H$14="Izquierda",RASANTE!F208&lt;=PERALTE!$AB$12),IF(RASANTE!F208&lt;=PERALTE!$Q$12,-2,IF(RASANTE!F208&lt;=PERALTE!$U$12,(10/(PERALTE!$U$12-PERALTE!$Q$12)*(RASANTE!F208-PERALTE!$Q$12)-2),IF(RASANTE!F208&lt;=PERALTE!$X$12,8,IF(RASANTE!F208&lt;=PERALTE!$AB$12,(10/(PERALTE!$X$12-PERALTE!$AB$12)*(RASANTE!F208-PERALTE!$AB$12)-2))))),IF(AND(AH!$H$16="Derecha",RASANTE!F208&lt;=PERALTE!$AB$14),IF(RASANTE!F208&lt;=PERALTE!$S$14,-2,IF(RASANTE!F208&lt;=PERALTE!$U$14,(-6/(PERALTE!$U$14-PERALTE!$S$14)*(RASANTE!F208-PERALTE!$S$14)-2),IF(RASANTE!F208&lt;=PERALTE!$X$14,-8,IF(RASANTE!F208&lt;=PERALTE!$Z$14,(-6/(PERALTE!$X$14-PERALTE!$Z$14)*(RASANTE!F208-PERALTE!$Z$14)-2),IF(RASANTE!F208&lt;=PERALTE!$AB$14,-2))))),IF(AND(AH!$H$16="Izquierda",RASANTE!F208&lt;=PERALTE!$AB$14),IF(RASANTE!F208&lt;=PERALTE!$Q$14,-2,IF(RASANTE!F208&lt;=PERALTE!$U$14,(10/(PERALTE!$U$14-PERALTE!$Q$14)*(RASANTE!F208-PERALTE!$Q$14)-2),IF(RASANTE!F208&lt;=PERALTE!$X$14,8,IF(RASANTE!F208&lt;=PERALTE!$AB$14,(10/(PERALTE!$X$14-PERALTE!$AB$14)*(RASANTE!F208-PERALTE!$AB$14)-2))))),IF(AND(AH!$H$18="Derecha",RASANTE!F208&lt;=PERALTE!$AB$16),IF(RASANTE!F208&lt;=PERALTE!$S$16,-2,IF(RASANTE!F208&lt;=PERALTE!$U$16,(-6/(PERALTE!$U$16-PERALTE!$S$16)*(RASANTE!F208-PERALTE!$S$16)-2),IF(RASANTE!F208&lt;=PERALTE!$X$16,-8,IF(RASANTE!F208&lt;=PERALTE!$Z$16,(-6/(PERALTE!$X$16-PERALTE!$Z$16)*(RASANTE!F208-PERALTE!$Z$16)-2),IF(RASANTE!F208&lt;=PERALTE!$AB$16,-2))))),IF(AND(AH!$H$18="Izquierda",RASANTE!F208&lt;=PERALTE!$AB$16),IF(RASANTE!F208&lt;=PERALTE!$Q$16,-2,IF(RASANTE!F208&lt;=PERALTE!$U$16,(10/(PERALTE!$U$16-PERALTE!$Q$16)*(RASANTE!F208-PERALTE!$Q$16)-2),IF(RASANTE!F208&lt;=PERALTE!$X$16,8,IF(RASANTE!F208&lt;=PERALTE!$AB$16,(10/(PERALTE!$X$16-PERALTE!$AB$16)*(RASANTE!F208-PERALTE!$AB$16)-2))))),IF(AND(AH!$H$20="Derecha",RASANTE!F208&lt;=PERALTE!$AB$18),IF(RASANTE!F208&lt;=PERALTE!$S$18,-2,IF(RASANTE!F208&lt;=PERALTE!$U$18,(-6/(PERALTE!$U$18-PERALTE!$S$18)*(RASANTE!F208-PERALTE!$S$18)-2),IF(RASANTE!F208&lt;=PERALTE!$X$18,-8,IF(RASANTE!F208&lt;=PERALTE!$Z$18,(-6/(PERALTE!$X$18-PERALTE!$Z$18)*(RASANTE!F208-PERALTE!$Z$18)-2),IF(RASANTE!F208&lt;=PERALTE!$AB$18,-2))))),IF(AND(AH!$H$20="Izquierda",RASANTE!F208&lt;=PERALTE!$AB$18),IF(RASANTE!F208&lt;=PERALTE!$Q$18,-2,IF(RASANTE!F208&lt;=PERALTE!$U$18,(10/(PERALTE!$U$18-PERALTE!$Q$18)*(RASANTE!F208-PERALTE!$Q$18)-2),IF(RASANTE!F208&lt;=PERALTE!$X$18,8,IF(RASANTE!F208&lt;=PERALTE!$AB$18,(10/(PERALTE!$X$18-PERALTE!$AB$18)*(RASANTE!F208-PERALTE!$AB$18)-2))))),IF(AND(AH!$H$24="Derecha",RASANTE!F208&lt;=PERALTE!$AB$22),IF(RASANTE!F208&lt;=PERALTE!$S$22,-2,IF(RASANTE!F208&lt;=PERALTE!$U$22,(-6/(PERALTE!$U$22-PERALTE!$S$22)*(RASANTE!F208-PERALTE!$S$22)-2),IF(RASANTE!F208&lt;=PERALTE!$X$22,-8,IF(RASANTE!F208&lt;=PERALTE!$Z$22,(-6/(PERALTE!$X$22-PERALTE!$Z$22)*(RASANTE!F208-PERALTE!$Z$22)-2),IF(RASANTE!F208&lt;=PERALTE!$AB$22,-2))))),IF(AND(AH!$H$24="Izquierda",RASANTE!F208&lt;=PERALTE!$AB$22),IF(RASANTE!F208&lt;=PERALTE!$Q$22,-2,IF(RASANTE!F208&lt;=PERALTE!$U$22,(10/(PERALTE!$U$22-PERALTE!$Q$22)*(RASANTE!F208-PERALTE!$Q$22)-2),IF(RASANTE!F208&lt;=PERALTE!$X$22,8,IF(RASANTE!F208&lt;=PERALTE!$AB$22,(10/(PERALTE!$X$22-PERALTE!$AB$22)*(RASANTE!F208-PERALTE!$AB$22)-2))))),IF(AND(AH!#REF!="Derecha",RASANTE!F208&lt;=PERALTE!#REF!),IF(RASANTE!F208&lt;=PERALTE!#REF!,-2,IF(RASANTE!F208&lt;=PERALTE!#REF!,(-6/(PERALTE!#REF!-PERALTE!#REF!)*(RASANTE!F208-PERALTE!#REF!)-2),IF(RASANTE!F208&lt;=PERALTE!#REF!,-8,IF(RASANTE!F208&lt;=PERALTE!#REF!,(-6/(PERALTE!#REF!-PERALTE!#REF!)*(RASANTE!F208-PERALTE!#REF!)-2),IF(RASANTE!F208&lt;=PERALTE!#REF!,-2))))),IF(AND(AH!#REF!="Izquierda",RASANTE!F208&lt;=PERALTE!#REF!),IF(RASANTE!F208&lt;=PERALTE!#REF!,-2,IF(RASANTE!F208&lt;=PERALTE!#REF!,(10/(PERALTE!#REF!-PERALTE!#REF!)*(RASANTE!F208-PERALTE!#REF!)-2),IF(RASANTE!F208&lt;=PERALTE!#REF!,8,IF(RASANTE!F208&lt;=PERALTE!#REF!,(10/(PERALTE!#REF!-PERALTE!#REF!)*(RASANTE!F208-PERALTE!#REF!)-2))))),IF(AND(AH!#REF!="Derecha",RASANTE!F208&lt;=PERALTE!$AB$26),IF(RASANTE!F208&lt;=PERALTE!$S$26,-2,IF(RASANTE!F208&lt;=PERALTE!$U$26,(-6/(PERALTE!$U$26-PERALTE!$S$26)*(RASANTE!F208-PERALTE!$S$26)-2),IF(RASANTE!F208&lt;=PERALTE!$X$26,-8,IF(RASANTE!F208&lt;=PERALTE!$Z$26,(-6/(PERALTE!$X$26-PERALTE!$Z$26)*(RASANTE!F208-PERALTE!$Z$26)-2),IF(RASANTE!F208&lt;=PERALTE!$AB$26,-2))))),IF(AND(AH!#REF!="Izquierda",RASANTE!F208&lt;=PERALTE!$AB$26),IF(RASANTE!F208&lt;=PERALTE!$Q$26,-2,IF(RASANTE!F208&lt;=PERALTE!$U$26,(10/(PERALTE!$U$26-PERALTE!$Q$26)*(RASANTE!F208-PERALTE!$Q$26)-2),IF(RASANTE!F208&lt;=PERALTE!$X$26,8,IF(RASANTE!F208&lt;=PERALTE!$AB$26,(10/(PERALTE!$X$26-PERALTE!$AB$26)*(RASANTE!F208-PERALTE!$AB$26)-2))))),IF(F208&lt;=PERALTE!#REF!,-2,"Abscisa fuera de la vía")))))))))))))))))))))</f>
        <v>-2</v>
      </c>
      <c r="J208" s="28">
        <f t="shared" ref="J208:J263" si="11">J207+((F208-F207)*G207/100)</f>
        <v>1627.2933181140741</v>
      </c>
      <c r="K208" s="28">
        <f>+IF(AND(AV!$S$6&lt;F208,F208&lt;=AV!$T$6),AV!$P$6*((AV!$S$6-RASANTE!F208)/(AV!$N$6))^2,IF(AND(AV!$T$6&lt;RASANTE!F208,F208&lt;AV!$U$6),AV!$P$6*((AV!$U$6-RASANTE!F208)/(AV!$O$6))^2,IF(AND(AV!$S$8&lt;F208,F208&lt;=AV!$T$8),AV!$P$8*((AV!$S$8-RASANTE!F208)/(AV!$N$8))^2,IF(AND(AV!$T$8&lt;RASANTE!F208,F208&lt;AV!$U$8),AV!$P$8*((AV!$U$8-RASANTE!F208)/(AV!$O$8))^2,IF(AND(AV!$S$10&lt;F208,F208&lt;=AV!$T$10),AV!$P$10*((AV!$S$10-RASANTE!F208)/(AV!$N$10))^2,IF(AND(AV!$T$10&lt;RASANTE!F208,F208&lt;AV!$U$10),AV!$P$10*((AV!$U$10-RASANTE!F208)/(AV!$O$10))^2,IF(AND(AV!$S$12&lt;F208,F208&lt;=AV!$T$12),AV!$P$12*((AV!$S$12-RASANTE!F208)/(AV!$N$12))^2,IF(AND(AV!$T$12&lt;RASANTE!F208,F208&lt;AV!$U$12),AV!$P$12*((AV!$U$12-RASANTE!F208)/(AV!$O$12))^2,IF(AND(AV!$S$14&lt;F208,F208&lt;=AV!$T$14),AV!$P$14*((AV!$S$14-RASANTE!F208)/(AV!$N$14))^2,IF(AND(AV!$T$14&lt;RASANTE!F208,F208&lt;AV!$U$14),AV!$P$14*((AV!$U$14-RASANTE!F208)/(AV!$O$14))^2,IF(AND(AV!$S$16&lt;F208,F208&lt;=AV!$T$16),AV!$P$16*((AV!$S$16-RASANTE!F208)/(AV!$N$16))^2,IF(AND(AV!$T$16&lt;RASANTE!F208,F208&lt;AV!$U$16),AV!$P$16*((AV!$U$16-RASANTE!F208)/(AV!$O$16))^2,IF(AND(AV!$S$18&lt;F208,F208&lt;=AV!$T$18),AV!$P$18*((AV!$S$18-RASANTE!F208)/(AV!$N$18))^2,IF(AND(AV!$T$18&lt;RASANTE!F208,F208&lt;AV!$U$18),AV!$P$18*((AV!$U$18-RASANTE!F208)/(AV!$O$18))^2,IF(AND(AV!$S$20&lt;F208,F208&lt;=AV!$T$20),AV!$P$20*((AV!$S$20-RASANTE!F208)/(AV!$N$20))^2,IF(AND(AV!$T$20&lt;RASANTE!F208,F208&lt;AV!$U$20),AV!$P$20*((AV!$U$20-RASANTE!F208)/(AV!$O$20))^2,IF(AND(AV!$S$22&lt;F208,F208&lt;=AV!$T$22),AV!$P$22*((AV!$S$22-RASANTE!F208)/(AV!$N$22))^2,IF(AND(AV!$T$22&lt;RASANTE!F208,F208&lt;AV!$U$22),AV!$P$22*((AV!$U$22-RASANTE!F208)/(AV!$O$22))^2,IF(AND(AV!$S$24&lt;F208,F208&lt;=AV!$T$24),AV!$P$24*((AV!$S$24-RASANTE!F208)/(AV!$N$24))^2,IF(AND(AV!$T$24&lt;RASANTE!F208,F208&lt;AV!$U$24),AV!$P$24*((AV!$U$24-RASANTE!F208)/(AV!$O$24))^2,0))))))))))))))))))))</f>
        <v>0</v>
      </c>
      <c r="L208" s="28">
        <f>+M208+H208%*PERALTE!$C$32</f>
        <v>1627.2233181140741</v>
      </c>
      <c r="M208" s="28">
        <f t="shared" si="7"/>
        <v>1627.2933181140741</v>
      </c>
      <c r="N208" s="28">
        <f>+M208+I208%*PERALTE!$C$32</f>
        <v>1627.2233181140741</v>
      </c>
      <c r="O208" s="92"/>
      <c r="P208" s="84"/>
      <c r="Q208" s="84"/>
      <c r="R208" s="84"/>
      <c r="S208" s="84"/>
      <c r="T208" s="84"/>
      <c r="U208" s="84"/>
      <c r="V208" s="84"/>
      <c r="W208" s="84"/>
      <c r="X208" s="84"/>
      <c r="Y208" s="84"/>
    </row>
    <row r="209" spans="1:25" ht="15.75" customHeight="1" x14ac:dyDescent="0.2">
      <c r="A209" s="90"/>
      <c r="B209" s="86"/>
      <c r="C209" s="86"/>
      <c r="D209" s="86"/>
      <c r="E209" s="91"/>
      <c r="F209" s="34">
        <v>1290</v>
      </c>
      <c r="G209" s="88">
        <f>IF(F209&lt;=AV!$T$6,AV!$C$5,IF(RASANTE!F209&lt;=AV!$T$8,AV!$C$7,IF(RASANTE!F209&lt;=AV!$T$10,AV!$C$9,IF(RASANTE!F209&lt;=AV!$T$12,AV!$C$11,IF(RASANTE!F209&lt;=AV!$T$14,AV!$C$13,IF(RASANTE!F209&lt;=AV!$T$16,AV!$C$15, IF(RASANTE!F209&lt;=AV!$T$18,AV!$C$17,IF(RASANTE!F209&lt;=AV!$T$20,AV!$C$19,IF(RASANTE!F209&lt;=AV!$T$22,AV!$C$21,IF(RASANTE!F209&lt;=AV!$T$24,AV!$C$23,AV!$C$25))))))))))</f>
        <v>2.8</v>
      </c>
      <c r="H209" s="28">
        <f>+IF(AND(AH!$H$8="Izquierda",RASANTE!F209&lt;=PERALTE!$AB$6),IF(RASANTE!F209&lt;=PERALTE!$S$6,-2,IF(RASANTE!F209&lt;=PERALTE!$U$6,(-6/(PERALTE!$U$6-PERALTE!$S$6)*(RASANTE!F209-PERALTE!$S$6)-2),IF(RASANTE!F209&lt;=PERALTE!$X$6,-8,IF(RASANTE!F209&lt;=PERALTE!$Z$6,(-6/(PERALTE!$X$6-PERALTE!$Z$6)*(RASANTE!F209-PERALTE!$Z$6)-2),IF(RASANTE!F209&lt;=PERALTE!$AB$6,-2))))),IF(AND(AH!$H$8="Derecha",RASANTE!F209&lt;=PERALTE!$AB$6),IF(RASANTE!F209&lt;=PERALTE!$Q$6,-2,IF(RASANTE!F209&lt;=PERALTE!$U$6,(10/(PERALTE!$U$6-PERALTE!$Q$6)*(RASANTE!F209-PERALTE!$Q$6)-2),IF(RASANTE!F209&lt;=PERALTE!$X$6,8,IF(RASANTE!F209&lt;=PERALTE!$AB$6,(10/(PERALTE!$X$6-PERALTE!$AB$6)*(RASANTE!F209-PERALTE!$AB$6)-2))))),IF(AND(AH!$H$10="Izquierda",RASANTE!F209&lt;=PERALTE!$AB$8),IF(RASANTE!F209&lt;=PERALTE!$S$8,-2,IF(RASANTE!F209&lt;=PERALTE!$U$8,(-6/(PERALTE!$U$8-PERALTE!$S$8)*(RASANTE!F209-PERALTE!$S$8)-2),IF(RASANTE!F209&lt;=PERALTE!$X$8,-8,IF(RASANTE!F209&lt;=PERALTE!$Z$8,(-6/(PERALTE!$X$8-PERALTE!$Z$8)*(RASANTE!F209-PERALTE!$Z$8)-2),IF(RASANTE!F209&lt;=PERALTE!$AB$8,-2))))),IF(AND(AH!$H$10="Derecha",RASANTE!F209&lt;=PERALTE!$AB$8),IF(RASANTE!F209&lt;=PERALTE!$Q$8,-2,IF(RASANTE!F209&lt;=PERALTE!$U$8,(10/(PERALTE!$U$8-PERALTE!$Q$8)*(RASANTE!F209-PERALTE!$Q$8)-2),IF(RASANTE!F209&lt;=PERALTE!$X$8,8,IF(RASANTE!F209&lt;=PERALTE!$AB$8,(10/(PERALTE!$X$8-PERALTE!$AB$8)*(RASANTE!F209-PERALTE!$AB$8)-2))))),IF(AND(AH!$H$12="Izquierda",RASANTE!F209&lt;=PERALTE!$AB$10),IF(RASANTE!F209&lt;=PERALTE!$S$10,-2,IF(RASANTE!F209&lt;=PERALTE!$U$10,(-6/(PERALTE!$U$10-PERALTE!$S$10)*(RASANTE!F209-PERALTE!$S$10)-2),IF(RASANTE!F209&lt;=PERALTE!$X$10,-8,IF(RASANTE!F209&lt;=PERALTE!$Z$10,(-6/(PERALTE!$X$10-PERALTE!$Z$10)*(RASANTE!F209-PERALTE!$Z$10)-2),IF(RASANTE!F209&lt;=PERALTE!$AB$10,-2))))),IF(AND(AH!$H$12="Derecha",RASANTE!F209&lt;=PERALTE!$AB$10),IF(RASANTE!F209&lt;=PERALTE!$Q$10,-2,IF(RASANTE!F209&lt;=PERALTE!$U$10,(10/(PERALTE!$U$10-PERALTE!$Q$10)*(RASANTE!F209-PERALTE!$Q$10)-2),IF(RASANTE!F209&lt;=PERALTE!$X$10,8,IF(RASANTE!F209&lt;=PERALTE!$AB$10,(10/(PERALTE!$X$10-PERALTE!$AB$10)*(RASANTE!F209-PERALTE!$AB$10)-2))))),IF(AND(AH!$H$14="Izquierda",RASANTE!F209&lt;=PERALTE!$AB$12),IF(RASANTE!F209&lt;=PERALTE!$S$12,-2,IF(RASANTE!F209&lt;=PERALTE!$U$12,(-6/(PERALTE!$U$12-PERALTE!$S$12)*(RASANTE!F209-PERALTE!$S$12)-2),IF(RASANTE!F209&lt;=PERALTE!$X$12,-8,IF(RASANTE!F209&lt;=PERALTE!$Z$12,(-6/(PERALTE!$X$12-PERALTE!$Z$12)*(RASANTE!F209-PERALTE!$Z$12)-2),IF(RASANTE!F209&lt;=PERALTE!$AB$12,-2))))),IF(AND(AH!$H$14="Derecha",RASANTE!F209&lt;=PERALTE!$AB$12),IF(RASANTE!F209&lt;=PERALTE!$Q$12,-2,IF(RASANTE!F209&lt;=PERALTE!$U$12,(10/(PERALTE!$U$12-PERALTE!$Q$12)*(RASANTE!F209-PERALTE!$Q$12)-2),IF(RASANTE!F209&lt;=PERALTE!$X$12,8,IF(RASANTE!F209&lt;=PERALTE!$AB$12,(10/(PERALTE!$X$12-PERALTE!$AB$12)*(RASANTE!F209-PERALTE!$AB$12)-2))))),IF(AND(AH!$H$16="Izquierda",RASANTE!F209&lt;=PERALTE!$AB$14),IF(RASANTE!F209&lt;=PERALTE!$S$14,-2,IF(RASANTE!F209&lt;=PERALTE!$U$14,(-6/(PERALTE!$U$14-PERALTE!$S$14)*(RASANTE!F209-PERALTE!$S$14)-2),IF(RASANTE!F209&lt;=PERALTE!$X$14,-8,IF(RASANTE!F209&lt;=PERALTE!$Z$14,(-6/(PERALTE!$X$14-PERALTE!$Z$14)*(RASANTE!F209-PERALTE!$Z$14)-2),IF(RASANTE!F209&lt;=PERALTE!$AB$14,-2))))),IF(AND(AH!$H$16="Derecha",RASANTE!F209&lt;=PERALTE!$AB$14),IF(RASANTE!F209&lt;=PERALTE!$Q$14,-2,IF(RASANTE!F209&lt;=PERALTE!$U$14,(10/(PERALTE!$U$14-PERALTE!$Q$14)*(RASANTE!F209-PERALTE!$Q$14)-2),IF(RASANTE!F209&lt;=PERALTE!$X$14,8,IF(RASANTE!F209&lt;=PERALTE!$AB$14,(10/(PERALTE!$X$14-PERALTE!$AB$14)*(RASANTE!F209-PERALTE!$AB$14)-2))))),IF(AND(AH!$H$18="Izquierda",RASANTE!F209&lt;=PERALTE!$AB$16),IF(RASANTE!F209&lt;=PERALTE!$S$16,-2,IF(RASANTE!F209&lt;=PERALTE!$U$16,(-6/(PERALTE!$U$16-PERALTE!$S$16)*(RASANTE!F209-PERALTE!$S$16)-2),IF(RASANTE!F209&lt;=PERALTE!$X$16,-8,IF(RASANTE!F209&lt;=PERALTE!$Z$16,(-6/(PERALTE!$X$16-PERALTE!$Z$16)*(RASANTE!F209-PERALTE!$Z$16)-2),IF(RASANTE!F209&lt;=PERALTE!$AB$16,-2))))),IF(AND(AH!$H$18="Derecha",RASANTE!F209&lt;=PERALTE!$AB$16),IF(RASANTE!F209&lt;=PERALTE!$Q$16,-2,IF(RASANTE!F209&lt;=PERALTE!$U$16,(10/(PERALTE!$U$16-PERALTE!$Q$16)*(RASANTE!F209-PERALTE!$Q$16)-2),IF(RASANTE!F209&lt;=PERALTE!$X$16,8,IF(RASANTE!F209&lt;=PERALTE!$AB$16,(10/(PERALTE!$X$16-PERALTE!$AB$16)*(RASANTE!F209-PERALTE!$AB$16)-2))))),IF(AND(AH!$H$20="Izquierda",RASANTE!F209&lt;=PERALTE!$AB$18),IF(RASANTE!F209&lt;=PERALTE!$S$18,-2,IF(RASANTE!F209&lt;=PERALTE!$U$18,(-6/(PERALTE!$U$18-PERALTE!$S$18)*(RASANTE!F209-PERALTE!$S$18)-2),IF(RASANTE!F209&lt;=PERALTE!$X$18,-8,IF(RASANTE!F209&lt;=PERALTE!$Z$18,(-6/(PERALTE!$X$18-PERALTE!$Z$18)*(RASANTE!F209-PERALTE!$Z$18)-2),IF(RASANTE!F209&lt;=PERALTE!$AB$18,-2))))),IF(AND(AH!$H$20="Derecha",RASANTE!F209&lt;=PERALTE!$AB$18),IF(RASANTE!F209&lt;=PERALTE!$Q$18,-2,IF(RASANTE!F209&lt;=PERALTE!$U$18,(10/(PERALTE!$U$18-PERALTE!$Q$18)*(RASANTE!F209-PERALTE!$Q$18)-2),IF(RASANTE!F209&lt;=PERALTE!$X$18,8,IF(RASANTE!F209&lt;=PERALTE!$AB$18,(10/(PERALTE!$X$18-PERALTE!$AB$18)*(RASANTE!F209-PERALTE!$AB$18)-2))))),IF(AND(AH!$H$24="Izquierda",RASANTE!F209&lt;=PERALTE!$AB$22),IF(RASANTE!F209&lt;=PERALTE!$S$22,-2,IF(RASANTE!F209&lt;=PERALTE!$U$22,(-6/(PERALTE!$U$22-PERALTE!$S$22)*(RASANTE!F209-PERALTE!$S$22)-2),IF(RASANTE!F209&lt;=PERALTE!$X$22,-8,IF(RASANTE!F209&lt;=PERALTE!$Z$22,(-6/(PERALTE!$X$22-PERALTE!$Z$22)*(RASANTE!F209-PERALTE!$Z$22)-2),IF(RASANTE!F209&lt;=PERALTE!$AB$22,-2))))),IF(AND(AH!$H$24="Derecha",RASANTE!F209&lt;=PERALTE!$AB$22),IF(RASANTE!F209&lt;=PERALTE!$Q$22,-2,IF(RASANTE!F209&lt;=PERALTE!$U$22,(10/(PERALTE!$U$22-PERALTE!$Q$22)*(RASANTE!F209-PERALTE!$Q$22)-2),IF(RASANTE!F209&lt;=PERALTE!$X$22,8,IF(RASANTE!F209&lt;=PERALTE!$AB$22,(10/(PERALTE!$X$22-PERALTE!$AB$22)*(RASANTE!F209-PERALTE!$AB$22)-2))))),IF(AND(AH!#REF!="Izquierda",RASANTE!F209&lt;=PERALTE!#REF!),IF(RASANTE!F209&lt;=PERALTE!#REF!,-2,IF(RASANTE!F209&lt;=PERALTE!#REF!,(-6/(PERALTE!#REF!-PERALTE!#REF!)*(RASANTE!F209-PERALTE!#REF!)-2),IF(RASANTE!F209&lt;=PERALTE!#REF!,-8,IF(RASANTE!F209&lt;=PERALTE!#REF!,(-6/(PERALTE!#REF!-PERALTE!#REF!)*(RASANTE!F209-PERALTE!#REF!)-2),IF(RASANTE!F209&lt;=PERALTE!#REF!,-2))))),IF(AND(AH!#REF!="Derecha",RASANTE!F209&lt;=PERALTE!#REF!),IF(RASANTE!F209&lt;=PERALTE!#REF!,-2,IF(RASANTE!F209&lt;=PERALTE!#REF!,(10/(PERALTE!#REF!-PERALTE!#REF!)*(RASANTE!F209-PERALTE!#REF!)-2),IF(RASANTE!F209&lt;=PERALTE!#REF!,8,IF(RASANTE!F209&lt;=PERALTE!#REF!,(10/(PERALTE!#REF!-PERALTE!#REF!)*(RASANTE!F209-PERALTE!#REF!)-2))))),IF(AND(AH!#REF!="Izquierda",RASANTE!F209&lt;=PERALTE!$AB$26),IF(RASANTE!F209&lt;=PERALTE!$S$26,-2,IF(RASANTE!F209&lt;=PERALTE!$U$26,(-6/(PERALTE!$U$26-PERALTE!$S$26)*(RASANTE!F209-PERALTE!$S$26)-2),IF(RASANTE!F209&lt;=PERALTE!$X$26,-8,IF(RASANTE!F209&lt;=PERALTE!$Z$26,(-6/(PERALTE!$X$26-PERALTE!$Z$26)*(RASANTE!F209-PERALTE!$Z$26)-2),IF(RASANTE!F209&lt;=PERALTE!$AB$26,-2))))),IF(AND(AH!#REF!="Derecha",RASANTE!F209&lt;=PERALTE!$AB$26),IF(RASANTE!F209&lt;=PERALTE!$Q$26,-2,IF(RASANTE!F209&lt;=PERALTE!$U$26,(10/(PERALTE!$U$26-PERALTE!$Q$26)*(RASANTE!F209-PERALTE!$Q$26)-2),IF(RASANTE!F209&lt;=PERALTE!$X$26,8,IF(RASANTE!F209&lt;=PERALTE!$AB$26,(10/(PERALTE!$X$26-PERALTE!$AB$26)*(RASANTE!F209-PERALTE!$AB$26)-2))))),IF(F209&lt;=PERALTE!#REF!,-2,"Abscisa fuera de la vía")))))))))))))))))))))</f>
        <v>-2</v>
      </c>
      <c r="I209" s="28">
        <f>+IF(AND(AH!$H$8="Derecha",RASANTE!F209&lt;=PERALTE!$AB$6),IF(RASANTE!F209&lt;=PERALTE!$S$6,-2,IF(RASANTE!F209&lt;=PERALTE!$U$6,(-6/(PERALTE!$U$6-PERALTE!$S$6)*(RASANTE!F209-PERALTE!$S$6)-2),IF(RASANTE!F209&lt;=PERALTE!$X$6,-8,IF(RASANTE!F209&lt;=PERALTE!$Z$6,(-6/(PERALTE!$X$6-PERALTE!$Z$6)*(RASANTE!F209-PERALTE!$Z$6)-2),IF(RASANTE!F209&lt;=PERALTE!$AB$6,-2))))),IF(AND(AH!$H$8="Izquierda",RASANTE!F209&lt;=PERALTE!$AB$6),IF(RASANTE!F209&lt;=PERALTE!$Q$6,-2,IF(RASANTE!F209&lt;=PERALTE!$U$6,(10/(PERALTE!$U$6-PERALTE!$Q$6)*(RASANTE!F209-PERALTE!$Q$6)-2),IF(RASANTE!F209&lt;=PERALTE!$X$6,8,IF(RASANTE!F209&lt;=PERALTE!$AB$6,(10/(PERALTE!$X$6-PERALTE!$AB$6)*(RASANTE!F209-PERALTE!$AB$6)-2))))),IF(AND(AH!$H$10="Derecha",RASANTE!F209&lt;=PERALTE!$AB$8),IF(RASANTE!F209&lt;=PERALTE!$S$8,-2,IF(RASANTE!F209&lt;=PERALTE!$U$8,(-6/(PERALTE!$U$8-PERALTE!$S$8)*(RASANTE!F209-PERALTE!$S$8)-2),IF(RASANTE!F209&lt;=PERALTE!$X$8,-8,IF(RASANTE!F209&lt;=PERALTE!$Z$8,(-6/(PERALTE!$X$8-PERALTE!$Z$8)*(RASANTE!F209-PERALTE!$Z$8)-2),IF(RASANTE!F209&lt;=PERALTE!$AB$8,-2))))),IF(AND(AH!$H$10="Izquierda",RASANTE!F209&lt;=PERALTE!$AB$8),IF(RASANTE!F209&lt;=PERALTE!$Q$8,-2,IF(RASANTE!F209&lt;=PERALTE!$U$8,(10/(PERALTE!$U$8-PERALTE!$Q$8)*(RASANTE!F209-PERALTE!$Q$8)-2),IF(RASANTE!F209&lt;=PERALTE!$X$8,8,IF(RASANTE!F209&lt;=PERALTE!$AB$8,(10/(PERALTE!$X$8-PERALTE!$AB$8)*(RASANTE!F209-PERALTE!$AB$8)-2))))),IF(AND(AH!$H$12="Derecha",RASANTE!F209&lt;=PERALTE!$AB$10),IF(RASANTE!F209&lt;=PERALTE!$S$10,-2,IF(RASANTE!F209&lt;=PERALTE!$U$10,(-6/(PERALTE!$U$10-PERALTE!$S$10)*(RASANTE!F209-PERALTE!$S$10)-2),IF(RASANTE!F209&lt;=PERALTE!$X$10,-8,IF(RASANTE!F209&lt;=PERALTE!$Z$10,(-6/(PERALTE!$X$10-PERALTE!$Z$10)*(RASANTE!F209-PERALTE!$Z$10)-2),IF(RASANTE!F209&lt;=PERALTE!$AB$10,-2))))),IF(AND(AH!$H$12="Izquierda",RASANTE!F209&lt;=PERALTE!$AB$10),IF(RASANTE!F209&lt;=PERALTE!$Q$10,-2,IF(RASANTE!F209&lt;=PERALTE!$U$10,(10/(PERALTE!$U$10-PERALTE!$Q$10)*(RASANTE!F209-PERALTE!$Q$10)-2),IF(RASANTE!F209&lt;=PERALTE!$X$10,8,IF(RASANTE!F209&lt;=PERALTE!$AB$10,(10/(PERALTE!$X$10-PERALTE!$AB$10)*(RASANTE!F209-PERALTE!$AB$10)-2))))),IF(AND(AH!$H$14="Derecha",RASANTE!F209&lt;=PERALTE!$AB$12),IF(RASANTE!F209&lt;=PERALTE!$S$12,-2,IF(RASANTE!F209&lt;=PERALTE!$U$12,(-6/(PERALTE!$U$12-PERALTE!$S$12)*(RASANTE!F209-PERALTE!$S$12)-2),IF(RASANTE!F209&lt;=PERALTE!$X$12,-8,IF(RASANTE!F209&lt;=PERALTE!$Z$12,(-6/(PERALTE!$X$12-PERALTE!$Z$12)*(RASANTE!F209-PERALTE!$Z$12)-2),IF(RASANTE!F209&lt;=PERALTE!$AB$12,-2))))),IF(AND(AH!$H$14="Izquierda",RASANTE!F209&lt;=PERALTE!$AB$12),IF(RASANTE!F209&lt;=PERALTE!$Q$12,-2,IF(RASANTE!F209&lt;=PERALTE!$U$12,(10/(PERALTE!$U$12-PERALTE!$Q$12)*(RASANTE!F209-PERALTE!$Q$12)-2),IF(RASANTE!F209&lt;=PERALTE!$X$12,8,IF(RASANTE!F209&lt;=PERALTE!$AB$12,(10/(PERALTE!$X$12-PERALTE!$AB$12)*(RASANTE!F209-PERALTE!$AB$12)-2))))),IF(AND(AH!$H$16="Derecha",RASANTE!F209&lt;=PERALTE!$AB$14),IF(RASANTE!F209&lt;=PERALTE!$S$14,-2,IF(RASANTE!F209&lt;=PERALTE!$U$14,(-6/(PERALTE!$U$14-PERALTE!$S$14)*(RASANTE!F209-PERALTE!$S$14)-2),IF(RASANTE!F209&lt;=PERALTE!$X$14,-8,IF(RASANTE!F209&lt;=PERALTE!$Z$14,(-6/(PERALTE!$X$14-PERALTE!$Z$14)*(RASANTE!F209-PERALTE!$Z$14)-2),IF(RASANTE!F209&lt;=PERALTE!$AB$14,-2))))),IF(AND(AH!$H$16="Izquierda",RASANTE!F209&lt;=PERALTE!$AB$14),IF(RASANTE!F209&lt;=PERALTE!$Q$14,-2,IF(RASANTE!F209&lt;=PERALTE!$U$14,(10/(PERALTE!$U$14-PERALTE!$Q$14)*(RASANTE!F209-PERALTE!$Q$14)-2),IF(RASANTE!F209&lt;=PERALTE!$X$14,8,IF(RASANTE!F209&lt;=PERALTE!$AB$14,(10/(PERALTE!$X$14-PERALTE!$AB$14)*(RASANTE!F209-PERALTE!$AB$14)-2))))),IF(AND(AH!$H$18="Derecha",RASANTE!F209&lt;=PERALTE!$AB$16),IF(RASANTE!F209&lt;=PERALTE!$S$16,-2,IF(RASANTE!F209&lt;=PERALTE!$U$16,(-6/(PERALTE!$U$16-PERALTE!$S$16)*(RASANTE!F209-PERALTE!$S$16)-2),IF(RASANTE!F209&lt;=PERALTE!$X$16,-8,IF(RASANTE!F209&lt;=PERALTE!$Z$16,(-6/(PERALTE!$X$16-PERALTE!$Z$16)*(RASANTE!F209-PERALTE!$Z$16)-2),IF(RASANTE!F209&lt;=PERALTE!$AB$16,-2))))),IF(AND(AH!$H$18="Izquierda",RASANTE!F209&lt;=PERALTE!$AB$16),IF(RASANTE!F209&lt;=PERALTE!$Q$16,-2,IF(RASANTE!F209&lt;=PERALTE!$U$16,(10/(PERALTE!$U$16-PERALTE!$Q$16)*(RASANTE!F209-PERALTE!$Q$16)-2),IF(RASANTE!F209&lt;=PERALTE!$X$16,8,IF(RASANTE!F209&lt;=PERALTE!$AB$16,(10/(PERALTE!$X$16-PERALTE!$AB$16)*(RASANTE!F209-PERALTE!$AB$16)-2))))),IF(AND(AH!$H$20="Derecha",RASANTE!F209&lt;=PERALTE!$AB$18),IF(RASANTE!F209&lt;=PERALTE!$S$18,-2,IF(RASANTE!F209&lt;=PERALTE!$U$18,(-6/(PERALTE!$U$18-PERALTE!$S$18)*(RASANTE!F209-PERALTE!$S$18)-2),IF(RASANTE!F209&lt;=PERALTE!$X$18,-8,IF(RASANTE!F209&lt;=PERALTE!$Z$18,(-6/(PERALTE!$X$18-PERALTE!$Z$18)*(RASANTE!F209-PERALTE!$Z$18)-2),IF(RASANTE!F209&lt;=PERALTE!$AB$18,-2))))),IF(AND(AH!$H$20="Izquierda",RASANTE!F209&lt;=PERALTE!$AB$18),IF(RASANTE!F209&lt;=PERALTE!$Q$18,-2,IF(RASANTE!F209&lt;=PERALTE!$U$18,(10/(PERALTE!$U$18-PERALTE!$Q$18)*(RASANTE!F209-PERALTE!$Q$18)-2),IF(RASANTE!F209&lt;=PERALTE!$X$18,8,IF(RASANTE!F209&lt;=PERALTE!$AB$18,(10/(PERALTE!$X$18-PERALTE!$AB$18)*(RASANTE!F209-PERALTE!$AB$18)-2))))),IF(AND(AH!$H$24="Derecha",RASANTE!F209&lt;=PERALTE!$AB$22),IF(RASANTE!F209&lt;=PERALTE!$S$22,-2,IF(RASANTE!F209&lt;=PERALTE!$U$22,(-6/(PERALTE!$U$22-PERALTE!$S$22)*(RASANTE!F209-PERALTE!$S$22)-2),IF(RASANTE!F209&lt;=PERALTE!$X$22,-8,IF(RASANTE!F209&lt;=PERALTE!$Z$22,(-6/(PERALTE!$X$22-PERALTE!$Z$22)*(RASANTE!F209-PERALTE!$Z$22)-2),IF(RASANTE!F209&lt;=PERALTE!$AB$22,-2))))),IF(AND(AH!$H$24="Izquierda",RASANTE!F209&lt;=PERALTE!$AB$22),IF(RASANTE!F209&lt;=PERALTE!$Q$22,-2,IF(RASANTE!F209&lt;=PERALTE!$U$22,(10/(PERALTE!$U$22-PERALTE!$Q$22)*(RASANTE!F209-PERALTE!$Q$22)-2),IF(RASANTE!F209&lt;=PERALTE!$X$22,8,IF(RASANTE!F209&lt;=PERALTE!$AB$22,(10/(PERALTE!$X$22-PERALTE!$AB$22)*(RASANTE!F209-PERALTE!$AB$22)-2))))),IF(AND(AH!#REF!="Derecha",RASANTE!F209&lt;=PERALTE!#REF!),IF(RASANTE!F209&lt;=PERALTE!#REF!,-2,IF(RASANTE!F209&lt;=PERALTE!#REF!,(-6/(PERALTE!#REF!-PERALTE!#REF!)*(RASANTE!F209-PERALTE!#REF!)-2),IF(RASANTE!F209&lt;=PERALTE!#REF!,-8,IF(RASANTE!F209&lt;=PERALTE!#REF!,(-6/(PERALTE!#REF!-PERALTE!#REF!)*(RASANTE!F209-PERALTE!#REF!)-2),IF(RASANTE!F209&lt;=PERALTE!#REF!,-2))))),IF(AND(AH!#REF!="Izquierda",RASANTE!F209&lt;=PERALTE!#REF!),IF(RASANTE!F209&lt;=PERALTE!#REF!,-2,IF(RASANTE!F209&lt;=PERALTE!#REF!,(10/(PERALTE!#REF!-PERALTE!#REF!)*(RASANTE!F209-PERALTE!#REF!)-2),IF(RASANTE!F209&lt;=PERALTE!#REF!,8,IF(RASANTE!F209&lt;=PERALTE!#REF!,(10/(PERALTE!#REF!-PERALTE!#REF!)*(RASANTE!F209-PERALTE!#REF!)-2))))),IF(AND(AH!#REF!="Derecha",RASANTE!F209&lt;=PERALTE!$AB$26),IF(RASANTE!F209&lt;=PERALTE!$S$26,-2,IF(RASANTE!F209&lt;=PERALTE!$U$26,(-6/(PERALTE!$U$26-PERALTE!$S$26)*(RASANTE!F209-PERALTE!$S$26)-2),IF(RASANTE!F209&lt;=PERALTE!$X$26,-8,IF(RASANTE!F209&lt;=PERALTE!$Z$26,(-6/(PERALTE!$X$26-PERALTE!$Z$26)*(RASANTE!F209-PERALTE!$Z$26)-2),IF(RASANTE!F209&lt;=PERALTE!$AB$26,-2))))),IF(AND(AH!#REF!="Izquierda",RASANTE!F209&lt;=PERALTE!$AB$26),IF(RASANTE!F209&lt;=PERALTE!$Q$26,-2,IF(RASANTE!F209&lt;=PERALTE!$U$26,(10/(PERALTE!$U$26-PERALTE!$Q$26)*(RASANTE!F209-PERALTE!$Q$26)-2),IF(RASANTE!F209&lt;=PERALTE!$X$26,8,IF(RASANTE!F209&lt;=PERALTE!$AB$26,(10/(PERALTE!$X$26-PERALTE!$AB$26)*(RASANTE!F209-PERALTE!$AB$26)-2))))),IF(F209&lt;=PERALTE!#REF!,-2,"Abscisa fuera de la vía")))))))))))))))))))))</f>
        <v>-2</v>
      </c>
      <c r="J209" s="28">
        <f t="shared" si="11"/>
        <v>1627.4729284648984</v>
      </c>
      <c r="K209" s="28">
        <f>+IF(AND(AV!$S$6&lt;F209,F209&lt;=AV!$T$6),AV!$P$6*((AV!$S$6-RASANTE!F209)/(AV!$N$6))^2,IF(AND(AV!$T$6&lt;RASANTE!F209,F209&lt;AV!$U$6),AV!$P$6*((AV!$U$6-RASANTE!F209)/(AV!$O$6))^2,IF(AND(AV!$S$8&lt;F209,F209&lt;=AV!$T$8),AV!$P$8*((AV!$S$8-RASANTE!F209)/(AV!$N$8))^2,IF(AND(AV!$T$8&lt;RASANTE!F209,F209&lt;AV!$U$8),AV!$P$8*((AV!$U$8-RASANTE!F209)/(AV!$O$8))^2,IF(AND(AV!$S$10&lt;F209,F209&lt;=AV!$T$10),AV!$P$10*((AV!$S$10-RASANTE!F209)/(AV!$N$10))^2,IF(AND(AV!$T$10&lt;RASANTE!F209,F209&lt;AV!$U$10),AV!$P$10*((AV!$U$10-RASANTE!F209)/(AV!$O$10))^2,IF(AND(AV!$S$12&lt;F209,F209&lt;=AV!$T$12),AV!$P$12*((AV!$S$12-RASANTE!F209)/(AV!$N$12))^2,IF(AND(AV!$T$12&lt;RASANTE!F209,F209&lt;AV!$U$12),AV!$P$12*((AV!$U$12-RASANTE!F209)/(AV!$O$12))^2,IF(AND(AV!$S$14&lt;F209,F209&lt;=AV!$T$14),AV!$P$14*((AV!$S$14-RASANTE!F209)/(AV!$N$14))^2,IF(AND(AV!$T$14&lt;RASANTE!F209,F209&lt;AV!$U$14),AV!$P$14*((AV!$U$14-RASANTE!F209)/(AV!$O$14))^2,IF(AND(AV!$S$16&lt;F209,F209&lt;=AV!$T$16),AV!$P$16*((AV!$S$16-RASANTE!F209)/(AV!$N$16))^2,IF(AND(AV!$T$16&lt;RASANTE!F209,F209&lt;AV!$U$16),AV!$P$16*((AV!$U$16-RASANTE!F209)/(AV!$O$16))^2,IF(AND(AV!$S$18&lt;F209,F209&lt;=AV!$T$18),AV!$P$18*((AV!$S$18-RASANTE!F209)/(AV!$N$18))^2,IF(AND(AV!$T$18&lt;RASANTE!F209,F209&lt;AV!$U$18),AV!$P$18*((AV!$U$18-RASANTE!F209)/(AV!$O$18))^2,IF(AND(AV!$S$20&lt;F209,F209&lt;=AV!$T$20),AV!$P$20*((AV!$S$20-RASANTE!F209)/(AV!$N$20))^2,IF(AND(AV!$T$20&lt;RASANTE!F209,F209&lt;AV!$U$20),AV!$P$20*((AV!$U$20-RASANTE!F209)/(AV!$O$20))^2,IF(AND(AV!$S$22&lt;F209,F209&lt;=AV!$T$22),AV!$P$22*((AV!$S$22-RASANTE!F209)/(AV!$N$22))^2,IF(AND(AV!$T$22&lt;RASANTE!F209,F209&lt;AV!$U$22),AV!$P$22*((AV!$U$22-RASANTE!F209)/(AV!$O$22))^2,IF(AND(AV!$S$24&lt;F209,F209&lt;=AV!$T$24),AV!$P$24*((AV!$S$24-RASANTE!F209)/(AV!$N$24))^2,IF(AND(AV!$T$24&lt;RASANTE!F209,F209&lt;AV!$U$24),AV!$P$24*((AV!$U$24-RASANTE!F209)/(AV!$O$24))^2,0))))))))))))))))))))</f>
        <v>0</v>
      </c>
      <c r="L209" s="28">
        <f>+M209+H209%*PERALTE!$C$32</f>
        <v>1627.4029284648984</v>
      </c>
      <c r="M209" s="28">
        <f t="shared" si="7"/>
        <v>1627.4729284648984</v>
      </c>
      <c r="N209" s="28">
        <f>+M209+I209%*PERALTE!$C$32</f>
        <v>1627.4029284648984</v>
      </c>
      <c r="O209" s="92"/>
      <c r="P209" s="84"/>
      <c r="Q209" s="84"/>
      <c r="R209" s="84"/>
      <c r="S209" s="84"/>
      <c r="T209" s="84"/>
      <c r="U209" s="84"/>
      <c r="V209" s="84"/>
      <c r="W209" s="84"/>
      <c r="X209" s="84"/>
      <c r="Y209" s="84"/>
    </row>
    <row r="210" spans="1:25" ht="15.75" customHeight="1" x14ac:dyDescent="0.2">
      <c r="A210" s="90" t="s">
        <v>358</v>
      </c>
      <c r="B210" s="86"/>
      <c r="C210" s="86"/>
      <c r="D210" s="86"/>
      <c r="F210" s="34">
        <f>PERALTE!Q16</f>
        <v>1298.0371534718349</v>
      </c>
      <c r="G210" s="88">
        <f>IF(F210&lt;=AV!$T$6,AV!$C$5,IF(RASANTE!F210&lt;=AV!$T$8,AV!$C$7,IF(RASANTE!F210&lt;=AV!$T$10,AV!$C$9,IF(RASANTE!F210&lt;=AV!$T$12,AV!$C$11,IF(RASANTE!F210&lt;=AV!$T$14,AV!$C$13,IF(RASANTE!F210&lt;=AV!$T$16,AV!$C$15, IF(RASANTE!F210&lt;=AV!$T$18,AV!$C$17,IF(RASANTE!F210&lt;=AV!$T$20,AV!$C$19,IF(RASANTE!F210&lt;=AV!$T$22,AV!$C$21,IF(RASANTE!F210&lt;=AV!$T$24,AV!$C$23,AV!$C$25))))))))))</f>
        <v>2.8</v>
      </c>
      <c r="H210" s="28">
        <f>+IF(AND(AH!$H$8="Izquierda",RASANTE!F210&lt;=PERALTE!$AB$6),IF(RASANTE!F210&lt;=PERALTE!$S$6,-2,IF(RASANTE!F210&lt;=PERALTE!$U$6,(-6/(PERALTE!$U$6-PERALTE!$S$6)*(RASANTE!F210-PERALTE!$S$6)-2),IF(RASANTE!F210&lt;=PERALTE!$X$6,-8,IF(RASANTE!F210&lt;=PERALTE!$Z$6,(-6/(PERALTE!$X$6-PERALTE!$Z$6)*(RASANTE!F210-PERALTE!$Z$6)-2),IF(RASANTE!F210&lt;=PERALTE!$AB$6,-2))))),IF(AND(AH!$H$8="Derecha",RASANTE!F210&lt;=PERALTE!$AB$6),IF(RASANTE!F210&lt;=PERALTE!$Q$6,-2,IF(RASANTE!F210&lt;=PERALTE!$U$6,(10/(PERALTE!$U$6-PERALTE!$Q$6)*(RASANTE!F210-PERALTE!$Q$6)-2),IF(RASANTE!F210&lt;=PERALTE!$X$6,8,IF(RASANTE!F210&lt;=PERALTE!$AB$6,(10/(PERALTE!$X$6-PERALTE!$AB$6)*(RASANTE!F210-PERALTE!$AB$6)-2))))),IF(AND(AH!$H$10="Izquierda",RASANTE!F210&lt;=PERALTE!$AB$8),IF(RASANTE!F210&lt;=PERALTE!$S$8,-2,IF(RASANTE!F210&lt;=PERALTE!$U$8,(-6/(PERALTE!$U$8-PERALTE!$S$8)*(RASANTE!F210-PERALTE!$S$8)-2),IF(RASANTE!F210&lt;=PERALTE!$X$8,-8,IF(RASANTE!F210&lt;=PERALTE!$Z$8,(-6/(PERALTE!$X$8-PERALTE!$Z$8)*(RASANTE!F210-PERALTE!$Z$8)-2),IF(RASANTE!F210&lt;=PERALTE!$AB$8,-2))))),IF(AND(AH!$H$10="Derecha",RASANTE!F210&lt;=PERALTE!$AB$8),IF(RASANTE!F210&lt;=PERALTE!$Q$8,-2,IF(RASANTE!F210&lt;=PERALTE!$U$8,(10/(PERALTE!$U$8-PERALTE!$Q$8)*(RASANTE!F210-PERALTE!$Q$8)-2),IF(RASANTE!F210&lt;=PERALTE!$X$8,8,IF(RASANTE!F210&lt;=PERALTE!$AB$8,(10/(PERALTE!$X$8-PERALTE!$AB$8)*(RASANTE!F210-PERALTE!$AB$8)-2))))),IF(AND(AH!$H$12="Izquierda",RASANTE!F210&lt;=PERALTE!$AB$10),IF(RASANTE!F210&lt;=PERALTE!$S$10,-2,IF(RASANTE!F210&lt;=PERALTE!$U$10,(-6/(PERALTE!$U$10-PERALTE!$S$10)*(RASANTE!F210-PERALTE!$S$10)-2),IF(RASANTE!F210&lt;=PERALTE!$X$10,-8,IF(RASANTE!F210&lt;=PERALTE!$Z$10,(-6/(PERALTE!$X$10-PERALTE!$Z$10)*(RASANTE!F210-PERALTE!$Z$10)-2),IF(RASANTE!F210&lt;=PERALTE!$AB$10,-2))))),IF(AND(AH!$H$12="Derecha",RASANTE!F210&lt;=PERALTE!$AB$10),IF(RASANTE!F210&lt;=PERALTE!$Q$10,-2,IF(RASANTE!F210&lt;=PERALTE!$U$10,(10/(PERALTE!$U$10-PERALTE!$Q$10)*(RASANTE!F210-PERALTE!$Q$10)-2),IF(RASANTE!F210&lt;=PERALTE!$X$10,8,IF(RASANTE!F210&lt;=PERALTE!$AB$10,(10/(PERALTE!$X$10-PERALTE!$AB$10)*(RASANTE!F210-PERALTE!$AB$10)-2))))),IF(AND(AH!$H$14="Izquierda",RASANTE!F210&lt;=PERALTE!$AB$12),IF(RASANTE!F210&lt;=PERALTE!$S$12,-2,IF(RASANTE!F210&lt;=PERALTE!$U$12,(-6/(PERALTE!$U$12-PERALTE!$S$12)*(RASANTE!F210-PERALTE!$S$12)-2),IF(RASANTE!F210&lt;=PERALTE!$X$12,-8,IF(RASANTE!F210&lt;=PERALTE!$Z$12,(-6/(PERALTE!$X$12-PERALTE!$Z$12)*(RASANTE!F210-PERALTE!$Z$12)-2),IF(RASANTE!F210&lt;=PERALTE!$AB$12,-2))))),IF(AND(AH!$H$14="Derecha",RASANTE!F210&lt;=PERALTE!$AB$12),IF(RASANTE!F210&lt;=PERALTE!$Q$12,-2,IF(RASANTE!F210&lt;=PERALTE!$U$12,(10/(PERALTE!$U$12-PERALTE!$Q$12)*(RASANTE!F210-PERALTE!$Q$12)-2),IF(RASANTE!F210&lt;=PERALTE!$X$12,8,IF(RASANTE!F210&lt;=PERALTE!$AB$12,(10/(PERALTE!$X$12-PERALTE!$AB$12)*(RASANTE!F210-PERALTE!$AB$12)-2))))),IF(AND(AH!$H$16="Izquierda",RASANTE!F210&lt;=PERALTE!$AB$14),IF(RASANTE!F210&lt;=PERALTE!$S$14,-2,IF(RASANTE!F210&lt;=PERALTE!$U$14,(-6/(PERALTE!$U$14-PERALTE!$S$14)*(RASANTE!F210-PERALTE!$S$14)-2),IF(RASANTE!F210&lt;=PERALTE!$X$14,-8,IF(RASANTE!F210&lt;=PERALTE!$Z$14,(-6/(PERALTE!$X$14-PERALTE!$Z$14)*(RASANTE!F210-PERALTE!$Z$14)-2),IF(RASANTE!F210&lt;=PERALTE!$AB$14,-2))))),IF(AND(AH!$H$16="Derecha",RASANTE!F210&lt;=PERALTE!$AB$14),IF(RASANTE!F210&lt;=PERALTE!$Q$14,-2,IF(RASANTE!F210&lt;=PERALTE!$U$14,(10/(PERALTE!$U$14-PERALTE!$Q$14)*(RASANTE!F210-PERALTE!$Q$14)-2),IF(RASANTE!F210&lt;=PERALTE!$X$14,8,IF(RASANTE!F210&lt;=PERALTE!$AB$14,(10/(PERALTE!$X$14-PERALTE!$AB$14)*(RASANTE!F210-PERALTE!$AB$14)-2))))),IF(AND(AH!$H$18="Izquierda",RASANTE!F210&lt;=PERALTE!$AB$16),IF(RASANTE!F210&lt;=PERALTE!$S$16,-2,IF(RASANTE!F210&lt;=PERALTE!$U$16,(-6/(PERALTE!$U$16-PERALTE!$S$16)*(RASANTE!F210-PERALTE!$S$16)-2),IF(RASANTE!F210&lt;=PERALTE!$X$16,-8,IF(RASANTE!F210&lt;=PERALTE!$Z$16,(-6/(PERALTE!$X$16-PERALTE!$Z$16)*(RASANTE!F210-PERALTE!$Z$16)-2),IF(RASANTE!F210&lt;=PERALTE!$AB$16,-2))))),IF(AND(AH!$H$18="Derecha",RASANTE!F210&lt;=PERALTE!$AB$16),IF(RASANTE!F210&lt;=PERALTE!$Q$16,-2,IF(RASANTE!F210&lt;=PERALTE!$U$16,(10/(PERALTE!$U$16-PERALTE!$Q$16)*(RASANTE!F210-PERALTE!$Q$16)-2),IF(RASANTE!F210&lt;=PERALTE!$X$16,8,IF(RASANTE!F210&lt;=PERALTE!$AB$16,(10/(PERALTE!$X$16-PERALTE!$AB$16)*(RASANTE!F210-PERALTE!$AB$16)-2))))),IF(AND(AH!$H$20="Izquierda",RASANTE!F210&lt;=PERALTE!$AB$18),IF(RASANTE!F210&lt;=PERALTE!$S$18,-2,IF(RASANTE!F210&lt;=PERALTE!$U$18,(-6/(PERALTE!$U$18-PERALTE!$S$18)*(RASANTE!F210-PERALTE!$S$18)-2),IF(RASANTE!F210&lt;=PERALTE!$X$18,-8,IF(RASANTE!F210&lt;=PERALTE!$Z$18,(-6/(PERALTE!$X$18-PERALTE!$Z$18)*(RASANTE!F210-PERALTE!$Z$18)-2),IF(RASANTE!F210&lt;=PERALTE!$AB$18,-2))))),IF(AND(AH!$H$20="Derecha",RASANTE!F210&lt;=PERALTE!$AB$18),IF(RASANTE!F210&lt;=PERALTE!$Q$18,-2,IF(RASANTE!F210&lt;=PERALTE!$U$18,(10/(PERALTE!$U$18-PERALTE!$Q$18)*(RASANTE!F210-PERALTE!$Q$18)-2),IF(RASANTE!F210&lt;=PERALTE!$X$18,8,IF(RASANTE!F210&lt;=PERALTE!$AB$18,(10/(PERALTE!$X$18-PERALTE!$AB$18)*(RASANTE!F210-PERALTE!$AB$18)-2))))),IF(AND(AH!$H$24="Izquierda",RASANTE!F210&lt;=PERALTE!$AB$22),IF(RASANTE!F210&lt;=PERALTE!$S$22,-2,IF(RASANTE!F210&lt;=PERALTE!$U$22,(-6/(PERALTE!$U$22-PERALTE!$S$22)*(RASANTE!F210-PERALTE!$S$22)-2),IF(RASANTE!F210&lt;=PERALTE!$X$22,-8,IF(RASANTE!F210&lt;=PERALTE!$Z$22,(-6/(PERALTE!$X$22-PERALTE!$Z$22)*(RASANTE!F210-PERALTE!$Z$22)-2),IF(RASANTE!F210&lt;=PERALTE!$AB$22,-2))))),IF(AND(AH!$H$24="Derecha",RASANTE!F210&lt;=PERALTE!$AB$22),IF(RASANTE!F210&lt;=PERALTE!$Q$22,-2,IF(RASANTE!F210&lt;=PERALTE!$U$22,(10/(PERALTE!$U$22-PERALTE!$Q$22)*(RASANTE!F210-PERALTE!$Q$22)-2),IF(RASANTE!F210&lt;=PERALTE!$X$22,8,IF(RASANTE!F210&lt;=PERALTE!$AB$22,(10/(PERALTE!$X$22-PERALTE!$AB$22)*(RASANTE!F210-PERALTE!$AB$22)-2))))),IF(AND(AH!#REF!="Izquierda",RASANTE!F210&lt;=PERALTE!#REF!),IF(RASANTE!F210&lt;=PERALTE!#REF!,-2,IF(RASANTE!F210&lt;=PERALTE!#REF!,(-6/(PERALTE!#REF!-PERALTE!#REF!)*(RASANTE!F210-PERALTE!#REF!)-2),IF(RASANTE!F210&lt;=PERALTE!#REF!,-8,IF(RASANTE!F210&lt;=PERALTE!#REF!,(-6/(PERALTE!#REF!-PERALTE!#REF!)*(RASANTE!F210-PERALTE!#REF!)-2),IF(RASANTE!F210&lt;=PERALTE!#REF!,-2))))),IF(AND(AH!#REF!="Derecha",RASANTE!F210&lt;=PERALTE!#REF!),IF(RASANTE!F210&lt;=PERALTE!#REF!,-2,IF(RASANTE!F210&lt;=PERALTE!#REF!,(10/(PERALTE!#REF!-PERALTE!#REF!)*(RASANTE!F210-PERALTE!#REF!)-2),IF(RASANTE!F210&lt;=PERALTE!#REF!,8,IF(RASANTE!F210&lt;=PERALTE!#REF!,(10/(PERALTE!#REF!-PERALTE!#REF!)*(RASANTE!F210-PERALTE!#REF!)-2))))),IF(AND(AH!#REF!="Izquierda",RASANTE!F210&lt;=PERALTE!$AB$26),IF(RASANTE!F210&lt;=PERALTE!$S$26,-2,IF(RASANTE!F210&lt;=PERALTE!$U$26,(-6/(PERALTE!$U$26-PERALTE!$S$26)*(RASANTE!F210-PERALTE!$S$26)-2),IF(RASANTE!F210&lt;=PERALTE!$X$26,-8,IF(RASANTE!F210&lt;=PERALTE!$Z$26,(-6/(PERALTE!$X$26-PERALTE!$Z$26)*(RASANTE!F210-PERALTE!$Z$26)-2),IF(RASANTE!F210&lt;=PERALTE!$AB$26,-2))))),IF(AND(AH!#REF!="Derecha",RASANTE!F210&lt;=PERALTE!$AB$26),IF(RASANTE!F210&lt;=PERALTE!$Q$26,-2,IF(RASANTE!F210&lt;=PERALTE!$U$26,(10/(PERALTE!$U$26-PERALTE!$Q$26)*(RASANTE!F210-PERALTE!$Q$26)-2),IF(RASANTE!F210&lt;=PERALTE!$X$26,8,IF(RASANTE!F210&lt;=PERALTE!$AB$26,(10/(PERALTE!$X$26-PERALTE!$AB$26)*(RASANTE!F210-PERALTE!$AB$26)-2))))),IF(F210&lt;=PERALTE!#REF!,-2,"Abscisa fuera de la vía")))))))))))))))))))))</f>
        <v>-2</v>
      </c>
      <c r="I210" s="28">
        <f>+IF(AND(AH!$H$8="Derecha",RASANTE!F210&lt;=PERALTE!$AB$6),IF(RASANTE!F210&lt;=PERALTE!$S$6,-2,IF(RASANTE!F210&lt;=PERALTE!$U$6,(-6/(PERALTE!$U$6-PERALTE!$S$6)*(RASANTE!F210-PERALTE!$S$6)-2),IF(RASANTE!F210&lt;=PERALTE!$X$6,-8,IF(RASANTE!F210&lt;=PERALTE!$Z$6,(-6/(PERALTE!$X$6-PERALTE!$Z$6)*(RASANTE!F210-PERALTE!$Z$6)-2),IF(RASANTE!F210&lt;=PERALTE!$AB$6,-2))))),IF(AND(AH!$H$8="Izquierda",RASANTE!F210&lt;=PERALTE!$AB$6),IF(RASANTE!F210&lt;=PERALTE!$Q$6,-2,IF(RASANTE!F210&lt;=PERALTE!$U$6,(10/(PERALTE!$U$6-PERALTE!$Q$6)*(RASANTE!F210-PERALTE!$Q$6)-2),IF(RASANTE!F210&lt;=PERALTE!$X$6,8,IF(RASANTE!F210&lt;=PERALTE!$AB$6,(10/(PERALTE!$X$6-PERALTE!$AB$6)*(RASANTE!F210-PERALTE!$AB$6)-2))))),IF(AND(AH!$H$10="Derecha",RASANTE!F210&lt;=PERALTE!$AB$8),IF(RASANTE!F210&lt;=PERALTE!$S$8,-2,IF(RASANTE!F210&lt;=PERALTE!$U$8,(-6/(PERALTE!$U$8-PERALTE!$S$8)*(RASANTE!F210-PERALTE!$S$8)-2),IF(RASANTE!F210&lt;=PERALTE!$X$8,-8,IF(RASANTE!F210&lt;=PERALTE!$Z$8,(-6/(PERALTE!$X$8-PERALTE!$Z$8)*(RASANTE!F210-PERALTE!$Z$8)-2),IF(RASANTE!F210&lt;=PERALTE!$AB$8,-2))))),IF(AND(AH!$H$10="Izquierda",RASANTE!F210&lt;=PERALTE!$AB$8),IF(RASANTE!F210&lt;=PERALTE!$Q$8,-2,IF(RASANTE!F210&lt;=PERALTE!$U$8,(10/(PERALTE!$U$8-PERALTE!$Q$8)*(RASANTE!F210-PERALTE!$Q$8)-2),IF(RASANTE!F210&lt;=PERALTE!$X$8,8,IF(RASANTE!F210&lt;=PERALTE!$AB$8,(10/(PERALTE!$X$8-PERALTE!$AB$8)*(RASANTE!F210-PERALTE!$AB$8)-2))))),IF(AND(AH!$H$12="Derecha",RASANTE!F210&lt;=PERALTE!$AB$10),IF(RASANTE!F210&lt;=PERALTE!$S$10,-2,IF(RASANTE!F210&lt;=PERALTE!$U$10,(-6/(PERALTE!$U$10-PERALTE!$S$10)*(RASANTE!F210-PERALTE!$S$10)-2),IF(RASANTE!F210&lt;=PERALTE!$X$10,-8,IF(RASANTE!F210&lt;=PERALTE!$Z$10,(-6/(PERALTE!$X$10-PERALTE!$Z$10)*(RASANTE!F210-PERALTE!$Z$10)-2),IF(RASANTE!F210&lt;=PERALTE!$AB$10,-2))))),IF(AND(AH!$H$12="Izquierda",RASANTE!F210&lt;=PERALTE!$AB$10),IF(RASANTE!F210&lt;=PERALTE!$Q$10,-2,IF(RASANTE!F210&lt;=PERALTE!$U$10,(10/(PERALTE!$U$10-PERALTE!$Q$10)*(RASANTE!F210-PERALTE!$Q$10)-2),IF(RASANTE!F210&lt;=PERALTE!$X$10,8,IF(RASANTE!F210&lt;=PERALTE!$AB$10,(10/(PERALTE!$X$10-PERALTE!$AB$10)*(RASANTE!F210-PERALTE!$AB$10)-2))))),IF(AND(AH!$H$14="Derecha",RASANTE!F210&lt;=PERALTE!$AB$12),IF(RASANTE!F210&lt;=PERALTE!$S$12,-2,IF(RASANTE!F210&lt;=PERALTE!$U$12,(-6/(PERALTE!$U$12-PERALTE!$S$12)*(RASANTE!F210-PERALTE!$S$12)-2),IF(RASANTE!F210&lt;=PERALTE!$X$12,-8,IF(RASANTE!F210&lt;=PERALTE!$Z$12,(-6/(PERALTE!$X$12-PERALTE!$Z$12)*(RASANTE!F210-PERALTE!$Z$12)-2),IF(RASANTE!F210&lt;=PERALTE!$AB$12,-2))))),IF(AND(AH!$H$14="Izquierda",RASANTE!F210&lt;=PERALTE!$AB$12),IF(RASANTE!F210&lt;=PERALTE!$Q$12,-2,IF(RASANTE!F210&lt;=PERALTE!$U$12,(10/(PERALTE!$U$12-PERALTE!$Q$12)*(RASANTE!F210-PERALTE!$Q$12)-2),IF(RASANTE!F210&lt;=PERALTE!$X$12,8,IF(RASANTE!F210&lt;=PERALTE!$AB$12,(10/(PERALTE!$X$12-PERALTE!$AB$12)*(RASANTE!F210-PERALTE!$AB$12)-2))))),IF(AND(AH!$H$16="Derecha",RASANTE!F210&lt;=PERALTE!$AB$14),IF(RASANTE!F210&lt;=PERALTE!$S$14,-2,IF(RASANTE!F210&lt;=PERALTE!$U$14,(-6/(PERALTE!$U$14-PERALTE!$S$14)*(RASANTE!F210-PERALTE!$S$14)-2),IF(RASANTE!F210&lt;=PERALTE!$X$14,-8,IF(RASANTE!F210&lt;=PERALTE!$Z$14,(-6/(PERALTE!$X$14-PERALTE!$Z$14)*(RASANTE!F210-PERALTE!$Z$14)-2),IF(RASANTE!F210&lt;=PERALTE!$AB$14,-2))))),IF(AND(AH!$H$16="Izquierda",RASANTE!F210&lt;=PERALTE!$AB$14),IF(RASANTE!F210&lt;=PERALTE!$Q$14,-2,IF(RASANTE!F210&lt;=PERALTE!$U$14,(10/(PERALTE!$U$14-PERALTE!$Q$14)*(RASANTE!F210-PERALTE!$Q$14)-2),IF(RASANTE!F210&lt;=PERALTE!$X$14,8,IF(RASANTE!F210&lt;=PERALTE!$AB$14,(10/(PERALTE!$X$14-PERALTE!$AB$14)*(RASANTE!F210-PERALTE!$AB$14)-2))))),IF(AND(AH!$H$18="Derecha",RASANTE!F210&lt;=PERALTE!$AB$16),IF(RASANTE!F210&lt;=PERALTE!$S$16,-2,IF(RASANTE!F210&lt;=PERALTE!$U$16,(-6/(PERALTE!$U$16-PERALTE!$S$16)*(RASANTE!F210-PERALTE!$S$16)-2),IF(RASANTE!F210&lt;=PERALTE!$X$16,-8,IF(RASANTE!F210&lt;=PERALTE!$Z$16,(-6/(PERALTE!$X$16-PERALTE!$Z$16)*(RASANTE!F210-PERALTE!$Z$16)-2),IF(RASANTE!F210&lt;=PERALTE!$AB$16,-2))))),IF(AND(AH!$H$18="Izquierda",RASANTE!F210&lt;=PERALTE!$AB$16),IF(RASANTE!F210&lt;=PERALTE!$Q$16,-2,IF(RASANTE!F210&lt;=PERALTE!$U$16,(10/(PERALTE!$U$16-PERALTE!$Q$16)*(RASANTE!F210-PERALTE!$Q$16)-2),IF(RASANTE!F210&lt;=PERALTE!$X$16,8,IF(RASANTE!F210&lt;=PERALTE!$AB$16,(10/(PERALTE!$X$16-PERALTE!$AB$16)*(RASANTE!F210-PERALTE!$AB$16)-2))))),IF(AND(AH!$H$20="Derecha",RASANTE!F210&lt;=PERALTE!$AB$18),IF(RASANTE!F210&lt;=PERALTE!$S$18,-2,IF(RASANTE!F210&lt;=PERALTE!$U$18,(-6/(PERALTE!$U$18-PERALTE!$S$18)*(RASANTE!F210-PERALTE!$S$18)-2),IF(RASANTE!F210&lt;=PERALTE!$X$18,-8,IF(RASANTE!F210&lt;=PERALTE!$Z$18,(-6/(PERALTE!$X$18-PERALTE!$Z$18)*(RASANTE!F210-PERALTE!$Z$18)-2),IF(RASANTE!F210&lt;=PERALTE!$AB$18,-2))))),IF(AND(AH!$H$20="Izquierda",RASANTE!F210&lt;=PERALTE!$AB$18),IF(RASANTE!F210&lt;=PERALTE!$Q$18,-2,IF(RASANTE!F210&lt;=PERALTE!$U$18,(10/(PERALTE!$U$18-PERALTE!$Q$18)*(RASANTE!F210-PERALTE!$Q$18)-2),IF(RASANTE!F210&lt;=PERALTE!$X$18,8,IF(RASANTE!F210&lt;=PERALTE!$AB$18,(10/(PERALTE!$X$18-PERALTE!$AB$18)*(RASANTE!F210-PERALTE!$AB$18)-2))))),IF(AND(AH!$H$24="Derecha",RASANTE!F210&lt;=PERALTE!$AB$22),IF(RASANTE!F210&lt;=PERALTE!$S$22,-2,IF(RASANTE!F210&lt;=PERALTE!$U$22,(-6/(PERALTE!$U$22-PERALTE!$S$22)*(RASANTE!F210-PERALTE!$S$22)-2),IF(RASANTE!F210&lt;=PERALTE!$X$22,-8,IF(RASANTE!F210&lt;=PERALTE!$Z$22,(-6/(PERALTE!$X$22-PERALTE!$Z$22)*(RASANTE!F210-PERALTE!$Z$22)-2),IF(RASANTE!F210&lt;=PERALTE!$AB$22,-2))))),IF(AND(AH!$H$24="Izquierda",RASANTE!F210&lt;=PERALTE!$AB$22),IF(RASANTE!F210&lt;=PERALTE!$Q$22,-2,IF(RASANTE!F210&lt;=PERALTE!$U$22,(10/(PERALTE!$U$22-PERALTE!$Q$22)*(RASANTE!F210-PERALTE!$Q$22)-2),IF(RASANTE!F210&lt;=PERALTE!$X$22,8,IF(RASANTE!F210&lt;=PERALTE!$AB$22,(10/(PERALTE!$X$22-PERALTE!$AB$22)*(RASANTE!F210-PERALTE!$AB$22)-2))))),IF(AND(AH!#REF!="Derecha",RASANTE!F210&lt;=PERALTE!#REF!),IF(RASANTE!F210&lt;=PERALTE!#REF!,-2,IF(RASANTE!F210&lt;=PERALTE!#REF!,(-6/(PERALTE!#REF!-PERALTE!#REF!)*(RASANTE!F210-PERALTE!#REF!)-2),IF(RASANTE!F210&lt;=PERALTE!#REF!,-8,IF(RASANTE!F210&lt;=PERALTE!#REF!,(-6/(PERALTE!#REF!-PERALTE!#REF!)*(RASANTE!F210-PERALTE!#REF!)-2),IF(RASANTE!F210&lt;=PERALTE!#REF!,-2))))),IF(AND(AH!#REF!="Izquierda",RASANTE!F210&lt;=PERALTE!#REF!),IF(RASANTE!F210&lt;=PERALTE!#REF!,-2,IF(RASANTE!F210&lt;=PERALTE!#REF!,(10/(PERALTE!#REF!-PERALTE!#REF!)*(RASANTE!F210-PERALTE!#REF!)-2),IF(RASANTE!F210&lt;=PERALTE!#REF!,8,IF(RASANTE!F210&lt;=PERALTE!#REF!,(10/(PERALTE!#REF!-PERALTE!#REF!)*(RASANTE!F210-PERALTE!#REF!)-2))))),IF(AND(AH!#REF!="Derecha",RASANTE!F210&lt;=PERALTE!$AB$26),IF(RASANTE!F210&lt;=PERALTE!$S$26,-2,IF(RASANTE!F210&lt;=PERALTE!$U$26,(-6/(PERALTE!$U$26-PERALTE!$S$26)*(RASANTE!F210-PERALTE!$S$26)-2),IF(RASANTE!F210&lt;=PERALTE!$X$26,-8,IF(RASANTE!F210&lt;=PERALTE!$Z$26,(-6/(PERALTE!$X$26-PERALTE!$Z$26)*(RASANTE!F210-PERALTE!$Z$26)-2),IF(RASANTE!F210&lt;=PERALTE!$AB$26,-2))))),IF(AND(AH!#REF!="Izquierda",RASANTE!F210&lt;=PERALTE!$AB$26),IF(RASANTE!F210&lt;=PERALTE!$Q$26,-2,IF(RASANTE!F210&lt;=PERALTE!$U$26,(10/(PERALTE!$U$26-PERALTE!$Q$26)*(RASANTE!F210-PERALTE!$Q$26)-2),IF(RASANTE!F210&lt;=PERALTE!$X$26,8,IF(RASANTE!F210&lt;=PERALTE!$AB$26,(10/(PERALTE!$X$26-PERALTE!$AB$26)*(RASANTE!F210-PERALTE!$AB$26)-2))))),IF(F210&lt;=PERALTE!#REF!,-2,"Abscisa fuera de la vía")))))))))))))))))))))</f>
        <v>-2</v>
      </c>
      <c r="J210" s="28">
        <f t="shared" si="11"/>
        <v>1627.6979687621097</v>
      </c>
      <c r="K210" s="28">
        <f>+IF(AND(AV!$S$6&lt;F210,F210&lt;=AV!$T$6),AV!$P$6*((AV!$S$6-RASANTE!F210)/(AV!$N$6))^2,IF(AND(AV!$T$6&lt;RASANTE!F210,F210&lt;AV!$U$6),AV!$P$6*((AV!$U$6-RASANTE!F210)/(AV!$O$6))^2,IF(AND(AV!$S$8&lt;F210,F210&lt;=AV!$T$8),AV!$P$8*((AV!$S$8-RASANTE!F210)/(AV!$N$8))^2,IF(AND(AV!$T$8&lt;RASANTE!F210,F210&lt;AV!$U$8),AV!$P$8*((AV!$U$8-RASANTE!F210)/(AV!$O$8))^2,IF(AND(AV!$S$10&lt;F210,F210&lt;=AV!$T$10),AV!$P$10*((AV!$S$10-RASANTE!F210)/(AV!$N$10))^2,IF(AND(AV!$T$10&lt;RASANTE!F210,F210&lt;AV!$U$10),AV!$P$10*((AV!$U$10-RASANTE!F210)/(AV!$O$10))^2,IF(AND(AV!$S$12&lt;F210,F210&lt;=AV!$T$12),AV!$P$12*((AV!$S$12-RASANTE!F210)/(AV!$N$12))^2,IF(AND(AV!$T$12&lt;RASANTE!F210,F210&lt;AV!$U$12),AV!$P$12*((AV!$U$12-RASANTE!F210)/(AV!$O$12))^2,IF(AND(AV!$S$14&lt;F210,F210&lt;=AV!$T$14),AV!$P$14*((AV!$S$14-RASANTE!F210)/(AV!$N$14))^2,IF(AND(AV!$T$14&lt;RASANTE!F210,F210&lt;AV!$U$14),AV!$P$14*((AV!$U$14-RASANTE!F210)/(AV!$O$14))^2,IF(AND(AV!$S$16&lt;F210,F210&lt;=AV!$T$16),AV!$P$16*((AV!$S$16-RASANTE!F210)/(AV!$N$16))^2,IF(AND(AV!$T$16&lt;RASANTE!F210,F210&lt;AV!$U$16),AV!$P$16*((AV!$U$16-RASANTE!F210)/(AV!$O$16))^2,IF(AND(AV!$S$18&lt;F210,F210&lt;=AV!$T$18),AV!$P$18*((AV!$S$18-RASANTE!F210)/(AV!$N$18))^2,IF(AND(AV!$T$18&lt;RASANTE!F210,F210&lt;AV!$U$18),AV!$P$18*((AV!$U$18-RASANTE!F210)/(AV!$O$18))^2,IF(AND(AV!$S$20&lt;F210,F210&lt;=AV!$T$20),AV!$P$20*((AV!$S$20-RASANTE!F210)/(AV!$N$20))^2,IF(AND(AV!$T$20&lt;RASANTE!F210,F210&lt;AV!$U$20),AV!$P$20*((AV!$U$20-RASANTE!F210)/(AV!$O$20))^2,IF(AND(AV!$S$22&lt;F210,F210&lt;=AV!$T$22),AV!$P$22*((AV!$S$22-RASANTE!F210)/(AV!$N$22))^2,IF(AND(AV!$T$22&lt;RASANTE!F210,F210&lt;AV!$U$22),AV!$P$22*((AV!$U$22-RASANTE!F210)/(AV!$O$22))^2,IF(AND(AV!$S$24&lt;F210,F210&lt;=AV!$T$24),AV!$P$24*((AV!$S$24-RASANTE!F210)/(AV!$N$24))^2,IF(AND(AV!$T$24&lt;RASANTE!F210,F210&lt;AV!$U$24),AV!$P$24*((AV!$U$24-RASANTE!F210)/(AV!$O$24))^2,0))))))))))))))))))))</f>
        <v>0</v>
      </c>
      <c r="L210" s="28">
        <f>+M210+H210%*PERALTE!$C$32</f>
        <v>1627.6279687621097</v>
      </c>
      <c r="M210" s="28">
        <f t="shared" si="7"/>
        <v>1627.6979687621097</v>
      </c>
      <c r="N210" s="28">
        <f>+M210+I210%*PERALTE!$C$32</f>
        <v>1627.6279687621097</v>
      </c>
      <c r="O210" s="92"/>
      <c r="P210" s="84"/>
      <c r="Q210" s="84"/>
      <c r="R210" s="84"/>
      <c r="S210" s="84"/>
      <c r="T210" s="84"/>
      <c r="U210" s="84"/>
      <c r="V210" s="84"/>
      <c r="W210" s="84"/>
      <c r="X210" s="84"/>
      <c r="Y210" s="84"/>
    </row>
    <row r="211" spans="1:25" ht="15.75" customHeight="1" x14ac:dyDescent="0.2">
      <c r="A211" s="90"/>
      <c r="B211" s="86"/>
      <c r="C211" s="86"/>
      <c r="D211" s="86"/>
      <c r="E211" s="91"/>
      <c r="F211" s="34">
        <v>1300</v>
      </c>
      <c r="G211" s="88">
        <f>IF(F211&lt;=AV!$T$6,AV!$C$5,IF(RASANTE!F211&lt;=AV!$T$8,AV!$C$7,IF(RASANTE!F211&lt;=AV!$T$10,AV!$C$9,IF(RASANTE!F211&lt;=AV!$T$12,AV!$C$11,IF(RASANTE!F211&lt;=AV!$T$14,AV!$C$13,IF(RASANTE!F211&lt;=AV!$T$16,AV!$C$15, IF(RASANTE!F211&lt;=AV!$T$18,AV!$C$17,IF(RASANTE!F211&lt;=AV!$T$20,AV!$C$19,IF(RASANTE!F211&lt;=AV!$T$22,AV!$C$21,IF(RASANTE!F211&lt;=AV!$T$24,AV!$C$23,AV!$C$25))))))))))</f>
        <v>2.8</v>
      </c>
      <c r="H211" s="28">
        <f>+IF(AND(AH!$H$8="Izquierda",RASANTE!F211&lt;=PERALTE!$AB$6),IF(RASANTE!F211&lt;=PERALTE!$S$6,-2,IF(RASANTE!F211&lt;=PERALTE!$U$6,(-6/(PERALTE!$U$6-PERALTE!$S$6)*(RASANTE!F211-PERALTE!$S$6)-2),IF(RASANTE!F211&lt;=PERALTE!$X$6,-8,IF(RASANTE!F211&lt;=PERALTE!$Z$6,(-6/(PERALTE!$X$6-PERALTE!$Z$6)*(RASANTE!F211-PERALTE!$Z$6)-2),IF(RASANTE!F211&lt;=PERALTE!$AB$6,-2))))),IF(AND(AH!$H$8="Derecha",RASANTE!F211&lt;=PERALTE!$AB$6),IF(RASANTE!F211&lt;=PERALTE!$Q$6,-2,IF(RASANTE!F211&lt;=PERALTE!$U$6,(10/(PERALTE!$U$6-PERALTE!$Q$6)*(RASANTE!F211-PERALTE!$Q$6)-2),IF(RASANTE!F211&lt;=PERALTE!$X$6,8,IF(RASANTE!F211&lt;=PERALTE!$AB$6,(10/(PERALTE!$X$6-PERALTE!$AB$6)*(RASANTE!F211-PERALTE!$AB$6)-2))))),IF(AND(AH!$H$10="Izquierda",RASANTE!F211&lt;=PERALTE!$AB$8),IF(RASANTE!F211&lt;=PERALTE!$S$8,-2,IF(RASANTE!F211&lt;=PERALTE!$U$8,(-6/(PERALTE!$U$8-PERALTE!$S$8)*(RASANTE!F211-PERALTE!$S$8)-2),IF(RASANTE!F211&lt;=PERALTE!$X$8,-8,IF(RASANTE!F211&lt;=PERALTE!$Z$8,(-6/(PERALTE!$X$8-PERALTE!$Z$8)*(RASANTE!F211-PERALTE!$Z$8)-2),IF(RASANTE!F211&lt;=PERALTE!$AB$8,-2))))),IF(AND(AH!$H$10="Derecha",RASANTE!F211&lt;=PERALTE!$AB$8),IF(RASANTE!F211&lt;=PERALTE!$Q$8,-2,IF(RASANTE!F211&lt;=PERALTE!$U$8,(10/(PERALTE!$U$8-PERALTE!$Q$8)*(RASANTE!F211-PERALTE!$Q$8)-2),IF(RASANTE!F211&lt;=PERALTE!$X$8,8,IF(RASANTE!F211&lt;=PERALTE!$AB$8,(10/(PERALTE!$X$8-PERALTE!$AB$8)*(RASANTE!F211-PERALTE!$AB$8)-2))))),IF(AND(AH!$H$12="Izquierda",RASANTE!F211&lt;=PERALTE!$AB$10),IF(RASANTE!F211&lt;=PERALTE!$S$10,-2,IF(RASANTE!F211&lt;=PERALTE!$U$10,(-6/(PERALTE!$U$10-PERALTE!$S$10)*(RASANTE!F211-PERALTE!$S$10)-2),IF(RASANTE!F211&lt;=PERALTE!$X$10,-8,IF(RASANTE!F211&lt;=PERALTE!$Z$10,(-6/(PERALTE!$X$10-PERALTE!$Z$10)*(RASANTE!F211-PERALTE!$Z$10)-2),IF(RASANTE!F211&lt;=PERALTE!$AB$10,-2))))),IF(AND(AH!$H$12="Derecha",RASANTE!F211&lt;=PERALTE!$AB$10),IF(RASANTE!F211&lt;=PERALTE!$Q$10,-2,IF(RASANTE!F211&lt;=PERALTE!$U$10,(10/(PERALTE!$U$10-PERALTE!$Q$10)*(RASANTE!F211-PERALTE!$Q$10)-2),IF(RASANTE!F211&lt;=PERALTE!$X$10,8,IF(RASANTE!F211&lt;=PERALTE!$AB$10,(10/(PERALTE!$X$10-PERALTE!$AB$10)*(RASANTE!F211-PERALTE!$AB$10)-2))))),IF(AND(AH!$H$14="Izquierda",RASANTE!F211&lt;=PERALTE!$AB$12),IF(RASANTE!F211&lt;=PERALTE!$S$12,-2,IF(RASANTE!F211&lt;=PERALTE!$U$12,(-6/(PERALTE!$U$12-PERALTE!$S$12)*(RASANTE!F211-PERALTE!$S$12)-2),IF(RASANTE!F211&lt;=PERALTE!$X$12,-8,IF(RASANTE!F211&lt;=PERALTE!$Z$12,(-6/(PERALTE!$X$12-PERALTE!$Z$12)*(RASANTE!F211-PERALTE!$Z$12)-2),IF(RASANTE!F211&lt;=PERALTE!$AB$12,-2))))),IF(AND(AH!$H$14="Derecha",RASANTE!F211&lt;=PERALTE!$AB$12),IF(RASANTE!F211&lt;=PERALTE!$Q$12,-2,IF(RASANTE!F211&lt;=PERALTE!$U$12,(10/(PERALTE!$U$12-PERALTE!$Q$12)*(RASANTE!F211-PERALTE!$Q$12)-2),IF(RASANTE!F211&lt;=PERALTE!$X$12,8,IF(RASANTE!F211&lt;=PERALTE!$AB$12,(10/(PERALTE!$X$12-PERALTE!$AB$12)*(RASANTE!F211-PERALTE!$AB$12)-2))))),IF(AND(AH!$H$16="Izquierda",RASANTE!F211&lt;=PERALTE!$AB$14),IF(RASANTE!F211&lt;=PERALTE!$S$14,-2,IF(RASANTE!F211&lt;=PERALTE!$U$14,(-6/(PERALTE!$U$14-PERALTE!$S$14)*(RASANTE!F211-PERALTE!$S$14)-2),IF(RASANTE!F211&lt;=PERALTE!$X$14,-8,IF(RASANTE!F211&lt;=PERALTE!$Z$14,(-6/(PERALTE!$X$14-PERALTE!$Z$14)*(RASANTE!F211-PERALTE!$Z$14)-2),IF(RASANTE!F211&lt;=PERALTE!$AB$14,-2))))),IF(AND(AH!$H$16="Derecha",RASANTE!F211&lt;=PERALTE!$AB$14),IF(RASANTE!F211&lt;=PERALTE!$Q$14,-2,IF(RASANTE!F211&lt;=PERALTE!$U$14,(10/(PERALTE!$U$14-PERALTE!$Q$14)*(RASANTE!F211-PERALTE!$Q$14)-2),IF(RASANTE!F211&lt;=PERALTE!$X$14,8,IF(RASANTE!F211&lt;=PERALTE!$AB$14,(10/(PERALTE!$X$14-PERALTE!$AB$14)*(RASANTE!F211-PERALTE!$AB$14)-2))))),IF(AND(AH!$H$18="Izquierda",RASANTE!F211&lt;=PERALTE!$AB$16),IF(RASANTE!F211&lt;=PERALTE!$S$16,-2,IF(RASANTE!F211&lt;=PERALTE!$U$16,(-6/(PERALTE!$U$16-PERALTE!$S$16)*(RASANTE!F211-PERALTE!$S$16)-2),IF(RASANTE!F211&lt;=PERALTE!$X$16,-8,IF(RASANTE!F211&lt;=PERALTE!$Z$16,(-6/(PERALTE!$X$16-PERALTE!$Z$16)*(RASANTE!F211-PERALTE!$Z$16)-2),IF(RASANTE!F211&lt;=PERALTE!$AB$16,-2))))),IF(AND(AH!$H$18="Derecha",RASANTE!F211&lt;=PERALTE!$AB$16),IF(RASANTE!F211&lt;=PERALTE!$Q$16,-2,IF(RASANTE!F211&lt;=PERALTE!$U$16,(10/(PERALTE!$U$16-PERALTE!$Q$16)*(RASANTE!F211-PERALTE!$Q$16)-2),IF(RASANTE!F211&lt;=PERALTE!$X$16,8,IF(RASANTE!F211&lt;=PERALTE!$AB$16,(10/(PERALTE!$X$16-PERALTE!$AB$16)*(RASANTE!F211-PERALTE!$AB$16)-2))))),IF(AND(AH!$H$20="Izquierda",RASANTE!F211&lt;=PERALTE!$AB$18),IF(RASANTE!F211&lt;=PERALTE!$S$18,-2,IF(RASANTE!F211&lt;=PERALTE!$U$18,(-6/(PERALTE!$U$18-PERALTE!$S$18)*(RASANTE!F211-PERALTE!$S$18)-2),IF(RASANTE!F211&lt;=PERALTE!$X$18,-8,IF(RASANTE!F211&lt;=PERALTE!$Z$18,(-6/(PERALTE!$X$18-PERALTE!$Z$18)*(RASANTE!F211-PERALTE!$Z$18)-2),IF(RASANTE!F211&lt;=PERALTE!$AB$18,-2))))),IF(AND(AH!$H$20="Derecha",RASANTE!F211&lt;=PERALTE!$AB$18),IF(RASANTE!F211&lt;=PERALTE!$Q$18,-2,IF(RASANTE!F211&lt;=PERALTE!$U$18,(10/(PERALTE!$U$18-PERALTE!$Q$18)*(RASANTE!F211-PERALTE!$Q$18)-2),IF(RASANTE!F211&lt;=PERALTE!$X$18,8,IF(RASANTE!F211&lt;=PERALTE!$AB$18,(10/(PERALTE!$X$18-PERALTE!$AB$18)*(RASANTE!F211-PERALTE!$AB$18)-2))))),IF(AND(AH!$H$24="Izquierda",RASANTE!F211&lt;=PERALTE!$AB$22),IF(RASANTE!F211&lt;=PERALTE!$S$22,-2,IF(RASANTE!F211&lt;=PERALTE!$U$22,(-6/(PERALTE!$U$22-PERALTE!$S$22)*(RASANTE!F211-PERALTE!$S$22)-2),IF(RASANTE!F211&lt;=PERALTE!$X$22,-8,IF(RASANTE!F211&lt;=PERALTE!$Z$22,(-6/(PERALTE!$X$22-PERALTE!$Z$22)*(RASANTE!F211-PERALTE!$Z$22)-2),IF(RASANTE!F211&lt;=PERALTE!$AB$22,-2))))),IF(AND(AH!$H$24="Derecha",RASANTE!F211&lt;=PERALTE!$AB$22),IF(RASANTE!F211&lt;=PERALTE!$Q$22,-2,IF(RASANTE!F211&lt;=PERALTE!$U$22,(10/(PERALTE!$U$22-PERALTE!$Q$22)*(RASANTE!F211-PERALTE!$Q$22)-2),IF(RASANTE!F211&lt;=PERALTE!$X$22,8,IF(RASANTE!F211&lt;=PERALTE!$AB$22,(10/(PERALTE!$X$22-PERALTE!$AB$22)*(RASANTE!F211-PERALTE!$AB$22)-2))))),IF(AND(AH!#REF!="Izquierda",RASANTE!F211&lt;=PERALTE!#REF!),IF(RASANTE!F211&lt;=PERALTE!#REF!,-2,IF(RASANTE!F211&lt;=PERALTE!#REF!,(-6/(PERALTE!#REF!-PERALTE!#REF!)*(RASANTE!F211-PERALTE!#REF!)-2),IF(RASANTE!F211&lt;=PERALTE!#REF!,-8,IF(RASANTE!F211&lt;=PERALTE!#REF!,(-6/(PERALTE!#REF!-PERALTE!#REF!)*(RASANTE!F211-PERALTE!#REF!)-2),IF(RASANTE!F211&lt;=PERALTE!#REF!,-2))))),IF(AND(AH!#REF!="Derecha",RASANTE!F211&lt;=PERALTE!#REF!),IF(RASANTE!F211&lt;=PERALTE!#REF!,-2,IF(RASANTE!F211&lt;=PERALTE!#REF!,(10/(PERALTE!#REF!-PERALTE!#REF!)*(RASANTE!F211-PERALTE!#REF!)-2),IF(RASANTE!F211&lt;=PERALTE!#REF!,8,IF(RASANTE!F211&lt;=PERALTE!#REF!,(10/(PERALTE!#REF!-PERALTE!#REF!)*(RASANTE!F211-PERALTE!#REF!)-2))))),IF(AND(AH!#REF!="Izquierda",RASANTE!F211&lt;=PERALTE!$AB$26),IF(RASANTE!F211&lt;=PERALTE!$S$26,-2,IF(RASANTE!F211&lt;=PERALTE!$U$26,(-6/(PERALTE!$U$26-PERALTE!$S$26)*(RASANTE!F211-PERALTE!$S$26)-2),IF(RASANTE!F211&lt;=PERALTE!$X$26,-8,IF(RASANTE!F211&lt;=PERALTE!$Z$26,(-6/(PERALTE!$X$26-PERALTE!$Z$26)*(RASANTE!F211-PERALTE!$Z$26)-2),IF(RASANTE!F211&lt;=PERALTE!$AB$26,-2))))),IF(AND(AH!#REF!="Derecha",RASANTE!F211&lt;=PERALTE!$AB$26),IF(RASANTE!F211&lt;=PERALTE!$Q$26,-2,IF(RASANTE!F211&lt;=PERALTE!$U$26,(10/(PERALTE!$U$26-PERALTE!$Q$26)*(RASANTE!F211-PERALTE!$Q$26)-2),IF(RASANTE!F211&lt;=PERALTE!$X$26,8,IF(RASANTE!F211&lt;=PERALTE!$AB$26,(10/(PERALTE!$X$26-PERALTE!$AB$26)*(RASANTE!F211-PERALTE!$AB$26)-2))))),IF(F211&lt;=PERALTE!#REF!,-2,"Abscisa fuera de la vía")))))))))))))))))))))</f>
        <v>-1.5681737638036821</v>
      </c>
      <c r="I211" s="28">
        <f>+IF(AND(AH!$H$8="Derecha",RASANTE!F211&lt;=PERALTE!$AB$6),IF(RASANTE!F211&lt;=PERALTE!$S$6,-2,IF(RASANTE!F211&lt;=PERALTE!$U$6,(-6/(PERALTE!$U$6-PERALTE!$S$6)*(RASANTE!F211-PERALTE!$S$6)-2),IF(RASANTE!F211&lt;=PERALTE!$X$6,-8,IF(RASANTE!F211&lt;=PERALTE!$Z$6,(-6/(PERALTE!$X$6-PERALTE!$Z$6)*(RASANTE!F211-PERALTE!$Z$6)-2),IF(RASANTE!F211&lt;=PERALTE!$AB$6,-2))))),IF(AND(AH!$H$8="Izquierda",RASANTE!F211&lt;=PERALTE!$AB$6),IF(RASANTE!F211&lt;=PERALTE!$Q$6,-2,IF(RASANTE!F211&lt;=PERALTE!$U$6,(10/(PERALTE!$U$6-PERALTE!$Q$6)*(RASANTE!F211-PERALTE!$Q$6)-2),IF(RASANTE!F211&lt;=PERALTE!$X$6,8,IF(RASANTE!F211&lt;=PERALTE!$AB$6,(10/(PERALTE!$X$6-PERALTE!$AB$6)*(RASANTE!F211-PERALTE!$AB$6)-2))))),IF(AND(AH!$H$10="Derecha",RASANTE!F211&lt;=PERALTE!$AB$8),IF(RASANTE!F211&lt;=PERALTE!$S$8,-2,IF(RASANTE!F211&lt;=PERALTE!$U$8,(-6/(PERALTE!$U$8-PERALTE!$S$8)*(RASANTE!F211-PERALTE!$S$8)-2),IF(RASANTE!F211&lt;=PERALTE!$X$8,-8,IF(RASANTE!F211&lt;=PERALTE!$Z$8,(-6/(PERALTE!$X$8-PERALTE!$Z$8)*(RASANTE!F211-PERALTE!$Z$8)-2),IF(RASANTE!F211&lt;=PERALTE!$AB$8,-2))))),IF(AND(AH!$H$10="Izquierda",RASANTE!F211&lt;=PERALTE!$AB$8),IF(RASANTE!F211&lt;=PERALTE!$Q$8,-2,IF(RASANTE!F211&lt;=PERALTE!$U$8,(10/(PERALTE!$U$8-PERALTE!$Q$8)*(RASANTE!F211-PERALTE!$Q$8)-2),IF(RASANTE!F211&lt;=PERALTE!$X$8,8,IF(RASANTE!F211&lt;=PERALTE!$AB$8,(10/(PERALTE!$X$8-PERALTE!$AB$8)*(RASANTE!F211-PERALTE!$AB$8)-2))))),IF(AND(AH!$H$12="Derecha",RASANTE!F211&lt;=PERALTE!$AB$10),IF(RASANTE!F211&lt;=PERALTE!$S$10,-2,IF(RASANTE!F211&lt;=PERALTE!$U$10,(-6/(PERALTE!$U$10-PERALTE!$S$10)*(RASANTE!F211-PERALTE!$S$10)-2),IF(RASANTE!F211&lt;=PERALTE!$X$10,-8,IF(RASANTE!F211&lt;=PERALTE!$Z$10,(-6/(PERALTE!$X$10-PERALTE!$Z$10)*(RASANTE!F211-PERALTE!$Z$10)-2),IF(RASANTE!F211&lt;=PERALTE!$AB$10,-2))))),IF(AND(AH!$H$12="Izquierda",RASANTE!F211&lt;=PERALTE!$AB$10),IF(RASANTE!F211&lt;=PERALTE!$Q$10,-2,IF(RASANTE!F211&lt;=PERALTE!$U$10,(10/(PERALTE!$U$10-PERALTE!$Q$10)*(RASANTE!F211-PERALTE!$Q$10)-2),IF(RASANTE!F211&lt;=PERALTE!$X$10,8,IF(RASANTE!F211&lt;=PERALTE!$AB$10,(10/(PERALTE!$X$10-PERALTE!$AB$10)*(RASANTE!F211-PERALTE!$AB$10)-2))))),IF(AND(AH!$H$14="Derecha",RASANTE!F211&lt;=PERALTE!$AB$12),IF(RASANTE!F211&lt;=PERALTE!$S$12,-2,IF(RASANTE!F211&lt;=PERALTE!$U$12,(-6/(PERALTE!$U$12-PERALTE!$S$12)*(RASANTE!F211-PERALTE!$S$12)-2),IF(RASANTE!F211&lt;=PERALTE!$X$12,-8,IF(RASANTE!F211&lt;=PERALTE!$Z$12,(-6/(PERALTE!$X$12-PERALTE!$Z$12)*(RASANTE!F211-PERALTE!$Z$12)-2),IF(RASANTE!F211&lt;=PERALTE!$AB$12,-2))))),IF(AND(AH!$H$14="Izquierda",RASANTE!F211&lt;=PERALTE!$AB$12),IF(RASANTE!F211&lt;=PERALTE!$Q$12,-2,IF(RASANTE!F211&lt;=PERALTE!$U$12,(10/(PERALTE!$U$12-PERALTE!$Q$12)*(RASANTE!F211-PERALTE!$Q$12)-2),IF(RASANTE!F211&lt;=PERALTE!$X$12,8,IF(RASANTE!F211&lt;=PERALTE!$AB$12,(10/(PERALTE!$X$12-PERALTE!$AB$12)*(RASANTE!F211-PERALTE!$AB$12)-2))))),IF(AND(AH!$H$16="Derecha",RASANTE!F211&lt;=PERALTE!$AB$14),IF(RASANTE!F211&lt;=PERALTE!$S$14,-2,IF(RASANTE!F211&lt;=PERALTE!$U$14,(-6/(PERALTE!$U$14-PERALTE!$S$14)*(RASANTE!F211-PERALTE!$S$14)-2),IF(RASANTE!F211&lt;=PERALTE!$X$14,-8,IF(RASANTE!F211&lt;=PERALTE!$Z$14,(-6/(PERALTE!$X$14-PERALTE!$Z$14)*(RASANTE!F211-PERALTE!$Z$14)-2),IF(RASANTE!F211&lt;=PERALTE!$AB$14,-2))))),IF(AND(AH!$H$16="Izquierda",RASANTE!F211&lt;=PERALTE!$AB$14),IF(RASANTE!F211&lt;=PERALTE!$Q$14,-2,IF(RASANTE!F211&lt;=PERALTE!$U$14,(10/(PERALTE!$U$14-PERALTE!$Q$14)*(RASANTE!F211-PERALTE!$Q$14)-2),IF(RASANTE!F211&lt;=PERALTE!$X$14,8,IF(RASANTE!F211&lt;=PERALTE!$AB$14,(10/(PERALTE!$X$14-PERALTE!$AB$14)*(RASANTE!F211-PERALTE!$AB$14)-2))))),IF(AND(AH!$H$18="Derecha",RASANTE!F211&lt;=PERALTE!$AB$16),IF(RASANTE!F211&lt;=PERALTE!$S$16,-2,IF(RASANTE!F211&lt;=PERALTE!$U$16,(-6/(PERALTE!$U$16-PERALTE!$S$16)*(RASANTE!F211-PERALTE!$S$16)-2),IF(RASANTE!F211&lt;=PERALTE!$X$16,-8,IF(RASANTE!F211&lt;=PERALTE!$Z$16,(-6/(PERALTE!$X$16-PERALTE!$Z$16)*(RASANTE!F211-PERALTE!$Z$16)-2),IF(RASANTE!F211&lt;=PERALTE!$AB$16,-2))))),IF(AND(AH!$H$18="Izquierda",RASANTE!F211&lt;=PERALTE!$AB$16),IF(RASANTE!F211&lt;=PERALTE!$Q$16,-2,IF(RASANTE!F211&lt;=PERALTE!$U$16,(10/(PERALTE!$U$16-PERALTE!$Q$16)*(RASANTE!F211-PERALTE!$Q$16)-2),IF(RASANTE!F211&lt;=PERALTE!$X$16,8,IF(RASANTE!F211&lt;=PERALTE!$AB$16,(10/(PERALTE!$X$16-PERALTE!$AB$16)*(RASANTE!F211-PERALTE!$AB$16)-2))))),IF(AND(AH!$H$20="Derecha",RASANTE!F211&lt;=PERALTE!$AB$18),IF(RASANTE!F211&lt;=PERALTE!$S$18,-2,IF(RASANTE!F211&lt;=PERALTE!$U$18,(-6/(PERALTE!$U$18-PERALTE!$S$18)*(RASANTE!F211-PERALTE!$S$18)-2),IF(RASANTE!F211&lt;=PERALTE!$X$18,-8,IF(RASANTE!F211&lt;=PERALTE!$Z$18,(-6/(PERALTE!$X$18-PERALTE!$Z$18)*(RASANTE!F211-PERALTE!$Z$18)-2),IF(RASANTE!F211&lt;=PERALTE!$AB$18,-2))))),IF(AND(AH!$H$20="Izquierda",RASANTE!F211&lt;=PERALTE!$AB$18),IF(RASANTE!F211&lt;=PERALTE!$Q$18,-2,IF(RASANTE!F211&lt;=PERALTE!$U$18,(10/(PERALTE!$U$18-PERALTE!$Q$18)*(RASANTE!F211-PERALTE!$Q$18)-2),IF(RASANTE!F211&lt;=PERALTE!$X$18,8,IF(RASANTE!F211&lt;=PERALTE!$AB$18,(10/(PERALTE!$X$18-PERALTE!$AB$18)*(RASANTE!F211-PERALTE!$AB$18)-2))))),IF(AND(AH!$H$24="Derecha",RASANTE!F211&lt;=PERALTE!$AB$22),IF(RASANTE!F211&lt;=PERALTE!$S$22,-2,IF(RASANTE!F211&lt;=PERALTE!$U$22,(-6/(PERALTE!$U$22-PERALTE!$S$22)*(RASANTE!F211-PERALTE!$S$22)-2),IF(RASANTE!F211&lt;=PERALTE!$X$22,-8,IF(RASANTE!F211&lt;=PERALTE!$Z$22,(-6/(PERALTE!$X$22-PERALTE!$Z$22)*(RASANTE!F211-PERALTE!$Z$22)-2),IF(RASANTE!F211&lt;=PERALTE!$AB$22,-2))))),IF(AND(AH!$H$24="Izquierda",RASANTE!F211&lt;=PERALTE!$AB$22),IF(RASANTE!F211&lt;=PERALTE!$Q$22,-2,IF(RASANTE!F211&lt;=PERALTE!$U$22,(10/(PERALTE!$U$22-PERALTE!$Q$22)*(RASANTE!F211-PERALTE!$Q$22)-2),IF(RASANTE!F211&lt;=PERALTE!$X$22,8,IF(RASANTE!F211&lt;=PERALTE!$AB$22,(10/(PERALTE!$X$22-PERALTE!$AB$22)*(RASANTE!F211-PERALTE!$AB$22)-2))))),IF(AND(AH!#REF!="Derecha",RASANTE!F211&lt;=PERALTE!#REF!),IF(RASANTE!F211&lt;=PERALTE!#REF!,-2,IF(RASANTE!F211&lt;=PERALTE!#REF!,(-6/(PERALTE!#REF!-PERALTE!#REF!)*(RASANTE!F211-PERALTE!#REF!)-2),IF(RASANTE!F211&lt;=PERALTE!#REF!,-8,IF(RASANTE!F211&lt;=PERALTE!#REF!,(-6/(PERALTE!#REF!-PERALTE!#REF!)*(RASANTE!F211-PERALTE!#REF!)-2),IF(RASANTE!F211&lt;=PERALTE!#REF!,-2))))),IF(AND(AH!#REF!="Izquierda",RASANTE!F211&lt;=PERALTE!#REF!),IF(RASANTE!F211&lt;=PERALTE!#REF!,-2,IF(RASANTE!F211&lt;=PERALTE!#REF!,(10/(PERALTE!#REF!-PERALTE!#REF!)*(RASANTE!F211-PERALTE!#REF!)-2),IF(RASANTE!F211&lt;=PERALTE!#REF!,8,IF(RASANTE!F211&lt;=PERALTE!#REF!,(10/(PERALTE!#REF!-PERALTE!#REF!)*(RASANTE!F211-PERALTE!#REF!)-2))))),IF(AND(AH!#REF!="Derecha",RASANTE!F211&lt;=PERALTE!$AB$26),IF(RASANTE!F211&lt;=PERALTE!$S$26,-2,IF(RASANTE!F211&lt;=PERALTE!$U$26,(-6/(PERALTE!$U$26-PERALTE!$S$26)*(RASANTE!F211-PERALTE!$S$26)-2),IF(RASANTE!F211&lt;=PERALTE!$X$26,-8,IF(RASANTE!F211&lt;=PERALTE!$Z$26,(-6/(PERALTE!$X$26-PERALTE!$Z$26)*(RASANTE!F211-PERALTE!$Z$26)-2),IF(RASANTE!F211&lt;=PERALTE!$AB$26,-2))))),IF(AND(AH!#REF!="Izquierda",RASANTE!F211&lt;=PERALTE!$AB$26),IF(RASANTE!F211&lt;=PERALTE!$Q$26,-2,IF(RASANTE!F211&lt;=PERALTE!$U$26,(10/(PERALTE!$U$26-PERALTE!$Q$26)*(RASANTE!F211-PERALTE!$Q$26)-2),IF(RASANTE!F211&lt;=PERALTE!$X$26,8,IF(RASANTE!F211&lt;=PERALTE!$AB$26,(10/(PERALTE!$X$26-PERALTE!$AB$26)*(RASANTE!F211-PERALTE!$AB$26)-2))))),IF(F211&lt;=PERALTE!#REF!,-2,"Abscisa fuera de la vía")))))))))))))))))))))</f>
        <v>-2</v>
      </c>
      <c r="J211" s="28">
        <f t="shared" si="11"/>
        <v>1627.7529284648983</v>
      </c>
      <c r="K211" s="28">
        <f>+IF(AND(AV!$S$6&lt;F211,F211&lt;=AV!$T$6),AV!$P$6*((AV!$S$6-RASANTE!F211)/(AV!$N$6))^2,IF(AND(AV!$T$6&lt;RASANTE!F211,F211&lt;AV!$U$6),AV!$P$6*((AV!$U$6-RASANTE!F211)/(AV!$O$6))^2,IF(AND(AV!$S$8&lt;F211,F211&lt;=AV!$T$8),AV!$P$8*((AV!$S$8-RASANTE!F211)/(AV!$N$8))^2,IF(AND(AV!$T$8&lt;RASANTE!F211,F211&lt;AV!$U$8),AV!$P$8*((AV!$U$8-RASANTE!F211)/(AV!$O$8))^2,IF(AND(AV!$S$10&lt;F211,F211&lt;=AV!$T$10),AV!$P$10*((AV!$S$10-RASANTE!F211)/(AV!$N$10))^2,IF(AND(AV!$T$10&lt;RASANTE!F211,F211&lt;AV!$U$10),AV!$P$10*((AV!$U$10-RASANTE!F211)/(AV!$O$10))^2,IF(AND(AV!$S$12&lt;F211,F211&lt;=AV!$T$12),AV!$P$12*((AV!$S$12-RASANTE!F211)/(AV!$N$12))^2,IF(AND(AV!$T$12&lt;RASANTE!F211,F211&lt;AV!$U$12),AV!$P$12*((AV!$U$12-RASANTE!F211)/(AV!$O$12))^2,IF(AND(AV!$S$14&lt;F211,F211&lt;=AV!$T$14),AV!$P$14*((AV!$S$14-RASANTE!F211)/(AV!$N$14))^2,IF(AND(AV!$T$14&lt;RASANTE!F211,F211&lt;AV!$U$14),AV!$P$14*((AV!$U$14-RASANTE!F211)/(AV!$O$14))^2,IF(AND(AV!$S$16&lt;F211,F211&lt;=AV!$T$16),AV!$P$16*((AV!$S$16-RASANTE!F211)/(AV!$N$16))^2,IF(AND(AV!$T$16&lt;RASANTE!F211,F211&lt;AV!$U$16),AV!$P$16*((AV!$U$16-RASANTE!F211)/(AV!$O$16))^2,IF(AND(AV!$S$18&lt;F211,F211&lt;=AV!$T$18),AV!$P$18*((AV!$S$18-RASANTE!F211)/(AV!$N$18))^2,IF(AND(AV!$T$18&lt;RASANTE!F211,F211&lt;AV!$U$18),AV!$P$18*((AV!$U$18-RASANTE!F211)/(AV!$O$18))^2,IF(AND(AV!$S$20&lt;F211,F211&lt;=AV!$T$20),AV!$P$20*((AV!$S$20-RASANTE!F211)/(AV!$N$20))^2,IF(AND(AV!$T$20&lt;RASANTE!F211,F211&lt;AV!$U$20),AV!$P$20*((AV!$U$20-RASANTE!F211)/(AV!$O$20))^2,IF(AND(AV!$S$22&lt;F211,F211&lt;=AV!$T$22),AV!$P$22*((AV!$S$22-RASANTE!F211)/(AV!$N$22))^2,IF(AND(AV!$T$22&lt;RASANTE!F211,F211&lt;AV!$U$22),AV!$P$22*((AV!$U$22-RASANTE!F211)/(AV!$O$22))^2,IF(AND(AV!$S$24&lt;F211,F211&lt;=AV!$T$24),AV!$P$24*((AV!$S$24-RASANTE!F211)/(AV!$N$24))^2,IF(AND(AV!$T$24&lt;RASANTE!F211,F211&lt;AV!$U$24),AV!$P$24*((AV!$U$24-RASANTE!F211)/(AV!$O$24))^2,0))))))))))))))))))))</f>
        <v>0</v>
      </c>
      <c r="L211" s="28">
        <f>+M211+H211%*PERALTE!$C$32</f>
        <v>1627.6980423831651</v>
      </c>
      <c r="M211" s="28">
        <f t="shared" si="7"/>
        <v>1627.7529284648983</v>
      </c>
      <c r="N211" s="28">
        <f>+M211+I211%*PERALTE!$C$32</f>
        <v>1627.6829284648984</v>
      </c>
      <c r="O211" s="92"/>
      <c r="P211" s="84"/>
      <c r="Q211" s="84"/>
      <c r="R211" s="84"/>
      <c r="S211" s="84"/>
      <c r="T211" s="84"/>
      <c r="U211" s="84"/>
      <c r="V211" s="84"/>
      <c r="W211" s="84"/>
      <c r="X211" s="84"/>
      <c r="Y211" s="84"/>
    </row>
    <row r="212" spans="1:25" ht="15.75" customHeight="1" x14ac:dyDescent="0.2">
      <c r="A212" s="90" t="s">
        <v>359</v>
      </c>
      <c r="B212" s="86"/>
      <c r="C212" s="86"/>
      <c r="D212" s="86"/>
      <c r="F212" s="34">
        <f>PERALTE!R16</f>
        <v>1307.1280625627439</v>
      </c>
      <c r="G212" s="88">
        <f>IF(F212&lt;=AV!$T$6,AV!$C$5,IF(RASANTE!F212&lt;=AV!$T$8,AV!$C$7,IF(RASANTE!F212&lt;=AV!$T$10,AV!$C$9,IF(RASANTE!F212&lt;=AV!$T$12,AV!$C$11,IF(RASANTE!F212&lt;=AV!$T$14,AV!$C$13,IF(RASANTE!F212&lt;=AV!$T$16,AV!$C$15, IF(RASANTE!F212&lt;=AV!$T$18,AV!$C$17,IF(RASANTE!F212&lt;=AV!$T$20,AV!$C$19,IF(RASANTE!F212&lt;=AV!$T$22,AV!$C$21,IF(RASANTE!F212&lt;=AV!$T$24,AV!$C$23,AV!$C$25))))))))))</f>
        <v>2.8</v>
      </c>
      <c r="H212" s="28">
        <f>+IF(AND(AH!$H$8="Izquierda",RASANTE!F212&lt;=PERALTE!$AB$6),IF(RASANTE!F212&lt;=PERALTE!$S$6,-2,IF(RASANTE!F212&lt;=PERALTE!$U$6,(-6/(PERALTE!$U$6-PERALTE!$S$6)*(RASANTE!F212-PERALTE!$S$6)-2),IF(RASANTE!F212&lt;=PERALTE!$X$6,-8,IF(RASANTE!F212&lt;=PERALTE!$Z$6,(-6/(PERALTE!$X$6-PERALTE!$Z$6)*(RASANTE!F212-PERALTE!$Z$6)-2),IF(RASANTE!F212&lt;=PERALTE!$AB$6,-2))))),IF(AND(AH!$H$8="Derecha",RASANTE!F212&lt;=PERALTE!$AB$6),IF(RASANTE!F212&lt;=PERALTE!$Q$6,-2,IF(RASANTE!F212&lt;=PERALTE!$U$6,(10/(PERALTE!$U$6-PERALTE!$Q$6)*(RASANTE!F212-PERALTE!$Q$6)-2),IF(RASANTE!F212&lt;=PERALTE!$X$6,8,IF(RASANTE!F212&lt;=PERALTE!$AB$6,(10/(PERALTE!$X$6-PERALTE!$AB$6)*(RASANTE!F212-PERALTE!$AB$6)-2))))),IF(AND(AH!$H$10="Izquierda",RASANTE!F212&lt;=PERALTE!$AB$8),IF(RASANTE!F212&lt;=PERALTE!$S$8,-2,IF(RASANTE!F212&lt;=PERALTE!$U$8,(-6/(PERALTE!$U$8-PERALTE!$S$8)*(RASANTE!F212-PERALTE!$S$8)-2),IF(RASANTE!F212&lt;=PERALTE!$X$8,-8,IF(RASANTE!F212&lt;=PERALTE!$Z$8,(-6/(PERALTE!$X$8-PERALTE!$Z$8)*(RASANTE!F212-PERALTE!$Z$8)-2),IF(RASANTE!F212&lt;=PERALTE!$AB$8,-2))))),IF(AND(AH!$H$10="Derecha",RASANTE!F212&lt;=PERALTE!$AB$8),IF(RASANTE!F212&lt;=PERALTE!$Q$8,-2,IF(RASANTE!F212&lt;=PERALTE!$U$8,(10/(PERALTE!$U$8-PERALTE!$Q$8)*(RASANTE!F212-PERALTE!$Q$8)-2),IF(RASANTE!F212&lt;=PERALTE!$X$8,8,IF(RASANTE!F212&lt;=PERALTE!$AB$8,(10/(PERALTE!$X$8-PERALTE!$AB$8)*(RASANTE!F212-PERALTE!$AB$8)-2))))),IF(AND(AH!$H$12="Izquierda",RASANTE!F212&lt;=PERALTE!$AB$10),IF(RASANTE!F212&lt;=PERALTE!$S$10,-2,IF(RASANTE!F212&lt;=PERALTE!$U$10,(-6/(PERALTE!$U$10-PERALTE!$S$10)*(RASANTE!F212-PERALTE!$S$10)-2),IF(RASANTE!F212&lt;=PERALTE!$X$10,-8,IF(RASANTE!F212&lt;=PERALTE!$Z$10,(-6/(PERALTE!$X$10-PERALTE!$Z$10)*(RASANTE!F212-PERALTE!$Z$10)-2),IF(RASANTE!F212&lt;=PERALTE!$AB$10,-2))))),IF(AND(AH!$H$12="Derecha",RASANTE!F212&lt;=PERALTE!$AB$10),IF(RASANTE!F212&lt;=PERALTE!$Q$10,-2,IF(RASANTE!F212&lt;=PERALTE!$U$10,(10/(PERALTE!$U$10-PERALTE!$Q$10)*(RASANTE!F212-PERALTE!$Q$10)-2),IF(RASANTE!F212&lt;=PERALTE!$X$10,8,IF(RASANTE!F212&lt;=PERALTE!$AB$10,(10/(PERALTE!$X$10-PERALTE!$AB$10)*(RASANTE!F212-PERALTE!$AB$10)-2))))),IF(AND(AH!$H$14="Izquierda",RASANTE!F212&lt;=PERALTE!$AB$12),IF(RASANTE!F212&lt;=PERALTE!$S$12,-2,IF(RASANTE!F212&lt;=PERALTE!$U$12,(-6/(PERALTE!$U$12-PERALTE!$S$12)*(RASANTE!F212-PERALTE!$S$12)-2),IF(RASANTE!F212&lt;=PERALTE!$X$12,-8,IF(RASANTE!F212&lt;=PERALTE!$Z$12,(-6/(PERALTE!$X$12-PERALTE!$Z$12)*(RASANTE!F212-PERALTE!$Z$12)-2),IF(RASANTE!F212&lt;=PERALTE!$AB$12,-2))))),IF(AND(AH!$H$14="Derecha",RASANTE!F212&lt;=PERALTE!$AB$12),IF(RASANTE!F212&lt;=PERALTE!$Q$12,-2,IF(RASANTE!F212&lt;=PERALTE!$U$12,(10/(PERALTE!$U$12-PERALTE!$Q$12)*(RASANTE!F212-PERALTE!$Q$12)-2),IF(RASANTE!F212&lt;=PERALTE!$X$12,8,IF(RASANTE!F212&lt;=PERALTE!$AB$12,(10/(PERALTE!$X$12-PERALTE!$AB$12)*(RASANTE!F212-PERALTE!$AB$12)-2))))),IF(AND(AH!$H$16="Izquierda",RASANTE!F212&lt;=PERALTE!$AB$14),IF(RASANTE!F212&lt;=PERALTE!$S$14,-2,IF(RASANTE!F212&lt;=PERALTE!$U$14,(-6/(PERALTE!$U$14-PERALTE!$S$14)*(RASANTE!F212-PERALTE!$S$14)-2),IF(RASANTE!F212&lt;=PERALTE!$X$14,-8,IF(RASANTE!F212&lt;=PERALTE!$Z$14,(-6/(PERALTE!$X$14-PERALTE!$Z$14)*(RASANTE!F212-PERALTE!$Z$14)-2),IF(RASANTE!F212&lt;=PERALTE!$AB$14,-2))))),IF(AND(AH!$H$16="Derecha",RASANTE!F212&lt;=PERALTE!$AB$14),IF(RASANTE!F212&lt;=PERALTE!$Q$14,-2,IF(RASANTE!F212&lt;=PERALTE!$U$14,(10/(PERALTE!$U$14-PERALTE!$Q$14)*(RASANTE!F212-PERALTE!$Q$14)-2),IF(RASANTE!F212&lt;=PERALTE!$X$14,8,IF(RASANTE!F212&lt;=PERALTE!$AB$14,(10/(PERALTE!$X$14-PERALTE!$AB$14)*(RASANTE!F212-PERALTE!$AB$14)-2))))),IF(AND(AH!$H$18="Izquierda",RASANTE!F212&lt;=PERALTE!$AB$16),IF(RASANTE!F212&lt;=PERALTE!$S$16,-2,IF(RASANTE!F212&lt;=PERALTE!$U$16,(-6/(PERALTE!$U$16-PERALTE!$S$16)*(RASANTE!F212-PERALTE!$S$16)-2),IF(RASANTE!F212&lt;=PERALTE!$X$16,-8,IF(RASANTE!F212&lt;=PERALTE!$Z$16,(-6/(PERALTE!$X$16-PERALTE!$Z$16)*(RASANTE!F212-PERALTE!$Z$16)-2),IF(RASANTE!F212&lt;=PERALTE!$AB$16,-2))))),IF(AND(AH!$H$18="Derecha",RASANTE!F212&lt;=PERALTE!$AB$16),IF(RASANTE!F212&lt;=PERALTE!$Q$16,-2,IF(RASANTE!F212&lt;=PERALTE!$U$16,(10/(PERALTE!$U$16-PERALTE!$Q$16)*(RASANTE!F212-PERALTE!$Q$16)-2),IF(RASANTE!F212&lt;=PERALTE!$X$16,8,IF(RASANTE!F212&lt;=PERALTE!$AB$16,(10/(PERALTE!$X$16-PERALTE!$AB$16)*(RASANTE!F212-PERALTE!$AB$16)-2))))),IF(AND(AH!$H$20="Izquierda",RASANTE!F212&lt;=PERALTE!$AB$18),IF(RASANTE!F212&lt;=PERALTE!$S$18,-2,IF(RASANTE!F212&lt;=PERALTE!$U$18,(-6/(PERALTE!$U$18-PERALTE!$S$18)*(RASANTE!F212-PERALTE!$S$18)-2),IF(RASANTE!F212&lt;=PERALTE!$X$18,-8,IF(RASANTE!F212&lt;=PERALTE!$Z$18,(-6/(PERALTE!$X$18-PERALTE!$Z$18)*(RASANTE!F212-PERALTE!$Z$18)-2),IF(RASANTE!F212&lt;=PERALTE!$AB$18,-2))))),IF(AND(AH!$H$20="Derecha",RASANTE!F212&lt;=PERALTE!$AB$18),IF(RASANTE!F212&lt;=PERALTE!$Q$18,-2,IF(RASANTE!F212&lt;=PERALTE!$U$18,(10/(PERALTE!$U$18-PERALTE!$Q$18)*(RASANTE!F212-PERALTE!$Q$18)-2),IF(RASANTE!F212&lt;=PERALTE!$X$18,8,IF(RASANTE!F212&lt;=PERALTE!$AB$18,(10/(PERALTE!$X$18-PERALTE!$AB$18)*(RASANTE!F212-PERALTE!$AB$18)-2))))),IF(AND(AH!$H$24="Izquierda",RASANTE!F212&lt;=PERALTE!$AB$22),IF(RASANTE!F212&lt;=PERALTE!$S$22,-2,IF(RASANTE!F212&lt;=PERALTE!$U$22,(-6/(PERALTE!$U$22-PERALTE!$S$22)*(RASANTE!F212-PERALTE!$S$22)-2),IF(RASANTE!F212&lt;=PERALTE!$X$22,-8,IF(RASANTE!F212&lt;=PERALTE!$Z$22,(-6/(PERALTE!$X$22-PERALTE!$Z$22)*(RASANTE!F212-PERALTE!$Z$22)-2),IF(RASANTE!F212&lt;=PERALTE!$AB$22,-2))))),IF(AND(AH!$H$24="Derecha",RASANTE!F212&lt;=PERALTE!$AB$22),IF(RASANTE!F212&lt;=PERALTE!$Q$22,-2,IF(RASANTE!F212&lt;=PERALTE!$U$22,(10/(PERALTE!$U$22-PERALTE!$Q$22)*(RASANTE!F212-PERALTE!$Q$22)-2),IF(RASANTE!F212&lt;=PERALTE!$X$22,8,IF(RASANTE!F212&lt;=PERALTE!$AB$22,(10/(PERALTE!$X$22-PERALTE!$AB$22)*(RASANTE!F212-PERALTE!$AB$22)-2))))),IF(AND(AH!#REF!="Izquierda",RASANTE!F212&lt;=PERALTE!#REF!),IF(RASANTE!F212&lt;=PERALTE!#REF!,-2,IF(RASANTE!F212&lt;=PERALTE!#REF!,(-6/(PERALTE!#REF!-PERALTE!#REF!)*(RASANTE!F212-PERALTE!#REF!)-2),IF(RASANTE!F212&lt;=PERALTE!#REF!,-8,IF(RASANTE!F212&lt;=PERALTE!#REF!,(-6/(PERALTE!#REF!-PERALTE!#REF!)*(RASANTE!F212-PERALTE!#REF!)-2),IF(RASANTE!F212&lt;=PERALTE!#REF!,-2))))),IF(AND(AH!#REF!="Derecha",RASANTE!F212&lt;=PERALTE!#REF!),IF(RASANTE!F212&lt;=PERALTE!#REF!,-2,IF(RASANTE!F212&lt;=PERALTE!#REF!,(10/(PERALTE!#REF!-PERALTE!#REF!)*(RASANTE!F212-PERALTE!#REF!)-2),IF(RASANTE!F212&lt;=PERALTE!#REF!,8,IF(RASANTE!F212&lt;=PERALTE!#REF!,(10/(PERALTE!#REF!-PERALTE!#REF!)*(RASANTE!F212-PERALTE!#REF!)-2))))),IF(AND(AH!#REF!="Izquierda",RASANTE!F212&lt;=PERALTE!$AB$26),IF(RASANTE!F212&lt;=PERALTE!$S$26,-2,IF(RASANTE!F212&lt;=PERALTE!$U$26,(-6/(PERALTE!$U$26-PERALTE!$S$26)*(RASANTE!F212-PERALTE!$S$26)-2),IF(RASANTE!F212&lt;=PERALTE!$X$26,-8,IF(RASANTE!F212&lt;=PERALTE!$Z$26,(-6/(PERALTE!$X$26-PERALTE!$Z$26)*(RASANTE!F212-PERALTE!$Z$26)-2),IF(RASANTE!F212&lt;=PERALTE!$AB$26,-2))))),IF(AND(AH!#REF!="Derecha",RASANTE!F212&lt;=PERALTE!$AB$26),IF(RASANTE!F212&lt;=PERALTE!$Q$26,-2,IF(RASANTE!F212&lt;=PERALTE!$U$26,(10/(PERALTE!$U$26-PERALTE!$Q$26)*(RASANTE!F212-PERALTE!$Q$26)-2),IF(RASANTE!F212&lt;=PERALTE!$X$26,8,IF(RASANTE!F212&lt;=PERALTE!$AB$26,(10/(PERALTE!$X$26-PERALTE!$AB$26)*(RASANTE!F212-PERALTE!$AB$26)-2))))),IF(F212&lt;=PERALTE!#REF!,-2,"Abscisa fuera de la vía")))))))))))))))))))))</f>
        <v>-1.021405182655144E-14</v>
      </c>
      <c r="I212" s="28">
        <f>+IF(AND(AH!$H$8="Derecha",RASANTE!F212&lt;=PERALTE!$AB$6),IF(RASANTE!F212&lt;=PERALTE!$S$6,-2,IF(RASANTE!F212&lt;=PERALTE!$U$6,(-6/(PERALTE!$U$6-PERALTE!$S$6)*(RASANTE!F212-PERALTE!$S$6)-2),IF(RASANTE!F212&lt;=PERALTE!$X$6,-8,IF(RASANTE!F212&lt;=PERALTE!$Z$6,(-6/(PERALTE!$X$6-PERALTE!$Z$6)*(RASANTE!F212-PERALTE!$Z$6)-2),IF(RASANTE!F212&lt;=PERALTE!$AB$6,-2))))),IF(AND(AH!$H$8="Izquierda",RASANTE!F212&lt;=PERALTE!$AB$6),IF(RASANTE!F212&lt;=PERALTE!$Q$6,-2,IF(RASANTE!F212&lt;=PERALTE!$U$6,(10/(PERALTE!$U$6-PERALTE!$Q$6)*(RASANTE!F212-PERALTE!$Q$6)-2),IF(RASANTE!F212&lt;=PERALTE!$X$6,8,IF(RASANTE!F212&lt;=PERALTE!$AB$6,(10/(PERALTE!$X$6-PERALTE!$AB$6)*(RASANTE!F212-PERALTE!$AB$6)-2))))),IF(AND(AH!$H$10="Derecha",RASANTE!F212&lt;=PERALTE!$AB$8),IF(RASANTE!F212&lt;=PERALTE!$S$8,-2,IF(RASANTE!F212&lt;=PERALTE!$U$8,(-6/(PERALTE!$U$8-PERALTE!$S$8)*(RASANTE!F212-PERALTE!$S$8)-2),IF(RASANTE!F212&lt;=PERALTE!$X$8,-8,IF(RASANTE!F212&lt;=PERALTE!$Z$8,(-6/(PERALTE!$X$8-PERALTE!$Z$8)*(RASANTE!F212-PERALTE!$Z$8)-2),IF(RASANTE!F212&lt;=PERALTE!$AB$8,-2))))),IF(AND(AH!$H$10="Izquierda",RASANTE!F212&lt;=PERALTE!$AB$8),IF(RASANTE!F212&lt;=PERALTE!$Q$8,-2,IF(RASANTE!F212&lt;=PERALTE!$U$8,(10/(PERALTE!$U$8-PERALTE!$Q$8)*(RASANTE!F212-PERALTE!$Q$8)-2),IF(RASANTE!F212&lt;=PERALTE!$X$8,8,IF(RASANTE!F212&lt;=PERALTE!$AB$8,(10/(PERALTE!$X$8-PERALTE!$AB$8)*(RASANTE!F212-PERALTE!$AB$8)-2))))),IF(AND(AH!$H$12="Derecha",RASANTE!F212&lt;=PERALTE!$AB$10),IF(RASANTE!F212&lt;=PERALTE!$S$10,-2,IF(RASANTE!F212&lt;=PERALTE!$U$10,(-6/(PERALTE!$U$10-PERALTE!$S$10)*(RASANTE!F212-PERALTE!$S$10)-2),IF(RASANTE!F212&lt;=PERALTE!$X$10,-8,IF(RASANTE!F212&lt;=PERALTE!$Z$10,(-6/(PERALTE!$X$10-PERALTE!$Z$10)*(RASANTE!F212-PERALTE!$Z$10)-2),IF(RASANTE!F212&lt;=PERALTE!$AB$10,-2))))),IF(AND(AH!$H$12="Izquierda",RASANTE!F212&lt;=PERALTE!$AB$10),IF(RASANTE!F212&lt;=PERALTE!$Q$10,-2,IF(RASANTE!F212&lt;=PERALTE!$U$10,(10/(PERALTE!$U$10-PERALTE!$Q$10)*(RASANTE!F212-PERALTE!$Q$10)-2),IF(RASANTE!F212&lt;=PERALTE!$X$10,8,IF(RASANTE!F212&lt;=PERALTE!$AB$10,(10/(PERALTE!$X$10-PERALTE!$AB$10)*(RASANTE!F212-PERALTE!$AB$10)-2))))),IF(AND(AH!$H$14="Derecha",RASANTE!F212&lt;=PERALTE!$AB$12),IF(RASANTE!F212&lt;=PERALTE!$S$12,-2,IF(RASANTE!F212&lt;=PERALTE!$U$12,(-6/(PERALTE!$U$12-PERALTE!$S$12)*(RASANTE!F212-PERALTE!$S$12)-2),IF(RASANTE!F212&lt;=PERALTE!$X$12,-8,IF(RASANTE!F212&lt;=PERALTE!$Z$12,(-6/(PERALTE!$X$12-PERALTE!$Z$12)*(RASANTE!F212-PERALTE!$Z$12)-2),IF(RASANTE!F212&lt;=PERALTE!$AB$12,-2))))),IF(AND(AH!$H$14="Izquierda",RASANTE!F212&lt;=PERALTE!$AB$12),IF(RASANTE!F212&lt;=PERALTE!$Q$12,-2,IF(RASANTE!F212&lt;=PERALTE!$U$12,(10/(PERALTE!$U$12-PERALTE!$Q$12)*(RASANTE!F212-PERALTE!$Q$12)-2),IF(RASANTE!F212&lt;=PERALTE!$X$12,8,IF(RASANTE!F212&lt;=PERALTE!$AB$12,(10/(PERALTE!$X$12-PERALTE!$AB$12)*(RASANTE!F212-PERALTE!$AB$12)-2))))),IF(AND(AH!$H$16="Derecha",RASANTE!F212&lt;=PERALTE!$AB$14),IF(RASANTE!F212&lt;=PERALTE!$S$14,-2,IF(RASANTE!F212&lt;=PERALTE!$U$14,(-6/(PERALTE!$U$14-PERALTE!$S$14)*(RASANTE!F212-PERALTE!$S$14)-2),IF(RASANTE!F212&lt;=PERALTE!$X$14,-8,IF(RASANTE!F212&lt;=PERALTE!$Z$14,(-6/(PERALTE!$X$14-PERALTE!$Z$14)*(RASANTE!F212-PERALTE!$Z$14)-2),IF(RASANTE!F212&lt;=PERALTE!$AB$14,-2))))),IF(AND(AH!$H$16="Izquierda",RASANTE!F212&lt;=PERALTE!$AB$14),IF(RASANTE!F212&lt;=PERALTE!$Q$14,-2,IF(RASANTE!F212&lt;=PERALTE!$U$14,(10/(PERALTE!$U$14-PERALTE!$Q$14)*(RASANTE!F212-PERALTE!$Q$14)-2),IF(RASANTE!F212&lt;=PERALTE!$X$14,8,IF(RASANTE!F212&lt;=PERALTE!$AB$14,(10/(PERALTE!$X$14-PERALTE!$AB$14)*(RASANTE!F212-PERALTE!$AB$14)-2))))),IF(AND(AH!$H$18="Derecha",RASANTE!F212&lt;=PERALTE!$AB$16),IF(RASANTE!F212&lt;=PERALTE!$S$16,-2,IF(RASANTE!F212&lt;=PERALTE!$U$16,(-6/(PERALTE!$U$16-PERALTE!$S$16)*(RASANTE!F212-PERALTE!$S$16)-2),IF(RASANTE!F212&lt;=PERALTE!$X$16,-8,IF(RASANTE!F212&lt;=PERALTE!$Z$16,(-6/(PERALTE!$X$16-PERALTE!$Z$16)*(RASANTE!F212-PERALTE!$Z$16)-2),IF(RASANTE!F212&lt;=PERALTE!$AB$16,-2))))),IF(AND(AH!$H$18="Izquierda",RASANTE!F212&lt;=PERALTE!$AB$16),IF(RASANTE!F212&lt;=PERALTE!$Q$16,-2,IF(RASANTE!F212&lt;=PERALTE!$U$16,(10/(PERALTE!$U$16-PERALTE!$Q$16)*(RASANTE!F212-PERALTE!$Q$16)-2),IF(RASANTE!F212&lt;=PERALTE!$X$16,8,IF(RASANTE!F212&lt;=PERALTE!$AB$16,(10/(PERALTE!$X$16-PERALTE!$AB$16)*(RASANTE!F212-PERALTE!$AB$16)-2))))),IF(AND(AH!$H$20="Derecha",RASANTE!F212&lt;=PERALTE!$AB$18),IF(RASANTE!F212&lt;=PERALTE!$S$18,-2,IF(RASANTE!F212&lt;=PERALTE!$U$18,(-6/(PERALTE!$U$18-PERALTE!$S$18)*(RASANTE!F212-PERALTE!$S$18)-2),IF(RASANTE!F212&lt;=PERALTE!$X$18,-8,IF(RASANTE!F212&lt;=PERALTE!$Z$18,(-6/(PERALTE!$X$18-PERALTE!$Z$18)*(RASANTE!F212-PERALTE!$Z$18)-2),IF(RASANTE!F212&lt;=PERALTE!$AB$18,-2))))),IF(AND(AH!$H$20="Izquierda",RASANTE!F212&lt;=PERALTE!$AB$18),IF(RASANTE!F212&lt;=PERALTE!$Q$18,-2,IF(RASANTE!F212&lt;=PERALTE!$U$18,(10/(PERALTE!$U$18-PERALTE!$Q$18)*(RASANTE!F212-PERALTE!$Q$18)-2),IF(RASANTE!F212&lt;=PERALTE!$X$18,8,IF(RASANTE!F212&lt;=PERALTE!$AB$18,(10/(PERALTE!$X$18-PERALTE!$AB$18)*(RASANTE!F212-PERALTE!$AB$18)-2))))),IF(AND(AH!$H$24="Derecha",RASANTE!F212&lt;=PERALTE!$AB$22),IF(RASANTE!F212&lt;=PERALTE!$S$22,-2,IF(RASANTE!F212&lt;=PERALTE!$U$22,(-6/(PERALTE!$U$22-PERALTE!$S$22)*(RASANTE!F212-PERALTE!$S$22)-2),IF(RASANTE!F212&lt;=PERALTE!$X$22,-8,IF(RASANTE!F212&lt;=PERALTE!$Z$22,(-6/(PERALTE!$X$22-PERALTE!$Z$22)*(RASANTE!F212-PERALTE!$Z$22)-2),IF(RASANTE!F212&lt;=PERALTE!$AB$22,-2))))),IF(AND(AH!$H$24="Izquierda",RASANTE!F212&lt;=PERALTE!$AB$22),IF(RASANTE!F212&lt;=PERALTE!$Q$22,-2,IF(RASANTE!F212&lt;=PERALTE!$U$22,(10/(PERALTE!$U$22-PERALTE!$Q$22)*(RASANTE!F212-PERALTE!$Q$22)-2),IF(RASANTE!F212&lt;=PERALTE!$X$22,8,IF(RASANTE!F212&lt;=PERALTE!$AB$22,(10/(PERALTE!$X$22-PERALTE!$AB$22)*(RASANTE!F212-PERALTE!$AB$22)-2))))),IF(AND(AH!#REF!="Derecha",RASANTE!F212&lt;=PERALTE!#REF!),IF(RASANTE!F212&lt;=PERALTE!#REF!,-2,IF(RASANTE!F212&lt;=PERALTE!#REF!,(-6/(PERALTE!#REF!-PERALTE!#REF!)*(RASANTE!F212-PERALTE!#REF!)-2),IF(RASANTE!F212&lt;=PERALTE!#REF!,-8,IF(RASANTE!F212&lt;=PERALTE!#REF!,(-6/(PERALTE!#REF!-PERALTE!#REF!)*(RASANTE!F212-PERALTE!#REF!)-2),IF(RASANTE!F212&lt;=PERALTE!#REF!,-2))))),IF(AND(AH!#REF!="Izquierda",RASANTE!F212&lt;=PERALTE!#REF!),IF(RASANTE!F212&lt;=PERALTE!#REF!,-2,IF(RASANTE!F212&lt;=PERALTE!#REF!,(10/(PERALTE!#REF!-PERALTE!#REF!)*(RASANTE!F212-PERALTE!#REF!)-2),IF(RASANTE!F212&lt;=PERALTE!#REF!,8,IF(RASANTE!F212&lt;=PERALTE!#REF!,(10/(PERALTE!#REF!-PERALTE!#REF!)*(RASANTE!F212-PERALTE!#REF!)-2))))),IF(AND(AH!#REF!="Derecha",RASANTE!F212&lt;=PERALTE!$AB$26),IF(RASANTE!F212&lt;=PERALTE!$S$26,-2,IF(RASANTE!F212&lt;=PERALTE!$U$26,(-6/(PERALTE!$U$26-PERALTE!$S$26)*(RASANTE!F212-PERALTE!$S$26)-2),IF(RASANTE!F212&lt;=PERALTE!$X$26,-8,IF(RASANTE!F212&lt;=PERALTE!$Z$26,(-6/(PERALTE!$X$26-PERALTE!$Z$26)*(RASANTE!F212-PERALTE!$Z$26)-2),IF(RASANTE!F212&lt;=PERALTE!$AB$26,-2))))),IF(AND(AH!#REF!="Izquierda",RASANTE!F212&lt;=PERALTE!$AB$26),IF(RASANTE!F212&lt;=PERALTE!$Q$26,-2,IF(RASANTE!F212&lt;=PERALTE!$U$26,(10/(PERALTE!$U$26-PERALTE!$Q$26)*(RASANTE!F212-PERALTE!$Q$26)-2),IF(RASANTE!F212&lt;=PERALTE!$X$26,8,IF(RASANTE!F212&lt;=PERALTE!$AB$26,(10/(PERALTE!$X$26-PERALTE!$AB$26)*(RASANTE!F212-PERALTE!$AB$26)-2))))),IF(F212&lt;=PERALTE!#REF!,-2,"Abscisa fuera de la vía")))))))))))))))))))))</f>
        <v>-2</v>
      </c>
      <c r="J212" s="28">
        <f t="shared" si="11"/>
        <v>1627.9525142166551</v>
      </c>
      <c r="K212" s="28">
        <f>+IF(AND(AV!$S$6&lt;F212,F212&lt;=AV!$T$6),AV!$P$6*((AV!$S$6-RASANTE!F212)/(AV!$N$6))^2,IF(AND(AV!$T$6&lt;RASANTE!F212,F212&lt;AV!$U$6),AV!$P$6*((AV!$U$6-RASANTE!F212)/(AV!$O$6))^2,IF(AND(AV!$S$8&lt;F212,F212&lt;=AV!$T$8),AV!$P$8*((AV!$S$8-RASANTE!F212)/(AV!$N$8))^2,IF(AND(AV!$T$8&lt;RASANTE!F212,F212&lt;AV!$U$8),AV!$P$8*((AV!$U$8-RASANTE!F212)/(AV!$O$8))^2,IF(AND(AV!$S$10&lt;F212,F212&lt;=AV!$T$10),AV!$P$10*((AV!$S$10-RASANTE!F212)/(AV!$N$10))^2,IF(AND(AV!$T$10&lt;RASANTE!F212,F212&lt;AV!$U$10),AV!$P$10*((AV!$U$10-RASANTE!F212)/(AV!$O$10))^2,IF(AND(AV!$S$12&lt;F212,F212&lt;=AV!$T$12),AV!$P$12*((AV!$S$12-RASANTE!F212)/(AV!$N$12))^2,IF(AND(AV!$T$12&lt;RASANTE!F212,F212&lt;AV!$U$12),AV!$P$12*((AV!$U$12-RASANTE!F212)/(AV!$O$12))^2,IF(AND(AV!$S$14&lt;F212,F212&lt;=AV!$T$14),AV!$P$14*((AV!$S$14-RASANTE!F212)/(AV!$N$14))^2,IF(AND(AV!$T$14&lt;RASANTE!F212,F212&lt;AV!$U$14),AV!$P$14*((AV!$U$14-RASANTE!F212)/(AV!$O$14))^2,IF(AND(AV!$S$16&lt;F212,F212&lt;=AV!$T$16),AV!$P$16*((AV!$S$16-RASANTE!F212)/(AV!$N$16))^2,IF(AND(AV!$T$16&lt;RASANTE!F212,F212&lt;AV!$U$16),AV!$P$16*((AV!$U$16-RASANTE!F212)/(AV!$O$16))^2,IF(AND(AV!$S$18&lt;F212,F212&lt;=AV!$T$18),AV!$P$18*((AV!$S$18-RASANTE!F212)/(AV!$N$18))^2,IF(AND(AV!$T$18&lt;RASANTE!F212,F212&lt;AV!$U$18),AV!$P$18*((AV!$U$18-RASANTE!F212)/(AV!$O$18))^2,IF(AND(AV!$S$20&lt;F212,F212&lt;=AV!$T$20),AV!$P$20*((AV!$S$20-RASANTE!F212)/(AV!$N$20))^2,IF(AND(AV!$T$20&lt;RASANTE!F212,F212&lt;AV!$U$20),AV!$P$20*((AV!$U$20-RASANTE!F212)/(AV!$O$20))^2,IF(AND(AV!$S$22&lt;F212,F212&lt;=AV!$T$22),AV!$P$22*((AV!$S$22-RASANTE!F212)/(AV!$N$22))^2,IF(AND(AV!$T$22&lt;RASANTE!F212,F212&lt;AV!$U$22),AV!$P$22*((AV!$U$22-RASANTE!F212)/(AV!$O$22))^2,IF(AND(AV!$S$24&lt;F212,F212&lt;=AV!$T$24),AV!$P$24*((AV!$S$24-RASANTE!F212)/(AV!$N$24))^2,IF(AND(AV!$T$24&lt;RASANTE!F212,F212&lt;AV!$U$24),AV!$P$24*((AV!$U$24-RASANTE!F212)/(AV!$O$24))^2,0))))))))))))))))))))</f>
        <v>0</v>
      </c>
      <c r="L212" s="28">
        <f>+M212+H212%*PERALTE!$C$32</f>
        <v>1627.9525142166551</v>
      </c>
      <c r="M212" s="28">
        <f t="shared" si="7"/>
        <v>1627.9525142166551</v>
      </c>
      <c r="N212" s="28">
        <f>+M212+I212%*PERALTE!$C$32</f>
        <v>1627.8825142166552</v>
      </c>
      <c r="O212" s="92"/>
      <c r="P212" s="84"/>
      <c r="Q212" s="84"/>
      <c r="R212" s="84"/>
      <c r="S212" s="84"/>
      <c r="T212" s="84"/>
      <c r="U212" s="84"/>
      <c r="V212" s="84"/>
      <c r="W212" s="84"/>
      <c r="X212" s="84"/>
      <c r="Y212" s="84"/>
    </row>
    <row r="213" spans="1:25" ht="15.75" customHeight="1" x14ac:dyDescent="0.2">
      <c r="A213" s="90"/>
      <c r="B213" s="86"/>
      <c r="C213" s="86"/>
      <c r="D213" s="86"/>
      <c r="E213" s="91"/>
      <c r="F213" s="34">
        <v>1310</v>
      </c>
      <c r="G213" s="88">
        <f>IF(F213&lt;=AV!$T$6,AV!$C$5,IF(RASANTE!F213&lt;=AV!$T$8,AV!$C$7,IF(RASANTE!F213&lt;=AV!$T$10,AV!$C$9,IF(RASANTE!F213&lt;=AV!$T$12,AV!$C$11,IF(RASANTE!F213&lt;=AV!$T$14,AV!$C$13,IF(RASANTE!F213&lt;=AV!$T$16,AV!$C$15, IF(RASANTE!F213&lt;=AV!$T$18,AV!$C$17,IF(RASANTE!F213&lt;=AV!$T$20,AV!$C$19,IF(RASANTE!F213&lt;=AV!$T$22,AV!$C$21,IF(RASANTE!F213&lt;=AV!$T$24,AV!$C$23,AV!$C$25))))))))))</f>
        <v>2.8</v>
      </c>
      <c r="H213" s="28">
        <f>+IF(AND(AH!$H$8="Izquierda",RASANTE!F213&lt;=PERALTE!$AB$6),IF(RASANTE!F213&lt;=PERALTE!$S$6,-2,IF(RASANTE!F213&lt;=PERALTE!$U$6,(-6/(PERALTE!$U$6-PERALTE!$S$6)*(RASANTE!F213-PERALTE!$S$6)-2),IF(RASANTE!F213&lt;=PERALTE!$X$6,-8,IF(RASANTE!F213&lt;=PERALTE!$Z$6,(-6/(PERALTE!$X$6-PERALTE!$Z$6)*(RASANTE!F213-PERALTE!$Z$6)-2),IF(RASANTE!F213&lt;=PERALTE!$AB$6,-2))))),IF(AND(AH!$H$8="Derecha",RASANTE!F213&lt;=PERALTE!$AB$6),IF(RASANTE!F213&lt;=PERALTE!$Q$6,-2,IF(RASANTE!F213&lt;=PERALTE!$U$6,(10/(PERALTE!$U$6-PERALTE!$Q$6)*(RASANTE!F213-PERALTE!$Q$6)-2),IF(RASANTE!F213&lt;=PERALTE!$X$6,8,IF(RASANTE!F213&lt;=PERALTE!$AB$6,(10/(PERALTE!$X$6-PERALTE!$AB$6)*(RASANTE!F213-PERALTE!$AB$6)-2))))),IF(AND(AH!$H$10="Izquierda",RASANTE!F213&lt;=PERALTE!$AB$8),IF(RASANTE!F213&lt;=PERALTE!$S$8,-2,IF(RASANTE!F213&lt;=PERALTE!$U$8,(-6/(PERALTE!$U$8-PERALTE!$S$8)*(RASANTE!F213-PERALTE!$S$8)-2),IF(RASANTE!F213&lt;=PERALTE!$X$8,-8,IF(RASANTE!F213&lt;=PERALTE!$Z$8,(-6/(PERALTE!$X$8-PERALTE!$Z$8)*(RASANTE!F213-PERALTE!$Z$8)-2),IF(RASANTE!F213&lt;=PERALTE!$AB$8,-2))))),IF(AND(AH!$H$10="Derecha",RASANTE!F213&lt;=PERALTE!$AB$8),IF(RASANTE!F213&lt;=PERALTE!$Q$8,-2,IF(RASANTE!F213&lt;=PERALTE!$U$8,(10/(PERALTE!$U$8-PERALTE!$Q$8)*(RASANTE!F213-PERALTE!$Q$8)-2),IF(RASANTE!F213&lt;=PERALTE!$X$8,8,IF(RASANTE!F213&lt;=PERALTE!$AB$8,(10/(PERALTE!$X$8-PERALTE!$AB$8)*(RASANTE!F213-PERALTE!$AB$8)-2))))),IF(AND(AH!$H$12="Izquierda",RASANTE!F213&lt;=PERALTE!$AB$10),IF(RASANTE!F213&lt;=PERALTE!$S$10,-2,IF(RASANTE!F213&lt;=PERALTE!$U$10,(-6/(PERALTE!$U$10-PERALTE!$S$10)*(RASANTE!F213-PERALTE!$S$10)-2),IF(RASANTE!F213&lt;=PERALTE!$X$10,-8,IF(RASANTE!F213&lt;=PERALTE!$Z$10,(-6/(PERALTE!$X$10-PERALTE!$Z$10)*(RASANTE!F213-PERALTE!$Z$10)-2),IF(RASANTE!F213&lt;=PERALTE!$AB$10,-2))))),IF(AND(AH!$H$12="Derecha",RASANTE!F213&lt;=PERALTE!$AB$10),IF(RASANTE!F213&lt;=PERALTE!$Q$10,-2,IF(RASANTE!F213&lt;=PERALTE!$U$10,(10/(PERALTE!$U$10-PERALTE!$Q$10)*(RASANTE!F213-PERALTE!$Q$10)-2),IF(RASANTE!F213&lt;=PERALTE!$X$10,8,IF(RASANTE!F213&lt;=PERALTE!$AB$10,(10/(PERALTE!$X$10-PERALTE!$AB$10)*(RASANTE!F213-PERALTE!$AB$10)-2))))),IF(AND(AH!$H$14="Izquierda",RASANTE!F213&lt;=PERALTE!$AB$12),IF(RASANTE!F213&lt;=PERALTE!$S$12,-2,IF(RASANTE!F213&lt;=PERALTE!$U$12,(-6/(PERALTE!$U$12-PERALTE!$S$12)*(RASANTE!F213-PERALTE!$S$12)-2),IF(RASANTE!F213&lt;=PERALTE!$X$12,-8,IF(RASANTE!F213&lt;=PERALTE!$Z$12,(-6/(PERALTE!$X$12-PERALTE!$Z$12)*(RASANTE!F213-PERALTE!$Z$12)-2),IF(RASANTE!F213&lt;=PERALTE!$AB$12,-2))))),IF(AND(AH!$H$14="Derecha",RASANTE!F213&lt;=PERALTE!$AB$12),IF(RASANTE!F213&lt;=PERALTE!$Q$12,-2,IF(RASANTE!F213&lt;=PERALTE!$U$12,(10/(PERALTE!$U$12-PERALTE!$Q$12)*(RASANTE!F213-PERALTE!$Q$12)-2),IF(RASANTE!F213&lt;=PERALTE!$X$12,8,IF(RASANTE!F213&lt;=PERALTE!$AB$12,(10/(PERALTE!$X$12-PERALTE!$AB$12)*(RASANTE!F213-PERALTE!$AB$12)-2))))),IF(AND(AH!$H$16="Izquierda",RASANTE!F213&lt;=PERALTE!$AB$14),IF(RASANTE!F213&lt;=PERALTE!$S$14,-2,IF(RASANTE!F213&lt;=PERALTE!$U$14,(-6/(PERALTE!$U$14-PERALTE!$S$14)*(RASANTE!F213-PERALTE!$S$14)-2),IF(RASANTE!F213&lt;=PERALTE!$X$14,-8,IF(RASANTE!F213&lt;=PERALTE!$Z$14,(-6/(PERALTE!$X$14-PERALTE!$Z$14)*(RASANTE!F213-PERALTE!$Z$14)-2),IF(RASANTE!F213&lt;=PERALTE!$AB$14,-2))))),IF(AND(AH!$H$16="Derecha",RASANTE!F213&lt;=PERALTE!$AB$14),IF(RASANTE!F213&lt;=PERALTE!$Q$14,-2,IF(RASANTE!F213&lt;=PERALTE!$U$14,(10/(PERALTE!$U$14-PERALTE!$Q$14)*(RASANTE!F213-PERALTE!$Q$14)-2),IF(RASANTE!F213&lt;=PERALTE!$X$14,8,IF(RASANTE!F213&lt;=PERALTE!$AB$14,(10/(PERALTE!$X$14-PERALTE!$AB$14)*(RASANTE!F213-PERALTE!$AB$14)-2))))),IF(AND(AH!$H$18="Izquierda",RASANTE!F213&lt;=PERALTE!$AB$16),IF(RASANTE!F213&lt;=PERALTE!$S$16,-2,IF(RASANTE!F213&lt;=PERALTE!$U$16,(-6/(PERALTE!$U$16-PERALTE!$S$16)*(RASANTE!F213-PERALTE!$S$16)-2),IF(RASANTE!F213&lt;=PERALTE!$X$16,-8,IF(RASANTE!F213&lt;=PERALTE!$Z$16,(-6/(PERALTE!$X$16-PERALTE!$Z$16)*(RASANTE!F213-PERALTE!$Z$16)-2),IF(RASANTE!F213&lt;=PERALTE!$AB$16,-2))))),IF(AND(AH!$H$18="Derecha",RASANTE!F213&lt;=PERALTE!$AB$16),IF(RASANTE!F213&lt;=PERALTE!$Q$16,-2,IF(RASANTE!F213&lt;=PERALTE!$U$16,(10/(PERALTE!$U$16-PERALTE!$Q$16)*(RASANTE!F213-PERALTE!$Q$16)-2),IF(RASANTE!F213&lt;=PERALTE!$X$16,8,IF(RASANTE!F213&lt;=PERALTE!$AB$16,(10/(PERALTE!$X$16-PERALTE!$AB$16)*(RASANTE!F213-PERALTE!$AB$16)-2))))),IF(AND(AH!$H$20="Izquierda",RASANTE!F213&lt;=PERALTE!$AB$18),IF(RASANTE!F213&lt;=PERALTE!$S$18,-2,IF(RASANTE!F213&lt;=PERALTE!$U$18,(-6/(PERALTE!$U$18-PERALTE!$S$18)*(RASANTE!F213-PERALTE!$S$18)-2),IF(RASANTE!F213&lt;=PERALTE!$X$18,-8,IF(RASANTE!F213&lt;=PERALTE!$Z$18,(-6/(PERALTE!$X$18-PERALTE!$Z$18)*(RASANTE!F213-PERALTE!$Z$18)-2),IF(RASANTE!F213&lt;=PERALTE!$AB$18,-2))))),IF(AND(AH!$H$20="Derecha",RASANTE!F213&lt;=PERALTE!$AB$18),IF(RASANTE!F213&lt;=PERALTE!$Q$18,-2,IF(RASANTE!F213&lt;=PERALTE!$U$18,(10/(PERALTE!$U$18-PERALTE!$Q$18)*(RASANTE!F213-PERALTE!$Q$18)-2),IF(RASANTE!F213&lt;=PERALTE!$X$18,8,IF(RASANTE!F213&lt;=PERALTE!$AB$18,(10/(PERALTE!$X$18-PERALTE!$AB$18)*(RASANTE!F213-PERALTE!$AB$18)-2))))),IF(AND(AH!$H$24="Izquierda",RASANTE!F213&lt;=PERALTE!$AB$22),IF(RASANTE!F213&lt;=PERALTE!$S$22,-2,IF(RASANTE!F213&lt;=PERALTE!$U$22,(-6/(PERALTE!$U$22-PERALTE!$S$22)*(RASANTE!F213-PERALTE!$S$22)-2),IF(RASANTE!F213&lt;=PERALTE!$X$22,-8,IF(RASANTE!F213&lt;=PERALTE!$Z$22,(-6/(PERALTE!$X$22-PERALTE!$Z$22)*(RASANTE!F213-PERALTE!$Z$22)-2),IF(RASANTE!F213&lt;=PERALTE!$AB$22,-2))))),IF(AND(AH!$H$24="Derecha",RASANTE!F213&lt;=PERALTE!$AB$22),IF(RASANTE!F213&lt;=PERALTE!$Q$22,-2,IF(RASANTE!F213&lt;=PERALTE!$U$22,(10/(PERALTE!$U$22-PERALTE!$Q$22)*(RASANTE!F213-PERALTE!$Q$22)-2),IF(RASANTE!F213&lt;=PERALTE!$X$22,8,IF(RASANTE!F213&lt;=PERALTE!$AB$22,(10/(PERALTE!$X$22-PERALTE!$AB$22)*(RASANTE!F213-PERALTE!$AB$22)-2))))),IF(AND(AH!#REF!="Izquierda",RASANTE!F213&lt;=PERALTE!#REF!),IF(RASANTE!F213&lt;=PERALTE!#REF!,-2,IF(RASANTE!F213&lt;=PERALTE!#REF!,(-6/(PERALTE!#REF!-PERALTE!#REF!)*(RASANTE!F213-PERALTE!#REF!)-2),IF(RASANTE!F213&lt;=PERALTE!#REF!,-8,IF(RASANTE!F213&lt;=PERALTE!#REF!,(-6/(PERALTE!#REF!-PERALTE!#REF!)*(RASANTE!F213-PERALTE!#REF!)-2),IF(RASANTE!F213&lt;=PERALTE!#REF!,-2))))),IF(AND(AH!#REF!="Derecha",RASANTE!F213&lt;=PERALTE!#REF!),IF(RASANTE!F213&lt;=PERALTE!#REF!,-2,IF(RASANTE!F213&lt;=PERALTE!#REF!,(10/(PERALTE!#REF!-PERALTE!#REF!)*(RASANTE!F213-PERALTE!#REF!)-2),IF(RASANTE!F213&lt;=PERALTE!#REF!,8,IF(RASANTE!F213&lt;=PERALTE!#REF!,(10/(PERALTE!#REF!-PERALTE!#REF!)*(RASANTE!F213-PERALTE!#REF!)-2))))),IF(AND(AH!#REF!="Izquierda",RASANTE!F213&lt;=PERALTE!$AB$26),IF(RASANTE!F213&lt;=PERALTE!$S$26,-2,IF(RASANTE!F213&lt;=PERALTE!$U$26,(-6/(PERALTE!$U$26-PERALTE!$S$26)*(RASANTE!F213-PERALTE!$S$26)-2),IF(RASANTE!F213&lt;=PERALTE!$X$26,-8,IF(RASANTE!F213&lt;=PERALTE!$Z$26,(-6/(PERALTE!$X$26-PERALTE!$Z$26)*(RASANTE!F213-PERALTE!$Z$26)-2),IF(RASANTE!F213&lt;=PERALTE!$AB$26,-2))))),IF(AND(AH!#REF!="Derecha",RASANTE!F213&lt;=PERALTE!$AB$26),IF(RASANTE!F213&lt;=PERALTE!$Q$26,-2,IF(RASANTE!F213&lt;=PERALTE!$U$26,(10/(PERALTE!$U$26-PERALTE!$Q$26)*(RASANTE!F213-PERALTE!$Q$26)-2),IF(RASANTE!F213&lt;=PERALTE!$X$26,8,IF(RASANTE!F213&lt;=PERALTE!$AB$26,(10/(PERALTE!$X$26-PERALTE!$AB$26)*(RASANTE!F213-PERALTE!$AB$26)-2))))),IF(F213&lt;=PERALTE!#REF!,-2,"Abscisa fuera de la vía")))))))))))))))))))))</f>
        <v>0.63182623619632672</v>
      </c>
      <c r="I213" s="28">
        <f>+IF(AND(AH!$H$8="Derecha",RASANTE!F213&lt;=PERALTE!$AB$6),IF(RASANTE!F213&lt;=PERALTE!$S$6,-2,IF(RASANTE!F213&lt;=PERALTE!$U$6,(-6/(PERALTE!$U$6-PERALTE!$S$6)*(RASANTE!F213-PERALTE!$S$6)-2),IF(RASANTE!F213&lt;=PERALTE!$X$6,-8,IF(RASANTE!F213&lt;=PERALTE!$Z$6,(-6/(PERALTE!$X$6-PERALTE!$Z$6)*(RASANTE!F213-PERALTE!$Z$6)-2),IF(RASANTE!F213&lt;=PERALTE!$AB$6,-2))))),IF(AND(AH!$H$8="Izquierda",RASANTE!F213&lt;=PERALTE!$AB$6),IF(RASANTE!F213&lt;=PERALTE!$Q$6,-2,IF(RASANTE!F213&lt;=PERALTE!$U$6,(10/(PERALTE!$U$6-PERALTE!$Q$6)*(RASANTE!F213-PERALTE!$Q$6)-2),IF(RASANTE!F213&lt;=PERALTE!$X$6,8,IF(RASANTE!F213&lt;=PERALTE!$AB$6,(10/(PERALTE!$X$6-PERALTE!$AB$6)*(RASANTE!F213-PERALTE!$AB$6)-2))))),IF(AND(AH!$H$10="Derecha",RASANTE!F213&lt;=PERALTE!$AB$8),IF(RASANTE!F213&lt;=PERALTE!$S$8,-2,IF(RASANTE!F213&lt;=PERALTE!$U$8,(-6/(PERALTE!$U$8-PERALTE!$S$8)*(RASANTE!F213-PERALTE!$S$8)-2),IF(RASANTE!F213&lt;=PERALTE!$X$8,-8,IF(RASANTE!F213&lt;=PERALTE!$Z$8,(-6/(PERALTE!$X$8-PERALTE!$Z$8)*(RASANTE!F213-PERALTE!$Z$8)-2),IF(RASANTE!F213&lt;=PERALTE!$AB$8,-2))))),IF(AND(AH!$H$10="Izquierda",RASANTE!F213&lt;=PERALTE!$AB$8),IF(RASANTE!F213&lt;=PERALTE!$Q$8,-2,IF(RASANTE!F213&lt;=PERALTE!$U$8,(10/(PERALTE!$U$8-PERALTE!$Q$8)*(RASANTE!F213-PERALTE!$Q$8)-2),IF(RASANTE!F213&lt;=PERALTE!$X$8,8,IF(RASANTE!F213&lt;=PERALTE!$AB$8,(10/(PERALTE!$X$8-PERALTE!$AB$8)*(RASANTE!F213-PERALTE!$AB$8)-2))))),IF(AND(AH!$H$12="Derecha",RASANTE!F213&lt;=PERALTE!$AB$10),IF(RASANTE!F213&lt;=PERALTE!$S$10,-2,IF(RASANTE!F213&lt;=PERALTE!$U$10,(-6/(PERALTE!$U$10-PERALTE!$S$10)*(RASANTE!F213-PERALTE!$S$10)-2),IF(RASANTE!F213&lt;=PERALTE!$X$10,-8,IF(RASANTE!F213&lt;=PERALTE!$Z$10,(-6/(PERALTE!$X$10-PERALTE!$Z$10)*(RASANTE!F213-PERALTE!$Z$10)-2),IF(RASANTE!F213&lt;=PERALTE!$AB$10,-2))))),IF(AND(AH!$H$12="Izquierda",RASANTE!F213&lt;=PERALTE!$AB$10),IF(RASANTE!F213&lt;=PERALTE!$Q$10,-2,IF(RASANTE!F213&lt;=PERALTE!$U$10,(10/(PERALTE!$U$10-PERALTE!$Q$10)*(RASANTE!F213-PERALTE!$Q$10)-2),IF(RASANTE!F213&lt;=PERALTE!$X$10,8,IF(RASANTE!F213&lt;=PERALTE!$AB$10,(10/(PERALTE!$X$10-PERALTE!$AB$10)*(RASANTE!F213-PERALTE!$AB$10)-2))))),IF(AND(AH!$H$14="Derecha",RASANTE!F213&lt;=PERALTE!$AB$12),IF(RASANTE!F213&lt;=PERALTE!$S$12,-2,IF(RASANTE!F213&lt;=PERALTE!$U$12,(-6/(PERALTE!$U$12-PERALTE!$S$12)*(RASANTE!F213-PERALTE!$S$12)-2),IF(RASANTE!F213&lt;=PERALTE!$X$12,-8,IF(RASANTE!F213&lt;=PERALTE!$Z$12,(-6/(PERALTE!$X$12-PERALTE!$Z$12)*(RASANTE!F213-PERALTE!$Z$12)-2),IF(RASANTE!F213&lt;=PERALTE!$AB$12,-2))))),IF(AND(AH!$H$14="Izquierda",RASANTE!F213&lt;=PERALTE!$AB$12),IF(RASANTE!F213&lt;=PERALTE!$Q$12,-2,IF(RASANTE!F213&lt;=PERALTE!$U$12,(10/(PERALTE!$U$12-PERALTE!$Q$12)*(RASANTE!F213-PERALTE!$Q$12)-2),IF(RASANTE!F213&lt;=PERALTE!$X$12,8,IF(RASANTE!F213&lt;=PERALTE!$AB$12,(10/(PERALTE!$X$12-PERALTE!$AB$12)*(RASANTE!F213-PERALTE!$AB$12)-2))))),IF(AND(AH!$H$16="Derecha",RASANTE!F213&lt;=PERALTE!$AB$14),IF(RASANTE!F213&lt;=PERALTE!$S$14,-2,IF(RASANTE!F213&lt;=PERALTE!$U$14,(-6/(PERALTE!$U$14-PERALTE!$S$14)*(RASANTE!F213-PERALTE!$S$14)-2),IF(RASANTE!F213&lt;=PERALTE!$X$14,-8,IF(RASANTE!F213&lt;=PERALTE!$Z$14,(-6/(PERALTE!$X$14-PERALTE!$Z$14)*(RASANTE!F213-PERALTE!$Z$14)-2),IF(RASANTE!F213&lt;=PERALTE!$AB$14,-2))))),IF(AND(AH!$H$16="Izquierda",RASANTE!F213&lt;=PERALTE!$AB$14),IF(RASANTE!F213&lt;=PERALTE!$Q$14,-2,IF(RASANTE!F213&lt;=PERALTE!$U$14,(10/(PERALTE!$U$14-PERALTE!$Q$14)*(RASANTE!F213-PERALTE!$Q$14)-2),IF(RASANTE!F213&lt;=PERALTE!$X$14,8,IF(RASANTE!F213&lt;=PERALTE!$AB$14,(10/(PERALTE!$X$14-PERALTE!$AB$14)*(RASANTE!F213-PERALTE!$AB$14)-2))))),IF(AND(AH!$H$18="Derecha",RASANTE!F213&lt;=PERALTE!$AB$16),IF(RASANTE!F213&lt;=PERALTE!$S$16,-2,IF(RASANTE!F213&lt;=PERALTE!$U$16,(-6/(PERALTE!$U$16-PERALTE!$S$16)*(RASANTE!F213-PERALTE!$S$16)-2),IF(RASANTE!F213&lt;=PERALTE!$X$16,-8,IF(RASANTE!F213&lt;=PERALTE!$Z$16,(-6/(PERALTE!$X$16-PERALTE!$Z$16)*(RASANTE!F213-PERALTE!$Z$16)-2),IF(RASANTE!F213&lt;=PERALTE!$AB$16,-2))))),IF(AND(AH!$H$18="Izquierda",RASANTE!F213&lt;=PERALTE!$AB$16),IF(RASANTE!F213&lt;=PERALTE!$Q$16,-2,IF(RASANTE!F213&lt;=PERALTE!$U$16,(10/(PERALTE!$U$16-PERALTE!$Q$16)*(RASANTE!F213-PERALTE!$Q$16)-2),IF(RASANTE!F213&lt;=PERALTE!$X$16,8,IF(RASANTE!F213&lt;=PERALTE!$AB$16,(10/(PERALTE!$X$16-PERALTE!$AB$16)*(RASANTE!F213-PERALTE!$AB$16)-2))))),IF(AND(AH!$H$20="Derecha",RASANTE!F213&lt;=PERALTE!$AB$18),IF(RASANTE!F213&lt;=PERALTE!$S$18,-2,IF(RASANTE!F213&lt;=PERALTE!$U$18,(-6/(PERALTE!$U$18-PERALTE!$S$18)*(RASANTE!F213-PERALTE!$S$18)-2),IF(RASANTE!F213&lt;=PERALTE!$X$18,-8,IF(RASANTE!F213&lt;=PERALTE!$Z$18,(-6/(PERALTE!$X$18-PERALTE!$Z$18)*(RASANTE!F213-PERALTE!$Z$18)-2),IF(RASANTE!F213&lt;=PERALTE!$AB$18,-2))))),IF(AND(AH!$H$20="Izquierda",RASANTE!F213&lt;=PERALTE!$AB$18),IF(RASANTE!F213&lt;=PERALTE!$Q$18,-2,IF(RASANTE!F213&lt;=PERALTE!$U$18,(10/(PERALTE!$U$18-PERALTE!$Q$18)*(RASANTE!F213-PERALTE!$Q$18)-2),IF(RASANTE!F213&lt;=PERALTE!$X$18,8,IF(RASANTE!F213&lt;=PERALTE!$AB$18,(10/(PERALTE!$X$18-PERALTE!$AB$18)*(RASANTE!F213-PERALTE!$AB$18)-2))))),IF(AND(AH!$H$24="Derecha",RASANTE!F213&lt;=PERALTE!$AB$22),IF(RASANTE!F213&lt;=PERALTE!$S$22,-2,IF(RASANTE!F213&lt;=PERALTE!$U$22,(-6/(PERALTE!$U$22-PERALTE!$S$22)*(RASANTE!F213-PERALTE!$S$22)-2),IF(RASANTE!F213&lt;=PERALTE!$X$22,-8,IF(RASANTE!F213&lt;=PERALTE!$Z$22,(-6/(PERALTE!$X$22-PERALTE!$Z$22)*(RASANTE!F213-PERALTE!$Z$22)-2),IF(RASANTE!F213&lt;=PERALTE!$AB$22,-2))))),IF(AND(AH!$H$24="Izquierda",RASANTE!F213&lt;=PERALTE!$AB$22),IF(RASANTE!F213&lt;=PERALTE!$Q$22,-2,IF(RASANTE!F213&lt;=PERALTE!$U$22,(10/(PERALTE!$U$22-PERALTE!$Q$22)*(RASANTE!F213-PERALTE!$Q$22)-2),IF(RASANTE!F213&lt;=PERALTE!$X$22,8,IF(RASANTE!F213&lt;=PERALTE!$AB$22,(10/(PERALTE!$X$22-PERALTE!$AB$22)*(RASANTE!F213-PERALTE!$AB$22)-2))))),IF(AND(AH!#REF!="Derecha",RASANTE!F213&lt;=PERALTE!#REF!),IF(RASANTE!F213&lt;=PERALTE!#REF!,-2,IF(RASANTE!F213&lt;=PERALTE!#REF!,(-6/(PERALTE!#REF!-PERALTE!#REF!)*(RASANTE!F213-PERALTE!#REF!)-2),IF(RASANTE!F213&lt;=PERALTE!#REF!,-8,IF(RASANTE!F213&lt;=PERALTE!#REF!,(-6/(PERALTE!#REF!-PERALTE!#REF!)*(RASANTE!F213-PERALTE!#REF!)-2),IF(RASANTE!F213&lt;=PERALTE!#REF!,-2))))),IF(AND(AH!#REF!="Izquierda",RASANTE!F213&lt;=PERALTE!#REF!),IF(RASANTE!F213&lt;=PERALTE!#REF!,-2,IF(RASANTE!F213&lt;=PERALTE!#REF!,(10/(PERALTE!#REF!-PERALTE!#REF!)*(RASANTE!F213-PERALTE!#REF!)-2),IF(RASANTE!F213&lt;=PERALTE!#REF!,8,IF(RASANTE!F213&lt;=PERALTE!#REF!,(10/(PERALTE!#REF!-PERALTE!#REF!)*(RASANTE!F213-PERALTE!#REF!)-2))))),IF(AND(AH!#REF!="Derecha",RASANTE!F213&lt;=PERALTE!$AB$26),IF(RASANTE!F213&lt;=PERALTE!$S$26,-2,IF(RASANTE!F213&lt;=PERALTE!$U$26,(-6/(PERALTE!$U$26-PERALTE!$S$26)*(RASANTE!F213-PERALTE!$S$26)-2),IF(RASANTE!F213&lt;=PERALTE!$X$26,-8,IF(RASANTE!F213&lt;=PERALTE!$Z$26,(-6/(PERALTE!$X$26-PERALTE!$Z$26)*(RASANTE!F213-PERALTE!$Z$26)-2),IF(RASANTE!F213&lt;=PERALTE!$AB$26,-2))))),IF(AND(AH!#REF!="Izquierda",RASANTE!F213&lt;=PERALTE!$AB$26),IF(RASANTE!F213&lt;=PERALTE!$Q$26,-2,IF(RASANTE!F213&lt;=PERALTE!$U$26,(10/(PERALTE!$U$26-PERALTE!$Q$26)*(RASANTE!F213-PERALTE!$Q$26)-2),IF(RASANTE!F213&lt;=PERALTE!$X$26,8,IF(RASANTE!F213&lt;=PERALTE!$AB$26,(10/(PERALTE!$X$26-PERALTE!$AB$26)*(RASANTE!F213-PERALTE!$AB$26)-2))))),IF(F213&lt;=PERALTE!#REF!,-2,"Abscisa fuera de la vía")))))))))))))))))))))</f>
        <v>-2</v>
      </c>
      <c r="J213" s="28">
        <f t="shared" si="11"/>
        <v>1628.0329284648983</v>
      </c>
      <c r="K213" s="28">
        <f>+IF(AND(AV!$S$6&lt;F213,F213&lt;=AV!$T$6),AV!$P$6*((AV!$S$6-RASANTE!F213)/(AV!$N$6))^2,IF(AND(AV!$T$6&lt;RASANTE!F213,F213&lt;AV!$U$6),AV!$P$6*((AV!$U$6-RASANTE!F213)/(AV!$O$6))^2,IF(AND(AV!$S$8&lt;F213,F213&lt;=AV!$T$8),AV!$P$8*((AV!$S$8-RASANTE!F213)/(AV!$N$8))^2,IF(AND(AV!$T$8&lt;RASANTE!F213,F213&lt;AV!$U$8),AV!$P$8*((AV!$U$8-RASANTE!F213)/(AV!$O$8))^2,IF(AND(AV!$S$10&lt;F213,F213&lt;=AV!$T$10),AV!$P$10*((AV!$S$10-RASANTE!F213)/(AV!$N$10))^2,IF(AND(AV!$T$10&lt;RASANTE!F213,F213&lt;AV!$U$10),AV!$P$10*((AV!$U$10-RASANTE!F213)/(AV!$O$10))^2,IF(AND(AV!$S$12&lt;F213,F213&lt;=AV!$T$12),AV!$P$12*((AV!$S$12-RASANTE!F213)/(AV!$N$12))^2,IF(AND(AV!$T$12&lt;RASANTE!F213,F213&lt;AV!$U$12),AV!$P$12*((AV!$U$12-RASANTE!F213)/(AV!$O$12))^2,IF(AND(AV!$S$14&lt;F213,F213&lt;=AV!$T$14),AV!$P$14*((AV!$S$14-RASANTE!F213)/(AV!$N$14))^2,IF(AND(AV!$T$14&lt;RASANTE!F213,F213&lt;AV!$U$14),AV!$P$14*((AV!$U$14-RASANTE!F213)/(AV!$O$14))^2,IF(AND(AV!$S$16&lt;F213,F213&lt;=AV!$T$16),AV!$P$16*((AV!$S$16-RASANTE!F213)/(AV!$N$16))^2,IF(AND(AV!$T$16&lt;RASANTE!F213,F213&lt;AV!$U$16),AV!$P$16*((AV!$U$16-RASANTE!F213)/(AV!$O$16))^2,IF(AND(AV!$S$18&lt;F213,F213&lt;=AV!$T$18),AV!$P$18*((AV!$S$18-RASANTE!F213)/(AV!$N$18))^2,IF(AND(AV!$T$18&lt;RASANTE!F213,F213&lt;AV!$U$18),AV!$P$18*((AV!$U$18-RASANTE!F213)/(AV!$O$18))^2,IF(AND(AV!$S$20&lt;F213,F213&lt;=AV!$T$20),AV!$P$20*((AV!$S$20-RASANTE!F213)/(AV!$N$20))^2,IF(AND(AV!$T$20&lt;RASANTE!F213,F213&lt;AV!$U$20),AV!$P$20*((AV!$U$20-RASANTE!F213)/(AV!$O$20))^2,IF(AND(AV!$S$22&lt;F213,F213&lt;=AV!$T$22),AV!$P$22*((AV!$S$22-RASANTE!F213)/(AV!$N$22))^2,IF(AND(AV!$T$22&lt;RASANTE!F213,F213&lt;AV!$U$22),AV!$P$22*((AV!$U$22-RASANTE!F213)/(AV!$O$22))^2,IF(AND(AV!$S$24&lt;F213,F213&lt;=AV!$T$24),AV!$P$24*((AV!$S$24-RASANTE!F213)/(AV!$N$24))^2,IF(AND(AV!$T$24&lt;RASANTE!F213,F213&lt;AV!$U$24),AV!$P$24*((AV!$U$24-RASANTE!F213)/(AV!$O$24))^2,0))))))))))))))))))))</f>
        <v>0</v>
      </c>
      <c r="L213" s="28">
        <f>+M213+H213%*PERALTE!$C$32</f>
        <v>1628.0550423831651</v>
      </c>
      <c r="M213" s="28">
        <f t="shared" si="7"/>
        <v>1628.0329284648983</v>
      </c>
      <c r="N213" s="28">
        <f>+M213+I213%*PERALTE!$C$32</f>
        <v>1627.9629284648984</v>
      </c>
      <c r="O213" s="92"/>
      <c r="P213" s="84"/>
      <c r="Q213" s="84"/>
      <c r="R213" s="84"/>
      <c r="S213" s="84"/>
      <c r="T213" s="84"/>
      <c r="U213" s="84"/>
      <c r="V213" s="84"/>
      <c r="W213" s="84"/>
      <c r="X213" s="84"/>
      <c r="Y213" s="84"/>
    </row>
    <row r="214" spans="1:25" ht="15.75" customHeight="1" x14ac:dyDescent="0.2">
      <c r="A214" s="90" t="s">
        <v>360</v>
      </c>
      <c r="B214" s="86"/>
      <c r="C214" s="86"/>
      <c r="D214" s="86"/>
      <c r="F214" s="34">
        <f>PERALTE!S16</f>
        <v>1316.2189716536529</v>
      </c>
      <c r="G214" s="88">
        <f>IF(F214&lt;=AV!$T$6,AV!$C$5,IF(RASANTE!F214&lt;=AV!$T$8,AV!$C$7,IF(RASANTE!F214&lt;=AV!$T$10,AV!$C$9,IF(RASANTE!F214&lt;=AV!$T$12,AV!$C$11,IF(RASANTE!F214&lt;=AV!$T$14,AV!$C$13,IF(RASANTE!F214&lt;=AV!$T$16,AV!$C$15, IF(RASANTE!F214&lt;=AV!$T$18,AV!$C$17,IF(RASANTE!F214&lt;=AV!$T$20,AV!$C$19,IF(RASANTE!F214&lt;=AV!$T$22,AV!$C$21,IF(RASANTE!F214&lt;=AV!$T$24,AV!$C$23,AV!$C$25))))))))))</f>
        <v>2.8</v>
      </c>
      <c r="H214" s="28">
        <f>+IF(AND(AH!$H$8="Izquierda",RASANTE!F214&lt;=PERALTE!$AB$6),IF(RASANTE!F214&lt;=PERALTE!$S$6,-2,IF(RASANTE!F214&lt;=PERALTE!$U$6,(-6/(PERALTE!$U$6-PERALTE!$S$6)*(RASANTE!F214-PERALTE!$S$6)-2),IF(RASANTE!F214&lt;=PERALTE!$X$6,-8,IF(RASANTE!F214&lt;=PERALTE!$Z$6,(-6/(PERALTE!$X$6-PERALTE!$Z$6)*(RASANTE!F214-PERALTE!$Z$6)-2),IF(RASANTE!F214&lt;=PERALTE!$AB$6,-2))))),IF(AND(AH!$H$8="Derecha",RASANTE!F214&lt;=PERALTE!$AB$6),IF(RASANTE!F214&lt;=PERALTE!$Q$6,-2,IF(RASANTE!F214&lt;=PERALTE!$U$6,(10/(PERALTE!$U$6-PERALTE!$Q$6)*(RASANTE!F214-PERALTE!$Q$6)-2),IF(RASANTE!F214&lt;=PERALTE!$X$6,8,IF(RASANTE!F214&lt;=PERALTE!$AB$6,(10/(PERALTE!$X$6-PERALTE!$AB$6)*(RASANTE!F214-PERALTE!$AB$6)-2))))),IF(AND(AH!$H$10="Izquierda",RASANTE!F214&lt;=PERALTE!$AB$8),IF(RASANTE!F214&lt;=PERALTE!$S$8,-2,IF(RASANTE!F214&lt;=PERALTE!$U$8,(-6/(PERALTE!$U$8-PERALTE!$S$8)*(RASANTE!F214-PERALTE!$S$8)-2),IF(RASANTE!F214&lt;=PERALTE!$X$8,-8,IF(RASANTE!F214&lt;=PERALTE!$Z$8,(-6/(PERALTE!$X$8-PERALTE!$Z$8)*(RASANTE!F214-PERALTE!$Z$8)-2),IF(RASANTE!F214&lt;=PERALTE!$AB$8,-2))))),IF(AND(AH!$H$10="Derecha",RASANTE!F214&lt;=PERALTE!$AB$8),IF(RASANTE!F214&lt;=PERALTE!$Q$8,-2,IF(RASANTE!F214&lt;=PERALTE!$U$8,(10/(PERALTE!$U$8-PERALTE!$Q$8)*(RASANTE!F214-PERALTE!$Q$8)-2),IF(RASANTE!F214&lt;=PERALTE!$X$8,8,IF(RASANTE!F214&lt;=PERALTE!$AB$8,(10/(PERALTE!$X$8-PERALTE!$AB$8)*(RASANTE!F214-PERALTE!$AB$8)-2))))),IF(AND(AH!$H$12="Izquierda",RASANTE!F214&lt;=PERALTE!$AB$10),IF(RASANTE!F214&lt;=PERALTE!$S$10,-2,IF(RASANTE!F214&lt;=PERALTE!$U$10,(-6/(PERALTE!$U$10-PERALTE!$S$10)*(RASANTE!F214-PERALTE!$S$10)-2),IF(RASANTE!F214&lt;=PERALTE!$X$10,-8,IF(RASANTE!F214&lt;=PERALTE!$Z$10,(-6/(PERALTE!$X$10-PERALTE!$Z$10)*(RASANTE!F214-PERALTE!$Z$10)-2),IF(RASANTE!F214&lt;=PERALTE!$AB$10,-2))))),IF(AND(AH!$H$12="Derecha",RASANTE!F214&lt;=PERALTE!$AB$10),IF(RASANTE!F214&lt;=PERALTE!$Q$10,-2,IF(RASANTE!F214&lt;=PERALTE!$U$10,(10/(PERALTE!$U$10-PERALTE!$Q$10)*(RASANTE!F214-PERALTE!$Q$10)-2),IF(RASANTE!F214&lt;=PERALTE!$X$10,8,IF(RASANTE!F214&lt;=PERALTE!$AB$10,(10/(PERALTE!$X$10-PERALTE!$AB$10)*(RASANTE!F214-PERALTE!$AB$10)-2))))),IF(AND(AH!$H$14="Izquierda",RASANTE!F214&lt;=PERALTE!$AB$12),IF(RASANTE!F214&lt;=PERALTE!$S$12,-2,IF(RASANTE!F214&lt;=PERALTE!$U$12,(-6/(PERALTE!$U$12-PERALTE!$S$12)*(RASANTE!F214-PERALTE!$S$12)-2),IF(RASANTE!F214&lt;=PERALTE!$X$12,-8,IF(RASANTE!F214&lt;=PERALTE!$Z$12,(-6/(PERALTE!$X$12-PERALTE!$Z$12)*(RASANTE!F214-PERALTE!$Z$12)-2),IF(RASANTE!F214&lt;=PERALTE!$AB$12,-2))))),IF(AND(AH!$H$14="Derecha",RASANTE!F214&lt;=PERALTE!$AB$12),IF(RASANTE!F214&lt;=PERALTE!$Q$12,-2,IF(RASANTE!F214&lt;=PERALTE!$U$12,(10/(PERALTE!$U$12-PERALTE!$Q$12)*(RASANTE!F214-PERALTE!$Q$12)-2),IF(RASANTE!F214&lt;=PERALTE!$X$12,8,IF(RASANTE!F214&lt;=PERALTE!$AB$12,(10/(PERALTE!$X$12-PERALTE!$AB$12)*(RASANTE!F214-PERALTE!$AB$12)-2))))),IF(AND(AH!$H$16="Izquierda",RASANTE!F214&lt;=PERALTE!$AB$14),IF(RASANTE!F214&lt;=PERALTE!$S$14,-2,IF(RASANTE!F214&lt;=PERALTE!$U$14,(-6/(PERALTE!$U$14-PERALTE!$S$14)*(RASANTE!F214-PERALTE!$S$14)-2),IF(RASANTE!F214&lt;=PERALTE!$X$14,-8,IF(RASANTE!F214&lt;=PERALTE!$Z$14,(-6/(PERALTE!$X$14-PERALTE!$Z$14)*(RASANTE!F214-PERALTE!$Z$14)-2),IF(RASANTE!F214&lt;=PERALTE!$AB$14,-2))))),IF(AND(AH!$H$16="Derecha",RASANTE!F214&lt;=PERALTE!$AB$14),IF(RASANTE!F214&lt;=PERALTE!$Q$14,-2,IF(RASANTE!F214&lt;=PERALTE!$U$14,(10/(PERALTE!$U$14-PERALTE!$Q$14)*(RASANTE!F214-PERALTE!$Q$14)-2),IF(RASANTE!F214&lt;=PERALTE!$X$14,8,IF(RASANTE!F214&lt;=PERALTE!$AB$14,(10/(PERALTE!$X$14-PERALTE!$AB$14)*(RASANTE!F214-PERALTE!$AB$14)-2))))),IF(AND(AH!$H$18="Izquierda",RASANTE!F214&lt;=PERALTE!$AB$16),IF(RASANTE!F214&lt;=PERALTE!$S$16,-2,IF(RASANTE!F214&lt;=PERALTE!$U$16,(-6/(PERALTE!$U$16-PERALTE!$S$16)*(RASANTE!F214-PERALTE!$S$16)-2),IF(RASANTE!F214&lt;=PERALTE!$X$16,-8,IF(RASANTE!F214&lt;=PERALTE!$Z$16,(-6/(PERALTE!$X$16-PERALTE!$Z$16)*(RASANTE!F214-PERALTE!$Z$16)-2),IF(RASANTE!F214&lt;=PERALTE!$AB$16,-2))))),IF(AND(AH!$H$18="Derecha",RASANTE!F214&lt;=PERALTE!$AB$16),IF(RASANTE!F214&lt;=PERALTE!$Q$16,-2,IF(RASANTE!F214&lt;=PERALTE!$U$16,(10/(PERALTE!$U$16-PERALTE!$Q$16)*(RASANTE!F214-PERALTE!$Q$16)-2),IF(RASANTE!F214&lt;=PERALTE!$X$16,8,IF(RASANTE!F214&lt;=PERALTE!$AB$16,(10/(PERALTE!$X$16-PERALTE!$AB$16)*(RASANTE!F214-PERALTE!$AB$16)-2))))),IF(AND(AH!$H$20="Izquierda",RASANTE!F214&lt;=PERALTE!$AB$18),IF(RASANTE!F214&lt;=PERALTE!$S$18,-2,IF(RASANTE!F214&lt;=PERALTE!$U$18,(-6/(PERALTE!$U$18-PERALTE!$S$18)*(RASANTE!F214-PERALTE!$S$18)-2),IF(RASANTE!F214&lt;=PERALTE!$X$18,-8,IF(RASANTE!F214&lt;=PERALTE!$Z$18,(-6/(PERALTE!$X$18-PERALTE!$Z$18)*(RASANTE!F214-PERALTE!$Z$18)-2),IF(RASANTE!F214&lt;=PERALTE!$AB$18,-2))))),IF(AND(AH!$H$20="Derecha",RASANTE!F214&lt;=PERALTE!$AB$18),IF(RASANTE!F214&lt;=PERALTE!$Q$18,-2,IF(RASANTE!F214&lt;=PERALTE!$U$18,(10/(PERALTE!$U$18-PERALTE!$Q$18)*(RASANTE!F214-PERALTE!$Q$18)-2),IF(RASANTE!F214&lt;=PERALTE!$X$18,8,IF(RASANTE!F214&lt;=PERALTE!$AB$18,(10/(PERALTE!$X$18-PERALTE!$AB$18)*(RASANTE!F214-PERALTE!$AB$18)-2))))),IF(AND(AH!$H$24="Izquierda",RASANTE!F214&lt;=PERALTE!$AB$22),IF(RASANTE!F214&lt;=PERALTE!$S$22,-2,IF(RASANTE!F214&lt;=PERALTE!$U$22,(-6/(PERALTE!$U$22-PERALTE!$S$22)*(RASANTE!F214-PERALTE!$S$22)-2),IF(RASANTE!F214&lt;=PERALTE!$X$22,-8,IF(RASANTE!F214&lt;=PERALTE!$Z$22,(-6/(PERALTE!$X$22-PERALTE!$Z$22)*(RASANTE!F214-PERALTE!$Z$22)-2),IF(RASANTE!F214&lt;=PERALTE!$AB$22,-2))))),IF(AND(AH!$H$24="Derecha",RASANTE!F214&lt;=PERALTE!$AB$22),IF(RASANTE!F214&lt;=PERALTE!$Q$22,-2,IF(RASANTE!F214&lt;=PERALTE!$U$22,(10/(PERALTE!$U$22-PERALTE!$Q$22)*(RASANTE!F214-PERALTE!$Q$22)-2),IF(RASANTE!F214&lt;=PERALTE!$X$22,8,IF(RASANTE!F214&lt;=PERALTE!$AB$22,(10/(PERALTE!$X$22-PERALTE!$AB$22)*(RASANTE!F214-PERALTE!$AB$22)-2))))),IF(AND(AH!#REF!="Izquierda",RASANTE!F214&lt;=PERALTE!#REF!),IF(RASANTE!F214&lt;=PERALTE!#REF!,-2,IF(RASANTE!F214&lt;=PERALTE!#REF!,(-6/(PERALTE!#REF!-PERALTE!#REF!)*(RASANTE!F214-PERALTE!#REF!)-2),IF(RASANTE!F214&lt;=PERALTE!#REF!,-8,IF(RASANTE!F214&lt;=PERALTE!#REF!,(-6/(PERALTE!#REF!-PERALTE!#REF!)*(RASANTE!F214-PERALTE!#REF!)-2),IF(RASANTE!F214&lt;=PERALTE!#REF!,-2))))),IF(AND(AH!#REF!="Derecha",RASANTE!F214&lt;=PERALTE!#REF!),IF(RASANTE!F214&lt;=PERALTE!#REF!,-2,IF(RASANTE!F214&lt;=PERALTE!#REF!,(10/(PERALTE!#REF!-PERALTE!#REF!)*(RASANTE!F214-PERALTE!#REF!)-2),IF(RASANTE!F214&lt;=PERALTE!#REF!,8,IF(RASANTE!F214&lt;=PERALTE!#REF!,(10/(PERALTE!#REF!-PERALTE!#REF!)*(RASANTE!F214-PERALTE!#REF!)-2))))),IF(AND(AH!#REF!="Izquierda",RASANTE!F214&lt;=PERALTE!$AB$26),IF(RASANTE!F214&lt;=PERALTE!$S$26,-2,IF(RASANTE!F214&lt;=PERALTE!$U$26,(-6/(PERALTE!$U$26-PERALTE!$S$26)*(RASANTE!F214-PERALTE!$S$26)-2),IF(RASANTE!F214&lt;=PERALTE!$X$26,-8,IF(RASANTE!F214&lt;=PERALTE!$Z$26,(-6/(PERALTE!$X$26-PERALTE!$Z$26)*(RASANTE!F214-PERALTE!$Z$26)-2),IF(RASANTE!F214&lt;=PERALTE!$AB$26,-2))))),IF(AND(AH!#REF!="Derecha",RASANTE!F214&lt;=PERALTE!$AB$26),IF(RASANTE!F214&lt;=PERALTE!$Q$26,-2,IF(RASANTE!F214&lt;=PERALTE!$U$26,(10/(PERALTE!$U$26-PERALTE!$Q$26)*(RASANTE!F214-PERALTE!$Q$26)-2),IF(RASANTE!F214&lt;=PERALTE!$X$26,8,IF(RASANTE!F214&lt;=PERALTE!$AB$26,(10/(PERALTE!$X$26-PERALTE!$AB$26)*(RASANTE!F214-PERALTE!$AB$26)-2))))),IF(F214&lt;=PERALTE!#REF!,-2,"Abscisa fuera de la vía")))))))))))))))))))))</f>
        <v>1.9999999999999796</v>
      </c>
      <c r="I214" s="28">
        <f>+IF(AND(AH!$H$8="Derecha",RASANTE!F214&lt;=PERALTE!$AB$6),IF(RASANTE!F214&lt;=PERALTE!$S$6,-2,IF(RASANTE!F214&lt;=PERALTE!$U$6,(-6/(PERALTE!$U$6-PERALTE!$S$6)*(RASANTE!F214-PERALTE!$S$6)-2),IF(RASANTE!F214&lt;=PERALTE!$X$6,-8,IF(RASANTE!F214&lt;=PERALTE!$Z$6,(-6/(PERALTE!$X$6-PERALTE!$Z$6)*(RASANTE!F214-PERALTE!$Z$6)-2),IF(RASANTE!F214&lt;=PERALTE!$AB$6,-2))))),IF(AND(AH!$H$8="Izquierda",RASANTE!F214&lt;=PERALTE!$AB$6),IF(RASANTE!F214&lt;=PERALTE!$Q$6,-2,IF(RASANTE!F214&lt;=PERALTE!$U$6,(10/(PERALTE!$U$6-PERALTE!$Q$6)*(RASANTE!F214-PERALTE!$Q$6)-2),IF(RASANTE!F214&lt;=PERALTE!$X$6,8,IF(RASANTE!F214&lt;=PERALTE!$AB$6,(10/(PERALTE!$X$6-PERALTE!$AB$6)*(RASANTE!F214-PERALTE!$AB$6)-2))))),IF(AND(AH!$H$10="Derecha",RASANTE!F214&lt;=PERALTE!$AB$8),IF(RASANTE!F214&lt;=PERALTE!$S$8,-2,IF(RASANTE!F214&lt;=PERALTE!$U$8,(-6/(PERALTE!$U$8-PERALTE!$S$8)*(RASANTE!F214-PERALTE!$S$8)-2),IF(RASANTE!F214&lt;=PERALTE!$X$8,-8,IF(RASANTE!F214&lt;=PERALTE!$Z$8,(-6/(PERALTE!$X$8-PERALTE!$Z$8)*(RASANTE!F214-PERALTE!$Z$8)-2),IF(RASANTE!F214&lt;=PERALTE!$AB$8,-2))))),IF(AND(AH!$H$10="Izquierda",RASANTE!F214&lt;=PERALTE!$AB$8),IF(RASANTE!F214&lt;=PERALTE!$Q$8,-2,IF(RASANTE!F214&lt;=PERALTE!$U$8,(10/(PERALTE!$U$8-PERALTE!$Q$8)*(RASANTE!F214-PERALTE!$Q$8)-2),IF(RASANTE!F214&lt;=PERALTE!$X$8,8,IF(RASANTE!F214&lt;=PERALTE!$AB$8,(10/(PERALTE!$X$8-PERALTE!$AB$8)*(RASANTE!F214-PERALTE!$AB$8)-2))))),IF(AND(AH!$H$12="Derecha",RASANTE!F214&lt;=PERALTE!$AB$10),IF(RASANTE!F214&lt;=PERALTE!$S$10,-2,IF(RASANTE!F214&lt;=PERALTE!$U$10,(-6/(PERALTE!$U$10-PERALTE!$S$10)*(RASANTE!F214-PERALTE!$S$10)-2),IF(RASANTE!F214&lt;=PERALTE!$X$10,-8,IF(RASANTE!F214&lt;=PERALTE!$Z$10,(-6/(PERALTE!$X$10-PERALTE!$Z$10)*(RASANTE!F214-PERALTE!$Z$10)-2),IF(RASANTE!F214&lt;=PERALTE!$AB$10,-2))))),IF(AND(AH!$H$12="Izquierda",RASANTE!F214&lt;=PERALTE!$AB$10),IF(RASANTE!F214&lt;=PERALTE!$Q$10,-2,IF(RASANTE!F214&lt;=PERALTE!$U$10,(10/(PERALTE!$U$10-PERALTE!$Q$10)*(RASANTE!F214-PERALTE!$Q$10)-2),IF(RASANTE!F214&lt;=PERALTE!$X$10,8,IF(RASANTE!F214&lt;=PERALTE!$AB$10,(10/(PERALTE!$X$10-PERALTE!$AB$10)*(RASANTE!F214-PERALTE!$AB$10)-2))))),IF(AND(AH!$H$14="Derecha",RASANTE!F214&lt;=PERALTE!$AB$12),IF(RASANTE!F214&lt;=PERALTE!$S$12,-2,IF(RASANTE!F214&lt;=PERALTE!$U$12,(-6/(PERALTE!$U$12-PERALTE!$S$12)*(RASANTE!F214-PERALTE!$S$12)-2),IF(RASANTE!F214&lt;=PERALTE!$X$12,-8,IF(RASANTE!F214&lt;=PERALTE!$Z$12,(-6/(PERALTE!$X$12-PERALTE!$Z$12)*(RASANTE!F214-PERALTE!$Z$12)-2),IF(RASANTE!F214&lt;=PERALTE!$AB$12,-2))))),IF(AND(AH!$H$14="Izquierda",RASANTE!F214&lt;=PERALTE!$AB$12),IF(RASANTE!F214&lt;=PERALTE!$Q$12,-2,IF(RASANTE!F214&lt;=PERALTE!$U$12,(10/(PERALTE!$U$12-PERALTE!$Q$12)*(RASANTE!F214-PERALTE!$Q$12)-2),IF(RASANTE!F214&lt;=PERALTE!$X$12,8,IF(RASANTE!F214&lt;=PERALTE!$AB$12,(10/(PERALTE!$X$12-PERALTE!$AB$12)*(RASANTE!F214-PERALTE!$AB$12)-2))))),IF(AND(AH!$H$16="Derecha",RASANTE!F214&lt;=PERALTE!$AB$14),IF(RASANTE!F214&lt;=PERALTE!$S$14,-2,IF(RASANTE!F214&lt;=PERALTE!$U$14,(-6/(PERALTE!$U$14-PERALTE!$S$14)*(RASANTE!F214-PERALTE!$S$14)-2),IF(RASANTE!F214&lt;=PERALTE!$X$14,-8,IF(RASANTE!F214&lt;=PERALTE!$Z$14,(-6/(PERALTE!$X$14-PERALTE!$Z$14)*(RASANTE!F214-PERALTE!$Z$14)-2),IF(RASANTE!F214&lt;=PERALTE!$AB$14,-2))))),IF(AND(AH!$H$16="Izquierda",RASANTE!F214&lt;=PERALTE!$AB$14),IF(RASANTE!F214&lt;=PERALTE!$Q$14,-2,IF(RASANTE!F214&lt;=PERALTE!$U$14,(10/(PERALTE!$U$14-PERALTE!$Q$14)*(RASANTE!F214-PERALTE!$Q$14)-2),IF(RASANTE!F214&lt;=PERALTE!$X$14,8,IF(RASANTE!F214&lt;=PERALTE!$AB$14,(10/(PERALTE!$X$14-PERALTE!$AB$14)*(RASANTE!F214-PERALTE!$AB$14)-2))))),IF(AND(AH!$H$18="Derecha",RASANTE!F214&lt;=PERALTE!$AB$16),IF(RASANTE!F214&lt;=PERALTE!$S$16,-2,IF(RASANTE!F214&lt;=PERALTE!$U$16,(-6/(PERALTE!$U$16-PERALTE!$S$16)*(RASANTE!F214-PERALTE!$S$16)-2),IF(RASANTE!F214&lt;=PERALTE!$X$16,-8,IF(RASANTE!F214&lt;=PERALTE!$Z$16,(-6/(PERALTE!$X$16-PERALTE!$Z$16)*(RASANTE!F214-PERALTE!$Z$16)-2),IF(RASANTE!F214&lt;=PERALTE!$AB$16,-2))))),IF(AND(AH!$H$18="Izquierda",RASANTE!F214&lt;=PERALTE!$AB$16),IF(RASANTE!F214&lt;=PERALTE!$Q$16,-2,IF(RASANTE!F214&lt;=PERALTE!$U$16,(10/(PERALTE!$U$16-PERALTE!$Q$16)*(RASANTE!F214-PERALTE!$Q$16)-2),IF(RASANTE!F214&lt;=PERALTE!$X$16,8,IF(RASANTE!F214&lt;=PERALTE!$AB$16,(10/(PERALTE!$X$16-PERALTE!$AB$16)*(RASANTE!F214-PERALTE!$AB$16)-2))))),IF(AND(AH!$H$20="Derecha",RASANTE!F214&lt;=PERALTE!$AB$18),IF(RASANTE!F214&lt;=PERALTE!$S$18,-2,IF(RASANTE!F214&lt;=PERALTE!$U$18,(-6/(PERALTE!$U$18-PERALTE!$S$18)*(RASANTE!F214-PERALTE!$S$18)-2),IF(RASANTE!F214&lt;=PERALTE!$X$18,-8,IF(RASANTE!F214&lt;=PERALTE!$Z$18,(-6/(PERALTE!$X$18-PERALTE!$Z$18)*(RASANTE!F214-PERALTE!$Z$18)-2),IF(RASANTE!F214&lt;=PERALTE!$AB$18,-2))))),IF(AND(AH!$H$20="Izquierda",RASANTE!F214&lt;=PERALTE!$AB$18),IF(RASANTE!F214&lt;=PERALTE!$Q$18,-2,IF(RASANTE!F214&lt;=PERALTE!$U$18,(10/(PERALTE!$U$18-PERALTE!$Q$18)*(RASANTE!F214-PERALTE!$Q$18)-2),IF(RASANTE!F214&lt;=PERALTE!$X$18,8,IF(RASANTE!F214&lt;=PERALTE!$AB$18,(10/(PERALTE!$X$18-PERALTE!$AB$18)*(RASANTE!F214-PERALTE!$AB$18)-2))))),IF(AND(AH!$H$24="Derecha",RASANTE!F214&lt;=PERALTE!$AB$22),IF(RASANTE!F214&lt;=PERALTE!$S$22,-2,IF(RASANTE!F214&lt;=PERALTE!$U$22,(-6/(PERALTE!$U$22-PERALTE!$S$22)*(RASANTE!F214-PERALTE!$S$22)-2),IF(RASANTE!F214&lt;=PERALTE!$X$22,-8,IF(RASANTE!F214&lt;=PERALTE!$Z$22,(-6/(PERALTE!$X$22-PERALTE!$Z$22)*(RASANTE!F214-PERALTE!$Z$22)-2),IF(RASANTE!F214&lt;=PERALTE!$AB$22,-2))))),IF(AND(AH!$H$24="Izquierda",RASANTE!F214&lt;=PERALTE!$AB$22),IF(RASANTE!F214&lt;=PERALTE!$Q$22,-2,IF(RASANTE!F214&lt;=PERALTE!$U$22,(10/(PERALTE!$U$22-PERALTE!$Q$22)*(RASANTE!F214-PERALTE!$Q$22)-2),IF(RASANTE!F214&lt;=PERALTE!$X$22,8,IF(RASANTE!F214&lt;=PERALTE!$AB$22,(10/(PERALTE!$X$22-PERALTE!$AB$22)*(RASANTE!F214-PERALTE!$AB$22)-2))))),IF(AND(AH!#REF!="Derecha",RASANTE!F214&lt;=PERALTE!#REF!),IF(RASANTE!F214&lt;=PERALTE!#REF!,-2,IF(RASANTE!F214&lt;=PERALTE!#REF!,(-6/(PERALTE!#REF!-PERALTE!#REF!)*(RASANTE!F214-PERALTE!#REF!)-2),IF(RASANTE!F214&lt;=PERALTE!#REF!,-8,IF(RASANTE!F214&lt;=PERALTE!#REF!,(-6/(PERALTE!#REF!-PERALTE!#REF!)*(RASANTE!F214-PERALTE!#REF!)-2),IF(RASANTE!F214&lt;=PERALTE!#REF!,-2))))),IF(AND(AH!#REF!="Izquierda",RASANTE!F214&lt;=PERALTE!#REF!),IF(RASANTE!F214&lt;=PERALTE!#REF!,-2,IF(RASANTE!F214&lt;=PERALTE!#REF!,(10/(PERALTE!#REF!-PERALTE!#REF!)*(RASANTE!F214-PERALTE!#REF!)-2),IF(RASANTE!F214&lt;=PERALTE!#REF!,8,IF(RASANTE!F214&lt;=PERALTE!#REF!,(10/(PERALTE!#REF!-PERALTE!#REF!)*(RASANTE!F214-PERALTE!#REF!)-2))))),IF(AND(AH!#REF!="Derecha",RASANTE!F214&lt;=PERALTE!$AB$26),IF(RASANTE!F214&lt;=PERALTE!$S$26,-2,IF(RASANTE!F214&lt;=PERALTE!$U$26,(-6/(PERALTE!$U$26-PERALTE!$S$26)*(RASANTE!F214-PERALTE!$S$26)-2),IF(RASANTE!F214&lt;=PERALTE!$X$26,-8,IF(RASANTE!F214&lt;=PERALTE!$Z$26,(-6/(PERALTE!$X$26-PERALTE!$Z$26)*(RASANTE!F214-PERALTE!$Z$26)-2),IF(RASANTE!F214&lt;=PERALTE!$AB$26,-2))))),IF(AND(AH!#REF!="Izquierda",RASANTE!F214&lt;=PERALTE!$AB$26),IF(RASANTE!F214&lt;=PERALTE!$Q$26,-2,IF(RASANTE!F214&lt;=PERALTE!$U$26,(10/(PERALTE!$U$26-PERALTE!$Q$26)*(RASANTE!F214-PERALTE!$Q$26)-2),IF(RASANTE!F214&lt;=PERALTE!$X$26,8,IF(RASANTE!F214&lt;=PERALTE!$AB$26,(10/(PERALTE!$X$26-PERALTE!$AB$26)*(RASANTE!F214-PERALTE!$AB$26)-2))))),IF(F214&lt;=PERALTE!#REF!,-2,"Abscisa fuera de la vía")))))))))))))))))))))</f>
        <v>-2</v>
      </c>
      <c r="J214" s="28">
        <f t="shared" si="11"/>
        <v>1628.2070596712006</v>
      </c>
      <c r="K214" s="28">
        <f>+IF(AND(AV!$S$6&lt;F214,F214&lt;=AV!$T$6),AV!$P$6*((AV!$S$6-RASANTE!F214)/(AV!$N$6))^2,IF(AND(AV!$T$6&lt;RASANTE!F214,F214&lt;AV!$U$6),AV!$P$6*((AV!$U$6-RASANTE!F214)/(AV!$O$6))^2,IF(AND(AV!$S$8&lt;F214,F214&lt;=AV!$T$8),AV!$P$8*((AV!$S$8-RASANTE!F214)/(AV!$N$8))^2,IF(AND(AV!$T$8&lt;RASANTE!F214,F214&lt;AV!$U$8),AV!$P$8*((AV!$U$8-RASANTE!F214)/(AV!$O$8))^2,IF(AND(AV!$S$10&lt;F214,F214&lt;=AV!$T$10),AV!$P$10*((AV!$S$10-RASANTE!F214)/(AV!$N$10))^2,IF(AND(AV!$T$10&lt;RASANTE!F214,F214&lt;AV!$U$10),AV!$P$10*((AV!$U$10-RASANTE!F214)/(AV!$O$10))^2,IF(AND(AV!$S$12&lt;F214,F214&lt;=AV!$T$12),AV!$P$12*((AV!$S$12-RASANTE!F214)/(AV!$N$12))^2,IF(AND(AV!$T$12&lt;RASANTE!F214,F214&lt;AV!$U$12),AV!$P$12*((AV!$U$12-RASANTE!F214)/(AV!$O$12))^2,IF(AND(AV!$S$14&lt;F214,F214&lt;=AV!$T$14),AV!$P$14*((AV!$S$14-RASANTE!F214)/(AV!$N$14))^2,IF(AND(AV!$T$14&lt;RASANTE!F214,F214&lt;AV!$U$14),AV!$P$14*((AV!$U$14-RASANTE!F214)/(AV!$O$14))^2,IF(AND(AV!$S$16&lt;F214,F214&lt;=AV!$T$16),AV!$P$16*((AV!$S$16-RASANTE!F214)/(AV!$N$16))^2,IF(AND(AV!$T$16&lt;RASANTE!F214,F214&lt;AV!$U$16),AV!$P$16*((AV!$U$16-RASANTE!F214)/(AV!$O$16))^2,IF(AND(AV!$S$18&lt;F214,F214&lt;=AV!$T$18),AV!$P$18*((AV!$S$18-RASANTE!F214)/(AV!$N$18))^2,IF(AND(AV!$T$18&lt;RASANTE!F214,F214&lt;AV!$U$18),AV!$P$18*((AV!$U$18-RASANTE!F214)/(AV!$O$18))^2,IF(AND(AV!$S$20&lt;F214,F214&lt;=AV!$T$20),AV!$P$20*((AV!$S$20-RASANTE!F214)/(AV!$N$20))^2,IF(AND(AV!$T$20&lt;RASANTE!F214,F214&lt;AV!$U$20),AV!$P$20*((AV!$U$20-RASANTE!F214)/(AV!$O$20))^2,IF(AND(AV!$S$22&lt;F214,F214&lt;=AV!$T$22),AV!$P$22*((AV!$S$22-RASANTE!F214)/(AV!$N$22))^2,IF(AND(AV!$T$22&lt;RASANTE!F214,F214&lt;AV!$U$22),AV!$P$22*((AV!$U$22-RASANTE!F214)/(AV!$O$22))^2,IF(AND(AV!$S$24&lt;F214,F214&lt;=AV!$T$24),AV!$P$24*((AV!$S$24-RASANTE!F214)/(AV!$N$24))^2,IF(AND(AV!$T$24&lt;RASANTE!F214,F214&lt;AV!$U$24),AV!$P$24*((AV!$U$24-RASANTE!F214)/(AV!$O$24))^2,0))))))))))))))))))))</f>
        <v>0</v>
      </c>
      <c r="L214" s="28">
        <f>+M214+H214%*PERALTE!$C$32</f>
        <v>1628.2770596712005</v>
      </c>
      <c r="M214" s="28">
        <f t="shared" si="7"/>
        <v>1628.2070596712006</v>
      </c>
      <c r="N214" s="28">
        <f>+M214+I214%*PERALTE!$C$32</f>
        <v>1628.1370596712006</v>
      </c>
      <c r="O214" s="92"/>
      <c r="P214" s="84"/>
      <c r="Q214" s="84"/>
      <c r="R214" s="84"/>
      <c r="S214" s="84"/>
      <c r="T214" s="84"/>
      <c r="U214" s="84"/>
      <c r="V214" s="84"/>
      <c r="W214" s="84"/>
      <c r="X214" s="84"/>
      <c r="Y214" s="84"/>
    </row>
    <row r="215" spans="1:25" ht="15.75" customHeight="1" x14ac:dyDescent="0.2">
      <c r="A215" s="90"/>
      <c r="E215" s="91"/>
      <c r="F215" s="34">
        <v>1320</v>
      </c>
      <c r="G215" s="88">
        <f>IF(F215&lt;=AV!$T$6,AV!$C$5,IF(RASANTE!F215&lt;=AV!$T$8,AV!$C$7,IF(RASANTE!F215&lt;=AV!$T$10,AV!$C$9,IF(RASANTE!F215&lt;=AV!$T$12,AV!$C$11,IF(RASANTE!F215&lt;=AV!$T$14,AV!$C$13,IF(RASANTE!F215&lt;=AV!$T$16,AV!$C$15, IF(RASANTE!F215&lt;=AV!$T$18,AV!$C$17,IF(RASANTE!F215&lt;=AV!$T$20,AV!$C$19,IF(RASANTE!F215&lt;=AV!$T$22,AV!$C$21,IF(RASANTE!F215&lt;=AV!$T$24,AV!$C$23,AV!$C$25))))))))))</f>
        <v>2.8</v>
      </c>
      <c r="H215" s="28">
        <f>+IF(AND(AH!$H$8="Izquierda",RASANTE!F215&lt;=PERALTE!$AB$6),IF(RASANTE!F215&lt;=PERALTE!$S$6,-2,IF(RASANTE!F215&lt;=PERALTE!$U$6,(-6/(PERALTE!$U$6-PERALTE!$S$6)*(RASANTE!F215-PERALTE!$S$6)-2),IF(RASANTE!F215&lt;=PERALTE!$X$6,-8,IF(RASANTE!F215&lt;=PERALTE!$Z$6,(-6/(PERALTE!$X$6-PERALTE!$Z$6)*(RASANTE!F215-PERALTE!$Z$6)-2),IF(RASANTE!F215&lt;=PERALTE!$AB$6,-2))))),IF(AND(AH!$H$8="Derecha",RASANTE!F215&lt;=PERALTE!$AB$6),IF(RASANTE!F215&lt;=PERALTE!$Q$6,-2,IF(RASANTE!F215&lt;=PERALTE!$U$6,(10/(PERALTE!$U$6-PERALTE!$Q$6)*(RASANTE!F215-PERALTE!$Q$6)-2),IF(RASANTE!F215&lt;=PERALTE!$X$6,8,IF(RASANTE!F215&lt;=PERALTE!$AB$6,(10/(PERALTE!$X$6-PERALTE!$AB$6)*(RASANTE!F215-PERALTE!$AB$6)-2))))),IF(AND(AH!$H$10="Izquierda",RASANTE!F215&lt;=PERALTE!$AB$8),IF(RASANTE!F215&lt;=PERALTE!$S$8,-2,IF(RASANTE!F215&lt;=PERALTE!$U$8,(-6/(PERALTE!$U$8-PERALTE!$S$8)*(RASANTE!F215-PERALTE!$S$8)-2),IF(RASANTE!F215&lt;=PERALTE!$X$8,-8,IF(RASANTE!F215&lt;=PERALTE!$Z$8,(-6/(PERALTE!$X$8-PERALTE!$Z$8)*(RASANTE!F215-PERALTE!$Z$8)-2),IF(RASANTE!F215&lt;=PERALTE!$AB$8,-2))))),IF(AND(AH!$H$10="Derecha",RASANTE!F215&lt;=PERALTE!$AB$8),IF(RASANTE!F215&lt;=PERALTE!$Q$8,-2,IF(RASANTE!F215&lt;=PERALTE!$U$8,(10/(PERALTE!$U$8-PERALTE!$Q$8)*(RASANTE!F215-PERALTE!$Q$8)-2),IF(RASANTE!F215&lt;=PERALTE!$X$8,8,IF(RASANTE!F215&lt;=PERALTE!$AB$8,(10/(PERALTE!$X$8-PERALTE!$AB$8)*(RASANTE!F215-PERALTE!$AB$8)-2))))),IF(AND(AH!$H$12="Izquierda",RASANTE!F215&lt;=PERALTE!$AB$10),IF(RASANTE!F215&lt;=PERALTE!$S$10,-2,IF(RASANTE!F215&lt;=PERALTE!$U$10,(-6/(PERALTE!$U$10-PERALTE!$S$10)*(RASANTE!F215-PERALTE!$S$10)-2),IF(RASANTE!F215&lt;=PERALTE!$X$10,-8,IF(RASANTE!F215&lt;=PERALTE!$Z$10,(-6/(PERALTE!$X$10-PERALTE!$Z$10)*(RASANTE!F215-PERALTE!$Z$10)-2),IF(RASANTE!F215&lt;=PERALTE!$AB$10,-2))))),IF(AND(AH!$H$12="Derecha",RASANTE!F215&lt;=PERALTE!$AB$10),IF(RASANTE!F215&lt;=PERALTE!$Q$10,-2,IF(RASANTE!F215&lt;=PERALTE!$U$10,(10/(PERALTE!$U$10-PERALTE!$Q$10)*(RASANTE!F215-PERALTE!$Q$10)-2),IF(RASANTE!F215&lt;=PERALTE!$X$10,8,IF(RASANTE!F215&lt;=PERALTE!$AB$10,(10/(PERALTE!$X$10-PERALTE!$AB$10)*(RASANTE!F215-PERALTE!$AB$10)-2))))),IF(AND(AH!$H$14="Izquierda",RASANTE!F215&lt;=PERALTE!$AB$12),IF(RASANTE!F215&lt;=PERALTE!$S$12,-2,IF(RASANTE!F215&lt;=PERALTE!$U$12,(-6/(PERALTE!$U$12-PERALTE!$S$12)*(RASANTE!F215-PERALTE!$S$12)-2),IF(RASANTE!F215&lt;=PERALTE!$X$12,-8,IF(RASANTE!F215&lt;=PERALTE!$Z$12,(-6/(PERALTE!$X$12-PERALTE!$Z$12)*(RASANTE!F215-PERALTE!$Z$12)-2),IF(RASANTE!F215&lt;=PERALTE!$AB$12,-2))))),IF(AND(AH!$H$14="Derecha",RASANTE!F215&lt;=PERALTE!$AB$12),IF(RASANTE!F215&lt;=PERALTE!$Q$12,-2,IF(RASANTE!F215&lt;=PERALTE!$U$12,(10/(PERALTE!$U$12-PERALTE!$Q$12)*(RASANTE!F215-PERALTE!$Q$12)-2),IF(RASANTE!F215&lt;=PERALTE!$X$12,8,IF(RASANTE!F215&lt;=PERALTE!$AB$12,(10/(PERALTE!$X$12-PERALTE!$AB$12)*(RASANTE!F215-PERALTE!$AB$12)-2))))),IF(AND(AH!$H$16="Izquierda",RASANTE!F215&lt;=PERALTE!$AB$14),IF(RASANTE!F215&lt;=PERALTE!$S$14,-2,IF(RASANTE!F215&lt;=PERALTE!$U$14,(-6/(PERALTE!$U$14-PERALTE!$S$14)*(RASANTE!F215-PERALTE!$S$14)-2),IF(RASANTE!F215&lt;=PERALTE!$X$14,-8,IF(RASANTE!F215&lt;=PERALTE!$Z$14,(-6/(PERALTE!$X$14-PERALTE!$Z$14)*(RASANTE!F215-PERALTE!$Z$14)-2),IF(RASANTE!F215&lt;=PERALTE!$AB$14,-2))))),IF(AND(AH!$H$16="Derecha",RASANTE!F215&lt;=PERALTE!$AB$14),IF(RASANTE!F215&lt;=PERALTE!$Q$14,-2,IF(RASANTE!F215&lt;=PERALTE!$U$14,(10/(PERALTE!$U$14-PERALTE!$Q$14)*(RASANTE!F215-PERALTE!$Q$14)-2),IF(RASANTE!F215&lt;=PERALTE!$X$14,8,IF(RASANTE!F215&lt;=PERALTE!$AB$14,(10/(PERALTE!$X$14-PERALTE!$AB$14)*(RASANTE!F215-PERALTE!$AB$14)-2))))),IF(AND(AH!$H$18="Izquierda",RASANTE!F215&lt;=PERALTE!$AB$16),IF(RASANTE!F215&lt;=PERALTE!$S$16,-2,IF(RASANTE!F215&lt;=PERALTE!$U$16,(-6/(PERALTE!$U$16-PERALTE!$S$16)*(RASANTE!F215-PERALTE!$S$16)-2),IF(RASANTE!F215&lt;=PERALTE!$X$16,-8,IF(RASANTE!F215&lt;=PERALTE!$Z$16,(-6/(PERALTE!$X$16-PERALTE!$Z$16)*(RASANTE!F215-PERALTE!$Z$16)-2),IF(RASANTE!F215&lt;=PERALTE!$AB$16,-2))))),IF(AND(AH!$H$18="Derecha",RASANTE!F215&lt;=PERALTE!$AB$16),IF(RASANTE!F215&lt;=PERALTE!$Q$16,-2,IF(RASANTE!F215&lt;=PERALTE!$U$16,(10/(PERALTE!$U$16-PERALTE!$Q$16)*(RASANTE!F215-PERALTE!$Q$16)-2),IF(RASANTE!F215&lt;=PERALTE!$X$16,8,IF(RASANTE!F215&lt;=PERALTE!$AB$16,(10/(PERALTE!$X$16-PERALTE!$AB$16)*(RASANTE!F215-PERALTE!$AB$16)-2))))),IF(AND(AH!$H$20="Izquierda",RASANTE!F215&lt;=PERALTE!$AB$18),IF(RASANTE!F215&lt;=PERALTE!$S$18,-2,IF(RASANTE!F215&lt;=PERALTE!$U$18,(-6/(PERALTE!$U$18-PERALTE!$S$18)*(RASANTE!F215-PERALTE!$S$18)-2),IF(RASANTE!F215&lt;=PERALTE!$X$18,-8,IF(RASANTE!F215&lt;=PERALTE!$Z$18,(-6/(PERALTE!$X$18-PERALTE!$Z$18)*(RASANTE!F215-PERALTE!$Z$18)-2),IF(RASANTE!F215&lt;=PERALTE!$AB$18,-2))))),IF(AND(AH!$H$20="Derecha",RASANTE!F215&lt;=PERALTE!$AB$18),IF(RASANTE!F215&lt;=PERALTE!$Q$18,-2,IF(RASANTE!F215&lt;=PERALTE!$U$18,(10/(PERALTE!$U$18-PERALTE!$Q$18)*(RASANTE!F215-PERALTE!$Q$18)-2),IF(RASANTE!F215&lt;=PERALTE!$X$18,8,IF(RASANTE!F215&lt;=PERALTE!$AB$18,(10/(PERALTE!$X$18-PERALTE!$AB$18)*(RASANTE!F215-PERALTE!$AB$18)-2))))),IF(AND(AH!$H$24="Izquierda",RASANTE!F215&lt;=PERALTE!$AB$22),IF(RASANTE!F215&lt;=PERALTE!$S$22,-2,IF(RASANTE!F215&lt;=PERALTE!$U$22,(-6/(PERALTE!$U$22-PERALTE!$S$22)*(RASANTE!F215-PERALTE!$S$22)-2),IF(RASANTE!F215&lt;=PERALTE!$X$22,-8,IF(RASANTE!F215&lt;=PERALTE!$Z$22,(-6/(PERALTE!$X$22-PERALTE!$Z$22)*(RASANTE!F215-PERALTE!$Z$22)-2),IF(RASANTE!F215&lt;=PERALTE!$AB$22,-2))))),IF(AND(AH!$H$24="Derecha",RASANTE!F215&lt;=PERALTE!$AB$22),IF(RASANTE!F215&lt;=PERALTE!$Q$22,-2,IF(RASANTE!F215&lt;=PERALTE!$U$22,(10/(PERALTE!$U$22-PERALTE!$Q$22)*(RASANTE!F215-PERALTE!$Q$22)-2),IF(RASANTE!F215&lt;=PERALTE!$X$22,8,IF(RASANTE!F215&lt;=PERALTE!$AB$22,(10/(PERALTE!$X$22-PERALTE!$AB$22)*(RASANTE!F215-PERALTE!$AB$22)-2))))),IF(AND(AH!#REF!="Izquierda",RASANTE!F215&lt;=PERALTE!#REF!),IF(RASANTE!F215&lt;=PERALTE!#REF!,-2,IF(RASANTE!F215&lt;=PERALTE!#REF!,(-6/(PERALTE!#REF!-PERALTE!#REF!)*(RASANTE!F215-PERALTE!#REF!)-2),IF(RASANTE!F215&lt;=PERALTE!#REF!,-8,IF(RASANTE!F215&lt;=PERALTE!#REF!,(-6/(PERALTE!#REF!-PERALTE!#REF!)*(RASANTE!F215-PERALTE!#REF!)-2),IF(RASANTE!F215&lt;=PERALTE!#REF!,-2))))),IF(AND(AH!#REF!="Derecha",RASANTE!F215&lt;=PERALTE!#REF!),IF(RASANTE!F215&lt;=PERALTE!#REF!,-2,IF(RASANTE!F215&lt;=PERALTE!#REF!,(10/(PERALTE!#REF!-PERALTE!#REF!)*(RASANTE!F215-PERALTE!#REF!)-2),IF(RASANTE!F215&lt;=PERALTE!#REF!,8,IF(RASANTE!F215&lt;=PERALTE!#REF!,(10/(PERALTE!#REF!-PERALTE!#REF!)*(RASANTE!F215-PERALTE!#REF!)-2))))),IF(AND(AH!#REF!="Izquierda",RASANTE!F215&lt;=PERALTE!$AB$26),IF(RASANTE!F215&lt;=PERALTE!$S$26,-2,IF(RASANTE!F215&lt;=PERALTE!$U$26,(-6/(PERALTE!$U$26-PERALTE!$S$26)*(RASANTE!F215-PERALTE!$S$26)-2),IF(RASANTE!F215&lt;=PERALTE!$X$26,-8,IF(RASANTE!F215&lt;=PERALTE!$Z$26,(-6/(PERALTE!$X$26-PERALTE!$Z$26)*(RASANTE!F215-PERALTE!$Z$26)-2),IF(RASANTE!F215&lt;=PERALTE!$AB$26,-2))))),IF(AND(AH!#REF!="Derecha",RASANTE!F215&lt;=PERALTE!$AB$26),IF(RASANTE!F215&lt;=PERALTE!$Q$26,-2,IF(RASANTE!F215&lt;=PERALTE!$U$26,(10/(PERALTE!$U$26-PERALTE!$Q$26)*(RASANTE!F215-PERALTE!$Q$26)-2),IF(RASANTE!F215&lt;=PERALTE!$X$26,8,IF(RASANTE!F215&lt;=PERALTE!$AB$26,(10/(PERALTE!$X$26-PERALTE!$AB$26)*(RASANTE!F215-PERALTE!$AB$26)-2))))),IF(F215&lt;=PERALTE!#REF!,-2,"Abscisa fuera de la vía")))))))))))))))))))))</f>
        <v>2.8318262361963358</v>
      </c>
      <c r="I215" s="28">
        <f>+IF(AND(AH!$H$8="Derecha",RASANTE!F215&lt;=PERALTE!$AB$6),IF(RASANTE!F215&lt;=PERALTE!$S$6,-2,IF(RASANTE!F215&lt;=PERALTE!$U$6,(-6/(PERALTE!$U$6-PERALTE!$S$6)*(RASANTE!F215-PERALTE!$S$6)-2),IF(RASANTE!F215&lt;=PERALTE!$X$6,-8,IF(RASANTE!F215&lt;=PERALTE!$Z$6,(-6/(PERALTE!$X$6-PERALTE!$Z$6)*(RASANTE!F215-PERALTE!$Z$6)-2),IF(RASANTE!F215&lt;=PERALTE!$AB$6,-2))))),IF(AND(AH!$H$8="Izquierda",RASANTE!F215&lt;=PERALTE!$AB$6),IF(RASANTE!F215&lt;=PERALTE!$Q$6,-2,IF(RASANTE!F215&lt;=PERALTE!$U$6,(10/(PERALTE!$U$6-PERALTE!$Q$6)*(RASANTE!F215-PERALTE!$Q$6)-2),IF(RASANTE!F215&lt;=PERALTE!$X$6,8,IF(RASANTE!F215&lt;=PERALTE!$AB$6,(10/(PERALTE!$X$6-PERALTE!$AB$6)*(RASANTE!F215-PERALTE!$AB$6)-2))))),IF(AND(AH!$H$10="Derecha",RASANTE!F215&lt;=PERALTE!$AB$8),IF(RASANTE!F215&lt;=PERALTE!$S$8,-2,IF(RASANTE!F215&lt;=PERALTE!$U$8,(-6/(PERALTE!$U$8-PERALTE!$S$8)*(RASANTE!F215-PERALTE!$S$8)-2),IF(RASANTE!F215&lt;=PERALTE!$X$8,-8,IF(RASANTE!F215&lt;=PERALTE!$Z$8,(-6/(PERALTE!$X$8-PERALTE!$Z$8)*(RASANTE!F215-PERALTE!$Z$8)-2),IF(RASANTE!F215&lt;=PERALTE!$AB$8,-2))))),IF(AND(AH!$H$10="Izquierda",RASANTE!F215&lt;=PERALTE!$AB$8),IF(RASANTE!F215&lt;=PERALTE!$Q$8,-2,IF(RASANTE!F215&lt;=PERALTE!$U$8,(10/(PERALTE!$U$8-PERALTE!$Q$8)*(RASANTE!F215-PERALTE!$Q$8)-2),IF(RASANTE!F215&lt;=PERALTE!$X$8,8,IF(RASANTE!F215&lt;=PERALTE!$AB$8,(10/(PERALTE!$X$8-PERALTE!$AB$8)*(RASANTE!F215-PERALTE!$AB$8)-2))))),IF(AND(AH!$H$12="Derecha",RASANTE!F215&lt;=PERALTE!$AB$10),IF(RASANTE!F215&lt;=PERALTE!$S$10,-2,IF(RASANTE!F215&lt;=PERALTE!$U$10,(-6/(PERALTE!$U$10-PERALTE!$S$10)*(RASANTE!F215-PERALTE!$S$10)-2),IF(RASANTE!F215&lt;=PERALTE!$X$10,-8,IF(RASANTE!F215&lt;=PERALTE!$Z$10,(-6/(PERALTE!$X$10-PERALTE!$Z$10)*(RASANTE!F215-PERALTE!$Z$10)-2),IF(RASANTE!F215&lt;=PERALTE!$AB$10,-2))))),IF(AND(AH!$H$12="Izquierda",RASANTE!F215&lt;=PERALTE!$AB$10),IF(RASANTE!F215&lt;=PERALTE!$Q$10,-2,IF(RASANTE!F215&lt;=PERALTE!$U$10,(10/(PERALTE!$U$10-PERALTE!$Q$10)*(RASANTE!F215-PERALTE!$Q$10)-2),IF(RASANTE!F215&lt;=PERALTE!$X$10,8,IF(RASANTE!F215&lt;=PERALTE!$AB$10,(10/(PERALTE!$X$10-PERALTE!$AB$10)*(RASANTE!F215-PERALTE!$AB$10)-2))))),IF(AND(AH!$H$14="Derecha",RASANTE!F215&lt;=PERALTE!$AB$12),IF(RASANTE!F215&lt;=PERALTE!$S$12,-2,IF(RASANTE!F215&lt;=PERALTE!$U$12,(-6/(PERALTE!$U$12-PERALTE!$S$12)*(RASANTE!F215-PERALTE!$S$12)-2),IF(RASANTE!F215&lt;=PERALTE!$X$12,-8,IF(RASANTE!F215&lt;=PERALTE!$Z$12,(-6/(PERALTE!$X$12-PERALTE!$Z$12)*(RASANTE!F215-PERALTE!$Z$12)-2),IF(RASANTE!F215&lt;=PERALTE!$AB$12,-2))))),IF(AND(AH!$H$14="Izquierda",RASANTE!F215&lt;=PERALTE!$AB$12),IF(RASANTE!F215&lt;=PERALTE!$Q$12,-2,IF(RASANTE!F215&lt;=PERALTE!$U$12,(10/(PERALTE!$U$12-PERALTE!$Q$12)*(RASANTE!F215-PERALTE!$Q$12)-2),IF(RASANTE!F215&lt;=PERALTE!$X$12,8,IF(RASANTE!F215&lt;=PERALTE!$AB$12,(10/(PERALTE!$X$12-PERALTE!$AB$12)*(RASANTE!F215-PERALTE!$AB$12)-2))))),IF(AND(AH!$H$16="Derecha",RASANTE!F215&lt;=PERALTE!$AB$14),IF(RASANTE!F215&lt;=PERALTE!$S$14,-2,IF(RASANTE!F215&lt;=PERALTE!$U$14,(-6/(PERALTE!$U$14-PERALTE!$S$14)*(RASANTE!F215-PERALTE!$S$14)-2),IF(RASANTE!F215&lt;=PERALTE!$X$14,-8,IF(RASANTE!F215&lt;=PERALTE!$Z$14,(-6/(PERALTE!$X$14-PERALTE!$Z$14)*(RASANTE!F215-PERALTE!$Z$14)-2),IF(RASANTE!F215&lt;=PERALTE!$AB$14,-2))))),IF(AND(AH!$H$16="Izquierda",RASANTE!F215&lt;=PERALTE!$AB$14),IF(RASANTE!F215&lt;=PERALTE!$Q$14,-2,IF(RASANTE!F215&lt;=PERALTE!$U$14,(10/(PERALTE!$U$14-PERALTE!$Q$14)*(RASANTE!F215-PERALTE!$Q$14)-2),IF(RASANTE!F215&lt;=PERALTE!$X$14,8,IF(RASANTE!F215&lt;=PERALTE!$AB$14,(10/(PERALTE!$X$14-PERALTE!$AB$14)*(RASANTE!F215-PERALTE!$AB$14)-2))))),IF(AND(AH!$H$18="Derecha",RASANTE!F215&lt;=PERALTE!$AB$16),IF(RASANTE!F215&lt;=PERALTE!$S$16,-2,IF(RASANTE!F215&lt;=PERALTE!$U$16,(-6/(PERALTE!$U$16-PERALTE!$S$16)*(RASANTE!F215-PERALTE!$S$16)-2),IF(RASANTE!F215&lt;=PERALTE!$X$16,-8,IF(RASANTE!F215&lt;=PERALTE!$Z$16,(-6/(PERALTE!$X$16-PERALTE!$Z$16)*(RASANTE!F215-PERALTE!$Z$16)-2),IF(RASANTE!F215&lt;=PERALTE!$AB$16,-2))))),IF(AND(AH!$H$18="Izquierda",RASANTE!F215&lt;=PERALTE!$AB$16),IF(RASANTE!F215&lt;=PERALTE!$Q$16,-2,IF(RASANTE!F215&lt;=PERALTE!$U$16,(10/(PERALTE!$U$16-PERALTE!$Q$16)*(RASANTE!F215-PERALTE!$Q$16)-2),IF(RASANTE!F215&lt;=PERALTE!$X$16,8,IF(RASANTE!F215&lt;=PERALTE!$AB$16,(10/(PERALTE!$X$16-PERALTE!$AB$16)*(RASANTE!F215-PERALTE!$AB$16)-2))))),IF(AND(AH!$H$20="Derecha",RASANTE!F215&lt;=PERALTE!$AB$18),IF(RASANTE!F215&lt;=PERALTE!$S$18,-2,IF(RASANTE!F215&lt;=PERALTE!$U$18,(-6/(PERALTE!$U$18-PERALTE!$S$18)*(RASANTE!F215-PERALTE!$S$18)-2),IF(RASANTE!F215&lt;=PERALTE!$X$18,-8,IF(RASANTE!F215&lt;=PERALTE!$Z$18,(-6/(PERALTE!$X$18-PERALTE!$Z$18)*(RASANTE!F215-PERALTE!$Z$18)-2),IF(RASANTE!F215&lt;=PERALTE!$AB$18,-2))))),IF(AND(AH!$H$20="Izquierda",RASANTE!F215&lt;=PERALTE!$AB$18),IF(RASANTE!F215&lt;=PERALTE!$Q$18,-2,IF(RASANTE!F215&lt;=PERALTE!$U$18,(10/(PERALTE!$U$18-PERALTE!$Q$18)*(RASANTE!F215-PERALTE!$Q$18)-2),IF(RASANTE!F215&lt;=PERALTE!$X$18,8,IF(RASANTE!F215&lt;=PERALTE!$AB$18,(10/(PERALTE!$X$18-PERALTE!$AB$18)*(RASANTE!F215-PERALTE!$AB$18)-2))))),IF(AND(AH!$H$24="Derecha",RASANTE!F215&lt;=PERALTE!$AB$22),IF(RASANTE!F215&lt;=PERALTE!$S$22,-2,IF(RASANTE!F215&lt;=PERALTE!$U$22,(-6/(PERALTE!$U$22-PERALTE!$S$22)*(RASANTE!F215-PERALTE!$S$22)-2),IF(RASANTE!F215&lt;=PERALTE!$X$22,-8,IF(RASANTE!F215&lt;=PERALTE!$Z$22,(-6/(PERALTE!$X$22-PERALTE!$Z$22)*(RASANTE!F215-PERALTE!$Z$22)-2),IF(RASANTE!F215&lt;=PERALTE!$AB$22,-2))))),IF(AND(AH!$H$24="Izquierda",RASANTE!F215&lt;=PERALTE!$AB$22),IF(RASANTE!F215&lt;=PERALTE!$Q$22,-2,IF(RASANTE!F215&lt;=PERALTE!$U$22,(10/(PERALTE!$U$22-PERALTE!$Q$22)*(RASANTE!F215-PERALTE!$Q$22)-2),IF(RASANTE!F215&lt;=PERALTE!$X$22,8,IF(RASANTE!F215&lt;=PERALTE!$AB$22,(10/(PERALTE!$X$22-PERALTE!$AB$22)*(RASANTE!F215-PERALTE!$AB$22)-2))))),IF(AND(AH!#REF!="Derecha",RASANTE!F215&lt;=PERALTE!#REF!),IF(RASANTE!F215&lt;=PERALTE!#REF!,-2,IF(RASANTE!F215&lt;=PERALTE!#REF!,(-6/(PERALTE!#REF!-PERALTE!#REF!)*(RASANTE!F215-PERALTE!#REF!)-2),IF(RASANTE!F215&lt;=PERALTE!#REF!,-8,IF(RASANTE!F215&lt;=PERALTE!#REF!,(-6/(PERALTE!#REF!-PERALTE!#REF!)*(RASANTE!F215-PERALTE!#REF!)-2),IF(RASANTE!F215&lt;=PERALTE!#REF!,-2))))),IF(AND(AH!#REF!="Izquierda",RASANTE!F215&lt;=PERALTE!#REF!),IF(RASANTE!F215&lt;=PERALTE!#REF!,-2,IF(RASANTE!F215&lt;=PERALTE!#REF!,(10/(PERALTE!#REF!-PERALTE!#REF!)*(RASANTE!F215-PERALTE!#REF!)-2),IF(RASANTE!F215&lt;=PERALTE!#REF!,8,IF(RASANTE!F215&lt;=PERALTE!#REF!,(10/(PERALTE!#REF!-PERALTE!#REF!)*(RASANTE!F215-PERALTE!#REF!)-2))))),IF(AND(AH!#REF!="Derecha",RASANTE!F215&lt;=PERALTE!$AB$26),IF(RASANTE!F215&lt;=PERALTE!$S$26,-2,IF(RASANTE!F215&lt;=PERALTE!$U$26,(-6/(PERALTE!$U$26-PERALTE!$S$26)*(RASANTE!F215-PERALTE!$S$26)-2),IF(RASANTE!F215&lt;=PERALTE!$X$26,-8,IF(RASANTE!F215&lt;=PERALTE!$Z$26,(-6/(PERALTE!$X$26-PERALTE!$Z$26)*(RASANTE!F215-PERALTE!$Z$26)-2),IF(RASANTE!F215&lt;=PERALTE!$AB$26,-2))))),IF(AND(AH!#REF!="Izquierda",RASANTE!F215&lt;=PERALTE!$AB$26),IF(RASANTE!F215&lt;=PERALTE!$Q$26,-2,IF(RASANTE!F215&lt;=PERALTE!$U$26,(10/(PERALTE!$U$26-PERALTE!$Q$26)*(RASANTE!F215-PERALTE!$Q$26)-2),IF(RASANTE!F215&lt;=PERALTE!$X$26,8,IF(RASANTE!F215&lt;=PERALTE!$AB$26,(10/(PERALTE!$X$26-PERALTE!$AB$26)*(RASANTE!F215-PERALTE!$AB$26)-2))))),IF(F215&lt;=PERALTE!#REF!,-2,"Abscisa fuera de la vía")))))))))))))))))))))</f>
        <v>-2.8318262361963531</v>
      </c>
      <c r="J215" s="28">
        <f t="shared" si="11"/>
        <v>1628.3129284648983</v>
      </c>
      <c r="K215" s="28">
        <f>+IF(AND(AV!$S$6&lt;F215,F215&lt;=AV!$T$6),AV!$P$6*((AV!$S$6-RASANTE!F215)/(AV!$N$6))^2,IF(AND(AV!$T$6&lt;RASANTE!F215,F215&lt;AV!$U$6),AV!$P$6*((AV!$U$6-RASANTE!F215)/(AV!$O$6))^2,IF(AND(AV!$S$8&lt;F215,F215&lt;=AV!$T$8),AV!$P$8*((AV!$S$8-RASANTE!F215)/(AV!$N$8))^2,IF(AND(AV!$T$8&lt;RASANTE!F215,F215&lt;AV!$U$8),AV!$P$8*((AV!$U$8-RASANTE!F215)/(AV!$O$8))^2,IF(AND(AV!$S$10&lt;F215,F215&lt;=AV!$T$10),AV!$P$10*((AV!$S$10-RASANTE!F215)/(AV!$N$10))^2,IF(AND(AV!$T$10&lt;RASANTE!F215,F215&lt;AV!$U$10),AV!$P$10*((AV!$U$10-RASANTE!F215)/(AV!$O$10))^2,IF(AND(AV!$S$12&lt;F215,F215&lt;=AV!$T$12),AV!$P$12*((AV!$S$12-RASANTE!F215)/(AV!$N$12))^2,IF(AND(AV!$T$12&lt;RASANTE!F215,F215&lt;AV!$U$12),AV!$P$12*((AV!$U$12-RASANTE!F215)/(AV!$O$12))^2,IF(AND(AV!$S$14&lt;F215,F215&lt;=AV!$T$14),AV!$P$14*((AV!$S$14-RASANTE!F215)/(AV!$N$14))^2,IF(AND(AV!$T$14&lt;RASANTE!F215,F215&lt;AV!$U$14),AV!$P$14*((AV!$U$14-RASANTE!F215)/(AV!$O$14))^2,IF(AND(AV!$S$16&lt;F215,F215&lt;=AV!$T$16),AV!$P$16*((AV!$S$16-RASANTE!F215)/(AV!$N$16))^2,IF(AND(AV!$T$16&lt;RASANTE!F215,F215&lt;AV!$U$16),AV!$P$16*((AV!$U$16-RASANTE!F215)/(AV!$O$16))^2,IF(AND(AV!$S$18&lt;F215,F215&lt;=AV!$T$18),AV!$P$18*((AV!$S$18-RASANTE!F215)/(AV!$N$18))^2,IF(AND(AV!$T$18&lt;RASANTE!F215,F215&lt;AV!$U$18),AV!$P$18*((AV!$U$18-RASANTE!F215)/(AV!$O$18))^2,IF(AND(AV!$S$20&lt;F215,F215&lt;=AV!$T$20),AV!$P$20*((AV!$S$20-RASANTE!F215)/(AV!$N$20))^2,IF(AND(AV!$T$20&lt;RASANTE!F215,F215&lt;AV!$U$20),AV!$P$20*((AV!$U$20-RASANTE!F215)/(AV!$O$20))^2,IF(AND(AV!$S$22&lt;F215,F215&lt;=AV!$T$22),AV!$P$22*((AV!$S$22-RASANTE!F215)/(AV!$N$22))^2,IF(AND(AV!$T$22&lt;RASANTE!F215,F215&lt;AV!$U$22),AV!$P$22*((AV!$U$22-RASANTE!F215)/(AV!$O$22))^2,IF(AND(AV!$S$24&lt;F215,F215&lt;=AV!$T$24),AV!$P$24*((AV!$S$24-RASANTE!F215)/(AV!$N$24))^2,IF(AND(AV!$T$24&lt;RASANTE!F215,F215&lt;AV!$U$24),AV!$P$24*((AV!$U$24-RASANTE!F215)/(AV!$O$24))^2,0))))))))))))))))))))</f>
        <v>0</v>
      </c>
      <c r="L215" s="28">
        <f>+M215+H215%*PERALTE!$C$32</f>
        <v>1628.412042383165</v>
      </c>
      <c r="M215" s="28">
        <f t="shared" si="7"/>
        <v>1628.3129284648983</v>
      </c>
      <c r="N215" s="28">
        <f>+M215+I215%*PERALTE!$C$32</f>
        <v>1628.2138145466315</v>
      </c>
      <c r="O215" s="92"/>
      <c r="P215" s="84"/>
      <c r="Q215" s="84"/>
      <c r="R215" s="84"/>
      <c r="S215" s="84"/>
      <c r="T215" s="84"/>
      <c r="U215" s="84"/>
      <c r="V215" s="84"/>
      <c r="W215" s="84"/>
      <c r="X215" s="84"/>
      <c r="Y215" s="84"/>
    </row>
    <row r="216" spans="1:25" ht="15.75" customHeight="1" x14ac:dyDescent="0.2">
      <c r="A216" s="90" t="s">
        <v>361</v>
      </c>
      <c r="E216" s="324"/>
      <c r="F216" s="34">
        <f>PERALTE!T16</f>
        <v>1325.3098807445622</v>
      </c>
      <c r="G216" s="88">
        <f>IF(F216&lt;=AV!$T$6,AV!$C$5,IF(RASANTE!F216&lt;=AV!$T$8,AV!$C$7,IF(RASANTE!F216&lt;=AV!$T$10,AV!$C$9,IF(RASANTE!F216&lt;=AV!$T$12,AV!$C$11,IF(RASANTE!F216&lt;=AV!$T$14,AV!$C$13,IF(RASANTE!F216&lt;=AV!$T$16,AV!$C$15, IF(RASANTE!F216&lt;=AV!$T$18,AV!$C$17,IF(RASANTE!F216&lt;=AV!$T$20,AV!$C$19,IF(RASANTE!F216&lt;=AV!$T$22,AV!$C$21,IF(RASANTE!F216&lt;=AV!$T$24,AV!$C$23,AV!$C$25))))))))))</f>
        <v>2.8</v>
      </c>
      <c r="H216" s="28">
        <f>+IF(AND(AH!$H$8="Izquierda",RASANTE!F216&lt;=PERALTE!$AB$6),IF(RASANTE!F216&lt;=PERALTE!$S$6,-2,IF(RASANTE!F216&lt;=PERALTE!$U$6,(-6/(PERALTE!$U$6-PERALTE!$S$6)*(RASANTE!F216-PERALTE!$S$6)-2),IF(RASANTE!F216&lt;=PERALTE!$X$6,-8,IF(RASANTE!F216&lt;=PERALTE!$Z$6,(-6/(PERALTE!$X$6-PERALTE!$Z$6)*(RASANTE!F216-PERALTE!$Z$6)-2),IF(RASANTE!F216&lt;=PERALTE!$AB$6,-2))))),IF(AND(AH!$H$8="Derecha",RASANTE!F216&lt;=PERALTE!$AB$6),IF(RASANTE!F216&lt;=PERALTE!$Q$6,-2,IF(RASANTE!F216&lt;=PERALTE!$U$6,(10/(PERALTE!$U$6-PERALTE!$Q$6)*(RASANTE!F216-PERALTE!$Q$6)-2),IF(RASANTE!F216&lt;=PERALTE!$X$6,8,IF(RASANTE!F216&lt;=PERALTE!$AB$6,(10/(PERALTE!$X$6-PERALTE!$AB$6)*(RASANTE!F216-PERALTE!$AB$6)-2))))),IF(AND(AH!$H$10="Izquierda",RASANTE!F216&lt;=PERALTE!$AB$8),IF(RASANTE!F216&lt;=PERALTE!$S$8,-2,IF(RASANTE!F216&lt;=PERALTE!$U$8,(-6/(PERALTE!$U$8-PERALTE!$S$8)*(RASANTE!F216-PERALTE!$S$8)-2),IF(RASANTE!F216&lt;=PERALTE!$X$8,-8,IF(RASANTE!F216&lt;=PERALTE!$Z$8,(-6/(PERALTE!$X$8-PERALTE!$Z$8)*(RASANTE!F216-PERALTE!$Z$8)-2),IF(RASANTE!F216&lt;=PERALTE!$AB$8,-2))))),IF(AND(AH!$H$10="Derecha",RASANTE!F216&lt;=PERALTE!$AB$8),IF(RASANTE!F216&lt;=PERALTE!$Q$8,-2,IF(RASANTE!F216&lt;=PERALTE!$U$8,(10/(PERALTE!$U$8-PERALTE!$Q$8)*(RASANTE!F216-PERALTE!$Q$8)-2),IF(RASANTE!F216&lt;=PERALTE!$X$8,8,IF(RASANTE!F216&lt;=PERALTE!$AB$8,(10/(PERALTE!$X$8-PERALTE!$AB$8)*(RASANTE!F216-PERALTE!$AB$8)-2))))),IF(AND(AH!$H$12="Izquierda",RASANTE!F216&lt;=PERALTE!$AB$10),IF(RASANTE!F216&lt;=PERALTE!$S$10,-2,IF(RASANTE!F216&lt;=PERALTE!$U$10,(-6/(PERALTE!$U$10-PERALTE!$S$10)*(RASANTE!F216-PERALTE!$S$10)-2),IF(RASANTE!F216&lt;=PERALTE!$X$10,-8,IF(RASANTE!F216&lt;=PERALTE!$Z$10,(-6/(PERALTE!$X$10-PERALTE!$Z$10)*(RASANTE!F216-PERALTE!$Z$10)-2),IF(RASANTE!F216&lt;=PERALTE!$AB$10,-2))))),IF(AND(AH!$H$12="Derecha",RASANTE!F216&lt;=PERALTE!$AB$10),IF(RASANTE!F216&lt;=PERALTE!$Q$10,-2,IF(RASANTE!F216&lt;=PERALTE!$U$10,(10/(PERALTE!$U$10-PERALTE!$Q$10)*(RASANTE!F216-PERALTE!$Q$10)-2),IF(RASANTE!F216&lt;=PERALTE!$X$10,8,IF(RASANTE!F216&lt;=PERALTE!$AB$10,(10/(PERALTE!$X$10-PERALTE!$AB$10)*(RASANTE!F216-PERALTE!$AB$10)-2))))),IF(AND(AH!$H$14="Izquierda",RASANTE!F216&lt;=PERALTE!$AB$12),IF(RASANTE!F216&lt;=PERALTE!$S$12,-2,IF(RASANTE!F216&lt;=PERALTE!$U$12,(-6/(PERALTE!$U$12-PERALTE!$S$12)*(RASANTE!F216-PERALTE!$S$12)-2),IF(RASANTE!F216&lt;=PERALTE!$X$12,-8,IF(RASANTE!F216&lt;=PERALTE!$Z$12,(-6/(PERALTE!$X$12-PERALTE!$Z$12)*(RASANTE!F216-PERALTE!$Z$12)-2),IF(RASANTE!F216&lt;=PERALTE!$AB$12,-2))))),IF(AND(AH!$H$14="Derecha",RASANTE!F216&lt;=PERALTE!$AB$12),IF(RASANTE!F216&lt;=PERALTE!$Q$12,-2,IF(RASANTE!F216&lt;=PERALTE!$U$12,(10/(PERALTE!$U$12-PERALTE!$Q$12)*(RASANTE!F216-PERALTE!$Q$12)-2),IF(RASANTE!F216&lt;=PERALTE!$X$12,8,IF(RASANTE!F216&lt;=PERALTE!$AB$12,(10/(PERALTE!$X$12-PERALTE!$AB$12)*(RASANTE!F216-PERALTE!$AB$12)-2))))),IF(AND(AH!$H$16="Izquierda",RASANTE!F216&lt;=PERALTE!$AB$14),IF(RASANTE!F216&lt;=PERALTE!$S$14,-2,IF(RASANTE!F216&lt;=PERALTE!$U$14,(-6/(PERALTE!$U$14-PERALTE!$S$14)*(RASANTE!F216-PERALTE!$S$14)-2),IF(RASANTE!F216&lt;=PERALTE!$X$14,-8,IF(RASANTE!F216&lt;=PERALTE!$Z$14,(-6/(PERALTE!$X$14-PERALTE!$Z$14)*(RASANTE!F216-PERALTE!$Z$14)-2),IF(RASANTE!F216&lt;=PERALTE!$AB$14,-2))))),IF(AND(AH!$H$16="Derecha",RASANTE!F216&lt;=PERALTE!$AB$14),IF(RASANTE!F216&lt;=PERALTE!$Q$14,-2,IF(RASANTE!F216&lt;=PERALTE!$U$14,(10/(PERALTE!$U$14-PERALTE!$Q$14)*(RASANTE!F216-PERALTE!$Q$14)-2),IF(RASANTE!F216&lt;=PERALTE!$X$14,8,IF(RASANTE!F216&lt;=PERALTE!$AB$14,(10/(PERALTE!$X$14-PERALTE!$AB$14)*(RASANTE!F216-PERALTE!$AB$14)-2))))),IF(AND(AH!$H$18="Izquierda",RASANTE!F216&lt;=PERALTE!$AB$16),IF(RASANTE!F216&lt;=PERALTE!$S$16,-2,IF(RASANTE!F216&lt;=PERALTE!$U$16,(-6/(PERALTE!$U$16-PERALTE!$S$16)*(RASANTE!F216-PERALTE!$S$16)-2),IF(RASANTE!F216&lt;=PERALTE!$X$16,-8,IF(RASANTE!F216&lt;=PERALTE!$Z$16,(-6/(PERALTE!$X$16-PERALTE!$Z$16)*(RASANTE!F216-PERALTE!$Z$16)-2),IF(RASANTE!F216&lt;=PERALTE!$AB$16,-2))))),IF(AND(AH!$H$18="Derecha",RASANTE!F216&lt;=PERALTE!$AB$16),IF(RASANTE!F216&lt;=PERALTE!$Q$16,-2,IF(RASANTE!F216&lt;=PERALTE!$U$16,(10/(PERALTE!$U$16-PERALTE!$Q$16)*(RASANTE!F216-PERALTE!$Q$16)-2),IF(RASANTE!F216&lt;=PERALTE!$X$16,8,IF(RASANTE!F216&lt;=PERALTE!$AB$16,(10/(PERALTE!$X$16-PERALTE!$AB$16)*(RASANTE!F216-PERALTE!$AB$16)-2))))),IF(AND(AH!$H$20="Izquierda",RASANTE!F216&lt;=PERALTE!$AB$18),IF(RASANTE!F216&lt;=PERALTE!$S$18,-2,IF(RASANTE!F216&lt;=PERALTE!$U$18,(-6/(PERALTE!$U$18-PERALTE!$S$18)*(RASANTE!F216-PERALTE!$S$18)-2),IF(RASANTE!F216&lt;=PERALTE!$X$18,-8,IF(RASANTE!F216&lt;=PERALTE!$Z$18,(-6/(PERALTE!$X$18-PERALTE!$Z$18)*(RASANTE!F216-PERALTE!$Z$18)-2),IF(RASANTE!F216&lt;=PERALTE!$AB$18,-2))))),IF(AND(AH!$H$20="Derecha",RASANTE!F216&lt;=PERALTE!$AB$18),IF(RASANTE!F216&lt;=PERALTE!$Q$18,-2,IF(RASANTE!F216&lt;=PERALTE!$U$18,(10/(PERALTE!$U$18-PERALTE!$Q$18)*(RASANTE!F216-PERALTE!$Q$18)-2),IF(RASANTE!F216&lt;=PERALTE!$X$18,8,IF(RASANTE!F216&lt;=PERALTE!$AB$18,(10/(PERALTE!$X$18-PERALTE!$AB$18)*(RASANTE!F216-PERALTE!$AB$18)-2))))),IF(AND(AH!$H$24="Izquierda",RASANTE!F216&lt;=PERALTE!$AB$22),IF(RASANTE!F216&lt;=PERALTE!$S$22,-2,IF(RASANTE!F216&lt;=PERALTE!$U$22,(-6/(PERALTE!$U$22-PERALTE!$S$22)*(RASANTE!F216-PERALTE!$S$22)-2),IF(RASANTE!F216&lt;=PERALTE!$X$22,-8,IF(RASANTE!F216&lt;=PERALTE!$Z$22,(-6/(PERALTE!$X$22-PERALTE!$Z$22)*(RASANTE!F216-PERALTE!$Z$22)-2),IF(RASANTE!F216&lt;=PERALTE!$AB$22,-2))))),IF(AND(AH!$H$24="Derecha",RASANTE!F216&lt;=PERALTE!$AB$22),IF(RASANTE!F216&lt;=PERALTE!$Q$22,-2,IF(RASANTE!F216&lt;=PERALTE!$U$22,(10/(PERALTE!$U$22-PERALTE!$Q$22)*(RASANTE!F216-PERALTE!$Q$22)-2),IF(RASANTE!F216&lt;=PERALTE!$X$22,8,IF(RASANTE!F216&lt;=PERALTE!$AB$22,(10/(PERALTE!$X$22-PERALTE!$AB$22)*(RASANTE!F216-PERALTE!$AB$22)-2))))),IF(AND(AH!#REF!="Izquierda",RASANTE!F216&lt;=PERALTE!#REF!),IF(RASANTE!F216&lt;=PERALTE!#REF!,-2,IF(RASANTE!F216&lt;=PERALTE!#REF!,(-6/(PERALTE!#REF!-PERALTE!#REF!)*(RASANTE!F216-PERALTE!#REF!)-2),IF(RASANTE!F216&lt;=PERALTE!#REF!,-8,IF(RASANTE!F216&lt;=PERALTE!#REF!,(-6/(PERALTE!#REF!-PERALTE!#REF!)*(RASANTE!F216-PERALTE!#REF!)-2),IF(RASANTE!F216&lt;=PERALTE!#REF!,-2))))),IF(AND(AH!#REF!="Derecha",RASANTE!F216&lt;=PERALTE!#REF!),IF(RASANTE!F216&lt;=PERALTE!#REF!,-2,IF(RASANTE!F216&lt;=PERALTE!#REF!,(10/(PERALTE!#REF!-PERALTE!#REF!)*(RASANTE!F216-PERALTE!#REF!)-2),IF(RASANTE!F216&lt;=PERALTE!#REF!,8,IF(RASANTE!F216&lt;=PERALTE!#REF!,(10/(PERALTE!#REF!-PERALTE!#REF!)*(RASANTE!F216-PERALTE!#REF!)-2))))),IF(AND(AH!#REF!="Izquierda",RASANTE!F216&lt;=PERALTE!$AB$26),IF(RASANTE!F216&lt;=PERALTE!$S$26,-2,IF(RASANTE!F216&lt;=PERALTE!$U$26,(-6/(PERALTE!$U$26-PERALTE!$S$26)*(RASANTE!F216-PERALTE!$S$26)-2),IF(RASANTE!F216&lt;=PERALTE!$X$26,-8,IF(RASANTE!F216&lt;=PERALTE!$Z$26,(-6/(PERALTE!$X$26-PERALTE!$Z$26)*(RASANTE!F216-PERALTE!$Z$26)-2),IF(RASANTE!F216&lt;=PERALTE!$AB$26,-2))))),IF(AND(AH!#REF!="Derecha",RASANTE!F216&lt;=PERALTE!$AB$26),IF(RASANTE!F216&lt;=PERALTE!$Q$26,-2,IF(RASANTE!F216&lt;=PERALTE!$U$26,(10/(PERALTE!$U$26-PERALTE!$Q$26)*(RASANTE!F216-PERALTE!$Q$26)-2),IF(RASANTE!F216&lt;=PERALTE!$X$26,8,IF(RASANTE!F216&lt;=PERALTE!$AB$26,(10/(PERALTE!$X$26-PERALTE!$AB$26)*(RASANTE!F216-PERALTE!$AB$26)-2))))),IF(F216&lt;=PERALTE!#REF!,-2,"Abscisa fuera de la vía")))))))))))))))))))))</f>
        <v>4.0000000000000195</v>
      </c>
      <c r="I216" s="28">
        <f>+IF(AND(AH!$H$8="Derecha",RASANTE!F216&lt;=PERALTE!$AB$6),IF(RASANTE!F216&lt;=PERALTE!$S$6,-2,IF(RASANTE!F216&lt;=PERALTE!$U$6,(-6/(PERALTE!$U$6-PERALTE!$S$6)*(RASANTE!F216-PERALTE!$S$6)-2),IF(RASANTE!F216&lt;=PERALTE!$X$6,-8,IF(RASANTE!F216&lt;=PERALTE!$Z$6,(-6/(PERALTE!$X$6-PERALTE!$Z$6)*(RASANTE!F216-PERALTE!$Z$6)-2),IF(RASANTE!F216&lt;=PERALTE!$AB$6,-2))))),IF(AND(AH!$H$8="Izquierda",RASANTE!F216&lt;=PERALTE!$AB$6),IF(RASANTE!F216&lt;=PERALTE!$Q$6,-2,IF(RASANTE!F216&lt;=PERALTE!$U$6,(10/(PERALTE!$U$6-PERALTE!$Q$6)*(RASANTE!F216-PERALTE!$Q$6)-2),IF(RASANTE!F216&lt;=PERALTE!$X$6,8,IF(RASANTE!F216&lt;=PERALTE!$AB$6,(10/(PERALTE!$X$6-PERALTE!$AB$6)*(RASANTE!F216-PERALTE!$AB$6)-2))))),IF(AND(AH!$H$10="Derecha",RASANTE!F216&lt;=PERALTE!$AB$8),IF(RASANTE!F216&lt;=PERALTE!$S$8,-2,IF(RASANTE!F216&lt;=PERALTE!$U$8,(-6/(PERALTE!$U$8-PERALTE!$S$8)*(RASANTE!F216-PERALTE!$S$8)-2),IF(RASANTE!F216&lt;=PERALTE!$X$8,-8,IF(RASANTE!F216&lt;=PERALTE!$Z$8,(-6/(PERALTE!$X$8-PERALTE!$Z$8)*(RASANTE!F216-PERALTE!$Z$8)-2),IF(RASANTE!F216&lt;=PERALTE!$AB$8,-2))))),IF(AND(AH!$H$10="Izquierda",RASANTE!F216&lt;=PERALTE!$AB$8),IF(RASANTE!F216&lt;=PERALTE!$Q$8,-2,IF(RASANTE!F216&lt;=PERALTE!$U$8,(10/(PERALTE!$U$8-PERALTE!$Q$8)*(RASANTE!F216-PERALTE!$Q$8)-2),IF(RASANTE!F216&lt;=PERALTE!$X$8,8,IF(RASANTE!F216&lt;=PERALTE!$AB$8,(10/(PERALTE!$X$8-PERALTE!$AB$8)*(RASANTE!F216-PERALTE!$AB$8)-2))))),IF(AND(AH!$H$12="Derecha",RASANTE!F216&lt;=PERALTE!$AB$10),IF(RASANTE!F216&lt;=PERALTE!$S$10,-2,IF(RASANTE!F216&lt;=PERALTE!$U$10,(-6/(PERALTE!$U$10-PERALTE!$S$10)*(RASANTE!F216-PERALTE!$S$10)-2),IF(RASANTE!F216&lt;=PERALTE!$X$10,-8,IF(RASANTE!F216&lt;=PERALTE!$Z$10,(-6/(PERALTE!$X$10-PERALTE!$Z$10)*(RASANTE!F216-PERALTE!$Z$10)-2),IF(RASANTE!F216&lt;=PERALTE!$AB$10,-2))))),IF(AND(AH!$H$12="Izquierda",RASANTE!F216&lt;=PERALTE!$AB$10),IF(RASANTE!F216&lt;=PERALTE!$Q$10,-2,IF(RASANTE!F216&lt;=PERALTE!$U$10,(10/(PERALTE!$U$10-PERALTE!$Q$10)*(RASANTE!F216-PERALTE!$Q$10)-2),IF(RASANTE!F216&lt;=PERALTE!$X$10,8,IF(RASANTE!F216&lt;=PERALTE!$AB$10,(10/(PERALTE!$X$10-PERALTE!$AB$10)*(RASANTE!F216-PERALTE!$AB$10)-2))))),IF(AND(AH!$H$14="Derecha",RASANTE!F216&lt;=PERALTE!$AB$12),IF(RASANTE!F216&lt;=PERALTE!$S$12,-2,IF(RASANTE!F216&lt;=PERALTE!$U$12,(-6/(PERALTE!$U$12-PERALTE!$S$12)*(RASANTE!F216-PERALTE!$S$12)-2),IF(RASANTE!F216&lt;=PERALTE!$X$12,-8,IF(RASANTE!F216&lt;=PERALTE!$Z$12,(-6/(PERALTE!$X$12-PERALTE!$Z$12)*(RASANTE!F216-PERALTE!$Z$12)-2),IF(RASANTE!F216&lt;=PERALTE!$AB$12,-2))))),IF(AND(AH!$H$14="Izquierda",RASANTE!F216&lt;=PERALTE!$AB$12),IF(RASANTE!F216&lt;=PERALTE!$Q$12,-2,IF(RASANTE!F216&lt;=PERALTE!$U$12,(10/(PERALTE!$U$12-PERALTE!$Q$12)*(RASANTE!F216-PERALTE!$Q$12)-2),IF(RASANTE!F216&lt;=PERALTE!$X$12,8,IF(RASANTE!F216&lt;=PERALTE!$AB$12,(10/(PERALTE!$X$12-PERALTE!$AB$12)*(RASANTE!F216-PERALTE!$AB$12)-2))))),IF(AND(AH!$H$16="Derecha",RASANTE!F216&lt;=PERALTE!$AB$14),IF(RASANTE!F216&lt;=PERALTE!$S$14,-2,IF(RASANTE!F216&lt;=PERALTE!$U$14,(-6/(PERALTE!$U$14-PERALTE!$S$14)*(RASANTE!F216-PERALTE!$S$14)-2),IF(RASANTE!F216&lt;=PERALTE!$X$14,-8,IF(RASANTE!F216&lt;=PERALTE!$Z$14,(-6/(PERALTE!$X$14-PERALTE!$Z$14)*(RASANTE!F216-PERALTE!$Z$14)-2),IF(RASANTE!F216&lt;=PERALTE!$AB$14,-2))))),IF(AND(AH!$H$16="Izquierda",RASANTE!F216&lt;=PERALTE!$AB$14),IF(RASANTE!F216&lt;=PERALTE!$Q$14,-2,IF(RASANTE!F216&lt;=PERALTE!$U$14,(10/(PERALTE!$U$14-PERALTE!$Q$14)*(RASANTE!F216-PERALTE!$Q$14)-2),IF(RASANTE!F216&lt;=PERALTE!$X$14,8,IF(RASANTE!F216&lt;=PERALTE!$AB$14,(10/(PERALTE!$X$14-PERALTE!$AB$14)*(RASANTE!F216-PERALTE!$AB$14)-2))))),IF(AND(AH!$H$18="Derecha",RASANTE!F216&lt;=PERALTE!$AB$16),IF(RASANTE!F216&lt;=PERALTE!$S$16,-2,IF(RASANTE!F216&lt;=PERALTE!$U$16,(-6/(PERALTE!$U$16-PERALTE!$S$16)*(RASANTE!F216-PERALTE!$S$16)-2),IF(RASANTE!F216&lt;=PERALTE!$X$16,-8,IF(RASANTE!F216&lt;=PERALTE!$Z$16,(-6/(PERALTE!$X$16-PERALTE!$Z$16)*(RASANTE!F216-PERALTE!$Z$16)-2),IF(RASANTE!F216&lt;=PERALTE!$AB$16,-2))))),IF(AND(AH!$H$18="Izquierda",RASANTE!F216&lt;=PERALTE!$AB$16),IF(RASANTE!F216&lt;=PERALTE!$Q$16,-2,IF(RASANTE!F216&lt;=PERALTE!$U$16,(10/(PERALTE!$U$16-PERALTE!$Q$16)*(RASANTE!F216-PERALTE!$Q$16)-2),IF(RASANTE!F216&lt;=PERALTE!$X$16,8,IF(RASANTE!F216&lt;=PERALTE!$AB$16,(10/(PERALTE!$X$16-PERALTE!$AB$16)*(RASANTE!F216-PERALTE!$AB$16)-2))))),IF(AND(AH!$H$20="Derecha",RASANTE!F216&lt;=PERALTE!$AB$18),IF(RASANTE!F216&lt;=PERALTE!$S$18,-2,IF(RASANTE!F216&lt;=PERALTE!$U$18,(-6/(PERALTE!$U$18-PERALTE!$S$18)*(RASANTE!F216-PERALTE!$S$18)-2),IF(RASANTE!F216&lt;=PERALTE!$X$18,-8,IF(RASANTE!F216&lt;=PERALTE!$Z$18,(-6/(PERALTE!$X$18-PERALTE!$Z$18)*(RASANTE!F216-PERALTE!$Z$18)-2),IF(RASANTE!F216&lt;=PERALTE!$AB$18,-2))))),IF(AND(AH!$H$20="Izquierda",RASANTE!F216&lt;=PERALTE!$AB$18),IF(RASANTE!F216&lt;=PERALTE!$Q$18,-2,IF(RASANTE!F216&lt;=PERALTE!$U$18,(10/(PERALTE!$U$18-PERALTE!$Q$18)*(RASANTE!F216-PERALTE!$Q$18)-2),IF(RASANTE!F216&lt;=PERALTE!$X$18,8,IF(RASANTE!F216&lt;=PERALTE!$AB$18,(10/(PERALTE!$X$18-PERALTE!$AB$18)*(RASANTE!F216-PERALTE!$AB$18)-2))))),IF(AND(AH!$H$24="Derecha",RASANTE!F216&lt;=PERALTE!$AB$22),IF(RASANTE!F216&lt;=PERALTE!$S$22,-2,IF(RASANTE!F216&lt;=PERALTE!$U$22,(-6/(PERALTE!$U$22-PERALTE!$S$22)*(RASANTE!F216-PERALTE!$S$22)-2),IF(RASANTE!F216&lt;=PERALTE!$X$22,-8,IF(RASANTE!F216&lt;=PERALTE!$Z$22,(-6/(PERALTE!$X$22-PERALTE!$Z$22)*(RASANTE!F216-PERALTE!$Z$22)-2),IF(RASANTE!F216&lt;=PERALTE!$AB$22,-2))))),IF(AND(AH!$H$24="Izquierda",RASANTE!F216&lt;=PERALTE!$AB$22),IF(RASANTE!F216&lt;=PERALTE!$Q$22,-2,IF(RASANTE!F216&lt;=PERALTE!$U$22,(10/(PERALTE!$U$22-PERALTE!$Q$22)*(RASANTE!F216-PERALTE!$Q$22)-2),IF(RASANTE!F216&lt;=PERALTE!$X$22,8,IF(RASANTE!F216&lt;=PERALTE!$AB$22,(10/(PERALTE!$X$22-PERALTE!$AB$22)*(RASANTE!F216-PERALTE!$AB$22)-2))))),IF(AND(AH!#REF!="Derecha",RASANTE!F216&lt;=PERALTE!#REF!),IF(RASANTE!F216&lt;=PERALTE!#REF!,-2,IF(RASANTE!F216&lt;=PERALTE!#REF!,(-6/(PERALTE!#REF!-PERALTE!#REF!)*(RASANTE!F216-PERALTE!#REF!)-2),IF(RASANTE!F216&lt;=PERALTE!#REF!,-8,IF(RASANTE!F216&lt;=PERALTE!#REF!,(-6/(PERALTE!#REF!-PERALTE!#REF!)*(RASANTE!F216-PERALTE!#REF!)-2),IF(RASANTE!F216&lt;=PERALTE!#REF!,-2))))),IF(AND(AH!#REF!="Izquierda",RASANTE!F216&lt;=PERALTE!#REF!),IF(RASANTE!F216&lt;=PERALTE!#REF!,-2,IF(RASANTE!F216&lt;=PERALTE!#REF!,(10/(PERALTE!#REF!-PERALTE!#REF!)*(RASANTE!F216-PERALTE!#REF!)-2),IF(RASANTE!F216&lt;=PERALTE!#REF!,8,IF(RASANTE!F216&lt;=PERALTE!#REF!,(10/(PERALTE!#REF!-PERALTE!#REF!)*(RASANTE!F216-PERALTE!#REF!)-2))))),IF(AND(AH!#REF!="Derecha",RASANTE!F216&lt;=PERALTE!$AB$26),IF(RASANTE!F216&lt;=PERALTE!$S$26,-2,IF(RASANTE!F216&lt;=PERALTE!$U$26,(-6/(PERALTE!$U$26-PERALTE!$S$26)*(RASANTE!F216-PERALTE!$S$26)-2),IF(RASANTE!F216&lt;=PERALTE!$X$26,-8,IF(RASANTE!F216&lt;=PERALTE!$Z$26,(-6/(PERALTE!$X$26-PERALTE!$Z$26)*(RASANTE!F216-PERALTE!$Z$26)-2),IF(RASANTE!F216&lt;=PERALTE!$AB$26,-2))))),IF(AND(AH!#REF!="Izquierda",RASANTE!F216&lt;=PERALTE!$AB$26),IF(RASANTE!F216&lt;=PERALTE!$Q$26,-2,IF(RASANTE!F216&lt;=PERALTE!$U$26,(10/(PERALTE!$U$26-PERALTE!$Q$26)*(RASANTE!F216-PERALTE!$Q$26)-2),IF(RASANTE!F216&lt;=PERALTE!$X$26,8,IF(RASANTE!F216&lt;=PERALTE!$AB$26,(10/(PERALTE!$X$26-PERALTE!$AB$26)*(RASANTE!F216-PERALTE!$AB$26)-2))))),IF(F216&lt;=PERALTE!#REF!,-2,"Abscisa fuera de la vía")))))))))))))))))))))</f>
        <v>-4.0000000000000338</v>
      </c>
      <c r="J216" s="28">
        <f t="shared" si="11"/>
        <v>1628.461605125746</v>
      </c>
      <c r="K216" s="28">
        <f>+IF(AND(AV!$S$6&lt;F216,F216&lt;=AV!$T$6),AV!$P$6*((AV!$S$6-RASANTE!F216)/(AV!$N$6))^2,IF(AND(AV!$T$6&lt;RASANTE!F216,F216&lt;AV!$U$6),AV!$P$6*((AV!$U$6-RASANTE!F216)/(AV!$O$6))^2,IF(AND(AV!$S$8&lt;F216,F216&lt;=AV!$T$8),AV!$P$8*((AV!$S$8-RASANTE!F216)/(AV!$N$8))^2,IF(AND(AV!$T$8&lt;RASANTE!F216,F216&lt;AV!$U$8),AV!$P$8*((AV!$U$8-RASANTE!F216)/(AV!$O$8))^2,IF(AND(AV!$S$10&lt;F216,F216&lt;=AV!$T$10),AV!$P$10*((AV!$S$10-RASANTE!F216)/(AV!$N$10))^2,IF(AND(AV!$T$10&lt;RASANTE!F216,F216&lt;AV!$U$10),AV!$P$10*((AV!$U$10-RASANTE!F216)/(AV!$O$10))^2,IF(AND(AV!$S$12&lt;F216,F216&lt;=AV!$T$12),AV!$P$12*((AV!$S$12-RASANTE!F216)/(AV!$N$12))^2,IF(AND(AV!$T$12&lt;RASANTE!F216,F216&lt;AV!$U$12),AV!$P$12*((AV!$U$12-RASANTE!F216)/(AV!$O$12))^2,IF(AND(AV!$S$14&lt;F216,F216&lt;=AV!$T$14),AV!$P$14*((AV!$S$14-RASANTE!F216)/(AV!$N$14))^2,IF(AND(AV!$T$14&lt;RASANTE!F216,F216&lt;AV!$U$14),AV!$P$14*((AV!$U$14-RASANTE!F216)/(AV!$O$14))^2,IF(AND(AV!$S$16&lt;F216,F216&lt;=AV!$T$16),AV!$P$16*((AV!$S$16-RASANTE!F216)/(AV!$N$16))^2,IF(AND(AV!$T$16&lt;RASANTE!F216,F216&lt;AV!$U$16),AV!$P$16*((AV!$U$16-RASANTE!F216)/(AV!$O$16))^2,IF(AND(AV!$S$18&lt;F216,F216&lt;=AV!$T$18),AV!$P$18*((AV!$S$18-RASANTE!F216)/(AV!$N$18))^2,IF(AND(AV!$T$18&lt;RASANTE!F216,F216&lt;AV!$U$18),AV!$P$18*((AV!$U$18-RASANTE!F216)/(AV!$O$18))^2,IF(AND(AV!$S$20&lt;F216,F216&lt;=AV!$T$20),AV!$P$20*((AV!$S$20-RASANTE!F216)/(AV!$N$20))^2,IF(AND(AV!$T$20&lt;RASANTE!F216,F216&lt;AV!$U$20),AV!$P$20*((AV!$U$20-RASANTE!F216)/(AV!$O$20))^2,IF(AND(AV!$S$22&lt;F216,F216&lt;=AV!$T$22),AV!$P$22*((AV!$S$22-RASANTE!F216)/(AV!$N$22))^2,IF(AND(AV!$T$22&lt;RASANTE!F216,F216&lt;AV!$U$22),AV!$P$22*((AV!$U$22-RASANTE!F216)/(AV!$O$22))^2,IF(AND(AV!$S$24&lt;F216,F216&lt;=AV!$T$24),AV!$P$24*((AV!$S$24-RASANTE!F216)/(AV!$N$24))^2,IF(AND(AV!$T$24&lt;RASANTE!F216,F216&lt;AV!$U$24),AV!$P$24*((AV!$U$24-RASANTE!F216)/(AV!$O$24))^2,0))))))))))))))))))))</f>
        <v>0</v>
      </c>
      <c r="L216" s="28">
        <f>+M216+H216%*PERALTE!$C$32</f>
        <v>1628.6016051257461</v>
      </c>
      <c r="M216" s="28">
        <f t="shared" si="7"/>
        <v>1628.461605125746</v>
      </c>
      <c r="N216" s="28">
        <f>+M216+I216%*PERALTE!$C$32</f>
        <v>1628.3216051257459</v>
      </c>
      <c r="O216" s="92"/>
      <c r="P216" s="84"/>
      <c r="Q216" s="84"/>
      <c r="R216" s="84"/>
      <c r="S216" s="84"/>
      <c r="T216" s="84"/>
      <c r="U216" s="84"/>
      <c r="V216" s="84"/>
      <c r="W216" s="84"/>
      <c r="X216" s="84"/>
      <c r="Y216" s="84"/>
    </row>
    <row r="217" spans="1:25" ht="15.75" customHeight="1" x14ac:dyDescent="0.2">
      <c r="A217" s="90"/>
      <c r="E217" s="91"/>
      <c r="F217" s="34">
        <v>1330</v>
      </c>
      <c r="G217" s="88">
        <f>IF(F217&lt;=AV!$T$6,AV!$C$5,IF(RASANTE!F217&lt;=AV!$T$8,AV!$C$7,IF(RASANTE!F217&lt;=AV!$T$10,AV!$C$9,IF(RASANTE!F217&lt;=AV!$T$12,AV!$C$11,IF(RASANTE!F217&lt;=AV!$T$14,AV!$C$13,IF(RASANTE!F217&lt;=AV!$T$16,AV!$C$15, IF(RASANTE!F217&lt;=AV!$T$18,AV!$C$17,IF(RASANTE!F217&lt;=AV!$T$20,AV!$C$19,IF(RASANTE!F217&lt;=AV!$T$22,AV!$C$21,IF(RASANTE!F217&lt;=AV!$T$24,AV!$C$23,AV!$C$25))))))))))</f>
        <v>2.8</v>
      </c>
      <c r="H217" s="28">
        <f>+IF(AND(AH!$H$8="Izquierda",RASANTE!F217&lt;=PERALTE!$AB$6),IF(RASANTE!F217&lt;=PERALTE!$S$6,-2,IF(RASANTE!F217&lt;=PERALTE!$U$6,(-6/(PERALTE!$U$6-PERALTE!$S$6)*(RASANTE!F217-PERALTE!$S$6)-2),IF(RASANTE!F217&lt;=PERALTE!$X$6,-8,IF(RASANTE!F217&lt;=PERALTE!$Z$6,(-6/(PERALTE!$X$6-PERALTE!$Z$6)*(RASANTE!F217-PERALTE!$Z$6)-2),IF(RASANTE!F217&lt;=PERALTE!$AB$6,-2))))),IF(AND(AH!$H$8="Derecha",RASANTE!F217&lt;=PERALTE!$AB$6),IF(RASANTE!F217&lt;=PERALTE!$Q$6,-2,IF(RASANTE!F217&lt;=PERALTE!$U$6,(10/(PERALTE!$U$6-PERALTE!$Q$6)*(RASANTE!F217-PERALTE!$Q$6)-2),IF(RASANTE!F217&lt;=PERALTE!$X$6,8,IF(RASANTE!F217&lt;=PERALTE!$AB$6,(10/(PERALTE!$X$6-PERALTE!$AB$6)*(RASANTE!F217-PERALTE!$AB$6)-2))))),IF(AND(AH!$H$10="Izquierda",RASANTE!F217&lt;=PERALTE!$AB$8),IF(RASANTE!F217&lt;=PERALTE!$S$8,-2,IF(RASANTE!F217&lt;=PERALTE!$U$8,(-6/(PERALTE!$U$8-PERALTE!$S$8)*(RASANTE!F217-PERALTE!$S$8)-2),IF(RASANTE!F217&lt;=PERALTE!$X$8,-8,IF(RASANTE!F217&lt;=PERALTE!$Z$8,(-6/(PERALTE!$X$8-PERALTE!$Z$8)*(RASANTE!F217-PERALTE!$Z$8)-2),IF(RASANTE!F217&lt;=PERALTE!$AB$8,-2))))),IF(AND(AH!$H$10="Derecha",RASANTE!F217&lt;=PERALTE!$AB$8),IF(RASANTE!F217&lt;=PERALTE!$Q$8,-2,IF(RASANTE!F217&lt;=PERALTE!$U$8,(10/(PERALTE!$U$8-PERALTE!$Q$8)*(RASANTE!F217-PERALTE!$Q$8)-2),IF(RASANTE!F217&lt;=PERALTE!$X$8,8,IF(RASANTE!F217&lt;=PERALTE!$AB$8,(10/(PERALTE!$X$8-PERALTE!$AB$8)*(RASANTE!F217-PERALTE!$AB$8)-2))))),IF(AND(AH!$H$12="Izquierda",RASANTE!F217&lt;=PERALTE!$AB$10),IF(RASANTE!F217&lt;=PERALTE!$S$10,-2,IF(RASANTE!F217&lt;=PERALTE!$U$10,(-6/(PERALTE!$U$10-PERALTE!$S$10)*(RASANTE!F217-PERALTE!$S$10)-2),IF(RASANTE!F217&lt;=PERALTE!$X$10,-8,IF(RASANTE!F217&lt;=PERALTE!$Z$10,(-6/(PERALTE!$X$10-PERALTE!$Z$10)*(RASANTE!F217-PERALTE!$Z$10)-2),IF(RASANTE!F217&lt;=PERALTE!$AB$10,-2))))),IF(AND(AH!$H$12="Derecha",RASANTE!F217&lt;=PERALTE!$AB$10),IF(RASANTE!F217&lt;=PERALTE!$Q$10,-2,IF(RASANTE!F217&lt;=PERALTE!$U$10,(10/(PERALTE!$U$10-PERALTE!$Q$10)*(RASANTE!F217-PERALTE!$Q$10)-2),IF(RASANTE!F217&lt;=PERALTE!$X$10,8,IF(RASANTE!F217&lt;=PERALTE!$AB$10,(10/(PERALTE!$X$10-PERALTE!$AB$10)*(RASANTE!F217-PERALTE!$AB$10)-2))))),IF(AND(AH!$H$14="Izquierda",RASANTE!F217&lt;=PERALTE!$AB$12),IF(RASANTE!F217&lt;=PERALTE!$S$12,-2,IF(RASANTE!F217&lt;=PERALTE!$U$12,(-6/(PERALTE!$U$12-PERALTE!$S$12)*(RASANTE!F217-PERALTE!$S$12)-2),IF(RASANTE!F217&lt;=PERALTE!$X$12,-8,IF(RASANTE!F217&lt;=PERALTE!$Z$12,(-6/(PERALTE!$X$12-PERALTE!$Z$12)*(RASANTE!F217-PERALTE!$Z$12)-2),IF(RASANTE!F217&lt;=PERALTE!$AB$12,-2))))),IF(AND(AH!$H$14="Derecha",RASANTE!F217&lt;=PERALTE!$AB$12),IF(RASANTE!F217&lt;=PERALTE!$Q$12,-2,IF(RASANTE!F217&lt;=PERALTE!$U$12,(10/(PERALTE!$U$12-PERALTE!$Q$12)*(RASANTE!F217-PERALTE!$Q$12)-2),IF(RASANTE!F217&lt;=PERALTE!$X$12,8,IF(RASANTE!F217&lt;=PERALTE!$AB$12,(10/(PERALTE!$X$12-PERALTE!$AB$12)*(RASANTE!F217-PERALTE!$AB$12)-2))))),IF(AND(AH!$H$16="Izquierda",RASANTE!F217&lt;=PERALTE!$AB$14),IF(RASANTE!F217&lt;=PERALTE!$S$14,-2,IF(RASANTE!F217&lt;=PERALTE!$U$14,(-6/(PERALTE!$U$14-PERALTE!$S$14)*(RASANTE!F217-PERALTE!$S$14)-2),IF(RASANTE!F217&lt;=PERALTE!$X$14,-8,IF(RASANTE!F217&lt;=PERALTE!$Z$14,(-6/(PERALTE!$X$14-PERALTE!$Z$14)*(RASANTE!F217-PERALTE!$Z$14)-2),IF(RASANTE!F217&lt;=PERALTE!$AB$14,-2))))),IF(AND(AH!$H$16="Derecha",RASANTE!F217&lt;=PERALTE!$AB$14),IF(RASANTE!F217&lt;=PERALTE!$Q$14,-2,IF(RASANTE!F217&lt;=PERALTE!$U$14,(10/(PERALTE!$U$14-PERALTE!$Q$14)*(RASANTE!F217-PERALTE!$Q$14)-2),IF(RASANTE!F217&lt;=PERALTE!$X$14,8,IF(RASANTE!F217&lt;=PERALTE!$AB$14,(10/(PERALTE!$X$14-PERALTE!$AB$14)*(RASANTE!F217-PERALTE!$AB$14)-2))))),IF(AND(AH!$H$18="Izquierda",RASANTE!F217&lt;=PERALTE!$AB$16),IF(RASANTE!F217&lt;=PERALTE!$S$16,-2,IF(RASANTE!F217&lt;=PERALTE!$U$16,(-6/(PERALTE!$U$16-PERALTE!$S$16)*(RASANTE!F217-PERALTE!$S$16)-2),IF(RASANTE!F217&lt;=PERALTE!$X$16,-8,IF(RASANTE!F217&lt;=PERALTE!$Z$16,(-6/(PERALTE!$X$16-PERALTE!$Z$16)*(RASANTE!F217-PERALTE!$Z$16)-2),IF(RASANTE!F217&lt;=PERALTE!$AB$16,-2))))),IF(AND(AH!$H$18="Derecha",RASANTE!F217&lt;=PERALTE!$AB$16),IF(RASANTE!F217&lt;=PERALTE!$Q$16,-2,IF(RASANTE!F217&lt;=PERALTE!$U$16,(10/(PERALTE!$U$16-PERALTE!$Q$16)*(RASANTE!F217-PERALTE!$Q$16)-2),IF(RASANTE!F217&lt;=PERALTE!$X$16,8,IF(RASANTE!F217&lt;=PERALTE!$AB$16,(10/(PERALTE!$X$16-PERALTE!$AB$16)*(RASANTE!F217-PERALTE!$AB$16)-2))))),IF(AND(AH!$H$20="Izquierda",RASANTE!F217&lt;=PERALTE!$AB$18),IF(RASANTE!F217&lt;=PERALTE!$S$18,-2,IF(RASANTE!F217&lt;=PERALTE!$U$18,(-6/(PERALTE!$U$18-PERALTE!$S$18)*(RASANTE!F217-PERALTE!$S$18)-2),IF(RASANTE!F217&lt;=PERALTE!$X$18,-8,IF(RASANTE!F217&lt;=PERALTE!$Z$18,(-6/(PERALTE!$X$18-PERALTE!$Z$18)*(RASANTE!F217-PERALTE!$Z$18)-2),IF(RASANTE!F217&lt;=PERALTE!$AB$18,-2))))),IF(AND(AH!$H$20="Derecha",RASANTE!F217&lt;=PERALTE!$AB$18),IF(RASANTE!F217&lt;=PERALTE!$Q$18,-2,IF(RASANTE!F217&lt;=PERALTE!$U$18,(10/(PERALTE!$U$18-PERALTE!$Q$18)*(RASANTE!F217-PERALTE!$Q$18)-2),IF(RASANTE!F217&lt;=PERALTE!$X$18,8,IF(RASANTE!F217&lt;=PERALTE!$AB$18,(10/(PERALTE!$X$18-PERALTE!$AB$18)*(RASANTE!F217-PERALTE!$AB$18)-2))))),IF(AND(AH!$H$24="Izquierda",RASANTE!F217&lt;=PERALTE!$AB$22),IF(RASANTE!F217&lt;=PERALTE!$S$22,-2,IF(RASANTE!F217&lt;=PERALTE!$U$22,(-6/(PERALTE!$U$22-PERALTE!$S$22)*(RASANTE!F217-PERALTE!$S$22)-2),IF(RASANTE!F217&lt;=PERALTE!$X$22,-8,IF(RASANTE!F217&lt;=PERALTE!$Z$22,(-6/(PERALTE!$X$22-PERALTE!$Z$22)*(RASANTE!F217-PERALTE!$Z$22)-2),IF(RASANTE!F217&lt;=PERALTE!$AB$22,-2))))),IF(AND(AH!$H$24="Derecha",RASANTE!F217&lt;=PERALTE!$AB$22),IF(RASANTE!F217&lt;=PERALTE!$Q$22,-2,IF(RASANTE!F217&lt;=PERALTE!$U$22,(10/(PERALTE!$U$22-PERALTE!$Q$22)*(RASANTE!F217-PERALTE!$Q$22)-2),IF(RASANTE!F217&lt;=PERALTE!$X$22,8,IF(RASANTE!F217&lt;=PERALTE!$AB$22,(10/(PERALTE!$X$22-PERALTE!$AB$22)*(RASANTE!F217-PERALTE!$AB$22)-2))))),IF(AND(AH!#REF!="Izquierda",RASANTE!F217&lt;=PERALTE!#REF!),IF(RASANTE!F217&lt;=PERALTE!#REF!,-2,IF(RASANTE!F217&lt;=PERALTE!#REF!,(-6/(PERALTE!#REF!-PERALTE!#REF!)*(RASANTE!F217-PERALTE!#REF!)-2),IF(RASANTE!F217&lt;=PERALTE!#REF!,-8,IF(RASANTE!F217&lt;=PERALTE!#REF!,(-6/(PERALTE!#REF!-PERALTE!#REF!)*(RASANTE!F217-PERALTE!#REF!)-2),IF(RASANTE!F217&lt;=PERALTE!#REF!,-2))))),IF(AND(AH!#REF!="Derecha",RASANTE!F217&lt;=PERALTE!#REF!),IF(RASANTE!F217&lt;=PERALTE!#REF!,-2,IF(RASANTE!F217&lt;=PERALTE!#REF!,(10/(PERALTE!#REF!-PERALTE!#REF!)*(RASANTE!F217-PERALTE!#REF!)-2),IF(RASANTE!F217&lt;=PERALTE!#REF!,8,IF(RASANTE!F217&lt;=PERALTE!#REF!,(10/(PERALTE!#REF!-PERALTE!#REF!)*(RASANTE!F217-PERALTE!#REF!)-2))))),IF(AND(AH!#REF!="Izquierda",RASANTE!F217&lt;=PERALTE!$AB$26),IF(RASANTE!F217&lt;=PERALTE!$S$26,-2,IF(RASANTE!F217&lt;=PERALTE!$U$26,(-6/(PERALTE!$U$26-PERALTE!$S$26)*(RASANTE!F217-PERALTE!$S$26)-2),IF(RASANTE!F217&lt;=PERALTE!$X$26,-8,IF(RASANTE!F217&lt;=PERALTE!$Z$26,(-6/(PERALTE!$X$26-PERALTE!$Z$26)*(RASANTE!F217-PERALTE!$Z$26)-2),IF(RASANTE!F217&lt;=PERALTE!$AB$26,-2))))),IF(AND(AH!#REF!="Derecha",RASANTE!F217&lt;=PERALTE!$AB$26),IF(RASANTE!F217&lt;=PERALTE!$Q$26,-2,IF(RASANTE!F217&lt;=PERALTE!$U$26,(10/(PERALTE!$U$26-PERALTE!$Q$26)*(RASANTE!F217-PERALTE!$Q$26)-2),IF(RASANTE!F217&lt;=PERALTE!$X$26,8,IF(RASANTE!F217&lt;=PERALTE!$AB$26,(10/(PERALTE!$X$26-PERALTE!$AB$26)*(RASANTE!F217-PERALTE!$AB$26)-2))))),IF(F217&lt;=PERALTE!#REF!,-2,"Abscisa fuera de la vía")))))))))))))))))))))</f>
        <v>5.0318262361963448</v>
      </c>
      <c r="I217" s="28">
        <f>+IF(AND(AH!$H$8="Derecha",RASANTE!F217&lt;=PERALTE!$AB$6),IF(RASANTE!F217&lt;=PERALTE!$S$6,-2,IF(RASANTE!F217&lt;=PERALTE!$U$6,(-6/(PERALTE!$U$6-PERALTE!$S$6)*(RASANTE!F217-PERALTE!$S$6)-2),IF(RASANTE!F217&lt;=PERALTE!$X$6,-8,IF(RASANTE!F217&lt;=PERALTE!$Z$6,(-6/(PERALTE!$X$6-PERALTE!$Z$6)*(RASANTE!F217-PERALTE!$Z$6)-2),IF(RASANTE!F217&lt;=PERALTE!$AB$6,-2))))),IF(AND(AH!$H$8="Izquierda",RASANTE!F217&lt;=PERALTE!$AB$6),IF(RASANTE!F217&lt;=PERALTE!$Q$6,-2,IF(RASANTE!F217&lt;=PERALTE!$U$6,(10/(PERALTE!$U$6-PERALTE!$Q$6)*(RASANTE!F217-PERALTE!$Q$6)-2),IF(RASANTE!F217&lt;=PERALTE!$X$6,8,IF(RASANTE!F217&lt;=PERALTE!$AB$6,(10/(PERALTE!$X$6-PERALTE!$AB$6)*(RASANTE!F217-PERALTE!$AB$6)-2))))),IF(AND(AH!$H$10="Derecha",RASANTE!F217&lt;=PERALTE!$AB$8),IF(RASANTE!F217&lt;=PERALTE!$S$8,-2,IF(RASANTE!F217&lt;=PERALTE!$U$8,(-6/(PERALTE!$U$8-PERALTE!$S$8)*(RASANTE!F217-PERALTE!$S$8)-2),IF(RASANTE!F217&lt;=PERALTE!$X$8,-8,IF(RASANTE!F217&lt;=PERALTE!$Z$8,(-6/(PERALTE!$X$8-PERALTE!$Z$8)*(RASANTE!F217-PERALTE!$Z$8)-2),IF(RASANTE!F217&lt;=PERALTE!$AB$8,-2))))),IF(AND(AH!$H$10="Izquierda",RASANTE!F217&lt;=PERALTE!$AB$8),IF(RASANTE!F217&lt;=PERALTE!$Q$8,-2,IF(RASANTE!F217&lt;=PERALTE!$U$8,(10/(PERALTE!$U$8-PERALTE!$Q$8)*(RASANTE!F217-PERALTE!$Q$8)-2),IF(RASANTE!F217&lt;=PERALTE!$X$8,8,IF(RASANTE!F217&lt;=PERALTE!$AB$8,(10/(PERALTE!$X$8-PERALTE!$AB$8)*(RASANTE!F217-PERALTE!$AB$8)-2))))),IF(AND(AH!$H$12="Derecha",RASANTE!F217&lt;=PERALTE!$AB$10),IF(RASANTE!F217&lt;=PERALTE!$S$10,-2,IF(RASANTE!F217&lt;=PERALTE!$U$10,(-6/(PERALTE!$U$10-PERALTE!$S$10)*(RASANTE!F217-PERALTE!$S$10)-2),IF(RASANTE!F217&lt;=PERALTE!$X$10,-8,IF(RASANTE!F217&lt;=PERALTE!$Z$10,(-6/(PERALTE!$X$10-PERALTE!$Z$10)*(RASANTE!F217-PERALTE!$Z$10)-2),IF(RASANTE!F217&lt;=PERALTE!$AB$10,-2))))),IF(AND(AH!$H$12="Izquierda",RASANTE!F217&lt;=PERALTE!$AB$10),IF(RASANTE!F217&lt;=PERALTE!$Q$10,-2,IF(RASANTE!F217&lt;=PERALTE!$U$10,(10/(PERALTE!$U$10-PERALTE!$Q$10)*(RASANTE!F217-PERALTE!$Q$10)-2),IF(RASANTE!F217&lt;=PERALTE!$X$10,8,IF(RASANTE!F217&lt;=PERALTE!$AB$10,(10/(PERALTE!$X$10-PERALTE!$AB$10)*(RASANTE!F217-PERALTE!$AB$10)-2))))),IF(AND(AH!$H$14="Derecha",RASANTE!F217&lt;=PERALTE!$AB$12),IF(RASANTE!F217&lt;=PERALTE!$S$12,-2,IF(RASANTE!F217&lt;=PERALTE!$U$12,(-6/(PERALTE!$U$12-PERALTE!$S$12)*(RASANTE!F217-PERALTE!$S$12)-2),IF(RASANTE!F217&lt;=PERALTE!$X$12,-8,IF(RASANTE!F217&lt;=PERALTE!$Z$12,(-6/(PERALTE!$X$12-PERALTE!$Z$12)*(RASANTE!F217-PERALTE!$Z$12)-2),IF(RASANTE!F217&lt;=PERALTE!$AB$12,-2))))),IF(AND(AH!$H$14="Izquierda",RASANTE!F217&lt;=PERALTE!$AB$12),IF(RASANTE!F217&lt;=PERALTE!$Q$12,-2,IF(RASANTE!F217&lt;=PERALTE!$U$12,(10/(PERALTE!$U$12-PERALTE!$Q$12)*(RASANTE!F217-PERALTE!$Q$12)-2),IF(RASANTE!F217&lt;=PERALTE!$X$12,8,IF(RASANTE!F217&lt;=PERALTE!$AB$12,(10/(PERALTE!$X$12-PERALTE!$AB$12)*(RASANTE!F217-PERALTE!$AB$12)-2))))),IF(AND(AH!$H$16="Derecha",RASANTE!F217&lt;=PERALTE!$AB$14),IF(RASANTE!F217&lt;=PERALTE!$S$14,-2,IF(RASANTE!F217&lt;=PERALTE!$U$14,(-6/(PERALTE!$U$14-PERALTE!$S$14)*(RASANTE!F217-PERALTE!$S$14)-2),IF(RASANTE!F217&lt;=PERALTE!$X$14,-8,IF(RASANTE!F217&lt;=PERALTE!$Z$14,(-6/(PERALTE!$X$14-PERALTE!$Z$14)*(RASANTE!F217-PERALTE!$Z$14)-2),IF(RASANTE!F217&lt;=PERALTE!$AB$14,-2))))),IF(AND(AH!$H$16="Izquierda",RASANTE!F217&lt;=PERALTE!$AB$14),IF(RASANTE!F217&lt;=PERALTE!$Q$14,-2,IF(RASANTE!F217&lt;=PERALTE!$U$14,(10/(PERALTE!$U$14-PERALTE!$Q$14)*(RASANTE!F217-PERALTE!$Q$14)-2),IF(RASANTE!F217&lt;=PERALTE!$X$14,8,IF(RASANTE!F217&lt;=PERALTE!$AB$14,(10/(PERALTE!$X$14-PERALTE!$AB$14)*(RASANTE!F217-PERALTE!$AB$14)-2))))),IF(AND(AH!$H$18="Derecha",RASANTE!F217&lt;=PERALTE!$AB$16),IF(RASANTE!F217&lt;=PERALTE!$S$16,-2,IF(RASANTE!F217&lt;=PERALTE!$U$16,(-6/(PERALTE!$U$16-PERALTE!$S$16)*(RASANTE!F217-PERALTE!$S$16)-2),IF(RASANTE!F217&lt;=PERALTE!$X$16,-8,IF(RASANTE!F217&lt;=PERALTE!$Z$16,(-6/(PERALTE!$X$16-PERALTE!$Z$16)*(RASANTE!F217-PERALTE!$Z$16)-2),IF(RASANTE!F217&lt;=PERALTE!$AB$16,-2))))),IF(AND(AH!$H$18="Izquierda",RASANTE!F217&lt;=PERALTE!$AB$16),IF(RASANTE!F217&lt;=PERALTE!$Q$16,-2,IF(RASANTE!F217&lt;=PERALTE!$U$16,(10/(PERALTE!$U$16-PERALTE!$Q$16)*(RASANTE!F217-PERALTE!$Q$16)-2),IF(RASANTE!F217&lt;=PERALTE!$X$16,8,IF(RASANTE!F217&lt;=PERALTE!$AB$16,(10/(PERALTE!$X$16-PERALTE!$AB$16)*(RASANTE!F217-PERALTE!$AB$16)-2))))),IF(AND(AH!$H$20="Derecha",RASANTE!F217&lt;=PERALTE!$AB$18),IF(RASANTE!F217&lt;=PERALTE!$S$18,-2,IF(RASANTE!F217&lt;=PERALTE!$U$18,(-6/(PERALTE!$U$18-PERALTE!$S$18)*(RASANTE!F217-PERALTE!$S$18)-2),IF(RASANTE!F217&lt;=PERALTE!$X$18,-8,IF(RASANTE!F217&lt;=PERALTE!$Z$18,(-6/(PERALTE!$X$18-PERALTE!$Z$18)*(RASANTE!F217-PERALTE!$Z$18)-2),IF(RASANTE!F217&lt;=PERALTE!$AB$18,-2))))),IF(AND(AH!$H$20="Izquierda",RASANTE!F217&lt;=PERALTE!$AB$18),IF(RASANTE!F217&lt;=PERALTE!$Q$18,-2,IF(RASANTE!F217&lt;=PERALTE!$U$18,(10/(PERALTE!$U$18-PERALTE!$Q$18)*(RASANTE!F217-PERALTE!$Q$18)-2),IF(RASANTE!F217&lt;=PERALTE!$X$18,8,IF(RASANTE!F217&lt;=PERALTE!$AB$18,(10/(PERALTE!$X$18-PERALTE!$AB$18)*(RASANTE!F217-PERALTE!$AB$18)-2))))),IF(AND(AH!$H$24="Derecha",RASANTE!F217&lt;=PERALTE!$AB$22),IF(RASANTE!F217&lt;=PERALTE!$S$22,-2,IF(RASANTE!F217&lt;=PERALTE!$U$22,(-6/(PERALTE!$U$22-PERALTE!$S$22)*(RASANTE!F217-PERALTE!$S$22)-2),IF(RASANTE!F217&lt;=PERALTE!$X$22,-8,IF(RASANTE!F217&lt;=PERALTE!$Z$22,(-6/(PERALTE!$X$22-PERALTE!$Z$22)*(RASANTE!F217-PERALTE!$Z$22)-2),IF(RASANTE!F217&lt;=PERALTE!$AB$22,-2))))),IF(AND(AH!$H$24="Izquierda",RASANTE!F217&lt;=PERALTE!$AB$22),IF(RASANTE!F217&lt;=PERALTE!$Q$22,-2,IF(RASANTE!F217&lt;=PERALTE!$U$22,(10/(PERALTE!$U$22-PERALTE!$Q$22)*(RASANTE!F217-PERALTE!$Q$22)-2),IF(RASANTE!F217&lt;=PERALTE!$X$22,8,IF(RASANTE!F217&lt;=PERALTE!$AB$22,(10/(PERALTE!$X$22-PERALTE!$AB$22)*(RASANTE!F217-PERALTE!$AB$22)-2))))),IF(AND(AH!#REF!="Derecha",RASANTE!F217&lt;=PERALTE!#REF!),IF(RASANTE!F217&lt;=PERALTE!#REF!,-2,IF(RASANTE!F217&lt;=PERALTE!#REF!,(-6/(PERALTE!#REF!-PERALTE!#REF!)*(RASANTE!F217-PERALTE!#REF!)-2),IF(RASANTE!F217&lt;=PERALTE!#REF!,-8,IF(RASANTE!F217&lt;=PERALTE!#REF!,(-6/(PERALTE!#REF!-PERALTE!#REF!)*(RASANTE!F217-PERALTE!#REF!)-2),IF(RASANTE!F217&lt;=PERALTE!#REF!,-2))))),IF(AND(AH!#REF!="Izquierda",RASANTE!F217&lt;=PERALTE!#REF!),IF(RASANTE!F217&lt;=PERALTE!#REF!,-2,IF(RASANTE!F217&lt;=PERALTE!#REF!,(10/(PERALTE!#REF!-PERALTE!#REF!)*(RASANTE!F217-PERALTE!#REF!)-2),IF(RASANTE!F217&lt;=PERALTE!#REF!,8,IF(RASANTE!F217&lt;=PERALTE!#REF!,(10/(PERALTE!#REF!-PERALTE!#REF!)*(RASANTE!F217-PERALTE!#REF!)-2))))),IF(AND(AH!#REF!="Derecha",RASANTE!F217&lt;=PERALTE!$AB$26),IF(RASANTE!F217&lt;=PERALTE!$S$26,-2,IF(RASANTE!F217&lt;=PERALTE!$U$26,(-6/(PERALTE!$U$26-PERALTE!$S$26)*(RASANTE!F217-PERALTE!$S$26)-2),IF(RASANTE!F217&lt;=PERALTE!$X$26,-8,IF(RASANTE!F217&lt;=PERALTE!$Z$26,(-6/(PERALTE!$X$26-PERALTE!$Z$26)*(RASANTE!F217-PERALTE!$Z$26)-2),IF(RASANTE!F217&lt;=PERALTE!$AB$26,-2))))),IF(AND(AH!#REF!="Izquierda",RASANTE!F217&lt;=PERALTE!$AB$26),IF(RASANTE!F217&lt;=PERALTE!$Q$26,-2,IF(RASANTE!F217&lt;=PERALTE!$U$26,(10/(PERALTE!$U$26-PERALTE!$Q$26)*(RASANTE!F217-PERALTE!$Q$26)-2),IF(RASANTE!F217&lt;=PERALTE!$X$26,8,IF(RASANTE!F217&lt;=PERALTE!$AB$26,(10/(PERALTE!$X$26-PERALTE!$AB$26)*(RASANTE!F217-PERALTE!$AB$26)-2))))),IF(F217&lt;=PERALTE!#REF!,-2,"Abscisa fuera de la vía")))))))))))))))))))))</f>
        <v>-5.0318262361963546</v>
      </c>
      <c r="J217" s="28">
        <f t="shared" si="11"/>
        <v>1628.5929284648983</v>
      </c>
      <c r="K217" s="28">
        <f>+IF(AND(AV!$S$6&lt;F217,F217&lt;=AV!$T$6),AV!$P$6*((AV!$S$6-RASANTE!F217)/(AV!$N$6))^2,IF(AND(AV!$T$6&lt;RASANTE!F217,F217&lt;AV!$U$6),AV!$P$6*((AV!$U$6-RASANTE!F217)/(AV!$O$6))^2,IF(AND(AV!$S$8&lt;F217,F217&lt;=AV!$T$8),AV!$P$8*((AV!$S$8-RASANTE!F217)/(AV!$N$8))^2,IF(AND(AV!$T$8&lt;RASANTE!F217,F217&lt;AV!$U$8),AV!$P$8*((AV!$U$8-RASANTE!F217)/(AV!$O$8))^2,IF(AND(AV!$S$10&lt;F217,F217&lt;=AV!$T$10),AV!$P$10*((AV!$S$10-RASANTE!F217)/(AV!$N$10))^2,IF(AND(AV!$T$10&lt;RASANTE!F217,F217&lt;AV!$U$10),AV!$P$10*((AV!$U$10-RASANTE!F217)/(AV!$O$10))^2,IF(AND(AV!$S$12&lt;F217,F217&lt;=AV!$T$12),AV!$P$12*((AV!$S$12-RASANTE!F217)/(AV!$N$12))^2,IF(AND(AV!$T$12&lt;RASANTE!F217,F217&lt;AV!$U$12),AV!$P$12*((AV!$U$12-RASANTE!F217)/(AV!$O$12))^2,IF(AND(AV!$S$14&lt;F217,F217&lt;=AV!$T$14),AV!$P$14*((AV!$S$14-RASANTE!F217)/(AV!$N$14))^2,IF(AND(AV!$T$14&lt;RASANTE!F217,F217&lt;AV!$U$14),AV!$P$14*((AV!$U$14-RASANTE!F217)/(AV!$O$14))^2,IF(AND(AV!$S$16&lt;F217,F217&lt;=AV!$T$16),AV!$P$16*((AV!$S$16-RASANTE!F217)/(AV!$N$16))^2,IF(AND(AV!$T$16&lt;RASANTE!F217,F217&lt;AV!$U$16),AV!$P$16*((AV!$U$16-RASANTE!F217)/(AV!$O$16))^2,IF(AND(AV!$S$18&lt;F217,F217&lt;=AV!$T$18),AV!$P$18*((AV!$S$18-RASANTE!F217)/(AV!$N$18))^2,IF(AND(AV!$T$18&lt;RASANTE!F217,F217&lt;AV!$U$18),AV!$P$18*((AV!$U$18-RASANTE!F217)/(AV!$O$18))^2,IF(AND(AV!$S$20&lt;F217,F217&lt;=AV!$T$20),AV!$P$20*((AV!$S$20-RASANTE!F217)/(AV!$N$20))^2,IF(AND(AV!$T$20&lt;RASANTE!F217,F217&lt;AV!$U$20),AV!$P$20*((AV!$U$20-RASANTE!F217)/(AV!$O$20))^2,IF(AND(AV!$S$22&lt;F217,F217&lt;=AV!$T$22),AV!$P$22*((AV!$S$22-RASANTE!F217)/(AV!$N$22))^2,IF(AND(AV!$T$22&lt;RASANTE!F217,F217&lt;AV!$U$22),AV!$P$22*((AV!$U$22-RASANTE!F217)/(AV!$O$22))^2,IF(AND(AV!$S$24&lt;F217,F217&lt;=AV!$T$24),AV!$P$24*((AV!$S$24-RASANTE!F217)/(AV!$N$24))^2,IF(AND(AV!$T$24&lt;RASANTE!F217,F217&lt;AV!$U$24),AV!$P$24*((AV!$U$24-RASANTE!F217)/(AV!$O$24))^2,0))))))))))))))))))))</f>
        <v>0</v>
      </c>
      <c r="L217" s="28">
        <f>+M217+H217%*PERALTE!$C$32</f>
        <v>1628.769042383165</v>
      </c>
      <c r="M217" s="28">
        <f t="shared" si="7"/>
        <v>1628.5929284648983</v>
      </c>
      <c r="N217" s="28">
        <f>+M217+I217%*PERALTE!$C$32</f>
        <v>1628.4168145466315</v>
      </c>
      <c r="O217" s="92"/>
      <c r="P217" s="84"/>
      <c r="Q217" s="84"/>
      <c r="R217" s="84"/>
      <c r="S217" s="84"/>
      <c r="T217" s="84"/>
      <c r="U217" s="84"/>
      <c r="V217" s="84"/>
      <c r="W217" s="84"/>
      <c r="X217" s="84"/>
      <c r="Y217" s="84"/>
    </row>
    <row r="218" spans="1:25" ht="15.75" customHeight="1" x14ac:dyDescent="0.2">
      <c r="A218" s="90"/>
      <c r="B218" s="86"/>
      <c r="C218" s="86"/>
      <c r="D218" s="86"/>
      <c r="E218" s="91"/>
      <c r="F218" s="34">
        <v>1340</v>
      </c>
      <c r="G218" s="88">
        <f>IF(F218&lt;=AV!$T$6,AV!$C$5,IF(RASANTE!F218&lt;=AV!$T$8,AV!$C$7,IF(RASANTE!F218&lt;=AV!$T$10,AV!$C$9,IF(RASANTE!F218&lt;=AV!$T$12,AV!$C$11,IF(RASANTE!F218&lt;=AV!$T$14,AV!$C$13,IF(RASANTE!F218&lt;=AV!$T$16,AV!$C$15, IF(RASANTE!F218&lt;=AV!$T$18,AV!$C$17,IF(RASANTE!F218&lt;=AV!$T$20,AV!$C$19,IF(RASANTE!F218&lt;=AV!$T$22,AV!$C$21,IF(RASANTE!F218&lt;=AV!$T$24,AV!$C$23,AV!$C$25))))))))))</f>
        <v>2.8</v>
      </c>
      <c r="H218" s="28">
        <f>+IF(AND(AH!$H$8="Izquierda",RASANTE!F218&lt;=PERALTE!$AB$6),IF(RASANTE!F218&lt;=PERALTE!$S$6,-2,IF(RASANTE!F218&lt;=PERALTE!$U$6,(-6/(PERALTE!$U$6-PERALTE!$S$6)*(RASANTE!F218-PERALTE!$S$6)-2),IF(RASANTE!F218&lt;=PERALTE!$X$6,-8,IF(RASANTE!F218&lt;=PERALTE!$Z$6,(-6/(PERALTE!$X$6-PERALTE!$Z$6)*(RASANTE!F218-PERALTE!$Z$6)-2),IF(RASANTE!F218&lt;=PERALTE!$AB$6,-2))))),IF(AND(AH!$H$8="Derecha",RASANTE!F218&lt;=PERALTE!$AB$6),IF(RASANTE!F218&lt;=PERALTE!$Q$6,-2,IF(RASANTE!F218&lt;=PERALTE!$U$6,(10/(PERALTE!$U$6-PERALTE!$Q$6)*(RASANTE!F218-PERALTE!$Q$6)-2),IF(RASANTE!F218&lt;=PERALTE!$X$6,8,IF(RASANTE!F218&lt;=PERALTE!$AB$6,(10/(PERALTE!$X$6-PERALTE!$AB$6)*(RASANTE!F218-PERALTE!$AB$6)-2))))),IF(AND(AH!$H$10="Izquierda",RASANTE!F218&lt;=PERALTE!$AB$8),IF(RASANTE!F218&lt;=PERALTE!$S$8,-2,IF(RASANTE!F218&lt;=PERALTE!$U$8,(-6/(PERALTE!$U$8-PERALTE!$S$8)*(RASANTE!F218-PERALTE!$S$8)-2),IF(RASANTE!F218&lt;=PERALTE!$X$8,-8,IF(RASANTE!F218&lt;=PERALTE!$Z$8,(-6/(PERALTE!$X$8-PERALTE!$Z$8)*(RASANTE!F218-PERALTE!$Z$8)-2),IF(RASANTE!F218&lt;=PERALTE!$AB$8,-2))))),IF(AND(AH!$H$10="Derecha",RASANTE!F218&lt;=PERALTE!$AB$8),IF(RASANTE!F218&lt;=PERALTE!$Q$8,-2,IF(RASANTE!F218&lt;=PERALTE!$U$8,(10/(PERALTE!$U$8-PERALTE!$Q$8)*(RASANTE!F218-PERALTE!$Q$8)-2),IF(RASANTE!F218&lt;=PERALTE!$X$8,8,IF(RASANTE!F218&lt;=PERALTE!$AB$8,(10/(PERALTE!$X$8-PERALTE!$AB$8)*(RASANTE!F218-PERALTE!$AB$8)-2))))),IF(AND(AH!$H$12="Izquierda",RASANTE!F218&lt;=PERALTE!$AB$10),IF(RASANTE!F218&lt;=PERALTE!$S$10,-2,IF(RASANTE!F218&lt;=PERALTE!$U$10,(-6/(PERALTE!$U$10-PERALTE!$S$10)*(RASANTE!F218-PERALTE!$S$10)-2),IF(RASANTE!F218&lt;=PERALTE!$X$10,-8,IF(RASANTE!F218&lt;=PERALTE!$Z$10,(-6/(PERALTE!$X$10-PERALTE!$Z$10)*(RASANTE!F218-PERALTE!$Z$10)-2),IF(RASANTE!F218&lt;=PERALTE!$AB$10,-2))))),IF(AND(AH!$H$12="Derecha",RASANTE!F218&lt;=PERALTE!$AB$10),IF(RASANTE!F218&lt;=PERALTE!$Q$10,-2,IF(RASANTE!F218&lt;=PERALTE!$U$10,(10/(PERALTE!$U$10-PERALTE!$Q$10)*(RASANTE!F218-PERALTE!$Q$10)-2),IF(RASANTE!F218&lt;=PERALTE!$X$10,8,IF(RASANTE!F218&lt;=PERALTE!$AB$10,(10/(PERALTE!$X$10-PERALTE!$AB$10)*(RASANTE!F218-PERALTE!$AB$10)-2))))),IF(AND(AH!$H$14="Izquierda",RASANTE!F218&lt;=PERALTE!$AB$12),IF(RASANTE!F218&lt;=PERALTE!$S$12,-2,IF(RASANTE!F218&lt;=PERALTE!$U$12,(-6/(PERALTE!$U$12-PERALTE!$S$12)*(RASANTE!F218-PERALTE!$S$12)-2),IF(RASANTE!F218&lt;=PERALTE!$X$12,-8,IF(RASANTE!F218&lt;=PERALTE!$Z$12,(-6/(PERALTE!$X$12-PERALTE!$Z$12)*(RASANTE!F218-PERALTE!$Z$12)-2),IF(RASANTE!F218&lt;=PERALTE!$AB$12,-2))))),IF(AND(AH!$H$14="Derecha",RASANTE!F218&lt;=PERALTE!$AB$12),IF(RASANTE!F218&lt;=PERALTE!$Q$12,-2,IF(RASANTE!F218&lt;=PERALTE!$U$12,(10/(PERALTE!$U$12-PERALTE!$Q$12)*(RASANTE!F218-PERALTE!$Q$12)-2),IF(RASANTE!F218&lt;=PERALTE!$X$12,8,IF(RASANTE!F218&lt;=PERALTE!$AB$12,(10/(PERALTE!$X$12-PERALTE!$AB$12)*(RASANTE!F218-PERALTE!$AB$12)-2))))),IF(AND(AH!$H$16="Izquierda",RASANTE!F218&lt;=PERALTE!$AB$14),IF(RASANTE!F218&lt;=PERALTE!$S$14,-2,IF(RASANTE!F218&lt;=PERALTE!$U$14,(-6/(PERALTE!$U$14-PERALTE!$S$14)*(RASANTE!F218-PERALTE!$S$14)-2),IF(RASANTE!F218&lt;=PERALTE!$X$14,-8,IF(RASANTE!F218&lt;=PERALTE!$Z$14,(-6/(PERALTE!$X$14-PERALTE!$Z$14)*(RASANTE!F218-PERALTE!$Z$14)-2),IF(RASANTE!F218&lt;=PERALTE!$AB$14,-2))))),IF(AND(AH!$H$16="Derecha",RASANTE!F218&lt;=PERALTE!$AB$14),IF(RASANTE!F218&lt;=PERALTE!$Q$14,-2,IF(RASANTE!F218&lt;=PERALTE!$U$14,(10/(PERALTE!$U$14-PERALTE!$Q$14)*(RASANTE!F218-PERALTE!$Q$14)-2),IF(RASANTE!F218&lt;=PERALTE!$X$14,8,IF(RASANTE!F218&lt;=PERALTE!$AB$14,(10/(PERALTE!$X$14-PERALTE!$AB$14)*(RASANTE!F218-PERALTE!$AB$14)-2))))),IF(AND(AH!$H$18="Izquierda",RASANTE!F218&lt;=PERALTE!$AB$16),IF(RASANTE!F218&lt;=PERALTE!$S$16,-2,IF(RASANTE!F218&lt;=PERALTE!$U$16,(-6/(PERALTE!$U$16-PERALTE!$S$16)*(RASANTE!F218-PERALTE!$S$16)-2),IF(RASANTE!F218&lt;=PERALTE!$X$16,-8,IF(RASANTE!F218&lt;=PERALTE!$Z$16,(-6/(PERALTE!$X$16-PERALTE!$Z$16)*(RASANTE!F218-PERALTE!$Z$16)-2),IF(RASANTE!F218&lt;=PERALTE!$AB$16,-2))))),IF(AND(AH!$H$18="Derecha",RASANTE!F218&lt;=PERALTE!$AB$16),IF(RASANTE!F218&lt;=PERALTE!$Q$16,-2,IF(RASANTE!F218&lt;=PERALTE!$U$16,(10/(PERALTE!$U$16-PERALTE!$Q$16)*(RASANTE!F218-PERALTE!$Q$16)-2),IF(RASANTE!F218&lt;=PERALTE!$X$16,8,IF(RASANTE!F218&lt;=PERALTE!$AB$16,(10/(PERALTE!$X$16-PERALTE!$AB$16)*(RASANTE!F218-PERALTE!$AB$16)-2))))),IF(AND(AH!$H$20="Izquierda",RASANTE!F218&lt;=PERALTE!$AB$18),IF(RASANTE!F218&lt;=PERALTE!$S$18,-2,IF(RASANTE!F218&lt;=PERALTE!$U$18,(-6/(PERALTE!$U$18-PERALTE!$S$18)*(RASANTE!F218-PERALTE!$S$18)-2),IF(RASANTE!F218&lt;=PERALTE!$X$18,-8,IF(RASANTE!F218&lt;=PERALTE!$Z$18,(-6/(PERALTE!$X$18-PERALTE!$Z$18)*(RASANTE!F218-PERALTE!$Z$18)-2),IF(RASANTE!F218&lt;=PERALTE!$AB$18,-2))))),IF(AND(AH!$H$20="Derecha",RASANTE!F218&lt;=PERALTE!$AB$18),IF(RASANTE!F218&lt;=PERALTE!$Q$18,-2,IF(RASANTE!F218&lt;=PERALTE!$U$18,(10/(PERALTE!$U$18-PERALTE!$Q$18)*(RASANTE!F218-PERALTE!$Q$18)-2),IF(RASANTE!F218&lt;=PERALTE!$X$18,8,IF(RASANTE!F218&lt;=PERALTE!$AB$18,(10/(PERALTE!$X$18-PERALTE!$AB$18)*(RASANTE!F218-PERALTE!$AB$18)-2))))),IF(AND(AH!$H$24="Izquierda",RASANTE!F218&lt;=PERALTE!$AB$22),IF(RASANTE!F218&lt;=PERALTE!$S$22,-2,IF(RASANTE!F218&lt;=PERALTE!$U$22,(-6/(PERALTE!$U$22-PERALTE!$S$22)*(RASANTE!F218-PERALTE!$S$22)-2),IF(RASANTE!F218&lt;=PERALTE!$X$22,-8,IF(RASANTE!F218&lt;=PERALTE!$Z$22,(-6/(PERALTE!$X$22-PERALTE!$Z$22)*(RASANTE!F218-PERALTE!$Z$22)-2),IF(RASANTE!F218&lt;=PERALTE!$AB$22,-2))))),IF(AND(AH!$H$24="Derecha",RASANTE!F218&lt;=PERALTE!$AB$22),IF(RASANTE!F218&lt;=PERALTE!$Q$22,-2,IF(RASANTE!F218&lt;=PERALTE!$U$22,(10/(PERALTE!$U$22-PERALTE!$Q$22)*(RASANTE!F218-PERALTE!$Q$22)-2),IF(RASANTE!F218&lt;=PERALTE!$X$22,8,IF(RASANTE!F218&lt;=PERALTE!$AB$22,(10/(PERALTE!$X$22-PERALTE!$AB$22)*(RASANTE!F218-PERALTE!$AB$22)-2))))),IF(AND(AH!#REF!="Izquierda",RASANTE!F218&lt;=PERALTE!#REF!),IF(RASANTE!F218&lt;=PERALTE!#REF!,-2,IF(RASANTE!F218&lt;=PERALTE!#REF!,(-6/(PERALTE!#REF!-PERALTE!#REF!)*(RASANTE!F218-PERALTE!#REF!)-2),IF(RASANTE!F218&lt;=PERALTE!#REF!,-8,IF(RASANTE!F218&lt;=PERALTE!#REF!,(-6/(PERALTE!#REF!-PERALTE!#REF!)*(RASANTE!F218-PERALTE!#REF!)-2),IF(RASANTE!F218&lt;=PERALTE!#REF!,-2))))),IF(AND(AH!#REF!="Derecha",RASANTE!F218&lt;=PERALTE!#REF!),IF(RASANTE!F218&lt;=PERALTE!#REF!,-2,IF(RASANTE!F218&lt;=PERALTE!#REF!,(10/(PERALTE!#REF!-PERALTE!#REF!)*(RASANTE!F218-PERALTE!#REF!)-2),IF(RASANTE!F218&lt;=PERALTE!#REF!,8,IF(RASANTE!F218&lt;=PERALTE!#REF!,(10/(PERALTE!#REF!-PERALTE!#REF!)*(RASANTE!F218-PERALTE!#REF!)-2))))),IF(AND(AH!#REF!="Izquierda",RASANTE!F218&lt;=PERALTE!$AB$26),IF(RASANTE!F218&lt;=PERALTE!$S$26,-2,IF(RASANTE!F218&lt;=PERALTE!$U$26,(-6/(PERALTE!$U$26-PERALTE!$S$26)*(RASANTE!F218-PERALTE!$S$26)-2),IF(RASANTE!F218&lt;=PERALTE!$X$26,-8,IF(RASANTE!F218&lt;=PERALTE!$Z$26,(-6/(PERALTE!$X$26-PERALTE!$Z$26)*(RASANTE!F218-PERALTE!$Z$26)-2),IF(RASANTE!F218&lt;=PERALTE!$AB$26,-2))))),IF(AND(AH!#REF!="Derecha",RASANTE!F218&lt;=PERALTE!$AB$26),IF(RASANTE!F218&lt;=PERALTE!$Q$26,-2,IF(RASANTE!F218&lt;=PERALTE!$U$26,(10/(PERALTE!$U$26-PERALTE!$Q$26)*(RASANTE!F218-PERALTE!$Q$26)-2),IF(RASANTE!F218&lt;=PERALTE!$X$26,8,IF(RASANTE!F218&lt;=PERALTE!$AB$26,(10/(PERALTE!$X$26-PERALTE!$AB$26)*(RASANTE!F218-PERALTE!$AB$26)-2))))),IF(F218&lt;=PERALTE!#REF!,-2,"Abscisa fuera de la vía")))))))))))))))))))))</f>
        <v>7.231826236196353</v>
      </c>
      <c r="I218" s="28">
        <f>+IF(AND(AH!$H$8="Derecha",RASANTE!F218&lt;=PERALTE!$AB$6),IF(RASANTE!F218&lt;=PERALTE!$S$6,-2,IF(RASANTE!F218&lt;=PERALTE!$U$6,(-6/(PERALTE!$U$6-PERALTE!$S$6)*(RASANTE!F218-PERALTE!$S$6)-2),IF(RASANTE!F218&lt;=PERALTE!$X$6,-8,IF(RASANTE!F218&lt;=PERALTE!$Z$6,(-6/(PERALTE!$X$6-PERALTE!$Z$6)*(RASANTE!F218-PERALTE!$Z$6)-2),IF(RASANTE!F218&lt;=PERALTE!$AB$6,-2))))),IF(AND(AH!$H$8="Izquierda",RASANTE!F218&lt;=PERALTE!$AB$6),IF(RASANTE!F218&lt;=PERALTE!$Q$6,-2,IF(RASANTE!F218&lt;=PERALTE!$U$6,(10/(PERALTE!$U$6-PERALTE!$Q$6)*(RASANTE!F218-PERALTE!$Q$6)-2),IF(RASANTE!F218&lt;=PERALTE!$X$6,8,IF(RASANTE!F218&lt;=PERALTE!$AB$6,(10/(PERALTE!$X$6-PERALTE!$AB$6)*(RASANTE!F218-PERALTE!$AB$6)-2))))),IF(AND(AH!$H$10="Derecha",RASANTE!F218&lt;=PERALTE!$AB$8),IF(RASANTE!F218&lt;=PERALTE!$S$8,-2,IF(RASANTE!F218&lt;=PERALTE!$U$8,(-6/(PERALTE!$U$8-PERALTE!$S$8)*(RASANTE!F218-PERALTE!$S$8)-2),IF(RASANTE!F218&lt;=PERALTE!$X$8,-8,IF(RASANTE!F218&lt;=PERALTE!$Z$8,(-6/(PERALTE!$X$8-PERALTE!$Z$8)*(RASANTE!F218-PERALTE!$Z$8)-2),IF(RASANTE!F218&lt;=PERALTE!$AB$8,-2))))),IF(AND(AH!$H$10="Izquierda",RASANTE!F218&lt;=PERALTE!$AB$8),IF(RASANTE!F218&lt;=PERALTE!$Q$8,-2,IF(RASANTE!F218&lt;=PERALTE!$U$8,(10/(PERALTE!$U$8-PERALTE!$Q$8)*(RASANTE!F218-PERALTE!$Q$8)-2),IF(RASANTE!F218&lt;=PERALTE!$X$8,8,IF(RASANTE!F218&lt;=PERALTE!$AB$8,(10/(PERALTE!$X$8-PERALTE!$AB$8)*(RASANTE!F218-PERALTE!$AB$8)-2))))),IF(AND(AH!$H$12="Derecha",RASANTE!F218&lt;=PERALTE!$AB$10),IF(RASANTE!F218&lt;=PERALTE!$S$10,-2,IF(RASANTE!F218&lt;=PERALTE!$U$10,(-6/(PERALTE!$U$10-PERALTE!$S$10)*(RASANTE!F218-PERALTE!$S$10)-2),IF(RASANTE!F218&lt;=PERALTE!$X$10,-8,IF(RASANTE!F218&lt;=PERALTE!$Z$10,(-6/(PERALTE!$X$10-PERALTE!$Z$10)*(RASANTE!F218-PERALTE!$Z$10)-2),IF(RASANTE!F218&lt;=PERALTE!$AB$10,-2))))),IF(AND(AH!$H$12="Izquierda",RASANTE!F218&lt;=PERALTE!$AB$10),IF(RASANTE!F218&lt;=PERALTE!$Q$10,-2,IF(RASANTE!F218&lt;=PERALTE!$U$10,(10/(PERALTE!$U$10-PERALTE!$Q$10)*(RASANTE!F218-PERALTE!$Q$10)-2),IF(RASANTE!F218&lt;=PERALTE!$X$10,8,IF(RASANTE!F218&lt;=PERALTE!$AB$10,(10/(PERALTE!$X$10-PERALTE!$AB$10)*(RASANTE!F218-PERALTE!$AB$10)-2))))),IF(AND(AH!$H$14="Derecha",RASANTE!F218&lt;=PERALTE!$AB$12),IF(RASANTE!F218&lt;=PERALTE!$S$12,-2,IF(RASANTE!F218&lt;=PERALTE!$U$12,(-6/(PERALTE!$U$12-PERALTE!$S$12)*(RASANTE!F218-PERALTE!$S$12)-2),IF(RASANTE!F218&lt;=PERALTE!$X$12,-8,IF(RASANTE!F218&lt;=PERALTE!$Z$12,(-6/(PERALTE!$X$12-PERALTE!$Z$12)*(RASANTE!F218-PERALTE!$Z$12)-2),IF(RASANTE!F218&lt;=PERALTE!$AB$12,-2))))),IF(AND(AH!$H$14="Izquierda",RASANTE!F218&lt;=PERALTE!$AB$12),IF(RASANTE!F218&lt;=PERALTE!$Q$12,-2,IF(RASANTE!F218&lt;=PERALTE!$U$12,(10/(PERALTE!$U$12-PERALTE!$Q$12)*(RASANTE!F218-PERALTE!$Q$12)-2),IF(RASANTE!F218&lt;=PERALTE!$X$12,8,IF(RASANTE!F218&lt;=PERALTE!$AB$12,(10/(PERALTE!$X$12-PERALTE!$AB$12)*(RASANTE!F218-PERALTE!$AB$12)-2))))),IF(AND(AH!$H$16="Derecha",RASANTE!F218&lt;=PERALTE!$AB$14),IF(RASANTE!F218&lt;=PERALTE!$S$14,-2,IF(RASANTE!F218&lt;=PERALTE!$U$14,(-6/(PERALTE!$U$14-PERALTE!$S$14)*(RASANTE!F218-PERALTE!$S$14)-2),IF(RASANTE!F218&lt;=PERALTE!$X$14,-8,IF(RASANTE!F218&lt;=PERALTE!$Z$14,(-6/(PERALTE!$X$14-PERALTE!$Z$14)*(RASANTE!F218-PERALTE!$Z$14)-2),IF(RASANTE!F218&lt;=PERALTE!$AB$14,-2))))),IF(AND(AH!$H$16="Izquierda",RASANTE!F218&lt;=PERALTE!$AB$14),IF(RASANTE!F218&lt;=PERALTE!$Q$14,-2,IF(RASANTE!F218&lt;=PERALTE!$U$14,(10/(PERALTE!$U$14-PERALTE!$Q$14)*(RASANTE!F218-PERALTE!$Q$14)-2),IF(RASANTE!F218&lt;=PERALTE!$X$14,8,IF(RASANTE!F218&lt;=PERALTE!$AB$14,(10/(PERALTE!$X$14-PERALTE!$AB$14)*(RASANTE!F218-PERALTE!$AB$14)-2))))),IF(AND(AH!$H$18="Derecha",RASANTE!F218&lt;=PERALTE!$AB$16),IF(RASANTE!F218&lt;=PERALTE!$S$16,-2,IF(RASANTE!F218&lt;=PERALTE!$U$16,(-6/(PERALTE!$U$16-PERALTE!$S$16)*(RASANTE!F218-PERALTE!$S$16)-2),IF(RASANTE!F218&lt;=PERALTE!$X$16,-8,IF(RASANTE!F218&lt;=PERALTE!$Z$16,(-6/(PERALTE!$X$16-PERALTE!$Z$16)*(RASANTE!F218-PERALTE!$Z$16)-2),IF(RASANTE!F218&lt;=PERALTE!$AB$16,-2))))),IF(AND(AH!$H$18="Izquierda",RASANTE!F218&lt;=PERALTE!$AB$16),IF(RASANTE!F218&lt;=PERALTE!$Q$16,-2,IF(RASANTE!F218&lt;=PERALTE!$U$16,(10/(PERALTE!$U$16-PERALTE!$Q$16)*(RASANTE!F218-PERALTE!$Q$16)-2),IF(RASANTE!F218&lt;=PERALTE!$X$16,8,IF(RASANTE!F218&lt;=PERALTE!$AB$16,(10/(PERALTE!$X$16-PERALTE!$AB$16)*(RASANTE!F218-PERALTE!$AB$16)-2))))),IF(AND(AH!$H$20="Derecha",RASANTE!F218&lt;=PERALTE!$AB$18),IF(RASANTE!F218&lt;=PERALTE!$S$18,-2,IF(RASANTE!F218&lt;=PERALTE!$U$18,(-6/(PERALTE!$U$18-PERALTE!$S$18)*(RASANTE!F218-PERALTE!$S$18)-2),IF(RASANTE!F218&lt;=PERALTE!$X$18,-8,IF(RASANTE!F218&lt;=PERALTE!$Z$18,(-6/(PERALTE!$X$18-PERALTE!$Z$18)*(RASANTE!F218-PERALTE!$Z$18)-2),IF(RASANTE!F218&lt;=PERALTE!$AB$18,-2))))),IF(AND(AH!$H$20="Izquierda",RASANTE!F218&lt;=PERALTE!$AB$18),IF(RASANTE!F218&lt;=PERALTE!$Q$18,-2,IF(RASANTE!F218&lt;=PERALTE!$U$18,(10/(PERALTE!$U$18-PERALTE!$Q$18)*(RASANTE!F218-PERALTE!$Q$18)-2),IF(RASANTE!F218&lt;=PERALTE!$X$18,8,IF(RASANTE!F218&lt;=PERALTE!$AB$18,(10/(PERALTE!$X$18-PERALTE!$AB$18)*(RASANTE!F218-PERALTE!$AB$18)-2))))),IF(AND(AH!$H$24="Derecha",RASANTE!F218&lt;=PERALTE!$AB$22),IF(RASANTE!F218&lt;=PERALTE!$S$22,-2,IF(RASANTE!F218&lt;=PERALTE!$U$22,(-6/(PERALTE!$U$22-PERALTE!$S$22)*(RASANTE!F218-PERALTE!$S$22)-2),IF(RASANTE!F218&lt;=PERALTE!$X$22,-8,IF(RASANTE!F218&lt;=PERALTE!$Z$22,(-6/(PERALTE!$X$22-PERALTE!$Z$22)*(RASANTE!F218-PERALTE!$Z$22)-2),IF(RASANTE!F218&lt;=PERALTE!$AB$22,-2))))),IF(AND(AH!$H$24="Izquierda",RASANTE!F218&lt;=PERALTE!$AB$22),IF(RASANTE!F218&lt;=PERALTE!$Q$22,-2,IF(RASANTE!F218&lt;=PERALTE!$U$22,(10/(PERALTE!$U$22-PERALTE!$Q$22)*(RASANTE!F218-PERALTE!$Q$22)-2),IF(RASANTE!F218&lt;=PERALTE!$X$22,8,IF(RASANTE!F218&lt;=PERALTE!$AB$22,(10/(PERALTE!$X$22-PERALTE!$AB$22)*(RASANTE!F218-PERALTE!$AB$22)-2))))),IF(AND(AH!#REF!="Derecha",RASANTE!F218&lt;=PERALTE!#REF!),IF(RASANTE!F218&lt;=PERALTE!#REF!,-2,IF(RASANTE!F218&lt;=PERALTE!#REF!,(-6/(PERALTE!#REF!-PERALTE!#REF!)*(RASANTE!F218-PERALTE!#REF!)-2),IF(RASANTE!F218&lt;=PERALTE!#REF!,-8,IF(RASANTE!F218&lt;=PERALTE!#REF!,(-6/(PERALTE!#REF!-PERALTE!#REF!)*(RASANTE!F218-PERALTE!#REF!)-2),IF(RASANTE!F218&lt;=PERALTE!#REF!,-2))))),IF(AND(AH!#REF!="Izquierda",RASANTE!F218&lt;=PERALTE!#REF!),IF(RASANTE!F218&lt;=PERALTE!#REF!,-2,IF(RASANTE!F218&lt;=PERALTE!#REF!,(10/(PERALTE!#REF!-PERALTE!#REF!)*(RASANTE!F218-PERALTE!#REF!)-2),IF(RASANTE!F218&lt;=PERALTE!#REF!,8,IF(RASANTE!F218&lt;=PERALTE!#REF!,(10/(PERALTE!#REF!-PERALTE!#REF!)*(RASANTE!F218-PERALTE!#REF!)-2))))),IF(AND(AH!#REF!="Derecha",RASANTE!F218&lt;=PERALTE!$AB$26),IF(RASANTE!F218&lt;=PERALTE!$S$26,-2,IF(RASANTE!F218&lt;=PERALTE!$U$26,(-6/(PERALTE!$U$26-PERALTE!$S$26)*(RASANTE!F218-PERALTE!$S$26)-2),IF(RASANTE!F218&lt;=PERALTE!$X$26,-8,IF(RASANTE!F218&lt;=PERALTE!$Z$26,(-6/(PERALTE!$X$26-PERALTE!$Z$26)*(RASANTE!F218-PERALTE!$Z$26)-2),IF(RASANTE!F218&lt;=PERALTE!$AB$26,-2))))),IF(AND(AH!#REF!="Izquierda",RASANTE!F218&lt;=PERALTE!$AB$26),IF(RASANTE!F218&lt;=PERALTE!$Q$26,-2,IF(RASANTE!F218&lt;=PERALTE!$U$26,(10/(PERALTE!$U$26-PERALTE!$Q$26)*(RASANTE!F218-PERALTE!$Q$26)-2),IF(RASANTE!F218&lt;=PERALTE!$X$26,8,IF(RASANTE!F218&lt;=PERALTE!$AB$26,(10/(PERALTE!$X$26-PERALTE!$AB$26)*(RASANTE!F218-PERALTE!$AB$26)-2))))),IF(F218&lt;=PERALTE!#REF!,-2,"Abscisa fuera de la vía")))))))))))))))))))))</f>
        <v>-7.2318262361963566</v>
      </c>
      <c r="J218" s="28">
        <f t="shared" si="11"/>
        <v>1628.8729284648982</v>
      </c>
      <c r="K218" s="28">
        <f>+IF(AND(AV!$S$6&lt;F218,F218&lt;=AV!$T$6),AV!$P$6*((AV!$S$6-RASANTE!F218)/(AV!$N$6))^2,IF(AND(AV!$T$6&lt;RASANTE!F218,F218&lt;AV!$U$6),AV!$P$6*((AV!$U$6-RASANTE!F218)/(AV!$O$6))^2,IF(AND(AV!$S$8&lt;F218,F218&lt;=AV!$T$8),AV!$P$8*((AV!$S$8-RASANTE!F218)/(AV!$N$8))^2,IF(AND(AV!$T$8&lt;RASANTE!F218,F218&lt;AV!$U$8),AV!$P$8*((AV!$U$8-RASANTE!F218)/(AV!$O$8))^2,IF(AND(AV!$S$10&lt;F218,F218&lt;=AV!$T$10),AV!$P$10*((AV!$S$10-RASANTE!F218)/(AV!$N$10))^2,IF(AND(AV!$T$10&lt;RASANTE!F218,F218&lt;AV!$U$10),AV!$P$10*((AV!$U$10-RASANTE!F218)/(AV!$O$10))^2,IF(AND(AV!$S$12&lt;F218,F218&lt;=AV!$T$12),AV!$P$12*((AV!$S$12-RASANTE!F218)/(AV!$N$12))^2,IF(AND(AV!$T$12&lt;RASANTE!F218,F218&lt;AV!$U$12),AV!$P$12*((AV!$U$12-RASANTE!F218)/(AV!$O$12))^2,IF(AND(AV!$S$14&lt;F218,F218&lt;=AV!$T$14),AV!$P$14*((AV!$S$14-RASANTE!F218)/(AV!$N$14))^2,IF(AND(AV!$T$14&lt;RASANTE!F218,F218&lt;AV!$U$14),AV!$P$14*((AV!$U$14-RASANTE!F218)/(AV!$O$14))^2,IF(AND(AV!$S$16&lt;F218,F218&lt;=AV!$T$16),AV!$P$16*((AV!$S$16-RASANTE!F218)/(AV!$N$16))^2,IF(AND(AV!$T$16&lt;RASANTE!F218,F218&lt;AV!$U$16),AV!$P$16*((AV!$U$16-RASANTE!F218)/(AV!$O$16))^2,IF(AND(AV!$S$18&lt;F218,F218&lt;=AV!$T$18),AV!$P$18*((AV!$S$18-RASANTE!F218)/(AV!$N$18))^2,IF(AND(AV!$T$18&lt;RASANTE!F218,F218&lt;AV!$U$18),AV!$P$18*((AV!$U$18-RASANTE!F218)/(AV!$O$18))^2,IF(AND(AV!$S$20&lt;F218,F218&lt;=AV!$T$20),AV!$P$20*((AV!$S$20-RASANTE!F218)/(AV!$N$20))^2,IF(AND(AV!$T$20&lt;RASANTE!F218,F218&lt;AV!$U$20),AV!$P$20*((AV!$U$20-RASANTE!F218)/(AV!$O$20))^2,IF(AND(AV!$S$22&lt;F218,F218&lt;=AV!$T$22),AV!$P$22*((AV!$S$22-RASANTE!F218)/(AV!$N$22))^2,IF(AND(AV!$T$22&lt;RASANTE!F218,F218&lt;AV!$U$22),AV!$P$22*((AV!$U$22-RASANTE!F218)/(AV!$O$22))^2,IF(AND(AV!$S$24&lt;F218,F218&lt;=AV!$T$24),AV!$P$24*((AV!$S$24-RASANTE!F218)/(AV!$N$24))^2,IF(AND(AV!$T$24&lt;RASANTE!F218,F218&lt;AV!$U$24),AV!$P$24*((AV!$U$24-RASANTE!F218)/(AV!$O$24))^2,0))))))))))))))))))))</f>
        <v>0</v>
      </c>
      <c r="L218" s="28">
        <f>+M218+H218%*PERALTE!$C$32</f>
        <v>1629.126042383165</v>
      </c>
      <c r="M218" s="28">
        <f t="shared" si="7"/>
        <v>1628.8729284648982</v>
      </c>
      <c r="N218" s="28">
        <f>+M218+I218%*PERALTE!$C$32</f>
        <v>1628.6198145466315</v>
      </c>
      <c r="O218" s="92"/>
      <c r="P218" s="84"/>
      <c r="Q218" s="84"/>
      <c r="R218" s="84"/>
      <c r="S218" s="84"/>
      <c r="T218" s="84"/>
      <c r="U218" s="84"/>
      <c r="V218" s="84"/>
      <c r="W218" s="84"/>
      <c r="X218" s="84"/>
      <c r="Y218" s="84"/>
    </row>
    <row r="219" spans="1:25" ht="15.75" customHeight="1" x14ac:dyDescent="0.2">
      <c r="A219" s="90" t="s">
        <v>362</v>
      </c>
      <c r="B219" s="86"/>
      <c r="C219" s="86"/>
      <c r="D219" s="86"/>
      <c r="E219" s="91"/>
      <c r="F219" s="34">
        <f>PERALTE!U16</f>
        <v>1343.4916989263802</v>
      </c>
      <c r="G219" s="88">
        <f>IF(F219&lt;=AV!$T$6,AV!$C$5,IF(RASANTE!F219&lt;=AV!$T$8,AV!$C$7,IF(RASANTE!F219&lt;=AV!$T$10,AV!$C$9,IF(RASANTE!F219&lt;=AV!$T$12,AV!$C$11,IF(RASANTE!F219&lt;=AV!$T$14,AV!$C$13,IF(RASANTE!F219&lt;=AV!$T$16,AV!$C$15, IF(RASANTE!F219&lt;=AV!$T$18,AV!$C$17,IF(RASANTE!F219&lt;=AV!$T$20,AV!$C$19,IF(RASANTE!F219&lt;=AV!$T$22,AV!$C$21,IF(RASANTE!F219&lt;=AV!$T$24,AV!$C$23,AV!$C$25))))))))))</f>
        <v>2.8</v>
      </c>
      <c r="H219" s="28">
        <f>+IF(AND(AH!$H$8="Izquierda",RASANTE!F219&lt;=PERALTE!$AB$6),IF(RASANTE!F219&lt;=PERALTE!$S$6,-2,IF(RASANTE!F219&lt;=PERALTE!$U$6,(-6/(PERALTE!$U$6-PERALTE!$S$6)*(RASANTE!F219-PERALTE!$S$6)-2),IF(RASANTE!F219&lt;=PERALTE!$X$6,-8,IF(RASANTE!F219&lt;=PERALTE!$Z$6,(-6/(PERALTE!$X$6-PERALTE!$Z$6)*(RASANTE!F219-PERALTE!$Z$6)-2),IF(RASANTE!F219&lt;=PERALTE!$AB$6,-2))))),IF(AND(AH!$H$8="Derecha",RASANTE!F219&lt;=PERALTE!$AB$6),IF(RASANTE!F219&lt;=PERALTE!$Q$6,-2,IF(RASANTE!F219&lt;=PERALTE!$U$6,(10/(PERALTE!$U$6-PERALTE!$Q$6)*(RASANTE!F219-PERALTE!$Q$6)-2),IF(RASANTE!F219&lt;=PERALTE!$X$6,8,IF(RASANTE!F219&lt;=PERALTE!$AB$6,(10/(PERALTE!$X$6-PERALTE!$AB$6)*(RASANTE!F219-PERALTE!$AB$6)-2))))),IF(AND(AH!$H$10="Izquierda",RASANTE!F219&lt;=PERALTE!$AB$8),IF(RASANTE!F219&lt;=PERALTE!$S$8,-2,IF(RASANTE!F219&lt;=PERALTE!$U$8,(-6/(PERALTE!$U$8-PERALTE!$S$8)*(RASANTE!F219-PERALTE!$S$8)-2),IF(RASANTE!F219&lt;=PERALTE!$X$8,-8,IF(RASANTE!F219&lt;=PERALTE!$Z$8,(-6/(PERALTE!$X$8-PERALTE!$Z$8)*(RASANTE!F219-PERALTE!$Z$8)-2),IF(RASANTE!F219&lt;=PERALTE!$AB$8,-2))))),IF(AND(AH!$H$10="Derecha",RASANTE!F219&lt;=PERALTE!$AB$8),IF(RASANTE!F219&lt;=PERALTE!$Q$8,-2,IF(RASANTE!F219&lt;=PERALTE!$U$8,(10/(PERALTE!$U$8-PERALTE!$Q$8)*(RASANTE!F219-PERALTE!$Q$8)-2),IF(RASANTE!F219&lt;=PERALTE!$X$8,8,IF(RASANTE!F219&lt;=PERALTE!$AB$8,(10/(PERALTE!$X$8-PERALTE!$AB$8)*(RASANTE!F219-PERALTE!$AB$8)-2))))),IF(AND(AH!$H$12="Izquierda",RASANTE!F219&lt;=PERALTE!$AB$10),IF(RASANTE!F219&lt;=PERALTE!$S$10,-2,IF(RASANTE!F219&lt;=PERALTE!$U$10,(-6/(PERALTE!$U$10-PERALTE!$S$10)*(RASANTE!F219-PERALTE!$S$10)-2),IF(RASANTE!F219&lt;=PERALTE!$X$10,-8,IF(RASANTE!F219&lt;=PERALTE!$Z$10,(-6/(PERALTE!$X$10-PERALTE!$Z$10)*(RASANTE!F219-PERALTE!$Z$10)-2),IF(RASANTE!F219&lt;=PERALTE!$AB$10,-2))))),IF(AND(AH!$H$12="Derecha",RASANTE!F219&lt;=PERALTE!$AB$10),IF(RASANTE!F219&lt;=PERALTE!$Q$10,-2,IF(RASANTE!F219&lt;=PERALTE!$U$10,(10/(PERALTE!$U$10-PERALTE!$Q$10)*(RASANTE!F219-PERALTE!$Q$10)-2),IF(RASANTE!F219&lt;=PERALTE!$X$10,8,IF(RASANTE!F219&lt;=PERALTE!$AB$10,(10/(PERALTE!$X$10-PERALTE!$AB$10)*(RASANTE!F219-PERALTE!$AB$10)-2))))),IF(AND(AH!$H$14="Izquierda",RASANTE!F219&lt;=PERALTE!$AB$12),IF(RASANTE!F219&lt;=PERALTE!$S$12,-2,IF(RASANTE!F219&lt;=PERALTE!$U$12,(-6/(PERALTE!$U$12-PERALTE!$S$12)*(RASANTE!F219-PERALTE!$S$12)-2),IF(RASANTE!F219&lt;=PERALTE!$X$12,-8,IF(RASANTE!F219&lt;=PERALTE!$Z$12,(-6/(PERALTE!$X$12-PERALTE!$Z$12)*(RASANTE!F219-PERALTE!$Z$12)-2),IF(RASANTE!F219&lt;=PERALTE!$AB$12,-2))))),IF(AND(AH!$H$14="Derecha",RASANTE!F219&lt;=PERALTE!$AB$12),IF(RASANTE!F219&lt;=PERALTE!$Q$12,-2,IF(RASANTE!F219&lt;=PERALTE!$U$12,(10/(PERALTE!$U$12-PERALTE!$Q$12)*(RASANTE!F219-PERALTE!$Q$12)-2),IF(RASANTE!F219&lt;=PERALTE!$X$12,8,IF(RASANTE!F219&lt;=PERALTE!$AB$12,(10/(PERALTE!$X$12-PERALTE!$AB$12)*(RASANTE!F219-PERALTE!$AB$12)-2))))),IF(AND(AH!$H$16="Izquierda",RASANTE!F219&lt;=PERALTE!$AB$14),IF(RASANTE!F219&lt;=PERALTE!$S$14,-2,IF(RASANTE!F219&lt;=PERALTE!$U$14,(-6/(PERALTE!$U$14-PERALTE!$S$14)*(RASANTE!F219-PERALTE!$S$14)-2),IF(RASANTE!F219&lt;=PERALTE!$X$14,-8,IF(RASANTE!F219&lt;=PERALTE!$Z$14,(-6/(PERALTE!$X$14-PERALTE!$Z$14)*(RASANTE!F219-PERALTE!$Z$14)-2),IF(RASANTE!F219&lt;=PERALTE!$AB$14,-2))))),IF(AND(AH!$H$16="Derecha",RASANTE!F219&lt;=PERALTE!$AB$14),IF(RASANTE!F219&lt;=PERALTE!$Q$14,-2,IF(RASANTE!F219&lt;=PERALTE!$U$14,(10/(PERALTE!$U$14-PERALTE!$Q$14)*(RASANTE!F219-PERALTE!$Q$14)-2),IF(RASANTE!F219&lt;=PERALTE!$X$14,8,IF(RASANTE!F219&lt;=PERALTE!$AB$14,(10/(PERALTE!$X$14-PERALTE!$AB$14)*(RASANTE!F219-PERALTE!$AB$14)-2))))),IF(AND(AH!$H$18="Izquierda",RASANTE!F219&lt;=PERALTE!$AB$16),IF(RASANTE!F219&lt;=PERALTE!$S$16,-2,IF(RASANTE!F219&lt;=PERALTE!$U$16,(-6/(PERALTE!$U$16-PERALTE!$S$16)*(RASANTE!F219-PERALTE!$S$16)-2),IF(RASANTE!F219&lt;=PERALTE!$X$16,-8,IF(RASANTE!F219&lt;=PERALTE!$Z$16,(-6/(PERALTE!$X$16-PERALTE!$Z$16)*(RASANTE!F219-PERALTE!$Z$16)-2),IF(RASANTE!F219&lt;=PERALTE!$AB$16,-2))))),IF(AND(AH!$H$18="Derecha",RASANTE!F219&lt;=PERALTE!$AB$16),IF(RASANTE!F219&lt;=PERALTE!$Q$16,-2,IF(RASANTE!F219&lt;=PERALTE!$U$16,(10/(PERALTE!$U$16-PERALTE!$Q$16)*(RASANTE!F219-PERALTE!$Q$16)-2),IF(RASANTE!F219&lt;=PERALTE!$X$16,8,IF(RASANTE!F219&lt;=PERALTE!$AB$16,(10/(PERALTE!$X$16-PERALTE!$AB$16)*(RASANTE!F219-PERALTE!$AB$16)-2))))),IF(AND(AH!$H$20="Izquierda",RASANTE!F219&lt;=PERALTE!$AB$18),IF(RASANTE!F219&lt;=PERALTE!$S$18,-2,IF(RASANTE!F219&lt;=PERALTE!$U$18,(-6/(PERALTE!$U$18-PERALTE!$S$18)*(RASANTE!F219-PERALTE!$S$18)-2),IF(RASANTE!F219&lt;=PERALTE!$X$18,-8,IF(RASANTE!F219&lt;=PERALTE!$Z$18,(-6/(PERALTE!$X$18-PERALTE!$Z$18)*(RASANTE!F219-PERALTE!$Z$18)-2),IF(RASANTE!F219&lt;=PERALTE!$AB$18,-2))))),IF(AND(AH!$H$20="Derecha",RASANTE!F219&lt;=PERALTE!$AB$18),IF(RASANTE!F219&lt;=PERALTE!$Q$18,-2,IF(RASANTE!F219&lt;=PERALTE!$U$18,(10/(PERALTE!$U$18-PERALTE!$Q$18)*(RASANTE!F219-PERALTE!$Q$18)-2),IF(RASANTE!F219&lt;=PERALTE!$X$18,8,IF(RASANTE!F219&lt;=PERALTE!$AB$18,(10/(PERALTE!$X$18-PERALTE!$AB$18)*(RASANTE!F219-PERALTE!$AB$18)-2))))),IF(AND(AH!$H$24="Izquierda",RASANTE!F219&lt;=PERALTE!$AB$22),IF(RASANTE!F219&lt;=PERALTE!$S$22,-2,IF(RASANTE!F219&lt;=PERALTE!$U$22,(-6/(PERALTE!$U$22-PERALTE!$S$22)*(RASANTE!F219-PERALTE!$S$22)-2),IF(RASANTE!F219&lt;=PERALTE!$X$22,-8,IF(RASANTE!F219&lt;=PERALTE!$Z$22,(-6/(PERALTE!$X$22-PERALTE!$Z$22)*(RASANTE!F219-PERALTE!$Z$22)-2),IF(RASANTE!F219&lt;=PERALTE!$AB$22,-2))))),IF(AND(AH!$H$24="Derecha",RASANTE!F219&lt;=PERALTE!$AB$22),IF(RASANTE!F219&lt;=PERALTE!$Q$22,-2,IF(RASANTE!F219&lt;=PERALTE!$U$22,(10/(PERALTE!$U$22-PERALTE!$Q$22)*(RASANTE!F219-PERALTE!$Q$22)-2),IF(RASANTE!F219&lt;=PERALTE!$X$22,8,IF(RASANTE!F219&lt;=PERALTE!$AB$22,(10/(PERALTE!$X$22-PERALTE!$AB$22)*(RASANTE!F219-PERALTE!$AB$22)-2))))),IF(AND(AH!#REF!="Izquierda",RASANTE!F219&lt;=PERALTE!#REF!),IF(RASANTE!F219&lt;=PERALTE!#REF!,-2,IF(RASANTE!F219&lt;=PERALTE!#REF!,(-6/(PERALTE!#REF!-PERALTE!#REF!)*(RASANTE!F219-PERALTE!#REF!)-2),IF(RASANTE!F219&lt;=PERALTE!#REF!,-8,IF(RASANTE!F219&lt;=PERALTE!#REF!,(-6/(PERALTE!#REF!-PERALTE!#REF!)*(RASANTE!F219-PERALTE!#REF!)-2),IF(RASANTE!F219&lt;=PERALTE!#REF!,-2))))),IF(AND(AH!#REF!="Derecha",RASANTE!F219&lt;=PERALTE!#REF!),IF(RASANTE!F219&lt;=PERALTE!#REF!,-2,IF(RASANTE!F219&lt;=PERALTE!#REF!,(10/(PERALTE!#REF!-PERALTE!#REF!)*(RASANTE!F219-PERALTE!#REF!)-2),IF(RASANTE!F219&lt;=PERALTE!#REF!,8,IF(RASANTE!F219&lt;=PERALTE!#REF!,(10/(PERALTE!#REF!-PERALTE!#REF!)*(RASANTE!F219-PERALTE!#REF!)-2))))),IF(AND(AH!#REF!="Izquierda",RASANTE!F219&lt;=PERALTE!$AB$26),IF(RASANTE!F219&lt;=PERALTE!$S$26,-2,IF(RASANTE!F219&lt;=PERALTE!$U$26,(-6/(PERALTE!$U$26-PERALTE!$S$26)*(RASANTE!F219-PERALTE!$S$26)-2),IF(RASANTE!F219&lt;=PERALTE!$X$26,-8,IF(RASANTE!F219&lt;=PERALTE!$Z$26,(-6/(PERALTE!$X$26-PERALTE!$Z$26)*(RASANTE!F219-PERALTE!$Z$26)-2),IF(RASANTE!F219&lt;=PERALTE!$AB$26,-2))))),IF(AND(AH!#REF!="Derecha",RASANTE!F219&lt;=PERALTE!$AB$26),IF(RASANTE!F219&lt;=PERALTE!$Q$26,-2,IF(RASANTE!F219&lt;=PERALTE!$U$26,(10/(PERALTE!$U$26-PERALTE!$Q$26)*(RASANTE!F219-PERALTE!$Q$26)-2),IF(RASANTE!F219&lt;=PERALTE!$X$26,8,IF(RASANTE!F219&lt;=PERALTE!$AB$26,(10/(PERALTE!$X$26-PERALTE!$AB$26)*(RASANTE!F219-PERALTE!$AB$26)-2))))),IF(F219&lt;=PERALTE!#REF!,-2,"Abscisa fuera de la vía")))))))))))))))))))))</f>
        <v>8</v>
      </c>
      <c r="I219" s="28">
        <f>+IF(AND(AH!$H$8="Derecha",RASANTE!F219&lt;=PERALTE!$AB$6),IF(RASANTE!F219&lt;=PERALTE!$S$6,-2,IF(RASANTE!F219&lt;=PERALTE!$U$6,(-6/(PERALTE!$U$6-PERALTE!$S$6)*(RASANTE!F219-PERALTE!$S$6)-2),IF(RASANTE!F219&lt;=PERALTE!$X$6,-8,IF(RASANTE!F219&lt;=PERALTE!$Z$6,(-6/(PERALTE!$X$6-PERALTE!$Z$6)*(RASANTE!F219-PERALTE!$Z$6)-2),IF(RASANTE!F219&lt;=PERALTE!$AB$6,-2))))),IF(AND(AH!$H$8="Izquierda",RASANTE!F219&lt;=PERALTE!$AB$6),IF(RASANTE!F219&lt;=PERALTE!$Q$6,-2,IF(RASANTE!F219&lt;=PERALTE!$U$6,(10/(PERALTE!$U$6-PERALTE!$Q$6)*(RASANTE!F219-PERALTE!$Q$6)-2),IF(RASANTE!F219&lt;=PERALTE!$X$6,8,IF(RASANTE!F219&lt;=PERALTE!$AB$6,(10/(PERALTE!$X$6-PERALTE!$AB$6)*(RASANTE!F219-PERALTE!$AB$6)-2))))),IF(AND(AH!$H$10="Derecha",RASANTE!F219&lt;=PERALTE!$AB$8),IF(RASANTE!F219&lt;=PERALTE!$S$8,-2,IF(RASANTE!F219&lt;=PERALTE!$U$8,(-6/(PERALTE!$U$8-PERALTE!$S$8)*(RASANTE!F219-PERALTE!$S$8)-2),IF(RASANTE!F219&lt;=PERALTE!$X$8,-8,IF(RASANTE!F219&lt;=PERALTE!$Z$8,(-6/(PERALTE!$X$8-PERALTE!$Z$8)*(RASANTE!F219-PERALTE!$Z$8)-2),IF(RASANTE!F219&lt;=PERALTE!$AB$8,-2))))),IF(AND(AH!$H$10="Izquierda",RASANTE!F219&lt;=PERALTE!$AB$8),IF(RASANTE!F219&lt;=PERALTE!$Q$8,-2,IF(RASANTE!F219&lt;=PERALTE!$U$8,(10/(PERALTE!$U$8-PERALTE!$Q$8)*(RASANTE!F219-PERALTE!$Q$8)-2),IF(RASANTE!F219&lt;=PERALTE!$X$8,8,IF(RASANTE!F219&lt;=PERALTE!$AB$8,(10/(PERALTE!$X$8-PERALTE!$AB$8)*(RASANTE!F219-PERALTE!$AB$8)-2))))),IF(AND(AH!$H$12="Derecha",RASANTE!F219&lt;=PERALTE!$AB$10),IF(RASANTE!F219&lt;=PERALTE!$S$10,-2,IF(RASANTE!F219&lt;=PERALTE!$U$10,(-6/(PERALTE!$U$10-PERALTE!$S$10)*(RASANTE!F219-PERALTE!$S$10)-2),IF(RASANTE!F219&lt;=PERALTE!$X$10,-8,IF(RASANTE!F219&lt;=PERALTE!$Z$10,(-6/(PERALTE!$X$10-PERALTE!$Z$10)*(RASANTE!F219-PERALTE!$Z$10)-2),IF(RASANTE!F219&lt;=PERALTE!$AB$10,-2))))),IF(AND(AH!$H$12="Izquierda",RASANTE!F219&lt;=PERALTE!$AB$10),IF(RASANTE!F219&lt;=PERALTE!$Q$10,-2,IF(RASANTE!F219&lt;=PERALTE!$U$10,(10/(PERALTE!$U$10-PERALTE!$Q$10)*(RASANTE!F219-PERALTE!$Q$10)-2),IF(RASANTE!F219&lt;=PERALTE!$X$10,8,IF(RASANTE!F219&lt;=PERALTE!$AB$10,(10/(PERALTE!$X$10-PERALTE!$AB$10)*(RASANTE!F219-PERALTE!$AB$10)-2))))),IF(AND(AH!$H$14="Derecha",RASANTE!F219&lt;=PERALTE!$AB$12),IF(RASANTE!F219&lt;=PERALTE!$S$12,-2,IF(RASANTE!F219&lt;=PERALTE!$U$12,(-6/(PERALTE!$U$12-PERALTE!$S$12)*(RASANTE!F219-PERALTE!$S$12)-2),IF(RASANTE!F219&lt;=PERALTE!$X$12,-8,IF(RASANTE!F219&lt;=PERALTE!$Z$12,(-6/(PERALTE!$X$12-PERALTE!$Z$12)*(RASANTE!F219-PERALTE!$Z$12)-2),IF(RASANTE!F219&lt;=PERALTE!$AB$12,-2))))),IF(AND(AH!$H$14="Izquierda",RASANTE!F219&lt;=PERALTE!$AB$12),IF(RASANTE!F219&lt;=PERALTE!$Q$12,-2,IF(RASANTE!F219&lt;=PERALTE!$U$12,(10/(PERALTE!$U$12-PERALTE!$Q$12)*(RASANTE!F219-PERALTE!$Q$12)-2),IF(RASANTE!F219&lt;=PERALTE!$X$12,8,IF(RASANTE!F219&lt;=PERALTE!$AB$12,(10/(PERALTE!$X$12-PERALTE!$AB$12)*(RASANTE!F219-PERALTE!$AB$12)-2))))),IF(AND(AH!$H$16="Derecha",RASANTE!F219&lt;=PERALTE!$AB$14),IF(RASANTE!F219&lt;=PERALTE!$S$14,-2,IF(RASANTE!F219&lt;=PERALTE!$U$14,(-6/(PERALTE!$U$14-PERALTE!$S$14)*(RASANTE!F219-PERALTE!$S$14)-2),IF(RASANTE!F219&lt;=PERALTE!$X$14,-8,IF(RASANTE!F219&lt;=PERALTE!$Z$14,(-6/(PERALTE!$X$14-PERALTE!$Z$14)*(RASANTE!F219-PERALTE!$Z$14)-2),IF(RASANTE!F219&lt;=PERALTE!$AB$14,-2))))),IF(AND(AH!$H$16="Izquierda",RASANTE!F219&lt;=PERALTE!$AB$14),IF(RASANTE!F219&lt;=PERALTE!$Q$14,-2,IF(RASANTE!F219&lt;=PERALTE!$U$14,(10/(PERALTE!$U$14-PERALTE!$Q$14)*(RASANTE!F219-PERALTE!$Q$14)-2),IF(RASANTE!F219&lt;=PERALTE!$X$14,8,IF(RASANTE!F219&lt;=PERALTE!$AB$14,(10/(PERALTE!$X$14-PERALTE!$AB$14)*(RASANTE!F219-PERALTE!$AB$14)-2))))),IF(AND(AH!$H$18="Derecha",RASANTE!F219&lt;=PERALTE!$AB$16),IF(RASANTE!F219&lt;=PERALTE!$S$16,-2,IF(RASANTE!F219&lt;=PERALTE!$U$16,(-6/(PERALTE!$U$16-PERALTE!$S$16)*(RASANTE!F219-PERALTE!$S$16)-2),IF(RASANTE!F219&lt;=PERALTE!$X$16,-8,IF(RASANTE!F219&lt;=PERALTE!$Z$16,(-6/(PERALTE!$X$16-PERALTE!$Z$16)*(RASANTE!F219-PERALTE!$Z$16)-2),IF(RASANTE!F219&lt;=PERALTE!$AB$16,-2))))),IF(AND(AH!$H$18="Izquierda",RASANTE!F219&lt;=PERALTE!$AB$16),IF(RASANTE!F219&lt;=PERALTE!$Q$16,-2,IF(RASANTE!F219&lt;=PERALTE!$U$16,(10/(PERALTE!$U$16-PERALTE!$Q$16)*(RASANTE!F219-PERALTE!$Q$16)-2),IF(RASANTE!F219&lt;=PERALTE!$X$16,8,IF(RASANTE!F219&lt;=PERALTE!$AB$16,(10/(PERALTE!$X$16-PERALTE!$AB$16)*(RASANTE!F219-PERALTE!$AB$16)-2))))),IF(AND(AH!$H$20="Derecha",RASANTE!F219&lt;=PERALTE!$AB$18),IF(RASANTE!F219&lt;=PERALTE!$S$18,-2,IF(RASANTE!F219&lt;=PERALTE!$U$18,(-6/(PERALTE!$U$18-PERALTE!$S$18)*(RASANTE!F219-PERALTE!$S$18)-2),IF(RASANTE!F219&lt;=PERALTE!$X$18,-8,IF(RASANTE!F219&lt;=PERALTE!$Z$18,(-6/(PERALTE!$X$18-PERALTE!$Z$18)*(RASANTE!F219-PERALTE!$Z$18)-2),IF(RASANTE!F219&lt;=PERALTE!$AB$18,-2))))),IF(AND(AH!$H$20="Izquierda",RASANTE!F219&lt;=PERALTE!$AB$18),IF(RASANTE!F219&lt;=PERALTE!$Q$18,-2,IF(RASANTE!F219&lt;=PERALTE!$U$18,(10/(PERALTE!$U$18-PERALTE!$Q$18)*(RASANTE!F219-PERALTE!$Q$18)-2),IF(RASANTE!F219&lt;=PERALTE!$X$18,8,IF(RASANTE!F219&lt;=PERALTE!$AB$18,(10/(PERALTE!$X$18-PERALTE!$AB$18)*(RASANTE!F219-PERALTE!$AB$18)-2))))),IF(AND(AH!$H$24="Derecha",RASANTE!F219&lt;=PERALTE!$AB$22),IF(RASANTE!F219&lt;=PERALTE!$S$22,-2,IF(RASANTE!F219&lt;=PERALTE!$U$22,(-6/(PERALTE!$U$22-PERALTE!$S$22)*(RASANTE!F219-PERALTE!$S$22)-2),IF(RASANTE!F219&lt;=PERALTE!$X$22,-8,IF(RASANTE!F219&lt;=PERALTE!$Z$22,(-6/(PERALTE!$X$22-PERALTE!$Z$22)*(RASANTE!F219-PERALTE!$Z$22)-2),IF(RASANTE!F219&lt;=PERALTE!$AB$22,-2))))),IF(AND(AH!$H$24="Izquierda",RASANTE!F219&lt;=PERALTE!$AB$22),IF(RASANTE!F219&lt;=PERALTE!$Q$22,-2,IF(RASANTE!F219&lt;=PERALTE!$U$22,(10/(PERALTE!$U$22-PERALTE!$Q$22)*(RASANTE!F219-PERALTE!$Q$22)-2),IF(RASANTE!F219&lt;=PERALTE!$X$22,8,IF(RASANTE!F219&lt;=PERALTE!$AB$22,(10/(PERALTE!$X$22-PERALTE!$AB$22)*(RASANTE!F219-PERALTE!$AB$22)-2))))),IF(AND(AH!#REF!="Derecha",RASANTE!F219&lt;=PERALTE!#REF!),IF(RASANTE!F219&lt;=PERALTE!#REF!,-2,IF(RASANTE!F219&lt;=PERALTE!#REF!,(-6/(PERALTE!#REF!-PERALTE!#REF!)*(RASANTE!F219-PERALTE!#REF!)-2),IF(RASANTE!F219&lt;=PERALTE!#REF!,-8,IF(RASANTE!F219&lt;=PERALTE!#REF!,(-6/(PERALTE!#REF!-PERALTE!#REF!)*(RASANTE!F219-PERALTE!#REF!)-2),IF(RASANTE!F219&lt;=PERALTE!#REF!,-2))))),IF(AND(AH!#REF!="Izquierda",RASANTE!F219&lt;=PERALTE!#REF!),IF(RASANTE!F219&lt;=PERALTE!#REF!,-2,IF(RASANTE!F219&lt;=PERALTE!#REF!,(10/(PERALTE!#REF!-PERALTE!#REF!)*(RASANTE!F219-PERALTE!#REF!)-2),IF(RASANTE!F219&lt;=PERALTE!#REF!,8,IF(RASANTE!F219&lt;=PERALTE!#REF!,(10/(PERALTE!#REF!-PERALTE!#REF!)*(RASANTE!F219-PERALTE!#REF!)-2))))),IF(AND(AH!#REF!="Derecha",RASANTE!F219&lt;=PERALTE!$AB$26),IF(RASANTE!F219&lt;=PERALTE!$S$26,-2,IF(RASANTE!F219&lt;=PERALTE!$U$26,(-6/(PERALTE!$U$26-PERALTE!$S$26)*(RASANTE!F219-PERALTE!$S$26)-2),IF(RASANTE!F219&lt;=PERALTE!$X$26,-8,IF(RASANTE!F219&lt;=PERALTE!$Z$26,(-6/(PERALTE!$X$26-PERALTE!$Z$26)*(RASANTE!F219-PERALTE!$Z$26)-2),IF(RASANTE!F219&lt;=PERALTE!$AB$26,-2))))),IF(AND(AH!#REF!="Izquierda",RASANTE!F219&lt;=PERALTE!$AB$26),IF(RASANTE!F219&lt;=PERALTE!$Q$26,-2,IF(RASANTE!F219&lt;=PERALTE!$U$26,(10/(PERALTE!$U$26-PERALTE!$Q$26)*(RASANTE!F219-PERALTE!$Q$26)-2),IF(RASANTE!F219&lt;=PERALTE!$X$26,8,IF(RASANTE!F219&lt;=PERALTE!$AB$26,(10/(PERALTE!$X$26-PERALTE!$AB$26)*(RASANTE!F219-PERALTE!$AB$26)-2))))),IF(F219&lt;=PERALTE!#REF!,-2,"Abscisa fuera de la vía")))))))))))))))))))))</f>
        <v>-8</v>
      </c>
      <c r="J219" s="28">
        <f t="shared" si="11"/>
        <v>1628.9706960348369</v>
      </c>
      <c r="K219" s="28">
        <f>+IF(AND(AV!$S$6&lt;F219,F219&lt;=AV!$T$6),AV!$P$6*((AV!$S$6-RASANTE!F219)/(AV!$N$6))^2,IF(AND(AV!$T$6&lt;RASANTE!F219,F219&lt;AV!$U$6),AV!$P$6*((AV!$U$6-RASANTE!F219)/(AV!$O$6))^2,IF(AND(AV!$S$8&lt;F219,F219&lt;=AV!$T$8),AV!$P$8*((AV!$S$8-RASANTE!F219)/(AV!$N$8))^2,IF(AND(AV!$T$8&lt;RASANTE!F219,F219&lt;AV!$U$8),AV!$P$8*((AV!$U$8-RASANTE!F219)/(AV!$O$8))^2,IF(AND(AV!$S$10&lt;F219,F219&lt;=AV!$T$10),AV!$P$10*((AV!$S$10-RASANTE!F219)/(AV!$N$10))^2,IF(AND(AV!$T$10&lt;RASANTE!F219,F219&lt;AV!$U$10),AV!$P$10*((AV!$U$10-RASANTE!F219)/(AV!$O$10))^2,IF(AND(AV!$S$12&lt;F219,F219&lt;=AV!$T$12),AV!$P$12*((AV!$S$12-RASANTE!F219)/(AV!$N$12))^2,IF(AND(AV!$T$12&lt;RASANTE!F219,F219&lt;AV!$U$12),AV!$P$12*((AV!$U$12-RASANTE!F219)/(AV!$O$12))^2,IF(AND(AV!$S$14&lt;F219,F219&lt;=AV!$T$14),AV!$P$14*((AV!$S$14-RASANTE!F219)/(AV!$N$14))^2,IF(AND(AV!$T$14&lt;RASANTE!F219,F219&lt;AV!$U$14),AV!$P$14*((AV!$U$14-RASANTE!F219)/(AV!$O$14))^2,IF(AND(AV!$S$16&lt;F219,F219&lt;=AV!$T$16),AV!$P$16*((AV!$S$16-RASANTE!F219)/(AV!$N$16))^2,IF(AND(AV!$T$16&lt;RASANTE!F219,F219&lt;AV!$U$16),AV!$P$16*((AV!$U$16-RASANTE!F219)/(AV!$O$16))^2,IF(AND(AV!$S$18&lt;F219,F219&lt;=AV!$T$18),AV!$P$18*((AV!$S$18-RASANTE!F219)/(AV!$N$18))^2,IF(AND(AV!$T$18&lt;RASANTE!F219,F219&lt;AV!$U$18),AV!$P$18*((AV!$U$18-RASANTE!F219)/(AV!$O$18))^2,IF(AND(AV!$S$20&lt;F219,F219&lt;=AV!$T$20),AV!$P$20*((AV!$S$20-RASANTE!F219)/(AV!$N$20))^2,IF(AND(AV!$T$20&lt;RASANTE!F219,F219&lt;AV!$U$20),AV!$P$20*((AV!$U$20-RASANTE!F219)/(AV!$O$20))^2,IF(AND(AV!$S$22&lt;F219,F219&lt;=AV!$T$22),AV!$P$22*((AV!$S$22-RASANTE!F219)/(AV!$N$22))^2,IF(AND(AV!$T$22&lt;RASANTE!F219,F219&lt;AV!$U$22),AV!$P$22*((AV!$U$22-RASANTE!F219)/(AV!$O$22))^2,IF(AND(AV!$S$24&lt;F219,F219&lt;=AV!$T$24),AV!$P$24*((AV!$S$24-RASANTE!F219)/(AV!$N$24))^2,IF(AND(AV!$T$24&lt;RASANTE!F219,F219&lt;AV!$U$24),AV!$P$24*((AV!$U$24-RASANTE!F219)/(AV!$O$24))^2,0))))))))))))))))))))</f>
        <v>0</v>
      </c>
      <c r="L219" s="28">
        <f>+M219+H219%*PERALTE!$C$32</f>
        <v>1629.2506960348369</v>
      </c>
      <c r="M219" s="28">
        <f t="shared" si="7"/>
        <v>1628.9706960348369</v>
      </c>
      <c r="N219" s="28">
        <f>+M219+I219%*PERALTE!$C$32</f>
        <v>1628.6906960348369</v>
      </c>
      <c r="O219" s="92"/>
      <c r="P219" s="84"/>
      <c r="Q219" s="84"/>
      <c r="R219" s="84"/>
      <c r="S219" s="84"/>
      <c r="T219" s="84"/>
      <c r="U219" s="84"/>
      <c r="V219" s="84"/>
      <c r="W219" s="84"/>
      <c r="X219" s="84"/>
      <c r="Y219" s="84"/>
    </row>
    <row r="220" spans="1:25" ht="15.75" customHeight="1" x14ac:dyDescent="0.2">
      <c r="A220" s="139" t="s">
        <v>225</v>
      </c>
      <c r="B220" s="372" t="s">
        <v>226</v>
      </c>
      <c r="C220" s="373"/>
      <c r="D220" s="374"/>
      <c r="E220" s="91"/>
      <c r="F220" s="34">
        <f>PERALTE!V16</f>
        <v>1343.4916989263804</v>
      </c>
      <c r="G220" s="88">
        <f>IF(F220&lt;=AV!$T$6,AV!$C$5,IF(RASANTE!F220&lt;=AV!$T$8,AV!$C$7,IF(RASANTE!F220&lt;=AV!$T$10,AV!$C$9,IF(RASANTE!F220&lt;=AV!$T$12,AV!$C$11,IF(RASANTE!F220&lt;=AV!$T$14,AV!$C$13,IF(RASANTE!F220&lt;=AV!$T$16,AV!$C$15, IF(RASANTE!F220&lt;=AV!$T$18,AV!$C$17,IF(RASANTE!F220&lt;=AV!$T$20,AV!$C$19,IF(RASANTE!F220&lt;=AV!$T$22,AV!$C$21,IF(RASANTE!F220&lt;=AV!$T$24,AV!$C$23,AV!$C$25))))))))))</f>
        <v>2.8</v>
      </c>
      <c r="H220" s="28">
        <f>+IF(AND(AH!$H$8="Izquierda",RASANTE!F220&lt;=PERALTE!$AB$6),IF(RASANTE!F220&lt;=PERALTE!$S$6,-2,IF(RASANTE!F220&lt;=PERALTE!$U$6,(-6/(PERALTE!$U$6-PERALTE!$S$6)*(RASANTE!F220-PERALTE!$S$6)-2),IF(RASANTE!F220&lt;=PERALTE!$X$6,-8,IF(RASANTE!F220&lt;=PERALTE!$Z$6,(-6/(PERALTE!$X$6-PERALTE!$Z$6)*(RASANTE!F220-PERALTE!$Z$6)-2),IF(RASANTE!F220&lt;=PERALTE!$AB$6,-2))))),IF(AND(AH!$H$8="Derecha",RASANTE!F220&lt;=PERALTE!$AB$6),IF(RASANTE!F220&lt;=PERALTE!$Q$6,-2,IF(RASANTE!F220&lt;=PERALTE!$U$6,(10/(PERALTE!$U$6-PERALTE!$Q$6)*(RASANTE!F220-PERALTE!$Q$6)-2),IF(RASANTE!F220&lt;=PERALTE!$X$6,8,IF(RASANTE!F220&lt;=PERALTE!$AB$6,(10/(PERALTE!$X$6-PERALTE!$AB$6)*(RASANTE!F220-PERALTE!$AB$6)-2))))),IF(AND(AH!$H$10="Izquierda",RASANTE!F220&lt;=PERALTE!$AB$8),IF(RASANTE!F220&lt;=PERALTE!$S$8,-2,IF(RASANTE!F220&lt;=PERALTE!$U$8,(-6/(PERALTE!$U$8-PERALTE!$S$8)*(RASANTE!F220-PERALTE!$S$8)-2),IF(RASANTE!F220&lt;=PERALTE!$X$8,-8,IF(RASANTE!F220&lt;=PERALTE!$Z$8,(-6/(PERALTE!$X$8-PERALTE!$Z$8)*(RASANTE!F220-PERALTE!$Z$8)-2),IF(RASANTE!F220&lt;=PERALTE!$AB$8,-2))))),IF(AND(AH!$H$10="Derecha",RASANTE!F220&lt;=PERALTE!$AB$8),IF(RASANTE!F220&lt;=PERALTE!$Q$8,-2,IF(RASANTE!F220&lt;=PERALTE!$U$8,(10/(PERALTE!$U$8-PERALTE!$Q$8)*(RASANTE!F220-PERALTE!$Q$8)-2),IF(RASANTE!F220&lt;=PERALTE!$X$8,8,IF(RASANTE!F220&lt;=PERALTE!$AB$8,(10/(PERALTE!$X$8-PERALTE!$AB$8)*(RASANTE!F220-PERALTE!$AB$8)-2))))),IF(AND(AH!$H$12="Izquierda",RASANTE!F220&lt;=PERALTE!$AB$10),IF(RASANTE!F220&lt;=PERALTE!$S$10,-2,IF(RASANTE!F220&lt;=PERALTE!$U$10,(-6/(PERALTE!$U$10-PERALTE!$S$10)*(RASANTE!F220-PERALTE!$S$10)-2),IF(RASANTE!F220&lt;=PERALTE!$X$10,-8,IF(RASANTE!F220&lt;=PERALTE!$Z$10,(-6/(PERALTE!$X$10-PERALTE!$Z$10)*(RASANTE!F220-PERALTE!$Z$10)-2),IF(RASANTE!F220&lt;=PERALTE!$AB$10,-2))))),IF(AND(AH!$H$12="Derecha",RASANTE!F220&lt;=PERALTE!$AB$10),IF(RASANTE!F220&lt;=PERALTE!$Q$10,-2,IF(RASANTE!F220&lt;=PERALTE!$U$10,(10/(PERALTE!$U$10-PERALTE!$Q$10)*(RASANTE!F220-PERALTE!$Q$10)-2),IF(RASANTE!F220&lt;=PERALTE!$X$10,8,IF(RASANTE!F220&lt;=PERALTE!$AB$10,(10/(PERALTE!$X$10-PERALTE!$AB$10)*(RASANTE!F220-PERALTE!$AB$10)-2))))),IF(AND(AH!$H$14="Izquierda",RASANTE!F220&lt;=PERALTE!$AB$12),IF(RASANTE!F220&lt;=PERALTE!$S$12,-2,IF(RASANTE!F220&lt;=PERALTE!$U$12,(-6/(PERALTE!$U$12-PERALTE!$S$12)*(RASANTE!F220-PERALTE!$S$12)-2),IF(RASANTE!F220&lt;=PERALTE!$X$12,-8,IF(RASANTE!F220&lt;=PERALTE!$Z$12,(-6/(PERALTE!$X$12-PERALTE!$Z$12)*(RASANTE!F220-PERALTE!$Z$12)-2),IF(RASANTE!F220&lt;=PERALTE!$AB$12,-2))))),IF(AND(AH!$H$14="Derecha",RASANTE!F220&lt;=PERALTE!$AB$12),IF(RASANTE!F220&lt;=PERALTE!$Q$12,-2,IF(RASANTE!F220&lt;=PERALTE!$U$12,(10/(PERALTE!$U$12-PERALTE!$Q$12)*(RASANTE!F220-PERALTE!$Q$12)-2),IF(RASANTE!F220&lt;=PERALTE!$X$12,8,IF(RASANTE!F220&lt;=PERALTE!$AB$12,(10/(PERALTE!$X$12-PERALTE!$AB$12)*(RASANTE!F220-PERALTE!$AB$12)-2))))),IF(AND(AH!$H$16="Izquierda",RASANTE!F220&lt;=PERALTE!$AB$14),IF(RASANTE!F220&lt;=PERALTE!$S$14,-2,IF(RASANTE!F220&lt;=PERALTE!$U$14,(-6/(PERALTE!$U$14-PERALTE!$S$14)*(RASANTE!F220-PERALTE!$S$14)-2),IF(RASANTE!F220&lt;=PERALTE!$X$14,-8,IF(RASANTE!F220&lt;=PERALTE!$Z$14,(-6/(PERALTE!$X$14-PERALTE!$Z$14)*(RASANTE!F220-PERALTE!$Z$14)-2),IF(RASANTE!F220&lt;=PERALTE!$AB$14,-2))))),IF(AND(AH!$H$16="Derecha",RASANTE!F220&lt;=PERALTE!$AB$14),IF(RASANTE!F220&lt;=PERALTE!$Q$14,-2,IF(RASANTE!F220&lt;=PERALTE!$U$14,(10/(PERALTE!$U$14-PERALTE!$Q$14)*(RASANTE!F220-PERALTE!$Q$14)-2),IF(RASANTE!F220&lt;=PERALTE!$X$14,8,IF(RASANTE!F220&lt;=PERALTE!$AB$14,(10/(PERALTE!$X$14-PERALTE!$AB$14)*(RASANTE!F220-PERALTE!$AB$14)-2))))),IF(AND(AH!$H$18="Izquierda",RASANTE!F220&lt;=PERALTE!$AB$16),IF(RASANTE!F220&lt;=PERALTE!$S$16,-2,IF(RASANTE!F220&lt;=PERALTE!$U$16,(-6/(PERALTE!$U$16-PERALTE!$S$16)*(RASANTE!F220-PERALTE!$S$16)-2),IF(RASANTE!F220&lt;=PERALTE!$X$16,-8,IF(RASANTE!F220&lt;=PERALTE!$Z$16,(-6/(PERALTE!$X$16-PERALTE!$Z$16)*(RASANTE!F220-PERALTE!$Z$16)-2),IF(RASANTE!F220&lt;=PERALTE!$AB$16,-2))))),IF(AND(AH!$H$18="Derecha",RASANTE!F220&lt;=PERALTE!$AB$16),IF(RASANTE!F220&lt;=PERALTE!$Q$16,-2,IF(RASANTE!F220&lt;=PERALTE!$U$16,(10/(PERALTE!$U$16-PERALTE!$Q$16)*(RASANTE!F220-PERALTE!$Q$16)-2),IF(RASANTE!F220&lt;=PERALTE!$X$16,8,IF(RASANTE!F220&lt;=PERALTE!$AB$16,(10/(PERALTE!$X$16-PERALTE!$AB$16)*(RASANTE!F220-PERALTE!$AB$16)-2))))),IF(AND(AH!$H$20="Izquierda",RASANTE!F220&lt;=PERALTE!$AB$18),IF(RASANTE!F220&lt;=PERALTE!$S$18,-2,IF(RASANTE!F220&lt;=PERALTE!$U$18,(-6/(PERALTE!$U$18-PERALTE!$S$18)*(RASANTE!F220-PERALTE!$S$18)-2),IF(RASANTE!F220&lt;=PERALTE!$X$18,-8,IF(RASANTE!F220&lt;=PERALTE!$Z$18,(-6/(PERALTE!$X$18-PERALTE!$Z$18)*(RASANTE!F220-PERALTE!$Z$18)-2),IF(RASANTE!F220&lt;=PERALTE!$AB$18,-2))))),IF(AND(AH!$H$20="Derecha",RASANTE!F220&lt;=PERALTE!$AB$18),IF(RASANTE!F220&lt;=PERALTE!$Q$18,-2,IF(RASANTE!F220&lt;=PERALTE!$U$18,(10/(PERALTE!$U$18-PERALTE!$Q$18)*(RASANTE!F220-PERALTE!$Q$18)-2),IF(RASANTE!F220&lt;=PERALTE!$X$18,8,IF(RASANTE!F220&lt;=PERALTE!$AB$18,(10/(PERALTE!$X$18-PERALTE!$AB$18)*(RASANTE!F220-PERALTE!$AB$18)-2))))),IF(AND(AH!$H$24="Izquierda",RASANTE!F220&lt;=PERALTE!$AB$22),IF(RASANTE!F220&lt;=PERALTE!$S$22,-2,IF(RASANTE!F220&lt;=PERALTE!$U$22,(-6/(PERALTE!$U$22-PERALTE!$S$22)*(RASANTE!F220-PERALTE!$S$22)-2),IF(RASANTE!F220&lt;=PERALTE!$X$22,-8,IF(RASANTE!F220&lt;=PERALTE!$Z$22,(-6/(PERALTE!$X$22-PERALTE!$Z$22)*(RASANTE!F220-PERALTE!$Z$22)-2),IF(RASANTE!F220&lt;=PERALTE!$AB$22,-2))))),IF(AND(AH!$H$24="Derecha",RASANTE!F220&lt;=PERALTE!$AB$22),IF(RASANTE!F220&lt;=PERALTE!$Q$22,-2,IF(RASANTE!F220&lt;=PERALTE!$U$22,(10/(PERALTE!$U$22-PERALTE!$Q$22)*(RASANTE!F220-PERALTE!$Q$22)-2),IF(RASANTE!F220&lt;=PERALTE!$X$22,8,IF(RASANTE!F220&lt;=PERALTE!$AB$22,(10/(PERALTE!$X$22-PERALTE!$AB$22)*(RASANTE!F220-PERALTE!$AB$22)-2))))),IF(AND(AH!#REF!="Izquierda",RASANTE!F220&lt;=PERALTE!#REF!),IF(RASANTE!F220&lt;=PERALTE!#REF!,-2,IF(RASANTE!F220&lt;=PERALTE!#REF!,(-6/(PERALTE!#REF!-PERALTE!#REF!)*(RASANTE!F220-PERALTE!#REF!)-2),IF(RASANTE!F220&lt;=PERALTE!#REF!,-8,IF(RASANTE!F220&lt;=PERALTE!#REF!,(-6/(PERALTE!#REF!-PERALTE!#REF!)*(RASANTE!F220-PERALTE!#REF!)-2),IF(RASANTE!F220&lt;=PERALTE!#REF!,-2))))),IF(AND(AH!#REF!="Derecha",RASANTE!F220&lt;=PERALTE!#REF!),IF(RASANTE!F220&lt;=PERALTE!#REF!,-2,IF(RASANTE!F220&lt;=PERALTE!#REF!,(10/(PERALTE!#REF!-PERALTE!#REF!)*(RASANTE!F220-PERALTE!#REF!)-2),IF(RASANTE!F220&lt;=PERALTE!#REF!,8,IF(RASANTE!F220&lt;=PERALTE!#REF!,(10/(PERALTE!#REF!-PERALTE!#REF!)*(RASANTE!F220-PERALTE!#REF!)-2))))),IF(AND(AH!#REF!="Izquierda",RASANTE!F220&lt;=PERALTE!$AB$26),IF(RASANTE!F220&lt;=PERALTE!$S$26,-2,IF(RASANTE!F220&lt;=PERALTE!$U$26,(-6/(PERALTE!$U$26-PERALTE!$S$26)*(RASANTE!F220-PERALTE!$S$26)-2),IF(RASANTE!F220&lt;=PERALTE!$X$26,-8,IF(RASANTE!F220&lt;=PERALTE!$Z$26,(-6/(PERALTE!$X$26-PERALTE!$Z$26)*(RASANTE!F220-PERALTE!$Z$26)-2),IF(RASANTE!F220&lt;=PERALTE!$AB$26,-2))))),IF(AND(AH!#REF!="Derecha",RASANTE!F220&lt;=PERALTE!$AB$26),IF(RASANTE!F220&lt;=PERALTE!$Q$26,-2,IF(RASANTE!F220&lt;=PERALTE!$U$26,(10/(PERALTE!$U$26-PERALTE!$Q$26)*(RASANTE!F220-PERALTE!$Q$26)-2),IF(RASANTE!F220&lt;=PERALTE!$X$26,8,IF(RASANTE!F220&lt;=PERALTE!$AB$26,(10/(PERALTE!$X$26-PERALTE!$AB$26)*(RASANTE!F220-PERALTE!$AB$26)-2))))),IF(F220&lt;=PERALTE!#REF!,-2,"Abscisa fuera de la vía")))))))))))))))))))))</f>
        <v>8.0000000000000497</v>
      </c>
      <c r="I220" s="28">
        <f>+IF(AND(AH!$H$8="Derecha",RASANTE!F220&lt;=PERALTE!$AB$6),IF(RASANTE!F220&lt;=PERALTE!$S$6,-2,IF(RASANTE!F220&lt;=PERALTE!$U$6,(-6/(PERALTE!$U$6-PERALTE!$S$6)*(RASANTE!F220-PERALTE!$S$6)-2),IF(RASANTE!F220&lt;=PERALTE!$X$6,-8,IF(RASANTE!F220&lt;=PERALTE!$Z$6,(-6/(PERALTE!$X$6-PERALTE!$Z$6)*(RASANTE!F220-PERALTE!$Z$6)-2),IF(RASANTE!F220&lt;=PERALTE!$AB$6,-2))))),IF(AND(AH!$H$8="Izquierda",RASANTE!F220&lt;=PERALTE!$AB$6),IF(RASANTE!F220&lt;=PERALTE!$Q$6,-2,IF(RASANTE!F220&lt;=PERALTE!$U$6,(10/(PERALTE!$U$6-PERALTE!$Q$6)*(RASANTE!F220-PERALTE!$Q$6)-2),IF(RASANTE!F220&lt;=PERALTE!$X$6,8,IF(RASANTE!F220&lt;=PERALTE!$AB$6,(10/(PERALTE!$X$6-PERALTE!$AB$6)*(RASANTE!F220-PERALTE!$AB$6)-2))))),IF(AND(AH!$H$10="Derecha",RASANTE!F220&lt;=PERALTE!$AB$8),IF(RASANTE!F220&lt;=PERALTE!$S$8,-2,IF(RASANTE!F220&lt;=PERALTE!$U$8,(-6/(PERALTE!$U$8-PERALTE!$S$8)*(RASANTE!F220-PERALTE!$S$8)-2),IF(RASANTE!F220&lt;=PERALTE!$X$8,-8,IF(RASANTE!F220&lt;=PERALTE!$Z$8,(-6/(PERALTE!$X$8-PERALTE!$Z$8)*(RASANTE!F220-PERALTE!$Z$8)-2),IF(RASANTE!F220&lt;=PERALTE!$AB$8,-2))))),IF(AND(AH!$H$10="Izquierda",RASANTE!F220&lt;=PERALTE!$AB$8),IF(RASANTE!F220&lt;=PERALTE!$Q$8,-2,IF(RASANTE!F220&lt;=PERALTE!$U$8,(10/(PERALTE!$U$8-PERALTE!$Q$8)*(RASANTE!F220-PERALTE!$Q$8)-2),IF(RASANTE!F220&lt;=PERALTE!$X$8,8,IF(RASANTE!F220&lt;=PERALTE!$AB$8,(10/(PERALTE!$X$8-PERALTE!$AB$8)*(RASANTE!F220-PERALTE!$AB$8)-2))))),IF(AND(AH!$H$12="Derecha",RASANTE!F220&lt;=PERALTE!$AB$10),IF(RASANTE!F220&lt;=PERALTE!$S$10,-2,IF(RASANTE!F220&lt;=PERALTE!$U$10,(-6/(PERALTE!$U$10-PERALTE!$S$10)*(RASANTE!F220-PERALTE!$S$10)-2),IF(RASANTE!F220&lt;=PERALTE!$X$10,-8,IF(RASANTE!F220&lt;=PERALTE!$Z$10,(-6/(PERALTE!$X$10-PERALTE!$Z$10)*(RASANTE!F220-PERALTE!$Z$10)-2),IF(RASANTE!F220&lt;=PERALTE!$AB$10,-2))))),IF(AND(AH!$H$12="Izquierda",RASANTE!F220&lt;=PERALTE!$AB$10),IF(RASANTE!F220&lt;=PERALTE!$Q$10,-2,IF(RASANTE!F220&lt;=PERALTE!$U$10,(10/(PERALTE!$U$10-PERALTE!$Q$10)*(RASANTE!F220-PERALTE!$Q$10)-2),IF(RASANTE!F220&lt;=PERALTE!$X$10,8,IF(RASANTE!F220&lt;=PERALTE!$AB$10,(10/(PERALTE!$X$10-PERALTE!$AB$10)*(RASANTE!F220-PERALTE!$AB$10)-2))))),IF(AND(AH!$H$14="Derecha",RASANTE!F220&lt;=PERALTE!$AB$12),IF(RASANTE!F220&lt;=PERALTE!$S$12,-2,IF(RASANTE!F220&lt;=PERALTE!$U$12,(-6/(PERALTE!$U$12-PERALTE!$S$12)*(RASANTE!F220-PERALTE!$S$12)-2),IF(RASANTE!F220&lt;=PERALTE!$X$12,-8,IF(RASANTE!F220&lt;=PERALTE!$Z$12,(-6/(PERALTE!$X$12-PERALTE!$Z$12)*(RASANTE!F220-PERALTE!$Z$12)-2),IF(RASANTE!F220&lt;=PERALTE!$AB$12,-2))))),IF(AND(AH!$H$14="Izquierda",RASANTE!F220&lt;=PERALTE!$AB$12),IF(RASANTE!F220&lt;=PERALTE!$Q$12,-2,IF(RASANTE!F220&lt;=PERALTE!$U$12,(10/(PERALTE!$U$12-PERALTE!$Q$12)*(RASANTE!F220-PERALTE!$Q$12)-2),IF(RASANTE!F220&lt;=PERALTE!$X$12,8,IF(RASANTE!F220&lt;=PERALTE!$AB$12,(10/(PERALTE!$X$12-PERALTE!$AB$12)*(RASANTE!F220-PERALTE!$AB$12)-2))))),IF(AND(AH!$H$16="Derecha",RASANTE!F220&lt;=PERALTE!$AB$14),IF(RASANTE!F220&lt;=PERALTE!$S$14,-2,IF(RASANTE!F220&lt;=PERALTE!$U$14,(-6/(PERALTE!$U$14-PERALTE!$S$14)*(RASANTE!F220-PERALTE!$S$14)-2),IF(RASANTE!F220&lt;=PERALTE!$X$14,-8,IF(RASANTE!F220&lt;=PERALTE!$Z$14,(-6/(PERALTE!$X$14-PERALTE!$Z$14)*(RASANTE!F220-PERALTE!$Z$14)-2),IF(RASANTE!F220&lt;=PERALTE!$AB$14,-2))))),IF(AND(AH!$H$16="Izquierda",RASANTE!F220&lt;=PERALTE!$AB$14),IF(RASANTE!F220&lt;=PERALTE!$Q$14,-2,IF(RASANTE!F220&lt;=PERALTE!$U$14,(10/(PERALTE!$U$14-PERALTE!$Q$14)*(RASANTE!F220-PERALTE!$Q$14)-2),IF(RASANTE!F220&lt;=PERALTE!$X$14,8,IF(RASANTE!F220&lt;=PERALTE!$AB$14,(10/(PERALTE!$X$14-PERALTE!$AB$14)*(RASANTE!F220-PERALTE!$AB$14)-2))))),IF(AND(AH!$H$18="Derecha",RASANTE!F220&lt;=PERALTE!$AB$16),IF(RASANTE!F220&lt;=PERALTE!$S$16,-2,IF(RASANTE!F220&lt;=PERALTE!$U$16,(-6/(PERALTE!$U$16-PERALTE!$S$16)*(RASANTE!F220-PERALTE!$S$16)-2),IF(RASANTE!F220&lt;=PERALTE!$X$16,-8,IF(RASANTE!F220&lt;=PERALTE!$Z$16,(-6/(PERALTE!$X$16-PERALTE!$Z$16)*(RASANTE!F220-PERALTE!$Z$16)-2),IF(RASANTE!F220&lt;=PERALTE!$AB$16,-2))))),IF(AND(AH!$H$18="Izquierda",RASANTE!F220&lt;=PERALTE!$AB$16),IF(RASANTE!F220&lt;=PERALTE!$Q$16,-2,IF(RASANTE!F220&lt;=PERALTE!$U$16,(10/(PERALTE!$U$16-PERALTE!$Q$16)*(RASANTE!F220-PERALTE!$Q$16)-2),IF(RASANTE!F220&lt;=PERALTE!$X$16,8,IF(RASANTE!F220&lt;=PERALTE!$AB$16,(10/(PERALTE!$X$16-PERALTE!$AB$16)*(RASANTE!F220-PERALTE!$AB$16)-2))))),IF(AND(AH!$H$20="Derecha",RASANTE!F220&lt;=PERALTE!$AB$18),IF(RASANTE!F220&lt;=PERALTE!$S$18,-2,IF(RASANTE!F220&lt;=PERALTE!$U$18,(-6/(PERALTE!$U$18-PERALTE!$S$18)*(RASANTE!F220-PERALTE!$S$18)-2),IF(RASANTE!F220&lt;=PERALTE!$X$18,-8,IF(RASANTE!F220&lt;=PERALTE!$Z$18,(-6/(PERALTE!$X$18-PERALTE!$Z$18)*(RASANTE!F220-PERALTE!$Z$18)-2),IF(RASANTE!F220&lt;=PERALTE!$AB$18,-2))))),IF(AND(AH!$H$20="Izquierda",RASANTE!F220&lt;=PERALTE!$AB$18),IF(RASANTE!F220&lt;=PERALTE!$Q$18,-2,IF(RASANTE!F220&lt;=PERALTE!$U$18,(10/(PERALTE!$U$18-PERALTE!$Q$18)*(RASANTE!F220-PERALTE!$Q$18)-2),IF(RASANTE!F220&lt;=PERALTE!$X$18,8,IF(RASANTE!F220&lt;=PERALTE!$AB$18,(10/(PERALTE!$X$18-PERALTE!$AB$18)*(RASANTE!F220-PERALTE!$AB$18)-2))))),IF(AND(AH!$H$24="Derecha",RASANTE!F220&lt;=PERALTE!$AB$22),IF(RASANTE!F220&lt;=PERALTE!$S$22,-2,IF(RASANTE!F220&lt;=PERALTE!$U$22,(-6/(PERALTE!$U$22-PERALTE!$S$22)*(RASANTE!F220-PERALTE!$S$22)-2),IF(RASANTE!F220&lt;=PERALTE!$X$22,-8,IF(RASANTE!F220&lt;=PERALTE!$Z$22,(-6/(PERALTE!$X$22-PERALTE!$Z$22)*(RASANTE!F220-PERALTE!$Z$22)-2),IF(RASANTE!F220&lt;=PERALTE!$AB$22,-2))))),IF(AND(AH!$H$24="Izquierda",RASANTE!F220&lt;=PERALTE!$AB$22),IF(RASANTE!F220&lt;=PERALTE!$Q$22,-2,IF(RASANTE!F220&lt;=PERALTE!$U$22,(10/(PERALTE!$U$22-PERALTE!$Q$22)*(RASANTE!F220-PERALTE!$Q$22)-2),IF(RASANTE!F220&lt;=PERALTE!$X$22,8,IF(RASANTE!F220&lt;=PERALTE!$AB$22,(10/(PERALTE!$X$22-PERALTE!$AB$22)*(RASANTE!F220-PERALTE!$AB$22)-2))))),IF(AND(AH!#REF!="Derecha",RASANTE!F220&lt;=PERALTE!#REF!),IF(RASANTE!F220&lt;=PERALTE!#REF!,-2,IF(RASANTE!F220&lt;=PERALTE!#REF!,(-6/(PERALTE!#REF!-PERALTE!#REF!)*(RASANTE!F220-PERALTE!#REF!)-2),IF(RASANTE!F220&lt;=PERALTE!#REF!,-8,IF(RASANTE!F220&lt;=PERALTE!#REF!,(-6/(PERALTE!#REF!-PERALTE!#REF!)*(RASANTE!F220-PERALTE!#REF!)-2),IF(RASANTE!F220&lt;=PERALTE!#REF!,-2))))),IF(AND(AH!#REF!="Izquierda",RASANTE!F220&lt;=PERALTE!#REF!),IF(RASANTE!F220&lt;=PERALTE!#REF!,-2,IF(RASANTE!F220&lt;=PERALTE!#REF!,(10/(PERALTE!#REF!-PERALTE!#REF!)*(RASANTE!F220-PERALTE!#REF!)-2),IF(RASANTE!F220&lt;=PERALTE!#REF!,8,IF(RASANTE!F220&lt;=PERALTE!#REF!,(10/(PERALTE!#REF!-PERALTE!#REF!)*(RASANTE!F220-PERALTE!#REF!)-2))))),IF(AND(AH!#REF!="Derecha",RASANTE!F220&lt;=PERALTE!$AB$26),IF(RASANTE!F220&lt;=PERALTE!$S$26,-2,IF(RASANTE!F220&lt;=PERALTE!$U$26,(-6/(PERALTE!$U$26-PERALTE!$S$26)*(RASANTE!F220-PERALTE!$S$26)-2),IF(RASANTE!F220&lt;=PERALTE!$X$26,-8,IF(RASANTE!F220&lt;=PERALTE!$Z$26,(-6/(PERALTE!$X$26-PERALTE!$Z$26)*(RASANTE!F220-PERALTE!$Z$26)-2),IF(RASANTE!F220&lt;=PERALTE!$AB$26,-2))))),IF(AND(AH!#REF!="Izquierda",RASANTE!F220&lt;=PERALTE!$AB$26),IF(RASANTE!F220&lt;=PERALTE!$Q$26,-2,IF(RASANTE!F220&lt;=PERALTE!$U$26,(10/(PERALTE!$U$26-PERALTE!$Q$26)*(RASANTE!F220-PERALTE!$Q$26)-2),IF(RASANTE!F220&lt;=PERALTE!$X$26,8,IF(RASANTE!F220&lt;=PERALTE!$AB$26,(10/(PERALTE!$X$26-PERALTE!$AB$26)*(RASANTE!F220-PERALTE!$AB$26)-2))))),IF(F220&lt;=PERALTE!#REF!,-2,"Abscisa fuera de la vía")))))))))))))))))))))</f>
        <v>-8.0000000000000497</v>
      </c>
      <c r="J220" s="28">
        <f t="shared" si="11"/>
        <v>1628.9706960348369</v>
      </c>
      <c r="K220" s="28">
        <f>+IF(AND(AV!$S$6&lt;F220,F220&lt;=AV!$T$6),AV!$P$6*((AV!$S$6-RASANTE!F220)/(AV!$N$6))^2,IF(AND(AV!$T$6&lt;RASANTE!F220,F220&lt;AV!$U$6),AV!$P$6*((AV!$U$6-RASANTE!F220)/(AV!$O$6))^2,IF(AND(AV!$S$8&lt;F220,F220&lt;=AV!$T$8),AV!$P$8*((AV!$S$8-RASANTE!F220)/(AV!$N$8))^2,IF(AND(AV!$T$8&lt;RASANTE!F220,F220&lt;AV!$U$8),AV!$P$8*((AV!$U$8-RASANTE!F220)/(AV!$O$8))^2,IF(AND(AV!$S$10&lt;F220,F220&lt;=AV!$T$10),AV!$P$10*((AV!$S$10-RASANTE!F220)/(AV!$N$10))^2,IF(AND(AV!$T$10&lt;RASANTE!F220,F220&lt;AV!$U$10),AV!$P$10*((AV!$U$10-RASANTE!F220)/(AV!$O$10))^2,IF(AND(AV!$S$12&lt;F220,F220&lt;=AV!$T$12),AV!$P$12*((AV!$S$12-RASANTE!F220)/(AV!$N$12))^2,IF(AND(AV!$T$12&lt;RASANTE!F220,F220&lt;AV!$U$12),AV!$P$12*((AV!$U$12-RASANTE!F220)/(AV!$O$12))^2,IF(AND(AV!$S$14&lt;F220,F220&lt;=AV!$T$14),AV!$P$14*((AV!$S$14-RASANTE!F220)/(AV!$N$14))^2,IF(AND(AV!$T$14&lt;RASANTE!F220,F220&lt;AV!$U$14),AV!$P$14*((AV!$U$14-RASANTE!F220)/(AV!$O$14))^2,IF(AND(AV!$S$16&lt;F220,F220&lt;=AV!$T$16),AV!$P$16*((AV!$S$16-RASANTE!F220)/(AV!$N$16))^2,IF(AND(AV!$T$16&lt;RASANTE!F220,F220&lt;AV!$U$16),AV!$P$16*((AV!$U$16-RASANTE!F220)/(AV!$O$16))^2,IF(AND(AV!$S$18&lt;F220,F220&lt;=AV!$T$18),AV!$P$18*((AV!$S$18-RASANTE!F220)/(AV!$N$18))^2,IF(AND(AV!$T$18&lt;RASANTE!F220,F220&lt;AV!$U$18),AV!$P$18*((AV!$U$18-RASANTE!F220)/(AV!$O$18))^2,IF(AND(AV!$S$20&lt;F220,F220&lt;=AV!$T$20),AV!$P$20*((AV!$S$20-RASANTE!F220)/(AV!$N$20))^2,IF(AND(AV!$T$20&lt;RASANTE!F220,F220&lt;AV!$U$20),AV!$P$20*((AV!$U$20-RASANTE!F220)/(AV!$O$20))^2,IF(AND(AV!$S$22&lt;F220,F220&lt;=AV!$T$22),AV!$P$22*((AV!$S$22-RASANTE!F220)/(AV!$N$22))^2,IF(AND(AV!$T$22&lt;RASANTE!F220,F220&lt;AV!$U$22),AV!$P$22*((AV!$U$22-RASANTE!F220)/(AV!$O$22))^2,IF(AND(AV!$S$24&lt;F220,F220&lt;=AV!$T$24),AV!$P$24*((AV!$S$24-RASANTE!F220)/(AV!$N$24))^2,IF(AND(AV!$T$24&lt;RASANTE!F220,F220&lt;AV!$U$24),AV!$P$24*((AV!$U$24-RASANTE!F220)/(AV!$O$24))^2,0))))))))))))))))))))</f>
        <v>0</v>
      </c>
      <c r="L220" s="28">
        <f>+M220+H220%*PERALTE!$C$32</f>
        <v>1629.2506960348369</v>
      </c>
      <c r="M220" s="28">
        <f t="shared" si="7"/>
        <v>1628.9706960348369</v>
      </c>
      <c r="N220" s="28">
        <f>+M220+I220%*PERALTE!$C$32</f>
        <v>1628.6906960348369</v>
      </c>
      <c r="O220" s="92"/>
      <c r="P220" s="84"/>
      <c r="Q220" s="84"/>
      <c r="R220" s="84"/>
      <c r="S220" s="84"/>
      <c r="T220" s="84"/>
      <c r="U220" s="84"/>
      <c r="V220" s="84"/>
      <c r="W220" s="84"/>
      <c r="X220" s="84"/>
      <c r="Y220" s="84"/>
    </row>
    <row r="221" spans="1:25" ht="15.75" customHeight="1" x14ac:dyDescent="0.2">
      <c r="A221" s="90"/>
      <c r="B221" s="161">
        <f>AH!L18</f>
        <v>1.7831741699656642</v>
      </c>
      <c r="C221" s="141">
        <f>AH!U18</f>
        <v>32.078940589222576</v>
      </c>
      <c r="D221" s="199">
        <f>PERALTE!C34</f>
        <v>8</v>
      </c>
      <c r="E221" s="91"/>
      <c r="F221" s="34">
        <v>1350</v>
      </c>
      <c r="G221" s="88">
        <f>IF(F221&lt;=AV!$T$6,AV!$C$5,IF(RASANTE!F221&lt;=AV!$T$8,AV!$C$7,IF(RASANTE!F221&lt;=AV!$T$10,AV!$C$9,IF(RASANTE!F221&lt;=AV!$T$12,AV!$C$11,IF(RASANTE!F221&lt;=AV!$T$14,AV!$C$13,IF(RASANTE!F221&lt;=AV!$T$16,AV!$C$15, IF(RASANTE!F221&lt;=AV!$T$18,AV!$C$17,IF(RASANTE!F221&lt;=AV!$T$20,AV!$C$19,IF(RASANTE!F221&lt;=AV!$T$22,AV!$C$21,IF(RASANTE!F221&lt;=AV!$T$24,AV!$C$23,AV!$C$25))))))))))</f>
        <v>2.8</v>
      </c>
      <c r="H221" s="28">
        <f>+IF(AND(AH!$H$8="Izquierda",RASANTE!F221&lt;=PERALTE!$AB$6),IF(RASANTE!F221&lt;=PERALTE!$S$6,-2,IF(RASANTE!F221&lt;=PERALTE!$U$6,(-6/(PERALTE!$U$6-PERALTE!$S$6)*(RASANTE!F221-PERALTE!$S$6)-2),IF(RASANTE!F221&lt;=PERALTE!$X$6,-8,IF(RASANTE!F221&lt;=PERALTE!$Z$6,(-6/(PERALTE!$X$6-PERALTE!$Z$6)*(RASANTE!F221-PERALTE!$Z$6)-2),IF(RASANTE!F221&lt;=PERALTE!$AB$6,-2))))),IF(AND(AH!$H$8="Derecha",RASANTE!F221&lt;=PERALTE!$AB$6),IF(RASANTE!F221&lt;=PERALTE!$Q$6,-2,IF(RASANTE!F221&lt;=PERALTE!$U$6,(10/(PERALTE!$U$6-PERALTE!$Q$6)*(RASANTE!F221-PERALTE!$Q$6)-2),IF(RASANTE!F221&lt;=PERALTE!$X$6,8,IF(RASANTE!F221&lt;=PERALTE!$AB$6,(10/(PERALTE!$X$6-PERALTE!$AB$6)*(RASANTE!F221-PERALTE!$AB$6)-2))))),IF(AND(AH!$H$10="Izquierda",RASANTE!F221&lt;=PERALTE!$AB$8),IF(RASANTE!F221&lt;=PERALTE!$S$8,-2,IF(RASANTE!F221&lt;=PERALTE!$U$8,(-6/(PERALTE!$U$8-PERALTE!$S$8)*(RASANTE!F221-PERALTE!$S$8)-2),IF(RASANTE!F221&lt;=PERALTE!$X$8,-8,IF(RASANTE!F221&lt;=PERALTE!$Z$8,(-6/(PERALTE!$X$8-PERALTE!$Z$8)*(RASANTE!F221-PERALTE!$Z$8)-2),IF(RASANTE!F221&lt;=PERALTE!$AB$8,-2))))),IF(AND(AH!$H$10="Derecha",RASANTE!F221&lt;=PERALTE!$AB$8),IF(RASANTE!F221&lt;=PERALTE!$Q$8,-2,IF(RASANTE!F221&lt;=PERALTE!$U$8,(10/(PERALTE!$U$8-PERALTE!$Q$8)*(RASANTE!F221-PERALTE!$Q$8)-2),IF(RASANTE!F221&lt;=PERALTE!$X$8,8,IF(RASANTE!F221&lt;=PERALTE!$AB$8,(10/(PERALTE!$X$8-PERALTE!$AB$8)*(RASANTE!F221-PERALTE!$AB$8)-2))))),IF(AND(AH!$H$12="Izquierda",RASANTE!F221&lt;=PERALTE!$AB$10),IF(RASANTE!F221&lt;=PERALTE!$S$10,-2,IF(RASANTE!F221&lt;=PERALTE!$U$10,(-6/(PERALTE!$U$10-PERALTE!$S$10)*(RASANTE!F221-PERALTE!$S$10)-2),IF(RASANTE!F221&lt;=PERALTE!$X$10,-8,IF(RASANTE!F221&lt;=PERALTE!$Z$10,(-6/(PERALTE!$X$10-PERALTE!$Z$10)*(RASANTE!F221-PERALTE!$Z$10)-2),IF(RASANTE!F221&lt;=PERALTE!$AB$10,-2))))),IF(AND(AH!$H$12="Derecha",RASANTE!F221&lt;=PERALTE!$AB$10),IF(RASANTE!F221&lt;=PERALTE!$Q$10,-2,IF(RASANTE!F221&lt;=PERALTE!$U$10,(10/(PERALTE!$U$10-PERALTE!$Q$10)*(RASANTE!F221-PERALTE!$Q$10)-2),IF(RASANTE!F221&lt;=PERALTE!$X$10,8,IF(RASANTE!F221&lt;=PERALTE!$AB$10,(10/(PERALTE!$X$10-PERALTE!$AB$10)*(RASANTE!F221-PERALTE!$AB$10)-2))))),IF(AND(AH!$H$14="Izquierda",RASANTE!F221&lt;=PERALTE!$AB$12),IF(RASANTE!F221&lt;=PERALTE!$S$12,-2,IF(RASANTE!F221&lt;=PERALTE!$U$12,(-6/(PERALTE!$U$12-PERALTE!$S$12)*(RASANTE!F221-PERALTE!$S$12)-2),IF(RASANTE!F221&lt;=PERALTE!$X$12,-8,IF(RASANTE!F221&lt;=PERALTE!$Z$12,(-6/(PERALTE!$X$12-PERALTE!$Z$12)*(RASANTE!F221-PERALTE!$Z$12)-2),IF(RASANTE!F221&lt;=PERALTE!$AB$12,-2))))),IF(AND(AH!$H$14="Derecha",RASANTE!F221&lt;=PERALTE!$AB$12),IF(RASANTE!F221&lt;=PERALTE!$Q$12,-2,IF(RASANTE!F221&lt;=PERALTE!$U$12,(10/(PERALTE!$U$12-PERALTE!$Q$12)*(RASANTE!F221-PERALTE!$Q$12)-2),IF(RASANTE!F221&lt;=PERALTE!$X$12,8,IF(RASANTE!F221&lt;=PERALTE!$AB$12,(10/(PERALTE!$X$12-PERALTE!$AB$12)*(RASANTE!F221-PERALTE!$AB$12)-2))))),IF(AND(AH!$H$16="Izquierda",RASANTE!F221&lt;=PERALTE!$AB$14),IF(RASANTE!F221&lt;=PERALTE!$S$14,-2,IF(RASANTE!F221&lt;=PERALTE!$U$14,(-6/(PERALTE!$U$14-PERALTE!$S$14)*(RASANTE!F221-PERALTE!$S$14)-2),IF(RASANTE!F221&lt;=PERALTE!$X$14,-8,IF(RASANTE!F221&lt;=PERALTE!$Z$14,(-6/(PERALTE!$X$14-PERALTE!$Z$14)*(RASANTE!F221-PERALTE!$Z$14)-2),IF(RASANTE!F221&lt;=PERALTE!$AB$14,-2))))),IF(AND(AH!$H$16="Derecha",RASANTE!F221&lt;=PERALTE!$AB$14),IF(RASANTE!F221&lt;=PERALTE!$Q$14,-2,IF(RASANTE!F221&lt;=PERALTE!$U$14,(10/(PERALTE!$U$14-PERALTE!$Q$14)*(RASANTE!F221-PERALTE!$Q$14)-2),IF(RASANTE!F221&lt;=PERALTE!$X$14,8,IF(RASANTE!F221&lt;=PERALTE!$AB$14,(10/(PERALTE!$X$14-PERALTE!$AB$14)*(RASANTE!F221-PERALTE!$AB$14)-2))))),IF(AND(AH!$H$18="Izquierda",RASANTE!F221&lt;=PERALTE!$AB$16),IF(RASANTE!F221&lt;=PERALTE!$S$16,-2,IF(RASANTE!F221&lt;=PERALTE!$U$16,(-6/(PERALTE!$U$16-PERALTE!$S$16)*(RASANTE!F221-PERALTE!$S$16)-2),IF(RASANTE!F221&lt;=PERALTE!$X$16,-8,IF(RASANTE!F221&lt;=PERALTE!$Z$16,(-6/(PERALTE!$X$16-PERALTE!$Z$16)*(RASANTE!F221-PERALTE!$Z$16)-2),IF(RASANTE!F221&lt;=PERALTE!$AB$16,-2))))),IF(AND(AH!$H$18="Derecha",RASANTE!F221&lt;=PERALTE!$AB$16),IF(RASANTE!F221&lt;=PERALTE!$Q$16,-2,IF(RASANTE!F221&lt;=PERALTE!$U$16,(10/(PERALTE!$U$16-PERALTE!$Q$16)*(RASANTE!F221-PERALTE!$Q$16)-2),IF(RASANTE!F221&lt;=PERALTE!$X$16,8,IF(RASANTE!F221&lt;=PERALTE!$AB$16,(10/(PERALTE!$X$16-PERALTE!$AB$16)*(RASANTE!F221-PERALTE!$AB$16)-2))))),IF(AND(AH!$H$20="Izquierda",RASANTE!F221&lt;=PERALTE!$AB$18),IF(RASANTE!F221&lt;=PERALTE!$S$18,-2,IF(RASANTE!F221&lt;=PERALTE!$U$18,(-6/(PERALTE!$U$18-PERALTE!$S$18)*(RASANTE!F221-PERALTE!$S$18)-2),IF(RASANTE!F221&lt;=PERALTE!$X$18,-8,IF(RASANTE!F221&lt;=PERALTE!$Z$18,(-6/(PERALTE!$X$18-PERALTE!$Z$18)*(RASANTE!F221-PERALTE!$Z$18)-2),IF(RASANTE!F221&lt;=PERALTE!$AB$18,-2))))),IF(AND(AH!$H$20="Derecha",RASANTE!F221&lt;=PERALTE!$AB$18),IF(RASANTE!F221&lt;=PERALTE!$Q$18,-2,IF(RASANTE!F221&lt;=PERALTE!$U$18,(10/(PERALTE!$U$18-PERALTE!$Q$18)*(RASANTE!F221-PERALTE!$Q$18)-2),IF(RASANTE!F221&lt;=PERALTE!$X$18,8,IF(RASANTE!F221&lt;=PERALTE!$AB$18,(10/(PERALTE!$X$18-PERALTE!$AB$18)*(RASANTE!F221-PERALTE!$AB$18)-2))))),IF(AND(AH!$H$24="Izquierda",RASANTE!F221&lt;=PERALTE!$AB$22),IF(RASANTE!F221&lt;=PERALTE!$S$22,-2,IF(RASANTE!F221&lt;=PERALTE!$U$22,(-6/(PERALTE!$U$22-PERALTE!$S$22)*(RASANTE!F221-PERALTE!$S$22)-2),IF(RASANTE!F221&lt;=PERALTE!$X$22,-8,IF(RASANTE!F221&lt;=PERALTE!$Z$22,(-6/(PERALTE!$X$22-PERALTE!$Z$22)*(RASANTE!F221-PERALTE!$Z$22)-2),IF(RASANTE!F221&lt;=PERALTE!$AB$22,-2))))),IF(AND(AH!$H$24="Derecha",RASANTE!F221&lt;=PERALTE!$AB$22),IF(RASANTE!F221&lt;=PERALTE!$Q$22,-2,IF(RASANTE!F221&lt;=PERALTE!$U$22,(10/(PERALTE!$U$22-PERALTE!$Q$22)*(RASANTE!F221-PERALTE!$Q$22)-2),IF(RASANTE!F221&lt;=PERALTE!$X$22,8,IF(RASANTE!F221&lt;=PERALTE!$AB$22,(10/(PERALTE!$X$22-PERALTE!$AB$22)*(RASANTE!F221-PERALTE!$AB$22)-2))))),IF(AND(AH!#REF!="Izquierda",RASANTE!F221&lt;=PERALTE!#REF!),IF(RASANTE!F221&lt;=PERALTE!#REF!,-2,IF(RASANTE!F221&lt;=PERALTE!#REF!,(-6/(PERALTE!#REF!-PERALTE!#REF!)*(RASANTE!F221-PERALTE!#REF!)-2),IF(RASANTE!F221&lt;=PERALTE!#REF!,-8,IF(RASANTE!F221&lt;=PERALTE!#REF!,(-6/(PERALTE!#REF!-PERALTE!#REF!)*(RASANTE!F221-PERALTE!#REF!)-2),IF(RASANTE!F221&lt;=PERALTE!#REF!,-2))))),IF(AND(AH!#REF!="Derecha",RASANTE!F221&lt;=PERALTE!#REF!),IF(RASANTE!F221&lt;=PERALTE!#REF!,-2,IF(RASANTE!F221&lt;=PERALTE!#REF!,(10/(PERALTE!#REF!-PERALTE!#REF!)*(RASANTE!F221-PERALTE!#REF!)-2),IF(RASANTE!F221&lt;=PERALTE!#REF!,8,IF(RASANTE!F221&lt;=PERALTE!#REF!,(10/(PERALTE!#REF!-PERALTE!#REF!)*(RASANTE!F221-PERALTE!#REF!)-2))))),IF(AND(AH!#REF!="Izquierda",RASANTE!F221&lt;=PERALTE!$AB$26),IF(RASANTE!F221&lt;=PERALTE!$S$26,-2,IF(RASANTE!F221&lt;=PERALTE!$U$26,(-6/(PERALTE!$U$26-PERALTE!$S$26)*(RASANTE!F221-PERALTE!$S$26)-2),IF(RASANTE!F221&lt;=PERALTE!$X$26,-8,IF(RASANTE!F221&lt;=PERALTE!$Z$26,(-6/(PERALTE!$X$26-PERALTE!$Z$26)*(RASANTE!F221-PERALTE!$Z$26)-2),IF(RASANTE!F221&lt;=PERALTE!$AB$26,-2))))),IF(AND(AH!#REF!="Derecha",RASANTE!F221&lt;=PERALTE!$AB$26),IF(RASANTE!F221&lt;=PERALTE!$Q$26,-2,IF(RASANTE!F221&lt;=PERALTE!$U$26,(10/(PERALTE!$U$26-PERALTE!$Q$26)*(RASANTE!F221-PERALTE!$Q$26)-2),IF(RASANTE!F221&lt;=PERALTE!$X$26,8,IF(RASANTE!F221&lt;=PERALTE!$AB$26,(10/(PERALTE!$X$26-PERALTE!$AB$26)*(RASANTE!F221-PERALTE!$AB$26)-2))))),IF(F221&lt;=PERALTE!#REF!,-2,"Abscisa fuera de la vía")))))))))))))))))))))</f>
        <v>8</v>
      </c>
      <c r="I221" s="28">
        <f>+IF(AND(AH!$H$8="Derecha",RASANTE!F221&lt;=PERALTE!$AB$6),IF(RASANTE!F221&lt;=PERALTE!$S$6,-2,IF(RASANTE!F221&lt;=PERALTE!$U$6,(-6/(PERALTE!$U$6-PERALTE!$S$6)*(RASANTE!F221-PERALTE!$S$6)-2),IF(RASANTE!F221&lt;=PERALTE!$X$6,-8,IF(RASANTE!F221&lt;=PERALTE!$Z$6,(-6/(PERALTE!$X$6-PERALTE!$Z$6)*(RASANTE!F221-PERALTE!$Z$6)-2),IF(RASANTE!F221&lt;=PERALTE!$AB$6,-2))))),IF(AND(AH!$H$8="Izquierda",RASANTE!F221&lt;=PERALTE!$AB$6),IF(RASANTE!F221&lt;=PERALTE!$Q$6,-2,IF(RASANTE!F221&lt;=PERALTE!$U$6,(10/(PERALTE!$U$6-PERALTE!$Q$6)*(RASANTE!F221-PERALTE!$Q$6)-2),IF(RASANTE!F221&lt;=PERALTE!$X$6,8,IF(RASANTE!F221&lt;=PERALTE!$AB$6,(10/(PERALTE!$X$6-PERALTE!$AB$6)*(RASANTE!F221-PERALTE!$AB$6)-2))))),IF(AND(AH!$H$10="Derecha",RASANTE!F221&lt;=PERALTE!$AB$8),IF(RASANTE!F221&lt;=PERALTE!$S$8,-2,IF(RASANTE!F221&lt;=PERALTE!$U$8,(-6/(PERALTE!$U$8-PERALTE!$S$8)*(RASANTE!F221-PERALTE!$S$8)-2),IF(RASANTE!F221&lt;=PERALTE!$X$8,-8,IF(RASANTE!F221&lt;=PERALTE!$Z$8,(-6/(PERALTE!$X$8-PERALTE!$Z$8)*(RASANTE!F221-PERALTE!$Z$8)-2),IF(RASANTE!F221&lt;=PERALTE!$AB$8,-2))))),IF(AND(AH!$H$10="Izquierda",RASANTE!F221&lt;=PERALTE!$AB$8),IF(RASANTE!F221&lt;=PERALTE!$Q$8,-2,IF(RASANTE!F221&lt;=PERALTE!$U$8,(10/(PERALTE!$U$8-PERALTE!$Q$8)*(RASANTE!F221-PERALTE!$Q$8)-2),IF(RASANTE!F221&lt;=PERALTE!$X$8,8,IF(RASANTE!F221&lt;=PERALTE!$AB$8,(10/(PERALTE!$X$8-PERALTE!$AB$8)*(RASANTE!F221-PERALTE!$AB$8)-2))))),IF(AND(AH!$H$12="Derecha",RASANTE!F221&lt;=PERALTE!$AB$10),IF(RASANTE!F221&lt;=PERALTE!$S$10,-2,IF(RASANTE!F221&lt;=PERALTE!$U$10,(-6/(PERALTE!$U$10-PERALTE!$S$10)*(RASANTE!F221-PERALTE!$S$10)-2),IF(RASANTE!F221&lt;=PERALTE!$X$10,-8,IF(RASANTE!F221&lt;=PERALTE!$Z$10,(-6/(PERALTE!$X$10-PERALTE!$Z$10)*(RASANTE!F221-PERALTE!$Z$10)-2),IF(RASANTE!F221&lt;=PERALTE!$AB$10,-2))))),IF(AND(AH!$H$12="Izquierda",RASANTE!F221&lt;=PERALTE!$AB$10),IF(RASANTE!F221&lt;=PERALTE!$Q$10,-2,IF(RASANTE!F221&lt;=PERALTE!$U$10,(10/(PERALTE!$U$10-PERALTE!$Q$10)*(RASANTE!F221-PERALTE!$Q$10)-2),IF(RASANTE!F221&lt;=PERALTE!$X$10,8,IF(RASANTE!F221&lt;=PERALTE!$AB$10,(10/(PERALTE!$X$10-PERALTE!$AB$10)*(RASANTE!F221-PERALTE!$AB$10)-2))))),IF(AND(AH!$H$14="Derecha",RASANTE!F221&lt;=PERALTE!$AB$12),IF(RASANTE!F221&lt;=PERALTE!$S$12,-2,IF(RASANTE!F221&lt;=PERALTE!$U$12,(-6/(PERALTE!$U$12-PERALTE!$S$12)*(RASANTE!F221-PERALTE!$S$12)-2),IF(RASANTE!F221&lt;=PERALTE!$X$12,-8,IF(RASANTE!F221&lt;=PERALTE!$Z$12,(-6/(PERALTE!$X$12-PERALTE!$Z$12)*(RASANTE!F221-PERALTE!$Z$12)-2),IF(RASANTE!F221&lt;=PERALTE!$AB$12,-2))))),IF(AND(AH!$H$14="Izquierda",RASANTE!F221&lt;=PERALTE!$AB$12),IF(RASANTE!F221&lt;=PERALTE!$Q$12,-2,IF(RASANTE!F221&lt;=PERALTE!$U$12,(10/(PERALTE!$U$12-PERALTE!$Q$12)*(RASANTE!F221-PERALTE!$Q$12)-2),IF(RASANTE!F221&lt;=PERALTE!$X$12,8,IF(RASANTE!F221&lt;=PERALTE!$AB$12,(10/(PERALTE!$X$12-PERALTE!$AB$12)*(RASANTE!F221-PERALTE!$AB$12)-2))))),IF(AND(AH!$H$16="Derecha",RASANTE!F221&lt;=PERALTE!$AB$14),IF(RASANTE!F221&lt;=PERALTE!$S$14,-2,IF(RASANTE!F221&lt;=PERALTE!$U$14,(-6/(PERALTE!$U$14-PERALTE!$S$14)*(RASANTE!F221-PERALTE!$S$14)-2),IF(RASANTE!F221&lt;=PERALTE!$X$14,-8,IF(RASANTE!F221&lt;=PERALTE!$Z$14,(-6/(PERALTE!$X$14-PERALTE!$Z$14)*(RASANTE!F221-PERALTE!$Z$14)-2),IF(RASANTE!F221&lt;=PERALTE!$AB$14,-2))))),IF(AND(AH!$H$16="Izquierda",RASANTE!F221&lt;=PERALTE!$AB$14),IF(RASANTE!F221&lt;=PERALTE!$Q$14,-2,IF(RASANTE!F221&lt;=PERALTE!$U$14,(10/(PERALTE!$U$14-PERALTE!$Q$14)*(RASANTE!F221-PERALTE!$Q$14)-2),IF(RASANTE!F221&lt;=PERALTE!$X$14,8,IF(RASANTE!F221&lt;=PERALTE!$AB$14,(10/(PERALTE!$X$14-PERALTE!$AB$14)*(RASANTE!F221-PERALTE!$AB$14)-2))))),IF(AND(AH!$H$18="Derecha",RASANTE!F221&lt;=PERALTE!$AB$16),IF(RASANTE!F221&lt;=PERALTE!$S$16,-2,IF(RASANTE!F221&lt;=PERALTE!$U$16,(-6/(PERALTE!$U$16-PERALTE!$S$16)*(RASANTE!F221-PERALTE!$S$16)-2),IF(RASANTE!F221&lt;=PERALTE!$X$16,-8,IF(RASANTE!F221&lt;=PERALTE!$Z$16,(-6/(PERALTE!$X$16-PERALTE!$Z$16)*(RASANTE!F221-PERALTE!$Z$16)-2),IF(RASANTE!F221&lt;=PERALTE!$AB$16,-2))))),IF(AND(AH!$H$18="Izquierda",RASANTE!F221&lt;=PERALTE!$AB$16),IF(RASANTE!F221&lt;=PERALTE!$Q$16,-2,IF(RASANTE!F221&lt;=PERALTE!$U$16,(10/(PERALTE!$U$16-PERALTE!$Q$16)*(RASANTE!F221-PERALTE!$Q$16)-2),IF(RASANTE!F221&lt;=PERALTE!$X$16,8,IF(RASANTE!F221&lt;=PERALTE!$AB$16,(10/(PERALTE!$X$16-PERALTE!$AB$16)*(RASANTE!F221-PERALTE!$AB$16)-2))))),IF(AND(AH!$H$20="Derecha",RASANTE!F221&lt;=PERALTE!$AB$18),IF(RASANTE!F221&lt;=PERALTE!$S$18,-2,IF(RASANTE!F221&lt;=PERALTE!$U$18,(-6/(PERALTE!$U$18-PERALTE!$S$18)*(RASANTE!F221-PERALTE!$S$18)-2),IF(RASANTE!F221&lt;=PERALTE!$X$18,-8,IF(RASANTE!F221&lt;=PERALTE!$Z$18,(-6/(PERALTE!$X$18-PERALTE!$Z$18)*(RASANTE!F221-PERALTE!$Z$18)-2),IF(RASANTE!F221&lt;=PERALTE!$AB$18,-2))))),IF(AND(AH!$H$20="Izquierda",RASANTE!F221&lt;=PERALTE!$AB$18),IF(RASANTE!F221&lt;=PERALTE!$Q$18,-2,IF(RASANTE!F221&lt;=PERALTE!$U$18,(10/(PERALTE!$U$18-PERALTE!$Q$18)*(RASANTE!F221-PERALTE!$Q$18)-2),IF(RASANTE!F221&lt;=PERALTE!$X$18,8,IF(RASANTE!F221&lt;=PERALTE!$AB$18,(10/(PERALTE!$X$18-PERALTE!$AB$18)*(RASANTE!F221-PERALTE!$AB$18)-2))))),IF(AND(AH!$H$24="Derecha",RASANTE!F221&lt;=PERALTE!$AB$22),IF(RASANTE!F221&lt;=PERALTE!$S$22,-2,IF(RASANTE!F221&lt;=PERALTE!$U$22,(-6/(PERALTE!$U$22-PERALTE!$S$22)*(RASANTE!F221-PERALTE!$S$22)-2),IF(RASANTE!F221&lt;=PERALTE!$X$22,-8,IF(RASANTE!F221&lt;=PERALTE!$Z$22,(-6/(PERALTE!$X$22-PERALTE!$Z$22)*(RASANTE!F221-PERALTE!$Z$22)-2),IF(RASANTE!F221&lt;=PERALTE!$AB$22,-2))))),IF(AND(AH!$H$24="Izquierda",RASANTE!F221&lt;=PERALTE!$AB$22),IF(RASANTE!F221&lt;=PERALTE!$Q$22,-2,IF(RASANTE!F221&lt;=PERALTE!$U$22,(10/(PERALTE!$U$22-PERALTE!$Q$22)*(RASANTE!F221-PERALTE!$Q$22)-2),IF(RASANTE!F221&lt;=PERALTE!$X$22,8,IF(RASANTE!F221&lt;=PERALTE!$AB$22,(10/(PERALTE!$X$22-PERALTE!$AB$22)*(RASANTE!F221-PERALTE!$AB$22)-2))))),IF(AND(AH!#REF!="Derecha",RASANTE!F221&lt;=PERALTE!#REF!),IF(RASANTE!F221&lt;=PERALTE!#REF!,-2,IF(RASANTE!F221&lt;=PERALTE!#REF!,(-6/(PERALTE!#REF!-PERALTE!#REF!)*(RASANTE!F221-PERALTE!#REF!)-2),IF(RASANTE!F221&lt;=PERALTE!#REF!,-8,IF(RASANTE!F221&lt;=PERALTE!#REF!,(-6/(PERALTE!#REF!-PERALTE!#REF!)*(RASANTE!F221-PERALTE!#REF!)-2),IF(RASANTE!F221&lt;=PERALTE!#REF!,-2))))),IF(AND(AH!#REF!="Izquierda",RASANTE!F221&lt;=PERALTE!#REF!),IF(RASANTE!F221&lt;=PERALTE!#REF!,-2,IF(RASANTE!F221&lt;=PERALTE!#REF!,(10/(PERALTE!#REF!-PERALTE!#REF!)*(RASANTE!F221-PERALTE!#REF!)-2),IF(RASANTE!F221&lt;=PERALTE!#REF!,8,IF(RASANTE!F221&lt;=PERALTE!#REF!,(10/(PERALTE!#REF!-PERALTE!#REF!)*(RASANTE!F221-PERALTE!#REF!)-2))))),IF(AND(AH!#REF!="Derecha",RASANTE!F221&lt;=PERALTE!$AB$26),IF(RASANTE!F221&lt;=PERALTE!$S$26,-2,IF(RASANTE!F221&lt;=PERALTE!$U$26,(-6/(PERALTE!$U$26-PERALTE!$S$26)*(RASANTE!F221-PERALTE!$S$26)-2),IF(RASANTE!F221&lt;=PERALTE!$X$26,-8,IF(RASANTE!F221&lt;=PERALTE!$Z$26,(-6/(PERALTE!$X$26-PERALTE!$Z$26)*(RASANTE!F221-PERALTE!$Z$26)-2),IF(RASANTE!F221&lt;=PERALTE!$AB$26,-2))))),IF(AND(AH!#REF!="Izquierda",RASANTE!F221&lt;=PERALTE!$AB$26),IF(RASANTE!F221&lt;=PERALTE!$Q$26,-2,IF(RASANTE!F221&lt;=PERALTE!$U$26,(10/(PERALTE!$U$26-PERALTE!$Q$26)*(RASANTE!F221-PERALTE!$Q$26)-2),IF(RASANTE!F221&lt;=PERALTE!$X$26,8,IF(RASANTE!F221&lt;=PERALTE!$AB$26,(10/(PERALTE!$X$26-PERALTE!$AB$26)*(RASANTE!F221-PERALTE!$AB$26)-2))))),IF(F221&lt;=PERALTE!#REF!,-2,"Abscisa fuera de la vía")))))))))))))))))))))</f>
        <v>-8</v>
      </c>
      <c r="J221" s="28">
        <f t="shared" si="11"/>
        <v>1629.1529284648982</v>
      </c>
      <c r="K221" s="28">
        <f>+IF(AND(AV!$S$6&lt;F221,F221&lt;=AV!$T$6),AV!$P$6*((AV!$S$6-RASANTE!F221)/(AV!$N$6))^2,IF(AND(AV!$T$6&lt;RASANTE!F221,F221&lt;AV!$U$6),AV!$P$6*((AV!$U$6-RASANTE!F221)/(AV!$O$6))^2,IF(AND(AV!$S$8&lt;F221,F221&lt;=AV!$T$8),AV!$P$8*((AV!$S$8-RASANTE!F221)/(AV!$N$8))^2,IF(AND(AV!$T$8&lt;RASANTE!F221,F221&lt;AV!$U$8),AV!$P$8*((AV!$U$8-RASANTE!F221)/(AV!$O$8))^2,IF(AND(AV!$S$10&lt;F221,F221&lt;=AV!$T$10),AV!$P$10*((AV!$S$10-RASANTE!F221)/(AV!$N$10))^2,IF(AND(AV!$T$10&lt;RASANTE!F221,F221&lt;AV!$U$10),AV!$P$10*((AV!$U$10-RASANTE!F221)/(AV!$O$10))^2,IF(AND(AV!$S$12&lt;F221,F221&lt;=AV!$T$12),AV!$P$12*((AV!$S$12-RASANTE!F221)/(AV!$N$12))^2,IF(AND(AV!$T$12&lt;RASANTE!F221,F221&lt;AV!$U$12),AV!$P$12*((AV!$U$12-RASANTE!F221)/(AV!$O$12))^2,IF(AND(AV!$S$14&lt;F221,F221&lt;=AV!$T$14),AV!$P$14*((AV!$S$14-RASANTE!F221)/(AV!$N$14))^2,IF(AND(AV!$T$14&lt;RASANTE!F221,F221&lt;AV!$U$14),AV!$P$14*((AV!$U$14-RASANTE!F221)/(AV!$O$14))^2,IF(AND(AV!$S$16&lt;F221,F221&lt;=AV!$T$16),AV!$P$16*((AV!$S$16-RASANTE!F221)/(AV!$N$16))^2,IF(AND(AV!$T$16&lt;RASANTE!F221,F221&lt;AV!$U$16),AV!$P$16*((AV!$U$16-RASANTE!F221)/(AV!$O$16))^2,IF(AND(AV!$S$18&lt;F221,F221&lt;=AV!$T$18),AV!$P$18*((AV!$S$18-RASANTE!F221)/(AV!$N$18))^2,IF(AND(AV!$T$18&lt;RASANTE!F221,F221&lt;AV!$U$18),AV!$P$18*((AV!$U$18-RASANTE!F221)/(AV!$O$18))^2,IF(AND(AV!$S$20&lt;F221,F221&lt;=AV!$T$20),AV!$P$20*((AV!$S$20-RASANTE!F221)/(AV!$N$20))^2,IF(AND(AV!$T$20&lt;RASANTE!F221,F221&lt;AV!$U$20),AV!$P$20*((AV!$U$20-RASANTE!F221)/(AV!$O$20))^2,IF(AND(AV!$S$22&lt;F221,F221&lt;=AV!$T$22),AV!$P$22*((AV!$S$22-RASANTE!F221)/(AV!$N$22))^2,IF(AND(AV!$T$22&lt;RASANTE!F221,F221&lt;AV!$U$22),AV!$P$22*((AV!$U$22-RASANTE!F221)/(AV!$O$22))^2,IF(AND(AV!$S$24&lt;F221,F221&lt;=AV!$T$24),AV!$P$24*((AV!$S$24-RASANTE!F221)/(AV!$N$24))^2,IF(AND(AV!$T$24&lt;RASANTE!F221,F221&lt;AV!$U$24),AV!$P$24*((AV!$U$24-RASANTE!F221)/(AV!$O$24))^2,0))))))))))))))))))))</f>
        <v>0</v>
      </c>
      <c r="L221" s="28">
        <f>+M221+H221%*PERALTE!$C$32</f>
        <v>1629.4329284648982</v>
      </c>
      <c r="M221" s="28">
        <f t="shared" si="7"/>
        <v>1629.1529284648982</v>
      </c>
      <c r="N221" s="28">
        <f>+M221+I221%*PERALTE!$C$32</f>
        <v>1628.8729284648982</v>
      </c>
      <c r="O221" s="92"/>
      <c r="P221" s="84"/>
      <c r="Q221" s="84"/>
      <c r="R221" s="84"/>
      <c r="S221" s="84"/>
      <c r="T221" s="84"/>
      <c r="U221" s="84"/>
      <c r="V221" s="84"/>
      <c r="W221" s="84"/>
      <c r="X221" s="84"/>
      <c r="Y221" s="84"/>
    </row>
    <row r="222" spans="1:25" ht="15.75" customHeight="1" x14ac:dyDescent="0.2">
      <c r="A222" s="90"/>
      <c r="B222" s="164">
        <f>AH!R18</f>
        <v>0.14583333333333334</v>
      </c>
      <c r="C222" s="144">
        <f>AH!V18</f>
        <v>61.137400113108484</v>
      </c>
      <c r="D222" s="200">
        <f>PERALTE!N16</f>
        <v>36.36363636363636</v>
      </c>
      <c r="E222" s="91"/>
      <c r="F222" s="34">
        <v>1360</v>
      </c>
      <c r="G222" s="88">
        <f>IF(F222&lt;=AV!$T$6,AV!$C$5,IF(RASANTE!F222&lt;=AV!$T$8,AV!$C$7,IF(RASANTE!F222&lt;=AV!$T$10,AV!$C$9,IF(RASANTE!F222&lt;=AV!$T$12,AV!$C$11,IF(RASANTE!F222&lt;=AV!$T$14,AV!$C$13,IF(RASANTE!F222&lt;=AV!$T$16,AV!$C$15, IF(RASANTE!F222&lt;=AV!$T$18,AV!$C$17,IF(RASANTE!F222&lt;=AV!$T$20,AV!$C$19,IF(RASANTE!F222&lt;=AV!$T$22,AV!$C$21,IF(RASANTE!F222&lt;=AV!$T$24,AV!$C$23,AV!$C$25))))))))))</f>
        <v>2.8</v>
      </c>
      <c r="H222" s="28">
        <f>+IF(AND(AH!$H$8="Izquierda",RASANTE!F222&lt;=PERALTE!$AB$6),IF(RASANTE!F222&lt;=PERALTE!$S$6,-2,IF(RASANTE!F222&lt;=PERALTE!$U$6,(-6/(PERALTE!$U$6-PERALTE!$S$6)*(RASANTE!F222-PERALTE!$S$6)-2),IF(RASANTE!F222&lt;=PERALTE!$X$6,-8,IF(RASANTE!F222&lt;=PERALTE!$Z$6,(-6/(PERALTE!$X$6-PERALTE!$Z$6)*(RASANTE!F222-PERALTE!$Z$6)-2),IF(RASANTE!F222&lt;=PERALTE!$AB$6,-2))))),IF(AND(AH!$H$8="Derecha",RASANTE!F222&lt;=PERALTE!$AB$6),IF(RASANTE!F222&lt;=PERALTE!$Q$6,-2,IF(RASANTE!F222&lt;=PERALTE!$U$6,(10/(PERALTE!$U$6-PERALTE!$Q$6)*(RASANTE!F222-PERALTE!$Q$6)-2),IF(RASANTE!F222&lt;=PERALTE!$X$6,8,IF(RASANTE!F222&lt;=PERALTE!$AB$6,(10/(PERALTE!$X$6-PERALTE!$AB$6)*(RASANTE!F222-PERALTE!$AB$6)-2))))),IF(AND(AH!$H$10="Izquierda",RASANTE!F222&lt;=PERALTE!$AB$8),IF(RASANTE!F222&lt;=PERALTE!$S$8,-2,IF(RASANTE!F222&lt;=PERALTE!$U$8,(-6/(PERALTE!$U$8-PERALTE!$S$8)*(RASANTE!F222-PERALTE!$S$8)-2),IF(RASANTE!F222&lt;=PERALTE!$X$8,-8,IF(RASANTE!F222&lt;=PERALTE!$Z$8,(-6/(PERALTE!$X$8-PERALTE!$Z$8)*(RASANTE!F222-PERALTE!$Z$8)-2),IF(RASANTE!F222&lt;=PERALTE!$AB$8,-2))))),IF(AND(AH!$H$10="Derecha",RASANTE!F222&lt;=PERALTE!$AB$8),IF(RASANTE!F222&lt;=PERALTE!$Q$8,-2,IF(RASANTE!F222&lt;=PERALTE!$U$8,(10/(PERALTE!$U$8-PERALTE!$Q$8)*(RASANTE!F222-PERALTE!$Q$8)-2),IF(RASANTE!F222&lt;=PERALTE!$X$8,8,IF(RASANTE!F222&lt;=PERALTE!$AB$8,(10/(PERALTE!$X$8-PERALTE!$AB$8)*(RASANTE!F222-PERALTE!$AB$8)-2))))),IF(AND(AH!$H$12="Izquierda",RASANTE!F222&lt;=PERALTE!$AB$10),IF(RASANTE!F222&lt;=PERALTE!$S$10,-2,IF(RASANTE!F222&lt;=PERALTE!$U$10,(-6/(PERALTE!$U$10-PERALTE!$S$10)*(RASANTE!F222-PERALTE!$S$10)-2),IF(RASANTE!F222&lt;=PERALTE!$X$10,-8,IF(RASANTE!F222&lt;=PERALTE!$Z$10,(-6/(PERALTE!$X$10-PERALTE!$Z$10)*(RASANTE!F222-PERALTE!$Z$10)-2),IF(RASANTE!F222&lt;=PERALTE!$AB$10,-2))))),IF(AND(AH!$H$12="Derecha",RASANTE!F222&lt;=PERALTE!$AB$10),IF(RASANTE!F222&lt;=PERALTE!$Q$10,-2,IF(RASANTE!F222&lt;=PERALTE!$U$10,(10/(PERALTE!$U$10-PERALTE!$Q$10)*(RASANTE!F222-PERALTE!$Q$10)-2),IF(RASANTE!F222&lt;=PERALTE!$X$10,8,IF(RASANTE!F222&lt;=PERALTE!$AB$10,(10/(PERALTE!$X$10-PERALTE!$AB$10)*(RASANTE!F222-PERALTE!$AB$10)-2))))),IF(AND(AH!$H$14="Izquierda",RASANTE!F222&lt;=PERALTE!$AB$12),IF(RASANTE!F222&lt;=PERALTE!$S$12,-2,IF(RASANTE!F222&lt;=PERALTE!$U$12,(-6/(PERALTE!$U$12-PERALTE!$S$12)*(RASANTE!F222-PERALTE!$S$12)-2),IF(RASANTE!F222&lt;=PERALTE!$X$12,-8,IF(RASANTE!F222&lt;=PERALTE!$Z$12,(-6/(PERALTE!$X$12-PERALTE!$Z$12)*(RASANTE!F222-PERALTE!$Z$12)-2),IF(RASANTE!F222&lt;=PERALTE!$AB$12,-2))))),IF(AND(AH!$H$14="Derecha",RASANTE!F222&lt;=PERALTE!$AB$12),IF(RASANTE!F222&lt;=PERALTE!$Q$12,-2,IF(RASANTE!F222&lt;=PERALTE!$U$12,(10/(PERALTE!$U$12-PERALTE!$Q$12)*(RASANTE!F222-PERALTE!$Q$12)-2),IF(RASANTE!F222&lt;=PERALTE!$X$12,8,IF(RASANTE!F222&lt;=PERALTE!$AB$12,(10/(PERALTE!$X$12-PERALTE!$AB$12)*(RASANTE!F222-PERALTE!$AB$12)-2))))),IF(AND(AH!$H$16="Izquierda",RASANTE!F222&lt;=PERALTE!$AB$14),IF(RASANTE!F222&lt;=PERALTE!$S$14,-2,IF(RASANTE!F222&lt;=PERALTE!$U$14,(-6/(PERALTE!$U$14-PERALTE!$S$14)*(RASANTE!F222-PERALTE!$S$14)-2),IF(RASANTE!F222&lt;=PERALTE!$X$14,-8,IF(RASANTE!F222&lt;=PERALTE!$Z$14,(-6/(PERALTE!$X$14-PERALTE!$Z$14)*(RASANTE!F222-PERALTE!$Z$14)-2),IF(RASANTE!F222&lt;=PERALTE!$AB$14,-2))))),IF(AND(AH!$H$16="Derecha",RASANTE!F222&lt;=PERALTE!$AB$14),IF(RASANTE!F222&lt;=PERALTE!$Q$14,-2,IF(RASANTE!F222&lt;=PERALTE!$U$14,(10/(PERALTE!$U$14-PERALTE!$Q$14)*(RASANTE!F222-PERALTE!$Q$14)-2),IF(RASANTE!F222&lt;=PERALTE!$X$14,8,IF(RASANTE!F222&lt;=PERALTE!$AB$14,(10/(PERALTE!$X$14-PERALTE!$AB$14)*(RASANTE!F222-PERALTE!$AB$14)-2))))),IF(AND(AH!$H$18="Izquierda",RASANTE!F222&lt;=PERALTE!$AB$16),IF(RASANTE!F222&lt;=PERALTE!$S$16,-2,IF(RASANTE!F222&lt;=PERALTE!$U$16,(-6/(PERALTE!$U$16-PERALTE!$S$16)*(RASANTE!F222-PERALTE!$S$16)-2),IF(RASANTE!F222&lt;=PERALTE!$X$16,-8,IF(RASANTE!F222&lt;=PERALTE!$Z$16,(-6/(PERALTE!$X$16-PERALTE!$Z$16)*(RASANTE!F222-PERALTE!$Z$16)-2),IF(RASANTE!F222&lt;=PERALTE!$AB$16,-2))))),IF(AND(AH!$H$18="Derecha",RASANTE!F222&lt;=PERALTE!$AB$16),IF(RASANTE!F222&lt;=PERALTE!$Q$16,-2,IF(RASANTE!F222&lt;=PERALTE!$U$16,(10/(PERALTE!$U$16-PERALTE!$Q$16)*(RASANTE!F222-PERALTE!$Q$16)-2),IF(RASANTE!F222&lt;=PERALTE!$X$16,8,IF(RASANTE!F222&lt;=PERALTE!$AB$16,(10/(PERALTE!$X$16-PERALTE!$AB$16)*(RASANTE!F222-PERALTE!$AB$16)-2))))),IF(AND(AH!$H$20="Izquierda",RASANTE!F222&lt;=PERALTE!$AB$18),IF(RASANTE!F222&lt;=PERALTE!$S$18,-2,IF(RASANTE!F222&lt;=PERALTE!$U$18,(-6/(PERALTE!$U$18-PERALTE!$S$18)*(RASANTE!F222-PERALTE!$S$18)-2),IF(RASANTE!F222&lt;=PERALTE!$X$18,-8,IF(RASANTE!F222&lt;=PERALTE!$Z$18,(-6/(PERALTE!$X$18-PERALTE!$Z$18)*(RASANTE!F222-PERALTE!$Z$18)-2),IF(RASANTE!F222&lt;=PERALTE!$AB$18,-2))))),IF(AND(AH!$H$20="Derecha",RASANTE!F222&lt;=PERALTE!$AB$18),IF(RASANTE!F222&lt;=PERALTE!$Q$18,-2,IF(RASANTE!F222&lt;=PERALTE!$U$18,(10/(PERALTE!$U$18-PERALTE!$Q$18)*(RASANTE!F222-PERALTE!$Q$18)-2),IF(RASANTE!F222&lt;=PERALTE!$X$18,8,IF(RASANTE!F222&lt;=PERALTE!$AB$18,(10/(PERALTE!$X$18-PERALTE!$AB$18)*(RASANTE!F222-PERALTE!$AB$18)-2))))),IF(AND(AH!$H$24="Izquierda",RASANTE!F222&lt;=PERALTE!$AB$22),IF(RASANTE!F222&lt;=PERALTE!$S$22,-2,IF(RASANTE!F222&lt;=PERALTE!$U$22,(-6/(PERALTE!$U$22-PERALTE!$S$22)*(RASANTE!F222-PERALTE!$S$22)-2),IF(RASANTE!F222&lt;=PERALTE!$X$22,-8,IF(RASANTE!F222&lt;=PERALTE!$Z$22,(-6/(PERALTE!$X$22-PERALTE!$Z$22)*(RASANTE!F222-PERALTE!$Z$22)-2),IF(RASANTE!F222&lt;=PERALTE!$AB$22,-2))))),IF(AND(AH!$H$24="Derecha",RASANTE!F222&lt;=PERALTE!$AB$22),IF(RASANTE!F222&lt;=PERALTE!$Q$22,-2,IF(RASANTE!F222&lt;=PERALTE!$U$22,(10/(PERALTE!$U$22-PERALTE!$Q$22)*(RASANTE!F222-PERALTE!$Q$22)-2),IF(RASANTE!F222&lt;=PERALTE!$X$22,8,IF(RASANTE!F222&lt;=PERALTE!$AB$22,(10/(PERALTE!$X$22-PERALTE!$AB$22)*(RASANTE!F222-PERALTE!$AB$22)-2))))),IF(AND(AH!#REF!="Izquierda",RASANTE!F222&lt;=PERALTE!#REF!),IF(RASANTE!F222&lt;=PERALTE!#REF!,-2,IF(RASANTE!F222&lt;=PERALTE!#REF!,(-6/(PERALTE!#REF!-PERALTE!#REF!)*(RASANTE!F222-PERALTE!#REF!)-2),IF(RASANTE!F222&lt;=PERALTE!#REF!,-8,IF(RASANTE!F222&lt;=PERALTE!#REF!,(-6/(PERALTE!#REF!-PERALTE!#REF!)*(RASANTE!F222-PERALTE!#REF!)-2),IF(RASANTE!F222&lt;=PERALTE!#REF!,-2))))),IF(AND(AH!#REF!="Derecha",RASANTE!F222&lt;=PERALTE!#REF!),IF(RASANTE!F222&lt;=PERALTE!#REF!,-2,IF(RASANTE!F222&lt;=PERALTE!#REF!,(10/(PERALTE!#REF!-PERALTE!#REF!)*(RASANTE!F222-PERALTE!#REF!)-2),IF(RASANTE!F222&lt;=PERALTE!#REF!,8,IF(RASANTE!F222&lt;=PERALTE!#REF!,(10/(PERALTE!#REF!-PERALTE!#REF!)*(RASANTE!F222-PERALTE!#REF!)-2))))),IF(AND(AH!#REF!="Izquierda",RASANTE!F222&lt;=PERALTE!$AB$26),IF(RASANTE!F222&lt;=PERALTE!$S$26,-2,IF(RASANTE!F222&lt;=PERALTE!$U$26,(-6/(PERALTE!$U$26-PERALTE!$S$26)*(RASANTE!F222-PERALTE!$S$26)-2),IF(RASANTE!F222&lt;=PERALTE!$X$26,-8,IF(RASANTE!F222&lt;=PERALTE!$Z$26,(-6/(PERALTE!$X$26-PERALTE!$Z$26)*(RASANTE!F222-PERALTE!$Z$26)-2),IF(RASANTE!F222&lt;=PERALTE!$AB$26,-2))))),IF(AND(AH!#REF!="Derecha",RASANTE!F222&lt;=PERALTE!$AB$26),IF(RASANTE!F222&lt;=PERALTE!$Q$26,-2,IF(RASANTE!F222&lt;=PERALTE!$U$26,(10/(PERALTE!$U$26-PERALTE!$Q$26)*(RASANTE!F222-PERALTE!$Q$26)-2),IF(RASANTE!F222&lt;=PERALTE!$X$26,8,IF(RASANTE!F222&lt;=PERALTE!$AB$26,(10/(PERALTE!$X$26-PERALTE!$AB$26)*(RASANTE!F222-PERALTE!$AB$26)-2))))),IF(F222&lt;=PERALTE!#REF!,-2,"Abscisa fuera de la vía")))))))))))))))))))))</f>
        <v>8</v>
      </c>
      <c r="I222" s="28">
        <f>+IF(AND(AH!$H$8="Derecha",RASANTE!F222&lt;=PERALTE!$AB$6),IF(RASANTE!F222&lt;=PERALTE!$S$6,-2,IF(RASANTE!F222&lt;=PERALTE!$U$6,(-6/(PERALTE!$U$6-PERALTE!$S$6)*(RASANTE!F222-PERALTE!$S$6)-2),IF(RASANTE!F222&lt;=PERALTE!$X$6,-8,IF(RASANTE!F222&lt;=PERALTE!$Z$6,(-6/(PERALTE!$X$6-PERALTE!$Z$6)*(RASANTE!F222-PERALTE!$Z$6)-2),IF(RASANTE!F222&lt;=PERALTE!$AB$6,-2))))),IF(AND(AH!$H$8="Izquierda",RASANTE!F222&lt;=PERALTE!$AB$6),IF(RASANTE!F222&lt;=PERALTE!$Q$6,-2,IF(RASANTE!F222&lt;=PERALTE!$U$6,(10/(PERALTE!$U$6-PERALTE!$Q$6)*(RASANTE!F222-PERALTE!$Q$6)-2),IF(RASANTE!F222&lt;=PERALTE!$X$6,8,IF(RASANTE!F222&lt;=PERALTE!$AB$6,(10/(PERALTE!$X$6-PERALTE!$AB$6)*(RASANTE!F222-PERALTE!$AB$6)-2))))),IF(AND(AH!$H$10="Derecha",RASANTE!F222&lt;=PERALTE!$AB$8),IF(RASANTE!F222&lt;=PERALTE!$S$8,-2,IF(RASANTE!F222&lt;=PERALTE!$U$8,(-6/(PERALTE!$U$8-PERALTE!$S$8)*(RASANTE!F222-PERALTE!$S$8)-2),IF(RASANTE!F222&lt;=PERALTE!$X$8,-8,IF(RASANTE!F222&lt;=PERALTE!$Z$8,(-6/(PERALTE!$X$8-PERALTE!$Z$8)*(RASANTE!F222-PERALTE!$Z$8)-2),IF(RASANTE!F222&lt;=PERALTE!$AB$8,-2))))),IF(AND(AH!$H$10="Izquierda",RASANTE!F222&lt;=PERALTE!$AB$8),IF(RASANTE!F222&lt;=PERALTE!$Q$8,-2,IF(RASANTE!F222&lt;=PERALTE!$U$8,(10/(PERALTE!$U$8-PERALTE!$Q$8)*(RASANTE!F222-PERALTE!$Q$8)-2),IF(RASANTE!F222&lt;=PERALTE!$X$8,8,IF(RASANTE!F222&lt;=PERALTE!$AB$8,(10/(PERALTE!$X$8-PERALTE!$AB$8)*(RASANTE!F222-PERALTE!$AB$8)-2))))),IF(AND(AH!$H$12="Derecha",RASANTE!F222&lt;=PERALTE!$AB$10),IF(RASANTE!F222&lt;=PERALTE!$S$10,-2,IF(RASANTE!F222&lt;=PERALTE!$U$10,(-6/(PERALTE!$U$10-PERALTE!$S$10)*(RASANTE!F222-PERALTE!$S$10)-2),IF(RASANTE!F222&lt;=PERALTE!$X$10,-8,IF(RASANTE!F222&lt;=PERALTE!$Z$10,(-6/(PERALTE!$X$10-PERALTE!$Z$10)*(RASANTE!F222-PERALTE!$Z$10)-2),IF(RASANTE!F222&lt;=PERALTE!$AB$10,-2))))),IF(AND(AH!$H$12="Izquierda",RASANTE!F222&lt;=PERALTE!$AB$10),IF(RASANTE!F222&lt;=PERALTE!$Q$10,-2,IF(RASANTE!F222&lt;=PERALTE!$U$10,(10/(PERALTE!$U$10-PERALTE!$Q$10)*(RASANTE!F222-PERALTE!$Q$10)-2),IF(RASANTE!F222&lt;=PERALTE!$X$10,8,IF(RASANTE!F222&lt;=PERALTE!$AB$10,(10/(PERALTE!$X$10-PERALTE!$AB$10)*(RASANTE!F222-PERALTE!$AB$10)-2))))),IF(AND(AH!$H$14="Derecha",RASANTE!F222&lt;=PERALTE!$AB$12),IF(RASANTE!F222&lt;=PERALTE!$S$12,-2,IF(RASANTE!F222&lt;=PERALTE!$U$12,(-6/(PERALTE!$U$12-PERALTE!$S$12)*(RASANTE!F222-PERALTE!$S$12)-2),IF(RASANTE!F222&lt;=PERALTE!$X$12,-8,IF(RASANTE!F222&lt;=PERALTE!$Z$12,(-6/(PERALTE!$X$12-PERALTE!$Z$12)*(RASANTE!F222-PERALTE!$Z$12)-2),IF(RASANTE!F222&lt;=PERALTE!$AB$12,-2))))),IF(AND(AH!$H$14="Izquierda",RASANTE!F222&lt;=PERALTE!$AB$12),IF(RASANTE!F222&lt;=PERALTE!$Q$12,-2,IF(RASANTE!F222&lt;=PERALTE!$U$12,(10/(PERALTE!$U$12-PERALTE!$Q$12)*(RASANTE!F222-PERALTE!$Q$12)-2),IF(RASANTE!F222&lt;=PERALTE!$X$12,8,IF(RASANTE!F222&lt;=PERALTE!$AB$12,(10/(PERALTE!$X$12-PERALTE!$AB$12)*(RASANTE!F222-PERALTE!$AB$12)-2))))),IF(AND(AH!$H$16="Derecha",RASANTE!F222&lt;=PERALTE!$AB$14),IF(RASANTE!F222&lt;=PERALTE!$S$14,-2,IF(RASANTE!F222&lt;=PERALTE!$U$14,(-6/(PERALTE!$U$14-PERALTE!$S$14)*(RASANTE!F222-PERALTE!$S$14)-2),IF(RASANTE!F222&lt;=PERALTE!$X$14,-8,IF(RASANTE!F222&lt;=PERALTE!$Z$14,(-6/(PERALTE!$X$14-PERALTE!$Z$14)*(RASANTE!F222-PERALTE!$Z$14)-2),IF(RASANTE!F222&lt;=PERALTE!$AB$14,-2))))),IF(AND(AH!$H$16="Izquierda",RASANTE!F222&lt;=PERALTE!$AB$14),IF(RASANTE!F222&lt;=PERALTE!$Q$14,-2,IF(RASANTE!F222&lt;=PERALTE!$U$14,(10/(PERALTE!$U$14-PERALTE!$Q$14)*(RASANTE!F222-PERALTE!$Q$14)-2),IF(RASANTE!F222&lt;=PERALTE!$X$14,8,IF(RASANTE!F222&lt;=PERALTE!$AB$14,(10/(PERALTE!$X$14-PERALTE!$AB$14)*(RASANTE!F222-PERALTE!$AB$14)-2))))),IF(AND(AH!$H$18="Derecha",RASANTE!F222&lt;=PERALTE!$AB$16),IF(RASANTE!F222&lt;=PERALTE!$S$16,-2,IF(RASANTE!F222&lt;=PERALTE!$U$16,(-6/(PERALTE!$U$16-PERALTE!$S$16)*(RASANTE!F222-PERALTE!$S$16)-2),IF(RASANTE!F222&lt;=PERALTE!$X$16,-8,IF(RASANTE!F222&lt;=PERALTE!$Z$16,(-6/(PERALTE!$X$16-PERALTE!$Z$16)*(RASANTE!F222-PERALTE!$Z$16)-2),IF(RASANTE!F222&lt;=PERALTE!$AB$16,-2))))),IF(AND(AH!$H$18="Izquierda",RASANTE!F222&lt;=PERALTE!$AB$16),IF(RASANTE!F222&lt;=PERALTE!$Q$16,-2,IF(RASANTE!F222&lt;=PERALTE!$U$16,(10/(PERALTE!$U$16-PERALTE!$Q$16)*(RASANTE!F222-PERALTE!$Q$16)-2),IF(RASANTE!F222&lt;=PERALTE!$X$16,8,IF(RASANTE!F222&lt;=PERALTE!$AB$16,(10/(PERALTE!$X$16-PERALTE!$AB$16)*(RASANTE!F222-PERALTE!$AB$16)-2))))),IF(AND(AH!$H$20="Derecha",RASANTE!F222&lt;=PERALTE!$AB$18),IF(RASANTE!F222&lt;=PERALTE!$S$18,-2,IF(RASANTE!F222&lt;=PERALTE!$U$18,(-6/(PERALTE!$U$18-PERALTE!$S$18)*(RASANTE!F222-PERALTE!$S$18)-2),IF(RASANTE!F222&lt;=PERALTE!$X$18,-8,IF(RASANTE!F222&lt;=PERALTE!$Z$18,(-6/(PERALTE!$X$18-PERALTE!$Z$18)*(RASANTE!F222-PERALTE!$Z$18)-2),IF(RASANTE!F222&lt;=PERALTE!$AB$18,-2))))),IF(AND(AH!$H$20="Izquierda",RASANTE!F222&lt;=PERALTE!$AB$18),IF(RASANTE!F222&lt;=PERALTE!$Q$18,-2,IF(RASANTE!F222&lt;=PERALTE!$U$18,(10/(PERALTE!$U$18-PERALTE!$Q$18)*(RASANTE!F222-PERALTE!$Q$18)-2),IF(RASANTE!F222&lt;=PERALTE!$X$18,8,IF(RASANTE!F222&lt;=PERALTE!$AB$18,(10/(PERALTE!$X$18-PERALTE!$AB$18)*(RASANTE!F222-PERALTE!$AB$18)-2))))),IF(AND(AH!$H$24="Derecha",RASANTE!F222&lt;=PERALTE!$AB$22),IF(RASANTE!F222&lt;=PERALTE!$S$22,-2,IF(RASANTE!F222&lt;=PERALTE!$U$22,(-6/(PERALTE!$U$22-PERALTE!$S$22)*(RASANTE!F222-PERALTE!$S$22)-2),IF(RASANTE!F222&lt;=PERALTE!$X$22,-8,IF(RASANTE!F222&lt;=PERALTE!$Z$22,(-6/(PERALTE!$X$22-PERALTE!$Z$22)*(RASANTE!F222-PERALTE!$Z$22)-2),IF(RASANTE!F222&lt;=PERALTE!$AB$22,-2))))),IF(AND(AH!$H$24="Izquierda",RASANTE!F222&lt;=PERALTE!$AB$22),IF(RASANTE!F222&lt;=PERALTE!$Q$22,-2,IF(RASANTE!F222&lt;=PERALTE!$U$22,(10/(PERALTE!$U$22-PERALTE!$Q$22)*(RASANTE!F222-PERALTE!$Q$22)-2),IF(RASANTE!F222&lt;=PERALTE!$X$22,8,IF(RASANTE!F222&lt;=PERALTE!$AB$22,(10/(PERALTE!$X$22-PERALTE!$AB$22)*(RASANTE!F222-PERALTE!$AB$22)-2))))),IF(AND(AH!#REF!="Derecha",RASANTE!F222&lt;=PERALTE!#REF!),IF(RASANTE!F222&lt;=PERALTE!#REF!,-2,IF(RASANTE!F222&lt;=PERALTE!#REF!,(-6/(PERALTE!#REF!-PERALTE!#REF!)*(RASANTE!F222-PERALTE!#REF!)-2),IF(RASANTE!F222&lt;=PERALTE!#REF!,-8,IF(RASANTE!F222&lt;=PERALTE!#REF!,(-6/(PERALTE!#REF!-PERALTE!#REF!)*(RASANTE!F222-PERALTE!#REF!)-2),IF(RASANTE!F222&lt;=PERALTE!#REF!,-2))))),IF(AND(AH!#REF!="Izquierda",RASANTE!F222&lt;=PERALTE!#REF!),IF(RASANTE!F222&lt;=PERALTE!#REF!,-2,IF(RASANTE!F222&lt;=PERALTE!#REF!,(10/(PERALTE!#REF!-PERALTE!#REF!)*(RASANTE!F222-PERALTE!#REF!)-2),IF(RASANTE!F222&lt;=PERALTE!#REF!,8,IF(RASANTE!F222&lt;=PERALTE!#REF!,(10/(PERALTE!#REF!-PERALTE!#REF!)*(RASANTE!F222-PERALTE!#REF!)-2))))),IF(AND(AH!#REF!="Derecha",RASANTE!F222&lt;=PERALTE!$AB$26),IF(RASANTE!F222&lt;=PERALTE!$S$26,-2,IF(RASANTE!F222&lt;=PERALTE!$U$26,(-6/(PERALTE!$U$26-PERALTE!$S$26)*(RASANTE!F222-PERALTE!$S$26)-2),IF(RASANTE!F222&lt;=PERALTE!$X$26,-8,IF(RASANTE!F222&lt;=PERALTE!$Z$26,(-6/(PERALTE!$X$26-PERALTE!$Z$26)*(RASANTE!F222-PERALTE!$Z$26)-2),IF(RASANTE!F222&lt;=PERALTE!$AB$26,-2))))),IF(AND(AH!#REF!="Izquierda",RASANTE!F222&lt;=PERALTE!$AB$26),IF(RASANTE!F222&lt;=PERALTE!$Q$26,-2,IF(RASANTE!F222&lt;=PERALTE!$U$26,(10/(PERALTE!$U$26-PERALTE!$Q$26)*(RASANTE!F222-PERALTE!$Q$26)-2),IF(RASANTE!F222&lt;=PERALTE!$X$26,8,IF(RASANTE!F222&lt;=PERALTE!$AB$26,(10/(PERALTE!$X$26-PERALTE!$AB$26)*(RASANTE!F222-PERALTE!$AB$26)-2))))),IF(F222&lt;=PERALTE!#REF!,-2,"Abscisa fuera de la vía")))))))))))))))))))))</f>
        <v>-8</v>
      </c>
      <c r="J222" s="28">
        <f t="shared" si="11"/>
        <v>1629.4329284648982</v>
      </c>
      <c r="K222" s="28">
        <f>+IF(AND(AV!$S$6&lt;F222,F222&lt;=AV!$T$6),AV!$P$6*((AV!$S$6-RASANTE!F222)/(AV!$N$6))^2,IF(AND(AV!$T$6&lt;RASANTE!F222,F222&lt;AV!$U$6),AV!$P$6*((AV!$U$6-RASANTE!F222)/(AV!$O$6))^2,IF(AND(AV!$S$8&lt;F222,F222&lt;=AV!$T$8),AV!$P$8*((AV!$S$8-RASANTE!F222)/(AV!$N$8))^2,IF(AND(AV!$T$8&lt;RASANTE!F222,F222&lt;AV!$U$8),AV!$P$8*((AV!$U$8-RASANTE!F222)/(AV!$O$8))^2,IF(AND(AV!$S$10&lt;F222,F222&lt;=AV!$T$10),AV!$P$10*((AV!$S$10-RASANTE!F222)/(AV!$N$10))^2,IF(AND(AV!$T$10&lt;RASANTE!F222,F222&lt;AV!$U$10),AV!$P$10*((AV!$U$10-RASANTE!F222)/(AV!$O$10))^2,IF(AND(AV!$S$12&lt;F222,F222&lt;=AV!$T$12),AV!$P$12*((AV!$S$12-RASANTE!F222)/(AV!$N$12))^2,IF(AND(AV!$T$12&lt;RASANTE!F222,F222&lt;AV!$U$12),AV!$P$12*((AV!$U$12-RASANTE!F222)/(AV!$O$12))^2,IF(AND(AV!$S$14&lt;F222,F222&lt;=AV!$T$14),AV!$P$14*((AV!$S$14-RASANTE!F222)/(AV!$N$14))^2,IF(AND(AV!$T$14&lt;RASANTE!F222,F222&lt;AV!$U$14),AV!$P$14*((AV!$U$14-RASANTE!F222)/(AV!$O$14))^2,IF(AND(AV!$S$16&lt;F222,F222&lt;=AV!$T$16),AV!$P$16*((AV!$S$16-RASANTE!F222)/(AV!$N$16))^2,IF(AND(AV!$T$16&lt;RASANTE!F222,F222&lt;AV!$U$16),AV!$P$16*((AV!$U$16-RASANTE!F222)/(AV!$O$16))^2,IF(AND(AV!$S$18&lt;F222,F222&lt;=AV!$T$18),AV!$P$18*((AV!$S$18-RASANTE!F222)/(AV!$N$18))^2,IF(AND(AV!$T$18&lt;RASANTE!F222,F222&lt;AV!$U$18),AV!$P$18*((AV!$U$18-RASANTE!F222)/(AV!$O$18))^2,IF(AND(AV!$S$20&lt;F222,F222&lt;=AV!$T$20),AV!$P$20*((AV!$S$20-RASANTE!F222)/(AV!$N$20))^2,IF(AND(AV!$T$20&lt;RASANTE!F222,F222&lt;AV!$U$20),AV!$P$20*((AV!$U$20-RASANTE!F222)/(AV!$O$20))^2,IF(AND(AV!$S$22&lt;F222,F222&lt;=AV!$T$22),AV!$P$22*((AV!$S$22-RASANTE!F222)/(AV!$N$22))^2,IF(AND(AV!$T$22&lt;RASANTE!F222,F222&lt;AV!$U$22),AV!$P$22*((AV!$U$22-RASANTE!F222)/(AV!$O$22))^2,IF(AND(AV!$S$24&lt;F222,F222&lt;=AV!$T$24),AV!$P$24*((AV!$S$24-RASANTE!F222)/(AV!$N$24))^2,IF(AND(AV!$T$24&lt;RASANTE!F222,F222&lt;AV!$U$24),AV!$P$24*((AV!$U$24-RASANTE!F222)/(AV!$O$24))^2,0))))))))))))))))))))</f>
        <v>0</v>
      </c>
      <c r="L222" s="28">
        <f>+M222+H222%*PERALTE!$C$32</f>
        <v>1629.7129284648981</v>
      </c>
      <c r="M222" s="28">
        <f t="shared" si="7"/>
        <v>1629.4329284648982</v>
      </c>
      <c r="N222" s="28">
        <f>+M222+I222%*PERALTE!$C$32</f>
        <v>1629.1529284648982</v>
      </c>
      <c r="O222" s="92"/>
      <c r="P222" s="84"/>
      <c r="Q222" s="84"/>
      <c r="R222" s="84"/>
      <c r="S222" s="84"/>
      <c r="T222" s="84"/>
      <c r="U222" s="84"/>
      <c r="V222" s="84"/>
      <c r="W222" s="84"/>
      <c r="X222" s="84"/>
      <c r="Y222" s="84"/>
    </row>
    <row r="223" spans="1:25" ht="15.75" customHeight="1" x14ac:dyDescent="0.2">
      <c r="A223" s="111"/>
      <c r="B223" s="201">
        <f>AH!S18</f>
        <v>81.863841334485116</v>
      </c>
      <c r="C223" s="147">
        <f>AH!F2</f>
        <v>5</v>
      </c>
      <c r="D223" s="178" t="str">
        <f>AH!H18</f>
        <v>Derecha</v>
      </c>
      <c r="E223" s="115"/>
      <c r="F223" s="34">
        <v>1370</v>
      </c>
      <c r="G223" s="88">
        <f>IF(F223&lt;=AV!$T$6,AV!$C$5,IF(RASANTE!F223&lt;=AV!$T$8,AV!$C$7,IF(RASANTE!F223&lt;=AV!$T$10,AV!$C$9,IF(RASANTE!F223&lt;=AV!$T$12,AV!$C$11,IF(RASANTE!F223&lt;=AV!$T$14,AV!$C$13,IF(RASANTE!F223&lt;=AV!$T$16,AV!$C$15, IF(RASANTE!F223&lt;=AV!$T$18,AV!$C$17,IF(RASANTE!F223&lt;=AV!$T$20,AV!$C$19,IF(RASANTE!F223&lt;=AV!$T$22,AV!$C$21,IF(RASANTE!F223&lt;=AV!$T$24,AV!$C$23,AV!$C$25))))))))))</f>
        <v>2.8</v>
      </c>
      <c r="H223" s="28">
        <f>+IF(AND(AH!$H$8="Izquierda",RASANTE!F223&lt;=PERALTE!$AB$6),IF(RASANTE!F223&lt;=PERALTE!$S$6,-2,IF(RASANTE!F223&lt;=PERALTE!$U$6,(-6/(PERALTE!$U$6-PERALTE!$S$6)*(RASANTE!F223-PERALTE!$S$6)-2),IF(RASANTE!F223&lt;=PERALTE!$X$6,-8,IF(RASANTE!F223&lt;=PERALTE!$Z$6,(-6/(PERALTE!$X$6-PERALTE!$Z$6)*(RASANTE!F223-PERALTE!$Z$6)-2),IF(RASANTE!F223&lt;=PERALTE!$AB$6,-2))))),IF(AND(AH!$H$8="Derecha",RASANTE!F223&lt;=PERALTE!$AB$6),IF(RASANTE!F223&lt;=PERALTE!$Q$6,-2,IF(RASANTE!F223&lt;=PERALTE!$U$6,(10/(PERALTE!$U$6-PERALTE!$Q$6)*(RASANTE!F223-PERALTE!$Q$6)-2),IF(RASANTE!F223&lt;=PERALTE!$X$6,8,IF(RASANTE!F223&lt;=PERALTE!$AB$6,(10/(PERALTE!$X$6-PERALTE!$AB$6)*(RASANTE!F223-PERALTE!$AB$6)-2))))),IF(AND(AH!$H$10="Izquierda",RASANTE!F223&lt;=PERALTE!$AB$8),IF(RASANTE!F223&lt;=PERALTE!$S$8,-2,IF(RASANTE!F223&lt;=PERALTE!$U$8,(-6/(PERALTE!$U$8-PERALTE!$S$8)*(RASANTE!F223-PERALTE!$S$8)-2),IF(RASANTE!F223&lt;=PERALTE!$X$8,-8,IF(RASANTE!F223&lt;=PERALTE!$Z$8,(-6/(PERALTE!$X$8-PERALTE!$Z$8)*(RASANTE!F223-PERALTE!$Z$8)-2),IF(RASANTE!F223&lt;=PERALTE!$AB$8,-2))))),IF(AND(AH!$H$10="Derecha",RASANTE!F223&lt;=PERALTE!$AB$8),IF(RASANTE!F223&lt;=PERALTE!$Q$8,-2,IF(RASANTE!F223&lt;=PERALTE!$U$8,(10/(PERALTE!$U$8-PERALTE!$Q$8)*(RASANTE!F223-PERALTE!$Q$8)-2),IF(RASANTE!F223&lt;=PERALTE!$X$8,8,IF(RASANTE!F223&lt;=PERALTE!$AB$8,(10/(PERALTE!$X$8-PERALTE!$AB$8)*(RASANTE!F223-PERALTE!$AB$8)-2))))),IF(AND(AH!$H$12="Izquierda",RASANTE!F223&lt;=PERALTE!$AB$10),IF(RASANTE!F223&lt;=PERALTE!$S$10,-2,IF(RASANTE!F223&lt;=PERALTE!$U$10,(-6/(PERALTE!$U$10-PERALTE!$S$10)*(RASANTE!F223-PERALTE!$S$10)-2),IF(RASANTE!F223&lt;=PERALTE!$X$10,-8,IF(RASANTE!F223&lt;=PERALTE!$Z$10,(-6/(PERALTE!$X$10-PERALTE!$Z$10)*(RASANTE!F223-PERALTE!$Z$10)-2),IF(RASANTE!F223&lt;=PERALTE!$AB$10,-2))))),IF(AND(AH!$H$12="Derecha",RASANTE!F223&lt;=PERALTE!$AB$10),IF(RASANTE!F223&lt;=PERALTE!$Q$10,-2,IF(RASANTE!F223&lt;=PERALTE!$U$10,(10/(PERALTE!$U$10-PERALTE!$Q$10)*(RASANTE!F223-PERALTE!$Q$10)-2),IF(RASANTE!F223&lt;=PERALTE!$X$10,8,IF(RASANTE!F223&lt;=PERALTE!$AB$10,(10/(PERALTE!$X$10-PERALTE!$AB$10)*(RASANTE!F223-PERALTE!$AB$10)-2))))),IF(AND(AH!$H$14="Izquierda",RASANTE!F223&lt;=PERALTE!$AB$12),IF(RASANTE!F223&lt;=PERALTE!$S$12,-2,IF(RASANTE!F223&lt;=PERALTE!$U$12,(-6/(PERALTE!$U$12-PERALTE!$S$12)*(RASANTE!F223-PERALTE!$S$12)-2),IF(RASANTE!F223&lt;=PERALTE!$X$12,-8,IF(RASANTE!F223&lt;=PERALTE!$Z$12,(-6/(PERALTE!$X$12-PERALTE!$Z$12)*(RASANTE!F223-PERALTE!$Z$12)-2),IF(RASANTE!F223&lt;=PERALTE!$AB$12,-2))))),IF(AND(AH!$H$14="Derecha",RASANTE!F223&lt;=PERALTE!$AB$12),IF(RASANTE!F223&lt;=PERALTE!$Q$12,-2,IF(RASANTE!F223&lt;=PERALTE!$U$12,(10/(PERALTE!$U$12-PERALTE!$Q$12)*(RASANTE!F223-PERALTE!$Q$12)-2),IF(RASANTE!F223&lt;=PERALTE!$X$12,8,IF(RASANTE!F223&lt;=PERALTE!$AB$12,(10/(PERALTE!$X$12-PERALTE!$AB$12)*(RASANTE!F223-PERALTE!$AB$12)-2))))),IF(AND(AH!$H$16="Izquierda",RASANTE!F223&lt;=PERALTE!$AB$14),IF(RASANTE!F223&lt;=PERALTE!$S$14,-2,IF(RASANTE!F223&lt;=PERALTE!$U$14,(-6/(PERALTE!$U$14-PERALTE!$S$14)*(RASANTE!F223-PERALTE!$S$14)-2),IF(RASANTE!F223&lt;=PERALTE!$X$14,-8,IF(RASANTE!F223&lt;=PERALTE!$Z$14,(-6/(PERALTE!$X$14-PERALTE!$Z$14)*(RASANTE!F223-PERALTE!$Z$14)-2),IF(RASANTE!F223&lt;=PERALTE!$AB$14,-2))))),IF(AND(AH!$H$16="Derecha",RASANTE!F223&lt;=PERALTE!$AB$14),IF(RASANTE!F223&lt;=PERALTE!$Q$14,-2,IF(RASANTE!F223&lt;=PERALTE!$U$14,(10/(PERALTE!$U$14-PERALTE!$Q$14)*(RASANTE!F223-PERALTE!$Q$14)-2),IF(RASANTE!F223&lt;=PERALTE!$X$14,8,IF(RASANTE!F223&lt;=PERALTE!$AB$14,(10/(PERALTE!$X$14-PERALTE!$AB$14)*(RASANTE!F223-PERALTE!$AB$14)-2))))),IF(AND(AH!$H$18="Izquierda",RASANTE!F223&lt;=PERALTE!$AB$16),IF(RASANTE!F223&lt;=PERALTE!$S$16,-2,IF(RASANTE!F223&lt;=PERALTE!$U$16,(-6/(PERALTE!$U$16-PERALTE!$S$16)*(RASANTE!F223-PERALTE!$S$16)-2),IF(RASANTE!F223&lt;=PERALTE!$X$16,-8,IF(RASANTE!F223&lt;=PERALTE!$Z$16,(-6/(PERALTE!$X$16-PERALTE!$Z$16)*(RASANTE!F223-PERALTE!$Z$16)-2),IF(RASANTE!F223&lt;=PERALTE!$AB$16,-2))))),IF(AND(AH!$H$18="Derecha",RASANTE!F223&lt;=PERALTE!$AB$16),IF(RASANTE!F223&lt;=PERALTE!$Q$16,-2,IF(RASANTE!F223&lt;=PERALTE!$U$16,(10/(PERALTE!$U$16-PERALTE!$Q$16)*(RASANTE!F223-PERALTE!$Q$16)-2),IF(RASANTE!F223&lt;=PERALTE!$X$16,8,IF(RASANTE!F223&lt;=PERALTE!$AB$16,(10/(PERALTE!$X$16-PERALTE!$AB$16)*(RASANTE!F223-PERALTE!$AB$16)-2))))),IF(AND(AH!$H$20="Izquierda",RASANTE!F223&lt;=PERALTE!$AB$18),IF(RASANTE!F223&lt;=PERALTE!$S$18,-2,IF(RASANTE!F223&lt;=PERALTE!$U$18,(-6/(PERALTE!$U$18-PERALTE!$S$18)*(RASANTE!F223-PERALTE!$S$18)-2),IF(RASANTE!F223&lt;=PERALTE!$X$18,-8,IF(RASANTE!F223&lt;=PERALTE!$Z$18,(-6/(PERALTE!$X$18-PERALTE!$Z$18)*(RASANTE!F223-PERALTE!$Z$18)-2),IF(RASANTE!F223&lt;=PERALTE!$AB$18,-2))))),IF(AND(AH!$H$20="Derecha",RASANTE!F223&lt;=PERALTE!$AB$18),IF(RASANTE!F223&lt;=PERALTE!$Q$18,-2,IF(RASANTE!F223&lt;=PERALTE!$U$18,(10/(PERALTE!$U$18-PERALTE!$Q$18)*(RASANTE!F223-PERALTE!$Q$18)-2),IF(RASANTE!F223&lt;=PERALTE!$X$18,8,IF(RASANTE!F223&lt;=PERALTE!$AB$18,(10/(PERALTE!$X$18-PERALTE!$AB$18)*(RASANTE!F223-PERALTE!$AB$18)-2))))),IF(AND(AH!$H$24="Izquierda",RASANTE!F223&lt;=PERALTE!$AB$22),IF(RASANTE!F223&lt;=PERALTE!$S$22,-2,IF(RASANTE!F223&lt;=PERALTE!$U$22,(-6/(PERALTE!$U$22-PERALTE!$S$22)*(RASANTE!F223-PERALTE!$S$22)-2),IF(RASANTE!F223&lt;=PERALTE!$X$22,-8,IF(RASANTE!F223&lt;=PERALTE!$Z$22,(-6/(PERALTE!$X$22-PERALTE!$Z$22)*(RASANTE!F223-PERALTE!$Z$22)-2),IF(RASANTE!F223&lt;=PERALTE!$AB$22,-2))))),IF(AND(AH!$H$24="Derecha",RASANTE!F223&lt;=PERALTE!$AB$22),IF(RASANTE!F223&lt;=PERALTE!$Q$22,-2,IF(RASANTE!F223&lt;=PERALTE!$U$22,(10/(PERALTE!$U$22-PERALTE!$Q$22)*(RASANTE!F223-PERALTE!$Q$22)-2),IF(RASANTE!F223&lt;=PERALTE!$X$22,8,IF(RASANTE!F223&lt;=PERALTE!$AB$22,(10/(PERALTE!$X$22-PERALTE!$AB$22)*(RASANTE!F223-PERALTE!$AB$22)-2))))),IF(AND(AH!#REF!="Izquierda",RASANTE!F223&lt;=PERALTE!#REF!),IF(RASANTE!F223&lt;=PERALTE!#REF!,-2,IF(RASANTE!F223&lt;=PERALTE!#REF!,(-6/(PERALTE!#REF!-PERALTE!#REF!)*(RASANTE!F223-PERALTE!#REF!)-2),IF(RASANTE!F223&lt;=PERALTE!#REF!,-8,IF(RASANTE!F223&lt;=PERALTE!#REF!,(-6/(PERALTE!#REF!-PERALTE!#REF!)*(RASANTE!F223-PERALTE!#REF!)-2),IF(RASANTE!F223&lt;=PERALTE!#REF!,-2))))),IF(AND(AH!#REF!="Derecha",RASANTE!F223&lt;=PERALTE!#REF!),IF(RASANTE!F223&lt;=PERALTE!#REF!,-2,IF(RASANTE!F223&lt;=PERALTE!#REF!,(10/(PERALTE!#REF!-PERALTE!#REF!)*(RASANTE!F223-PERALTE!#REF!)-2),IF(RASANTE!F223&lt;=PERALTE!#REF!,8,IF(RASANTE!F223&lt;=PERALTE!#REF!,(10/(PERALTE!#REF!-PERALTE!#REF!)*(RASANTE!F223-PERALTE!#REF!)-2))))),IF(AND(AH!#REF!="Izquierda",RASANTE!F223&lt;=PERALTE!$AB$26),IF(RASANTE!F223&lt;=PERALTE!$S$26,-2,IF(RASANTE!F223&lt;=PERALTE!$U$26,(-6/(PERALTE!$U$26-PERALTE!$S$26)*(RASANTE!F223-PERALTE!$S$26)-2),IF(RASANTE!F223&lt;=PERALTE!$X$26,-8,IF(RASANTE!F223&lt;=PERALTE!$Z$26,(-6/(PERALTE!$X$26-PERALTE!$Z$26)*(RASANTE!F223-PERALTE!$Z$26)-2),IF(RASANTE!F223&lt;=PERALTE!$AB$26,-2))))),IF(AND(AH!#REF!="Derecha",RASANTE!F223&lt;=PERALTE!$AB$26),IF(RASANTE!F223&lt;=PERALTE!$Q$26,-2,IF(RASANTE!F223&lt;=PERALTE!$U$26,(10/(PERALTE!$U$26-PERALTE!$Q$26)*(RASANTE!F223-PERALTE!$Q$26)-2),IF(RASANTE!F223&lt;=PERALTE!$X$26,8,IF(RASANTE!F223&lt;=PERALTE!$AB$26,(10/(PERALTE!$X$26-PERALTE!$AB$26)*(RASANTE!F223-PERALTE!$AB$26)-2))))),IF(F223&lt;=PERALTE!#REF!,-2,"Abscisa fuera de la vía")))))))))))))))))))))</f>
        <v>8</v>
      </c>
      <c r="I223" s="28">
        <f>+IF(AND(AH!$H$8="Derecha",RASANTE!F223&lt;=PERALTE!$AB$6),IF(RASANTE!F223&lt;=PERALTE!$S$6,-2,IF(RASANTE!F223&lt;=PERALTE!$U$6,(-6/(PERALTE!$U$6-PERALTE!$S$6)*(RASANTE!F223-PERALTE!$S$6)-2),IF(RASANTE!F223&lt;=PERALTE!$X$6,-8,IF(RASANTE!F223&lt;=PERALTE!$Z$6,(-6/(PERALTE!$X$6-PERALTE!$Z$6)*(RASANTE!F223-PERALTE!$Z$6)-2),IF(RASANTE!F223&lt;=PERALTE!$AB$6,-2))))),IF(AND(AH!$H$8="Izquierda",RASANTE!F223&lt;=PERALTE!$AB$6),IF(RASANTE!F223&lt;=PERALTE!$Q$6,-2,IF(RASANTE!F223&lt;=PERALTE!$U$6,(10/(PERALTE!$U$6-PERALTE!$Q$6)*(RASANTE!F223-PERALTE!$Q$6)-2),IF(RASANTE!F223&lt;=PERALTE!$X$6,8,IF(RASANTE!F223&lt;=PERALTE!$AB$6,(10/(PERALTE!$X$6-PERALTE!$AB$6)*(RASANTE!F223-PERALTE!$AB$6)-2))))),IF(AND(AH!$H$10="Derecha",RASANTE!F223&lt;=PERALTE!$AB$8),IF(RASANTE!F223&lt;=PERALTE!$S$8,-2,IF(RASANTE!F223&lt;=PERALTE!$U$8,(-6/(PERALTE!$U$8-PERALTE!$S$8)*(RASANTE!F223-PERALTE!$S$8)-2),IF(RASANTE!F223&lt;=PERALTE!$X$8,-8,IF(RASANTE!F223&lt;=PERALTE!$Z$8,(-6/(PERALTE!$X$8-PERALTE!$Z$8)*(RASANTE!F223-PERALTE!$Z$8)-2),IF(RASANTE!F223&lt;=PERALTE!$AB$8,-2))))),IF(AND(AH!$H$10="Izquierda",RASANTE!F223&lt;=PERALTE!$AB$8),IF(RASANTE!F223&lt;=PERALTE!$Q$8,-2,IF(RASANTE!F223&lt;=PERALTE!$U$8,(10/(PERALTE!$U$8-PERALTE!$Q$8)*(RASANTE!F223-PERALTE!$Q$8)-2),IF(RASANTE!F223&lt;=PERALTE!$X$8,8,IF(RASANTE!F223&lt;=PERALTE!$AB$8,(10/(PERALTE!$X$8-PERALTE!$AB$8)*(RASANTE!F223-PERALTE!$AB$8)-2))))),IF(AND(AH!$H$12="Derecha",RASANTE!F223&lt;=PERALTE!$AB$10),IF(RASANTE!F223&lt;=PERALTE!$S$10,-2,IF(RASANTE!F223&lt;=PERALTE!$U$10,(-6/(PERALTE!$U$10-PERALTE!$S$10)*(RASANTE!F223-PERALTE!$S$10)-2),IF(RASANTE!F223&lt;=PERALTE!$X$10,-8,IF(RASANTE!F223&lt;=PERALTE!$Z$10,(-6/(PERALTE!$X$10-PERALTE!$Z$10)*(RASANTE!F223-PERALTE!$Z$10)-2),IF(RASANTE!F223&lt;=PERALTE!$AB$10,-2))))),IF(AND(AH!$H$12="Izquierda",RASANTE!F223&lt;=PERALTE!$AB$10),IF(RASANTE!F223&lt;=PERALTE!$Q$10,-2,IF(RASANTE!F223&lt;=PERALTE!$U$10,(10/(PERALTE!$U$10-PERALTE!$Q$10)*(RASANTE!F223-PERALTE!$Q$10)-2),IF(RASANTE!F223&lt;=PERALTE!$X$10,8,IF(RASANTE!F223&lt;=PERALTE!$AB$10,(10/(PERALTE!$X$10-PERALTE!$AB$10)*(RASANTE!F223-PERALTE!$AB$10)-2))))),IF(AND(AH!$H$14="Derecha",RASANTE!F223&lt;=PERALTE!$AB$12),IF(RASANTE!F223&lt;=PERALTE!$S$12,-2,IF(RASANTE!F223&lt;=PERALTE!$U$12,(-6/(PERALTE!$U$12-PERALTE!$S$12)*(RASANTE!F223-PERALTE!$S$12)-2),IF(RASANTE!F223&lt;=PERALTE!$X$12,-8,IF(RASANTE!F223&lt;=PERALTE!$Z$12,(-6/(PERALTE!$X$12-PERALTE!$Z$12)*(RASANTE!F223-PERALTE!$Z$12)-2),IF(RASANTE!F223&lt;=PERALTE!$AB$12,-2))))),IF(AND(AH!$H$14="Izquierda",RASANTE!F223&lt;=PERALTE!$AB$12),IF(RASANTE!F223&lt;=PERALTE!$Q$12,-2,IF(RASANTE!F223&lt;=PERALTE!$U$12,(10/(PERALTE!$U$12-PERALTE!$Q$12)*(RASANTE!F223-PERALTE!$Q$12)-2),IF(RASANTE!F223&lt;=PERALTE!$X$12,8,IF(RASANTE!F223&lt;=PERALTE!$AB$12,(10/(PERALTE!$X$12-PERALTE!$AB$12)*(RASANTE!F223-PERALTE!$AB$12)-2))))),IF(AND(AH!$H$16="Derecha",RASANTE!F223&lt;=PERALTE!$AB$14),IF(RASANTE!F223&lt;=PERALTE!$S$14,-2,IF(RASANTE!F223&lt;=PERALTE!$U$14,(-6/(PERALTE!$U$14-PERALTE!$S$14)*(RASANTE!F223-PERALTE!$S$14)-2),IF(RASANTE!F223&lt;=PERALTE!$X$14,-8,IF(RASANTE!F223&lt;=PERALTE!$Z$14,(-6/(PERALTE!$X$14-PERALTE!$Z$14)*(RASANTE!F223-PERALTE!$Z$14)-2),IF(RASANTE!F223&lt;=PERALTE!$AB$14,-2))))),IF(AND(AH!$H$16="Izquierda",RASANTE!F223&lt;=PERALTE!$AB$14),IF(RASANTE!F223&lt;=PERALTE!$Q$14,-2,IF(RASANTE!F223&lt;=PERALTE!$U$14,(10/(PERALTE!$U$14-PERALTE!$Q$14)*(RASANTE!F223-PERALTE!$Q$14)-2),IF(RASANTE!F223&lt;=PERALTE!$X$14,8,IF(RASANTE!F223&lt;=PERALTE!$AB$14,(10/(PERALTE!$X$14-PERALTE!$AB$14)*(RASANTE!F223-PERALTE!$AB$14)-2))))),IF(AND(AH!$H$18="Derecha",RASANTE!F223&lt;=PERALTE!$AB$16),IF(RASANTE!F223&lt;=PERALTE!$S$16,-2,IF(RASANTE!F223&lt;=PERALTE!$U$16,(-6/(PERALTE!$U$16-PERALTE!$S$16)*(RASANTE!F223-PERALTE!$S$16)-2),IF(RASANTE!F223&lt;=PERALTE!$X$16,-8,IF(RASANTE!F223&lt;=PERALTE!$Z$16,(-6/(PERALTE!$X$16-PERALTE!$Z$16)*(RASANTE!F223-PERALTE!$Z$16)-2),IF(RASANTE!F223&lt;=PERALTE!$AB$16,-2))))),IF(AND(AH!$H$18="Izquierda",RASANTE!F223&lt;=PERALTE!$AB$16),IF(RASANTE!F223&lt;=PERALTE!$Q$16,-2,IF(RASANTE!F223&lt;=PERALTE!$U$16,(10/(PERALTE!$U$16-PERALTE!$Q$16)*(RASANTE!F223-PERALTE!$Q$16)-2),IF(RASANTE!F223&lt;=PERALTE!$X$16,8,IF(RASANTE!F223&lt;=PERALTE!$AB$16,(10/(PERALTE!$X$16-PERALTE!$AB$16)*(RASANTE!F223-PERALTE!$AB$16)-2))))),IF(AND(AH!$H$20="Derecha",RASANTE!F223&lt;=PERALTE!$AB$18),IF(RASANTE!F223&lt;=PERALTE!$S$18,-2,IF(RASANTE!F223&lt;=PERALTE!$U$18,(-6/(PERALTE!$U$18-PERALTE!$S$18)*(RASANTE!F223-PERALTE!$S$18)-2),IF(RASANTE!F223&lt;=PERALTE!$X$18,-8,IF(RASANTE!F223&lt;=PERALTE!$Z$18,(-6/(PERALTE!$X$18-PERALTE!$Z$18)*(RASANTE!F223-PERALTE!$Z$18)-2),IF(RASANTE!F223&lt;=PERALTE!$AB$18,-2))))),IF(AND(AH!$H$20="Izquierda",RASANTE!F223&lt;=PERALTE!$AB$18),IF(RASANTE!F223&lt;=PERALTE!$Q$18,-2,IF(RASANTE!F223&lt;=PERALTE!$U$18,(10/(PERALTE!$U$18-PERALTE!$Q$18)*(RASANTE!F223-PERALTE!$Q$18)-2),IF(RASANTE!F223&lt;=PERALTE!$X$18,8,IF(RASANTE!F223&lt;=PERALTE!$AB$18,(10/(PERALTE!$X$18-PERALTE!$AB$18)*(RASANTE!F223-PERALTE!$AB$18)-2))))),IF(AND(AH!$H$24="Derecha",RASANTE!F223&lt;=PERALTE!$AB$22),IF(RASANTE!F223&lt;=PERALTE!$S$22,-2,IF(RASANTE!F223&lt;=PERALTE!$U$22,(-6/(PERALTE!$U$22-PERALTE!$S$22)*(RASANTE!F223-PERALTE!$S$22)-2),IF(RASANTE!F223&lt;=PERALTE!$X$22,-8,IF(RASANTE!F223&lt;=PERALTE!$Z$22,(-6/(PERALTE!$X$22-PERALTE!$Z$22)*(RASANTE!F223-PERALTE!$Z$22)-2),IF(RASANTE!F223&lt;=PERALTE!$AB$22,-2))))),IF(AND(AH!$H$24="Izquierda",RASANTE!F223&lt;=PERALTE!$AB$22),IF(RASANTE!F223&lt;=PERALTE!$Q$22,-2,IF(RASANTE!F223&lt;=PERALTE!$U$22,(10/(PERALTE!$U$22-PERALTE!$Q$22)*(RASANTE!F223-PERALTE!$Q$22)-2),IF(RASANTE!F223&lt;=PERALTE!$X$22,8,IF(RASANTE!F223&lt;=PERALTE!$AB$22,(10/(PERALTE!$X$22-PERALTE!$AB$22)*(RASANTE!F223-PERALTE!$AB$22)-2))))),IF(AND(AH!#REF!="Derecha",RASANTE!F223&lt;=PERALTE!#REF!),IF(RASANTE!F223&lt;=PERALTE!#REF!,-2,IF(RASANTE!F223&lt;=PERALTE!#REF!,(-6/(PERALTE!#REF!-PERALTE!#REF!)*(RASANTE!F223-PERALTE!#REF!)-2),IF(RASANTE!F223&lt;=PERALTE!#REF!,-8,IF(RASANTE!F223&lt;=PERALTE!#REF!,(-6/(PERALTE!#REF!-PERALTE!#REF!)*(RASANTE!F223-PERALTE!#REF!)-2),IF(RASANTE!F223&lt;=PERALTE!#REF!,-2))))),IF(AND(AH!#REF!="Izquierda",RASANTE!F223&lt;=PERALTE!#REF!),IF(RASANTE!F223&lt;=PERALTE!#REF!,-2,IF(RASANTE!F223&lt;=PERALTE!#REF!,(10/(PERALTE!#REF!-PERALTE!#REF!)*(RASANTE!F223-PERALTE!#REF!)-2),IF(RASANTE!F223&lt;=PERALTE!#REF!,8,IF(RASANTE!F223&lt;=PERALTE!#REF!,(10/(PERALTE!#REF!-PERALTE!#REF!)*(RASANTE!F223-PERALTE!#REF!)-2))))),IF(AND(AH!#REF!="Derecha",RASANTE!F223&lt;=PERALTE!$AB$26),IF(RASANTE!F223&lt;=PERALTE!$S$26,-2,IF(RASANTE!F223&lt;=PERALTE!$U$26,(-6/(PERALTE!$U$26-PERALTE!$S$26)*(RASANTE!F223-PERALTE!$S$26)-2),IF(RASANTE!F223&lt;=PERALTE!$X$26,-8,IF(RASANTE!F223&lt;=PERALTE!$Z$26,(-6/(PERALTE!$X$26-PERALTE!$Z$26)*(RASANTE!F223-PERALTE!$Z$26)-2),IF(RASANTE!F223&lt;=PERALTE!$AB$26,-2))))),IF(AND(AH!#REF!="Izquierda",RASANTE!F223&lt;=PERALTE!$AB$26),IF(RASANTE!F223&lt;=PERALTE!$Q$26,-2,IF(RASANTE!F223&lt;=PERALTE!$U$26,(10/(PERALTE!$U$26-PERALTE!$Q$26)*(RASANTE!F223-PERALTE!$Q$26)-2),IF(RASANTE!F223&lt;=PERALTE!$X$26,8,IF(RASANTE!F223&lt;=PERALTE!$AB$26,(10/(PERALTE!$X$26-PERALTE!$AB$26)*(RASANTE!F223-PERALTE!$AB$26)-2))))),IF(F223&lt;=PERALTE!#REF!,-2,"Abscisa fuera de la vía")))))))))))))))))))))</f>
        <v>-8</v>
      </c>
      <c r="J223" s="28">
        <f t="shared" si="11"/>
        <v>1629.7129284648981</v>
      </c>
      <c r="K223" s="28">
        <f>+IF(AND(AV!$S$6&lt;F223,F223&lt;=AV!$T$6),AV!$P$6*((AV!$S$6-RASANTE!F223)/(AV!$N$6))^2,IF(AND(AV!$T$6&lt;RASANTE!F223,F223&lt;AV!$U$6),AV!$P$6*((AV!$U$6-RASANTE!F223)/(AV!$O$6))^2,IF(AND(AV!$S$8&lt;F223,F223&lt;=AV!$T$8),AV!$P$8*((AV!$S$8-RASANTE!F223)/(AV!$N$8))^2,IF(AND(AV!$T$8&lt;RASANTE!F223,F223&lt;AV!$U$8),AV!$P$8*((AV!$U$8-RASANTE!F223)/(AV!$O$8))^2,IF(AND(AV!$S$10&lt;F223,F223&lt;=AV!$T$10),AV!$P$10*((AV!$S$10-RASANTE!F223)/(AV!$N$10))^2,IF(AND(AV!$T$10&lt;RASANTE!F223,F223&lt;AV!$U$10),AV!$P$10*((AV!$U$10-RASANTE!F223)/(AV!$O$10))^2,IF(AND(AV!$S$12&lt;F223,F223&lt;=AV!$T$12),AV!$P$12*((AV!$S$12-RASANTE!F223)/(AV!$N$12))^2,IF(AND(AV!$T$12&lt;RASANTE!F223,F223&lt;AV!$U$12),AV!$P$12*((AV!$U$12-RASANTE!F223)/(AV!$O$12))^2,IF(AND(AV!$S$14&lt;F223,F223&lt;=AV!$T$14),AV!$P$14*((AV!$S$14-RASANTE!F223)/(AV!$N$14))^2,IF(AND(AV!$T$14&lt;RASANTE!F223,F223&lt;AV!$U$14),AV!$P$14*((AV!$U$14-RASANTE!F223)/(AV!$O$14))^2,IF(AND(AV!$S$16&lt;F223,F223&lt;=AV!$T$16),AV!$P$16*((AV!$S$16-RASANTE!F223)/(AV!$N$16))^2,IF(AND(AV!$T$16&lt;RASANTE!F223,F223&lt;AV!$U$16),AV!$P$16*((AV!$U$16-RASANTE!F223)/(AV!$O$16))^2,IF(AND(AV!$S$18&lt;F223,F223&lt;=AV!$T$18),AV!$P$18*((AV!$S$18-RASANTE!F223)/(AV!$N$18))^2,IF(AND(AV!$T$18&lt;RASANTE!F223,F223&lt;AV!$U$18),AV!$P$18*((AV!$U$18-RASANTE!F223)/(AV!$O$18))^2,IF(AND(AV!$S$20&lt;F223,F223&lt;=AV!$T$20),AV!$P$20*((AV!$S$20-RASANTE!F223)/(AV!$N$20))^2,IF(AND(AV!$T$20&lt;RASANTE!F223,F223&lt;AV!$U$20),AV!$P$20*((AV!$U$20-RASANTE!F223)/(AV!$O$20))^2,IF(AND(AV!$S$22&lt;F223,F223&lt;=AV!$T$22),AV!$P$22*((AV!$S$22-RASANTE!F223)/(AV!$N$22))^2,IF(AND(AV!$T$22&lt;RASANTE!F223,F223&lt;AV!$U$22),AV!$P$22*((AV!$U$22-RASANTE!F223)/(AV!$O$22))^2,IF(AND(AV!$S$24&lt;F223,F223&lt;=AV!$T$24),AV!$P$24*((AV!$S$24-RASANTE!F223)/(AV!$N$24))^2,IF(AND(AV!$T$24&lt;RASANTE!F223,F223&lt;AV!$U$24),AV!$P$24*((AV!$U$24-RASANTE!F223)/(AV!$O$24))^2,0))))))))))))))))))))</f>
        <v>0</v>
      </c>
      <c r="L223" s="28">
        <f>+M223+H223%*PERALTE!$C$32</f>
        <v>1629.9929284648981</v>
      </c>
      <c r="M223" s="28">
        <f t="shared" si="7"/>
        <v>1629.7129284648981</v>
      </c>
      <c r="N223" s="28">
        <f>+M223+I223%*PERALTE!$C$32</f>
        <v>1629.4329284648982</v>
      </c>
      <c r="O223" s="92"/>
      <c r="P223" s="84"/>
      <c r="Q223" s="84"/>
      <c r="R223" s="84"/>
      <c r="S223" s="84"/>
      <c r="T223" s="84"/>
      <c r="U223" s="84"/>
      <c r="V223" s="84"/>
      <c r="W223" s="84"/>
      <c r="X223" s="84"/>
      <c r="Y223" s="84"/>
    </row>
    <row r="224" spans="1:25" ht="15.75" customHeight="1" x14ac:dyDescent="0.2">
      <c r="A224" s="111"/>
      <c r="E224" s="115"/>
      <c r="F224" s="34">
        <v>1380</v>
      </c>
      <c r="G224" s="88">
        <f>IF(F224&lt;=AV!$T$6,AV!$C$5,IF(RASANTE!F224&lt;=AV!$T$8,AV!$C$7,IF(RASANTE!F224&lt;=AV!$T$10,AV!$C$9,IF(RASANTE!F224&lt;=AV!$T$12,AV!$C$11,IF(RASANTE!F224&lt;=AV!$T$14,AV!$C$13,IF(RASANTE!F224&lt;=AV!$T$16,AV!$C$15, IF(RASANTE!F224&lt;=AV!$T$18,AV!$C$17,IF(RASANTE!F224&lt;=AV!$T$20,AV!$C$19,IF(RASANTE!F224&lt;=AV!$T$22,AV!$C$21,IF(RASANTE!F224&lt;=AV!$T$24,AV!$C$23,AV!$C$25))))))))))</f>
        <v>2.8</v>
      </c>
      <c r="H224" s="28">
        <f>+IF(AND(AH!$H$8="Izquierda",RASANTE!F224&lt;=PERALTE!$AB$6),IF(RASANTE!F224&lt;=PERALTE!$S$6,-2,IF(RASANTE!F224&lt;=PERALTE!$U$6,(-6/(PERALTE!$U$6-PERALTE!$S$6)*(RASANTE!F224-PERALTE!$S$6)-2),IF(RASANTE!F224&lt;=PERALTE!$X$6,-8,IF(RASANTE!F224&lt;=PERALTE!$Z$6,(-6/(PERALTE!$X$6-PERALTE!$Z$6)*(RASANTE!F224-PERALTE!$Z$6)-2),IF(RASANTE!F224&lt;=PERALTE!$AB$6,-2))))),IF(AND(AH!$H$8="Derecha",RASANTE!F224&lt;=PERALTE!$AB$6),IF(RASANTE!F224&lt;=PERALTE!$Q$6,-2,IF(RASANTE!F224&lt;=PERALTE!$U$6,(10/(PERALTE!$U$6-PERALTE!$Q$6)*(RASANTE!F224-PERALTE!$Q$6)-2),IF(RASANTE!F224&lt;=PERALTE!$X$6,8,IF(RASANTE!F224&lt;=PERALTE!$AB$6,(10/(PERALTE!$X$6-PERALTE!$AB$6)*(RASANTE!F224-PERALTE!$AB$6)-2))))),IF(AND(AH!$H$10="Izquierda",RASANTE!F224&lt;=PERALTE!$AB$8),IF(RASANTE!F224&lt;=PERALTE!$S$8,-2,IF(RASANTE!F224&lt;=PERALTE!$U$8,(-6/(PERALTE!$U$8-PERALTE!$S$8)*(RASANTE!F224-PERALTE!$S$8)-2),IF(RASANTE!F224&lt;=PERALTE!$X$8,-8,IF(RASANTE!F224&lt;=PERALTE!$Z$8,(-6/(PERALTE!$X$8-PERALTE!$Z$8)*(RASANTE!F224-PERALTE!$Z$8)-2),IF(RASANTE!F224&lt;=PERALTE!$AB$8,-2))))),IF(AND(AH!$H$10="Derecha",RASANTE!F224&lt;=PERALTE!$AB$8),IF(RASANTE!F224&lt;=PERALTE!$Q$8,-2,IF(RASANTE!F224&lt;=PERALTE!$U$8,(10/(PERALTE!$U$8-PERALTE!$Q$8)*(RASANTE!F224-PERALTE!$Q$8)-2),IF(RASANTE!F224&lt;=PERALTE!$X$8,8,IF(RASANTE!F224&lt;=PERALTE!$AB$8,(10/(PERALTE!$X$8-PERALTE!$AB$8)*(RASANTE!F224-PERALTE!$AB$8)-2))))),IF(AND(AH!$H$12="Izquierda",RASANTE!F224&lt;=PERALTE!$AB$10),IF(RASANTE!F224&lt;=PERALTE!$S$10,-2,IF(RASANTE!F224&lt;=PERALTE!$U$10,(-6/(PERALTE!$U$10-PERALTE!$S$10)*(RASANTE!F224-PERALTE!$S$10)-2),IF(RASANTE!F224&lt;=PERALTE!$X$10,-8,IF(RASANTE!F224&lt;=PERALTE!$Z$10,(-6/(PERALTE!$X$10-PERALTE!$Z$10)*(RASANTE!F224-PERALTE!$Z$10)-2),IF(RASANTE!F224&lt;=PERALTE!$AB$10,-2))))),IF(AND(AH!$H$12="Derecha",RASANTE!F224&lt;=PERALTE!$AB$10),IF(RASANTE!F224&lt;=PERALTE!$Q$10,-2,IF(RASANTE!F224&lt;=PERALTE!$U$10,(10/(PERALTE!$U$10-PERALTE!$Q$10)*(RASANTE!F224-PERALTE!$Q$10)-2),IF(RASANTE!F224&lt;=PERALTE!$X$10,8,IF(RASANTE!F224&lt;=PERALTE!$AB$10,(10/(PERALTE!$X$10-PERALTE!$AB$10)*(RASANTE!F224-PERALTE!$AB$10)-2))))),IF(AND(AH!$H$14="Izquierda",RASANTE!F224&lt;=PERALTE!$AB$12),IF(RASANTE!F224&lt;=PERALTE!$S$12,-2,IF(RASANTE!F224&lt;=PERALTE!$U$12,(-6/(PERALTE!$U$12-PERALTE!$S$12)*(RASANTE!F224-PERALTE!$S$12)-2),IF(RASANTE!F224&lt;=PERALTE!$X$12,-8,IF(RASANTE!F224&lt;=PERALTE!$Z$12,(-6/(PERALTE!$X$12-PERALTE!$Z$12)*(RASANTE!F224-PERALTE!$Z$12)-2),IF(RASANTE!F224&lt;=PERALTE!$AB$12,-2))))),IF(AND(AH!$H$14="Derecha",RASANTE!F224&lt;=PERALTE!$AB$12),IF(RASANTE!F224&lt;=PERALTE!$Q$12,-2,IF(RASANTE!F224&lt;=PERALTE!$U$12,(10/(PERALTE!$U$12-PERALTE!$Q$12)*(RASANTE!F224-PERALTE!$Q$12)-2),IF(RASANTE!F224&lt;=PERALTE!$X$12,8,IF(RASANTE!F224&lt;=PERALTE!$AB$12,(10/(PERALTE!$X$12-PERALTE!$AB$12)*(RASANTE!F224-PERALTE!$AB$12)-2))))),IF(AND(AH!$H$16="Izquierda",RASANTE!F224&lt;=PERALTE!$AB$14),IF(RASANTE!F224&lt;=PERALTE!$S$14,-2,IF(RASANTE!F224&lt;=PERALTE!$U$14,(-6/(PERALTE!$U$14-PERALTE!$S$14)*(RASANTE!F224-PERALTE!$S$14)-2),IF(RASANTE!F224&lt;=PERALTE!$X$14,-8,IF(RASANTE!F224&lt;=PERALTE!$Z$14,(-6/(PERALTE!$X$14-PERALTE!$Z$14)*(RASANTE!F224-PERALTE!$Z$14)-2),IF(RASANTE!F224&lt;=PERALTE!$AB$14,-2))))),IF(AND(AH!$H$16="Derecha",RASANTE!F224&lt;=PERALTE!$AB$14),IF(RASANTE!F224&lt;=PERALTE!$Q$14,-2,IF(RASANTE!F224&lt;=PERALTE!$U$14,(10/(PERALTE!$U$14-PERALTE!$Q$14)*(RASANTE!F224-PERALTE!$Q$14)-2),IF(RASANTE!F224&lt;=PERALTE!$X$14,8,IF(RASANTE!F224&lt;=PERALTE!$AB$14,(10/(PERALTE!$X$14-PERALTE!$AB$14)*(RASANTE!F224-PERALTE!$AB$14)-2))))),IF(AND(AH!$H$18="Izquierda",RASANTE!F224&lt;=PERALTE!$AB$16),IF(RASANTE!F224&lt;=PERALTE!$S$16,-2,IF(RASANTE!F224&lt;=PERALTE!$U$16,(-6/(PERALTE!$U$16-PERALTE!$S$16)*(RASANTE!F224-PERALTE!$S$16)-2),IF(RASANTE!F224&lt;=PERALTE!$X$16,-8,IF(RASANTE!F224&lt;=PERALTE!$Z$16,(-6/(PERALTE!$X$16-PERALTE!$Z$16)*(RASANTE!F224-PERALTE!$Z$16)-2),IF(RASANTE!F224&lt;=PERALTE!$AB$16,-2))))),IF(AND(AH!$H$18="Derecha",RASANTE!F224&lt;=PERALTE!$AB$16),IF(RASANTE!F224&lt;=PERALTE!$Q$16,-2,IF(RASANTE!F224&lt;=PERALTE!$U$16,(10/(PERALTE!$U$16-PERALTE!$Q$16)*(RASANTE!F224-PERALTE!$Q$16)-2),IF(RASANTE!F224&lt;=PERALTE!$X$16,8,IF(RASANTE!F224&lt;=PERALTE!$AB$16,(10/(PERALTE!$X$16-PERALTE!$AB$16)*(RASANTE!F224-PERALTE!$AB$16)-2))))),IF(AND(AH!$H$20="Izquierda",RASANTE!F224&lt;=PERALTE!$AB$18),IF(RASANTE!F224&lt;=PERALTE!$S$18,-2,IF(RASANTE!F224&lt;=PERALTE!$U$18,(-6/(PERALTE!$U$18-PERALTE!$S$18)*(RASANTE!F224-PERALTE!$S$18)-2),IF(RASANTE!F224&lt;=PERALTE!$X$18,-8,IF(RASANTE!F224&lt;=PERALTE!$Z$18,(-6/(PERALTE!$X$18-PERALTE!$Z$18)*(RASANTE!F224-PERALTE!$Z$18)-2),IF(RASANTE!F224&lt;=PERALTE!$AB$18,-2))))),IF(AND(AH!$H$20="Derecha",RASANTE!F224&lt;=PERALTE!$AB$18),IF(RASANTE!F224&lt;=PERALTE!$Q$18,-2,IF(RASANTE!F224&lt;=PERALTE!$U$18,(10/(PERALTE!$U$18-PERALTE!$Q$18)*(RASANTE!F224-PERALTE!$Q$18)-2),IF(RASANTE!F224&lt;=PERALTE!$X$18,8,IF(RASANTE!F224&lt;=PERALTE!$AB$18,(10/(PERALTE!$X$18-PERALTE!$AB$18)*(RASANTE!F224-PERALTE!$AB$18)-2))))),IF(AND(AH!$H$24="Izquierda",RASANTE!F224&lt;=PERALTE!$AB$22),IF(RASANTE!F224&lt;=PERALTE!$S$22,-2,IF(RASANTE!F224&lt;=PERALTE!$U$22,(-6/(PERALTE!$U$22-PERALTE!$S$22)*(RASANTE!F224-PERALTE!$S$22)-2),IF(RASANTE!F224&lt;=PERALTE!$X$22,-8,IF(RASANTE!F224&lt;=PERALTE!$Z$22,(-6/(PERALTE!$X$22-PERALTE!$Z$22)*(RASANTE!F224-PERALTE!$Z$22)-2),IF(RASANTE!F224&lt;=PERALTE!$AB$22,-2))))),IF(AND(AH!$H$24="Derecha",RASANTE!F224&lt;=PERALTE!$AB$22),IF(RASANTE!F224&lt;=PERALTE!$Q$22,-2,IF(RASANTE!F224&lt;=PERALTE!$U$22,(10/(PERALTE!$U$22-PERALTE!$Q$22)*(RASANTE!F224-PERALTE!$Q$22)-2),IF(RASANTE!F224&lt;=PERALTE!$X$22,8,IF(RASANTE!F224&lt;=PERALTE!$AB$22,(10/(PERALTE!$X$22-PERALTE!$AB$22)*(RASANTE!F224-PERALTE!$AB$22)-2))))),IF(AND(AH!#REF!="Izquierda",RASANTE!F224&lt;=PERALTE!#REF!),IF(RASANTE!F224&lt;=PERALTE!#REF!,-2,IF(RASANTE!F224&lt;=PERALTE!#REF!,(-6/(PERALTE!#REF!-PERALTE!#REF!)*(RASANTE!F224-PERALTE!#REF!)-2),IF(RASANTE!F224&lt;=PERALTE!#REF!,-8,IF(RASANTE!F224&lt;=PERALTE!#REF!,(-6/(PERALTE!#REF!-PERALTE!#REF!)*(RASANTE!F224-PERALTE!#REF!)-2),IF(RASANTE!F224&lt;=PERALTE!#REF!,-2))))),IF(AND(AH!#REF!="Derecha",RASANTE!F224&lt;=PERALTE!#REF!),IF(RASANTE!F224&lt;=PERALTE!#REF!,-2,IF(RASANTE!F224&lt;=PERALTE!#REF!,(10/(PERALTE!#REF!-PERALTE!#REF!)*(RASANTE!F224-PERALTE!#REF!)-2),IF(RASANTE!F224&lt;=PERALTE!#REF!,8,IF(RASANTE!F224&lt;=PERALTE!#REF!,(10/(PERALTE!#REF!-PERALTE!#REF!)*(RASANTE!F224-PERALTE!#REF!)-2))))),IF(AND(AH!#REF!="Izquierda",RASANTE!F224&lt;=PERALTE!$AB$26),IF(RASANTE!F224&lt;=PERALTE!$S$26,-2,IF(RASANTE!F224&lt;=PERALTE!$U$26,(-6/(PERALTE!$U$26-PERALTE!$S$26)*(RASANTE!F224-PERALTE!$S$26)-2),IF(RASANTE!F224&lt;=PERALTE!$X$26,-8,IF(RASANTE!F224&lt;=PERALTE!$Z$26,(-6/(PERALTE!$X$26-PERALTE!$Z$26)*(RASANTE!F224-PERALTE!$Z$26)-2),IF(RASANTE!F224&lt;=PERALTE!$AB$26,-2))))),IF(AND(AH!#REF!="Derecha",RASANTE!F224&lt;=PERALTE!$AB$26),IF(RASANTE!F224&lt;=PERALTE!$Q$26,-2,IF(RASANTE!F224&lt;=PERALTE!$U$26,(10/(PERALTE!$U$26-PERALTE!$Q$26)*(RASANTE!F224-PERALTE!$Q$26)-2),IF(RASANTE!F224&lt;=PERALTE!$X$26,8,IF(RASANTE!F224&lt;=PERALTE!$AB$26,(10/(PERALTE!$X$26-PERALTE!$AB$26)*(RASANTE!F224-PERALTE!$AB$26)-2))))),IF(F224&lt;=PERALTE!#REF!,-2,"Abscisa fuera de la vía")))))))))))))))))))))</f>
        <v>8</v>
      </c>
      <c r="I224" s="28">
        <f>+IF(AND(AH!$H$8="Derecha",RASANTE!F224&lt;=PERALTE!$AB$6),IF(RASANTE!F224&lt;=PERALTE!$S$6,-2,IF(RASANTE!F224&lt;=PERALTE!$U$6,(-6/(PERALTE!$U$6-PERALTE!$S$6)*(RASANTE!F224-PERALTE!$S$6)-2),IF(RASANTE!F224&lt;=PERALTE!$X$6,-8,IF(RASANTE!F224&lt;=PERALTE!$Z$6,(-6/(PERALTE!$X$6-PERALTE!$Z$6)*(RASANTE!F224-PERALTE!$Z$6)-2),IF(RASANTE!F224&lt;=PERALTE!$AB$6,-2))))),IF(AND(AH!$H$8="Izquierda",RASANTE!F224&lt;=PERALTE!$AB$6),IF(RASANTE!F224&lt;=PERALTE!$Q$6,-2,IF(RASANTE!F224&lt;=PERALTE!$U$6,(10/(PERALTE!$U$6-PERALTE!$Q$6)*(RASANTE!F224-PERALTE!$Q$6)-2),IF(RASANTE!F224&lt;=PERALTE!$X$6,8,IF(RASANTE!F224&lt;=PERALTE!$AB$6,(10/(PERALTE!$X$6-PERALTE!$AB$6)*(RASANTE!F224-PERALTE!$AB$6)-2))))),IF(AND(AH!$H$10="Derecha",RASANTE!F224&lt;=PERALTE!$AB$8),IF(RASANTE!F224&lt;=PERALTE!$S$8,-2,IF(RASANTE!F224&lt;=PERALTE!$U$8,(-6/(PERALTE!$U$8-PERALTE!$S$8)*(RASANTE!F224-PERALTE!$S$8)-2),IF(RASANTE!F224&lt;=PERALTE!$X$8,-8,IF(RASANTE!F224&lt;=PERALTE!$Z$8,(-6/(PERALTE!$X$8-PERALTE!$Z$8)*(RASANTE!F224-PERALTE!$Z$8)-2),IF(RASANTE!F224&lt;=PERALTE!$AB$8,-2))))),IF(AND(AH!$H$10="Izquierda",RASANTE!F224&lt;=PERALTE!$AB$8),IF(RASANTE!F224&lt;=PERALTE!$Q$8,-2,IF(RASANTE!F224&lt;=PERALTE!$U$8,(10/(PERALTE!$U$8-PERALTE!$Q$8)*(RASANTE!F224-PERALTE!$Q$8)-2),IF(RASANTE!F224&lt;=PERALTE!$X$8,8,IF(RASANTE!F224&lt;=PERALTE!$AB$8,(10/(PERALTE!$X$8-PERALTE!$AB$8)*(RASANTE!F224-PERALTE!$AB$8)-2))))),IF(AND(AH!$H$12="Derecha",RASANTE!F224&lt;=PERALTE!$AB$10),IF(RASANTE!F224&lt;=PERALTE!$S$10,-2,IF(RASANTE!F224&lt;=PERALTE!$U$10,(-6/(PERALTE!$U$10-PERALTE!$S$10)*(RASANTE!F224-PERALTE!$S$10)-2),IF(RASANTE!F224&lt;=PERALTE!$X$10,-8,IF(RASANTE!F224&lt;=PERALTE!$Z$10,(-6/(PERALTE!$X$10-PERALTE!$Z$10)*(RASANTE!F224-PERALTE!$Z$10)-2),IF(RASANTE!F224&lt;=PERALTE!$AB$10,-2))))),IF(AND(AH!$H$12="Izquierda",RASANTE!F224&lt;=PERALTE!$AB$10),IF(RASANTE!F224&lt;=PERALTE!$Q$10,-2,IF(RASANTE!F224&lt;=PERALTE!$U$10,(10/(PERALTE!$U$10-PERALTE!$Q$10)*(RASANTE!F224-PERALTE!$Q$10)-2),IF(RASANTE!F224&lt;=PERALTE!$X$10,8,IF(RASANTE!F224&lt;=PERALTE!$AB$10,(10/(PERALTE!$X$10-PERALTE!$AB$10)*(RASANTE!F224-PERALTE!$AB$10)-2))))),IF(AND(AH!$H$14="Derecha",RASANTE!F224&lt;=PERALTE!$AB$12),IF(RASANTE!F224&lt;=PERALTE!$S$12,-2,IF(RASANTE!F224&lt;=PERALTE!$U$12,(-6/(PERALTE!$U$12-PERALTE!$S$12)*(RASANTE!F224-PERALTE!$S$12)-2),IF(RASANTE!F224&lt;=PERALTE!$X$12,-8,IF(RASANTE!F224&lt;=PERALTE!$Z$12,(-6/(PERALTE!$X$12-PERALTE!$Z$12)*(RASANTE!F224-PERALTE!$Z$12)-2),IF(RASANTE!F224&lt;=PERALTE!$AB$12,-2))))),IF(AND(AH!$H$14="Izquierda",RASANTE!F224&lt;=PERALTE!$AB$12),IF(RASANTE!F224&lt;=PERALTE!$Q$12,-2,IF(RASANTE!F224&lt;=PERALTE!$U$12,(10/(PERALTE!$U$12-PERALTE!$Q$12)*(RASANTE!F224-PERALTE!$Q$12)-2),IF(RASANTE!F224&lt;=PERALTE!$X$12,8,IF(RASANTE!F224&lt;=PERALTE!$AB$12,(10/(PERALTE!$X$12-PERALTE!$AB$12)*(RASANTE!F224-PERALTE!$AB$12)-2))))),IF(AND(AH!$H$16="Derecha",RASANTE!F224&lt;=PERALTE!$AB$14),IF(RASANTE!F224&lt;=PERALTE!$S$14,-2,IF(RASANTE!F224&lt;=PERALTE!$U$14,(-6/(PERALTE!$U$14-PERALTE!$S$14)*(RASANTE!F224-PERALTE!$S$14)-2),IF(RASANTE!F224&lt;=PERALTE!$X$14,-8,IF(RASANTE!F224&lt;=PERALTE!$Z$14,(-6/(PERALTE!$X$14-PERALTE!$Z$14)*(RASANTE!F224-PERALTE!$Z$14)-2),IF(RASANTE!F224&lt;=PERALTE!$AB$14,-2))))),IF(AND(AH!$H$16="Izquierda",RASANTE!F224&lt;=PERALTE!$AB$14),IF(RASANTE!F224&lt;=PERALTE!$Q$14,-2,IF(RASANTE!F224&lt;=PERALTE!$U$14,(10/(PERALTE!$U$14-PERALTE!$Q$14)*(RASANTE!F224-PERALTE!$Q$14)-2),IF(RASANTE!F224&lt;=PERALTE!$X$14,8,IF(RASANTE!F224&lt;=PERALTE!$AB$14,(10/(PERALTE!$X$14-PERALTE!$AB$14)*(RASANTE!F224-PERALTE!$AB$14)-2))))),IF(AND(AH!$H$18="Derecha",RASANTE!F224&lt;=PERALTE!$AB$16),IF(RASANTE!F224&lt;=PERALTE!$S$16,-2,IF(RASANTE!F224&lt;=PERALTE!$U$16,(-6/(PERALTE!$U$16-PERALTE!$S$16)*(RASANTE!F224-PERALTE!$S$16)-2),IF(RASANTE!F224&lt;=PERALTE!$X$16,-8,IF(RASANTE!F224&lt;=PERALTE!$Z$16,(-6/(PERALTE!$X$16-PERALTE!$Z$16)*(RASANTE!F224-PERALTE!$Z$16)-2),IF(RASANTE!F224&lt;=PERALTE!$AB$16,-2))))),IF(AND(AH!$H$18="Izquierda",RASANTE!F224&lt;=PERALTE!$AB$16),IF(RASANTE!F224&lt;=PERALTE!$Q$16,-2,IF(RASANTE!F224&lt;=PERALTE!$U$16,(10/(PERALTE!$U$16-PERALTE!$Q$16)*(RASANTE!F224-PERALTE!$Q$16)-2),IF(RASANTE!F224&lt;=PERALTE!$X$16,8,IF(RASANTE!F224&lt;=PERALTE!$AB$16,(10/(PERALTE!$X$16-PERALTE!$AB$16)*(RASANTE!F224-PERALTE!$AB$16)-2))))),IF(AND(AH!$H$20="Derecha",RASANTE!F224&lt;=PERALTE!$AB$18),IF(RASANTE!F224&lt;=PERALTE!$S$18,-2,IF(RASANTE!F224&lt;=PERALTE!$U$18,(-6/(PERALTE!$U$18-PERALTE!$S$18)*(RASANTE!F224-PERALTE!$S$18)-2),IF(RASANTE!F224&lt;=PERALTE!$X$18,-8,IF(RASANTE!F224&lt;=PERALTE!$Z$18,(-6/(PERALTE!$X$18-PERALTE!$Z$18)*(RASANTE!F224-PERALTE!$Z$18)-2),IF(RASANTE!F224&lt;=PERALTE!$AB$18,-2))))),IF(AND(AH!$H$20="Izquierda",RASANTE!F224&lt;=PERALTE!$AB$18),IF(RASANTE!F224&lt;=PERALTE!$Q$18,-2,IF(RASANTE!F224&lt;=PERALTE!$U$18,(10/(PERALTE!$U$18-PERALTE!$Q$18)*(RASANTE!F224-PERALTE!$Q$18)-2),IF(RASANTE!F224&lt;=PERALTE!$X$18,8,IF(RASANTE!F224&lt;=PERALTE!$AB$18,(10/(PERALTE!$X$18-PERALTE!$AB$18)*(RASANTE!F224-PERALTE!$AB$18)-2))))),IF(AND(AH!$H$24="Derecha",RASANTE!F224&lt;=PERALTE!$AB$22),IF(RASANTE!F224&lt;=PERALTE!$S$22,-2,IF(RASANTE!F224&lt;=PERALTE!$U$22,(-6/(PERALTE!$U$22-PERALTE!$S$22)*(RASANTE!F224-PERALTE!$S$22)-2),IF(RASANTE!F224&lt;=PERALTE!$X$22,-8,IF(RASANTE!F224&lt;=PERALTE!$Z$22,(-6/(PERALTE!$X$22-PERALTE!$Z$22)*(RASANTE!F224-PERALTE!$Z$22)-2),IF(RASANTE!F224&lt;=PERALTE!$AB$22,-2))))),IF(AND(AH!$H$24="Izquierda",RASANTE!F224&lt;=PERALTE!$AB$22),IF(RASANTE!F224&lt;=PERALTE!$Q$22,-2,IF(RASANTE!F224&lt;=PERALTE!$U$22,(10/(PERALTE!$U$22-PERALTE!$Q$22)*(RASANTE!F224-PERALTE!$Q$22)-2),IF(RASANTE!F224&lt;=PERALTE!$X$22,8,IF(RASANTE!F224&lt;=PERALTE!$AB$22,(10/(PERALTE!$X$22-PERALTE!$AB$22)*(RASANTE!F224-PERALTE!$AB$22)-2))))),IF(AND(AH!#REF!="Derecha",RASANTE!F224&lt;=PERALTE!#REF!),IF(RASANTE!F224&lt;=PERALTE!#REF!,-2,IF(RASANTE!F224&lt;=PERALTE!#REF!,(-6/(PERALTE!#REF!-PERALTE!#REF!)*(RASANTE!F224-PERALTE!#REF!)-2),IF(RASANTE!F224&lt;=PERALTE!#REF!,-8,IF(RASANTE!F224&lt;=PERALTE!#REF!,(-6/(PERALTE!#REF!-PERALTE!#REF!)*(RASANTE!F224-PERALTE!#REF!)-2),IF(RASANTE!F224&lt;=PERALTE!#REF!,-2))))),IF(AND(AH!#REF!="Izquierda",RASANTE!F224&lt;=PERALTE!#REF!),IF(RASANTE!F224&lt;=PERALTE!#REF!,-2,IF(RASANTE!F224&lt;=PERALTE!#REF!,(10/(PERALTE!#REF!-PERALTE!#REF!)*(RASANTE!F224-PERALTE!#REF!)-2),IF(RASANTE!F224&lt;=PERALTE!#REF!,8,IF(RASANTE!F224&lt;=PERALTE!#REF!,(10/(PERALTE!#REF!-PERALTE!#REF!)*(RASANTE!F224-PERALTE!#REF!)-2))))),IF(AND(AH!#REF!="Derecha",RASANTE!F224&lt;=PERALTE!$AB$26),IF(RASANTE!F224&lt;=PERALTE!$S$26,-2,IF(RASANTE!F224&lt;=PERALTE!$U$26,(-6/(PERALTE!$U$26-PERALTE!$S$26)*(RASANTE!F224-PERALTE!$S$26)-2),IF(RASANTE!F224&lt;=PERALTE!$X$26,-8,IF(RASANTE!F224&lt;=PERALTE!$Z$26,(-6/(PERALTE!$X$26-PERALTE!$Z$26)*(RASANTE!F224-PERALTE!$Z$26)-2),IF(RASANTE!F224&lt;=PERALTE!$AB$26,-2))))),IF(AND(AH!#REF!="Izquierda",RASANTE!F224&lt;=PERALTE!$AB$26),IF(RASANTE!F224&lt;=PERALTE!$Q$26,-2,IF(RASANTE!F224&lt;=PERALTE!$U$26,(10/(PERALTE!$U$26-PERALTE!$Q$26)*(RASANTE!F224-PERALTE!$Q$26)-2),IF(RASANTE!F224&lt;=PERALTE!$X$26,8,IF(RASANTE!F224&lt;=PERALTE!$AB$26,(10/(PERALTE!$X$26-PERALTE!$AB$26)*(RASANTE!F224-PERALTE!$AB$26)-2))))),IF(F224&lt;=PERALTE!#REF!,-2,"Abscisa fuera de la vía")))))))))))))))))))))</f>
        <v>-8</v>
      </c>
      <c r="J224" s="28">
        <f t="shared" si="11"/>
        <v>1629.9929284648981</v>
      </c>
      <c r="K224" s="28">
        <f>+IF(AND(AV!$S$6&lt;F224,F224&lt;=AV!$T$6),AV!$P$6*((AV!$S$6-RASANTE!F224)/(AV!$N$6))^2,IF(AND(AV!$T$6&lt;RASANTE!F224,F224&lt;AV!$U$6),AV!$P$6*((AV!$U$6-RASANTE!F224)/(AV!$O$6))^2,IF(AND(AV!$S$8&lt;F224,F224&lt;=AV!$T$8),AV!$P$8*((AV!$S$8-RASANTE!F224)/(AV!$N$8))^2,IF(AND(AV!$T$8&lt;RASANTE!F224,F224&lt;AV!$U$8),AV!$P$8*((AV!$U$8-RASANTE!F224)/(AV!$O$8))^2,IF(AND(AV!$S$10&lt;F224,F224&lt;=AV!$T$10),AV!$P$10*((AV!$S$10-RASANTE!F224)/(AV!$N$10))^2,IF(AND(AV!$T$10&lt;RASANTE!F224,F224&lt;AV!$U$10),AV!$P$10*((AV!$U$10-RASANTE!F224)/(AV!$O$10))^2,IF(AND(AV!$S$12&lt;F224,F224&lt;=AV!$T$12),AV!$P$12*((AV!$S$12-RASANTE!F224)/(AV!$N$12))^2,IF(AND(AV!$T$12&lt;RASANTE!F224,F224&lt;AV!$U$12),AV!$P$12*((AV!$U$12-RASANTE!F224)/(AV!$O$12))^2,IF(AND(AV!$S$14&lt;F224,F224&lt;=AV!$T$14),AV!$P$14*((AV!$S$14-RASANTE!F224)/(AV!$N$14))^2,IF(AND(AV!$T$14&lt;RASANTE!F224,F224&lt;AV!$U$14),AV!$P$14*((AV!$U$14-RASANTE!F224)/(AV!$O$14))^2,IF(AND(AV!$S$16&lt;F224,F224&lt;=AV!$T$16),AV!$P$16*((AV!$S$16-RASANTE!F224)/(AV!$N$16))^2,IF(AND(AV!$T$16&lt;RASANTE!F224,F224&lt;AV!$U$16),AV!$P$16*((AV!$U$16-RASANTE!F224)/(AV!$O$16))^2,IF(AND(AV!$S$18&lt;F224,F224&lt;=AV!$T$18),AV!$P$18*((AV!$S$18-RASANTE!F224)/(AV!$N$18))^2,IF(AND(AV!$T$18&lt;RASANTE!F224,F224&lt;AV!$U$18),AV!$P$18*((AV!$U$18-RASANTE!F224)/(AV!$O$18))^2,IF(AND(AV!$S$20&lt;F224,F224&lt;=AV!$T$20),AV!$P$20*((AV!$S$20-RASANTE!F224)/(AV!$N$20))^2,IF(AND(AV!$T$20&lt;RASANTE!F224,F224&lt;AV!$U$20),AV!$P$20*((AV!$U$20-RASANTE!F224)/(AV!$O$20))^2,IF(AND(AV!$S$22&lt;F224,F224&lt;=AV!$T$22),AV!$P$22*((AV!$S$22-RASANTE!F224)/(AV!$N$22))^2,IF(AND(AV!$T$22&lt;RASANTE!F224,F224&lt;AV!$U$22),AV!$P$22*((AV!$U$22-RASANTE!F224)/(AV!$O$22))^2,IF(AND(AV!$S$24&lt;F224,F224&lt;=AV!$T$24),AV!$P$24*((AV!$S$24-RASANTE!F224)/(AV!$N$24))^2,IF(AND(AV!$T$24&lt;RASANTE!F224,F224&lt;AV!$U$24),AV!$P$24*((AV!$U$24-RASANTE!F224)/(AV!$O$24))^2,0))))))))))))))))))))</f>
        <v>0</v>
      </c>
      <c r="L224" s="28">
        <f>+M224+H224%*PERALTE!$C$32</f>
        <v>1630.2729284648981</v>
      </c>
      <c r="M224" s="28">
        <f t="shared" si="7"/>
        <v>1629.9929284648981</v>
      </c>
      <c r="N224" s="28">
        <f>+M224+I224%*PERALTE!$C$32</f>
        <v>1629.7129284648981</v>
      </c>
      <c r="O224" s="92"/>
      <c r="P224" s="84"/>
      <c r="Q224" s="84"/>
      <c r="R224" s="84"/>
      <c r="S224" s="84"/>
      <c r="T224" s="84"/>
      <c r="U224" s="84"/>
      <c r="V224" s="84"/>
      <c r="W224" s="84"/>
      <c r="X224" s="84"/>
      <c r="Y224" s="84"/>
    </row>
    <row r="225" spans="1:25" ht="15.75" customHeight="1" x14ac:dyDescent="0.2">
      <c r="A225" s="111"/>
      <c r="E225" s="115"/>
      <c r="F225" s="34">
        <v>1390</v>
      </c>
      <c r="G225" s="88">
        <f>IF(F225&lt;=AV!$T$6,AV!$C$5,IF(RASANTE!F225&lt;=AV!$T$8,AV!$C$7,IF(RASANTE!F225&lt;=AV!$T$10,AV!$C$9,IF(RASANTE!F225&lt;=AV!$T$12,AV!$C$11,IF(RASANTE!F225&lt;=AV!$T$14,AV!$C$13,IF(RASANTE!F225&lt;=AV!$T$16,AV!$C$15, IF(RASANTE!F225&lt;=AV!$T$18,AV!$C$17,IF(RASANTE!F225&lt;=AV!$T$20,AV!$C$19,IF(RASANTE!F225&lt;=AV!$T$22,AV!$C$21,IF(RASANTE!F225&lt;=AV!$T$24,AV!$C$23,AV!$C$25))))))))))</f>
        <v>2.8</v>
      </c>
      <c r="H225" s="28">
        <f>+IF(AND(AH!$H$8="Izquierda",RASANTE!F225&lt;=PERALTE!$AB$6),IF(RASANTE!F225&lt;=PERALTE!$S$6,-2,IF(RASANTE!F225&lt;=PERALTE!$U$6,(-6/(PERALTE!$U$6-PERALTE!$S$6)*(RASANTE!F225-PERALTE!$S$6)-2),IF(RASANTE!F225&lt;=PERALTE!$X$6,-8,IF(RASANTE!F225&lt;=PERALTE!$Z$6,(-6/(PERALTE!$X$6-PERALTE!$Z$6)*(RASANTE!F225-PERALTE!$Z$6)-2),IF(RASANTE!F225&lt;=PERALTE!$AB$6,-2))))),IF(AND(AH!$H$8="Derecha",RASANTE!F225&lt;=PERALTE!$AB$6),IF(RASANTE!F225&lt;=PERALTE!$Q$6,-2,IF(RASANTE!F225&lt;=PERALTE!$U$6,(10/(PERALTE!$U$6-PERALTE!$Q$6)*(RASANTE!F225-PERALTE!$Q$6)-2),IF(RASANTE!F225&lt;=PERALTE!$X$6,8,IF(RASANTE!F225&lt;=PERALTE!$AB$6,(10/(PERALTE!$X$6-PERALTE!$AB$6)*(RASANTE!F225-PERALTE!$AB$6)-2))))),IF(AND(AH!$H$10="Izquierda",RASANTE!F225&lt;=PERALTE!$AB$8),IF(RASANTE!F225&lt;=PERALTE!$S$8,-2,IF(RASANTE!F225&lt;=PERALTE!$U$8,(-6/(PERALTE!$U$8-PERALTE!$S$8)*(RASANTE!F225-PERALTE!$S$8)-2),IF(RASANTE!F225&lt;=PERALTE!$X$8,-8,IF(RASANTE!F225&lt;=PERALTE!$Z$8,(-6/(PERALTE!$X$8-PERALTE!$Z$8)*(RASANTE!F225-PERALTE!$Z$8)-2),IF(RASANTE!F225&lt;=PERALTE!$AB$8,-2))))),IF(AND(AH!$H$10="Derecha",RASANTE!F225&lt;=PERALTE!$AB$8),IF(RASANTE!F225&lt;=PERALTE!$Q$8,-2,IF(RASANTE!F225&lt;=PERALTE!$U$8,(10/(PERALTE!$U$8-PERALTE!$Q$8)*(RASANTE!F225-PERALTE!$Q$8)-2),IF(RASANTE!F225&lt;=PERALTE!$X$8,8,IF(RASANTE!F225&lt;=PERALTE!$AB$8,(10/(PERALTE!$X$8-PERALTE!$AB$8)*(RASANTE!F225-PERALTE!$AB$8)-2))))),IF(AND(AH!$H$12="Izquierda",RASANTE!F225&lt;=PERALTE!$AB$10),IF(RASANTE!F225&lt;=PERALTE!$S$10,-2,IF(RASANTE!F225&lt;=PERALTE!$U$10,(-6/(PERALTE!$U$10-PERALTE!$S$10)*(RASANTE!F225-PERALTE!$S$10)-2),IF(RASANTE!F225&lt;=PERALTE!$X$10,-8,IF(RASANTE!F225&lt;=PERALTE!$Z$10,(-6/(PERALTE!$X$10-PERALTE!$Z$10)*(RASANTE!F225-PERALTE!$Z$10)-2),IF(RASANTE!F225&lt;=PERALTE!$AB$10,-2))))),IF(AND(AH!$H$12="Derecha",RASANTE!F225&lt;=PERALTE!$AB$10),IF(RASANTE!F225&lt;=PERALTE!$Q$10,-2,IF(RASANTE!F225&lt;=PERALTE!$U$10,(10/(PERALTE!$U$10-PERALTE!$Q$10)*(RASANTE!F225-PERALTE!$Q$10)-2),IF(RASANTE!F225&lt;=PERALTE!$X$10,8,IF(RASANTE!F225&lt;=PERALTE!$AB$10,(10/(PERALTE!$X$10-PERALTE!$AB$10)*(RASANTE!F225-PERALTE!$AB$10)-2))))),IF(AND(AH!$H$14="Izquierda",RASANTE!F225&lt;=PERALTE!$AB$12),IF(RASANTE!F225&lt;=PERALTE!$S$12,-2,IF(RASANTE!F225&lt;=PERALTE!$U$12,(-6/(PERALTE!$U$12-PERALTE!$S$12)*(RASANTE!F225-PERALTE!$S$12)-2),IF(RASANTE!F225&lt;=PERALTE!$X$12,-8,IF(RASANTE!F225&lt;=PERALTE!$Z$12,(-6/(PERALTE!$X$12-PERALTE!$Z$12)*(RASANTE!F225-PERALTE!$Z$12)-2),IF(RASANTE!F225&lt;=PERALTE!$AB$12,-2))))),IF(AND(AH!$H$14="Derecha",RASANTE!F225&lt;=PERALTE!$AB$12),IF(RASANTE!F225&lt;=PERALTE!$Q$12,-2,IF(RASANTE!F225&lt;=PERALTE!$U$12,(10/(PERALTE!$U$12-PERALTE!$Q$12)*(RASANTE!F225-PERALTE!$Q$12)-2),IF(RASANTE!F225&lt;=PERALTE!$X$12,8,IF(RASANTE!F225&lt;=PERALTE!$AB$12,(10/(PERALTE!$X$12-PERALTE!$AB$12)*(RASANTE!F225-PERALTE!$AB$12)-2))))),IF(AND(AH!$H$16="Izquierda",RASANTE!F225&lt;=PERALTE!$AB$14),IF(RASANTE!F225&lt;=PERALTE!$S$14,-2,IF(RASANTE!F225&lt;=PERALTE!$U$14,(-6/(PERALTE!$U$14-PERALTE!$S$14)*(RASANTE!F225-PERALTE!$S$14)-2),IF(RASANTE!F225&lt;=PERALTE!$X$14,-8,IF(RASANTE!F225&lt;=PERALTE!$Z$14,(-6/(PERALTE!$X$14-PERALTE!$Z$14)*(RASANTE!F225-PERALTE!$Z$14)-2),IF(RASANTE!F225&lt;=PERALTE!$AB$14,-2))))),IF(AND(AH!$H$16="Derecha",RASANTE!F225&lt;=PERALTE!$AB$14),IF(RASANTE!F225&lt;=PERALTE!$Q$14,-2,IF(RASANTE!F225&lt;=PERALTE!$U$14,(10/(PERALTE!$U$14-PERALTE!$Q$14)*(RASANTE!F225-PERALTE!$Q$14)-2),IF(RASANTE!F225&lt;=PERALTE!$X$14,8,IF(RASANTE!F225&lt;=PERALTE!$AB$14,(10/(PERALTE!$X$14-PERALTE!$AB$14)*(RASANTE!F225-PERALTE!$AB$14)-2))))),IF(AND(AH!$H$18="Izquierda",RASANTE!F225&lt;=PERALTE!$AB$16),IF(RASANTE!F225&lt;=PERALTE!$S$16,-2,IF(RASANTE!F225&lt;=PERALTE!$U$16,(-6/(PERALTE!$U$16-PERALTE!$S$16)*(RASANTE!F225-PERALTE!$S$16)-2),IF(RASANTE!F225&lt;=PERALTE!$X$16,-8,IF(RASANTE!F225&lt;=PERALTE!$Z$16,(-6/(PERALTE!$X$16-PERALTE!$Z$16)*(RASANTE!F225-PERALTE!$Z$16)-2),IF(RASANTE!F225&lt;=PERALTE!$AB$16,-2))))),IF(AND(AH!$H$18="Derecha",RASANTE!F225&lt;=PERALTE!$AB$16),IF(RASANTE!F225&lt;=PERALTE!$Q$16,-2,IF(RASANTE!F225&lt;=PERALTE!$U$16,(10/(PERALTE!$U$16-PERALTE!$Q$16)*(RASANTE!F225-PERALTE!$Q$16)-2),IF(RASANTE!F225&lt;=PERALTE!$X$16,8,IF(RASANTE!F225&lt;=PERALTE!$AB$16,(10/(PERALTE!$X$16-PERALTE!$AB$16)*(RASANTE!F225-PERALTE!$AB$16)-2))))),IF(AND(AH!$H$20="Izquierda",RASANTE!F225&lt;=PERALTE!$AB$18),IF(RASANTE!F225&lt;=PERALTE!$S$18,-2,IF(RASANTE!F225&lt;=PERALTE!$U$18,(-6/(PERALTE!$U$18-PERALTE!$S$18)*(RASANTE!F225-PERALTE!$S$18)-2),IF(RASANTE!F225&lt;=PERALTE!$X$18,-8,IF(RASANTE!F225&lt;=PERALTE!$Z$18,(-6/(PERALTE!$X$18-PERALTE!$Z$18)*(RASANTE!F225-PERALTE!$Z$18)-2),IF(RASANTE!F225&lt;=PERALTE!$AB$18,-2))))),IF(AND(AH!$H$20="Derecha",RASANTE!F225&lt;=PERALTE!$AB$18),IF(RASANTE!F225&lt;=PERALTE!$Q$18,-2,IF(RASANTE!F225&lt;=PERALTE!$U$18,(10/(PERALTE!$U$18-PERALTE!$Q$18)*(RASANTE!F225-PERALTE!$Q$18)-2),IF(RASANTE!F225&lt;=PERALTE!$X$18,8,IF(RASANTE!F225&lt;=PERALTE!$AB$18,(10/(PERALTE!$X$18-PERALTE!$AB$18)*(RASANTE!F225-PERALTE!$AB$18)-2))))),IF(AND(AH!$H$24="Izquierda",RASANTE!F225&lt;=PERALTE!$AB$22),IF(RASANTE!F225&lt;=PERALTE!$S$22,-2,IF(RASANTE!F225&lt;=PERALTE!$U$22,(-6/(PERALTE!$U$22-PERALTE!$S$22)*(RASANTE!F225-PERALTE!$S$22)-2),IF(RASANTE!F225&lt;=PERALTE!$X$22,-8,IF(RASANTE!F225&lt;=PERALTE!$Z$22,(-6/(PERALTE!$X$22-PERALTE!$Z$22)*(RASANTE!F225-PERALTE!$Z$22)-2),IF(RASANTE!F225&lt;=PERALTE!$AB$22,-2))))),IF(AND(AH!$H$24="Derecha",RASANTE!F225&lt;=PERALTE!$AB$22),IF(RASANTE!F225&lt;=PERALTE!$Q$22,-2,IF(RASANTE!F225&lt;=PERALTE!$U$22,(10/(PERALTE!$U$22-PERALTE!$Q$22)*(RASANTE!F225-PERALTE!$Q$22)-2),IF(RASANTE!F225&lt;=PERALTE!$X$22,8,IF(RASANTE!F225&lt;=PERALTE!$AB$22,(10/(PERALTE!$X$22-PERALTE!$AB$22)*(RASANTE!F225-PERALTE!$AB$22)-2))))),IF(AND(AH!#REF!="Izquierda",RASANTE!F225&lt;=PERALTE!#REF!),IF(RASANTE!F225&lt;=PERALTE!#REF!,-2,IF(RASANTE!F225&lt;=PERALTE!#REF!,(-6/(PERALTE!#REF!-PERALTE!#REF!)*(RASANTE!F225-PERALTE!#REF!)-2),IF(RASANTE!F225&lt;=PERALTE!#REF!,-8,IF(RASANTE!F225&lt;=PERALTE!#REF!,(-6/(PERALTE!#REF!-PERALTE!#REF!)*(RASANTE!F225-PERALTE!#REF!)-2),IF(RASANTE!F225&lt;=PERALTE!#REF!,-2))))),IF(AND(AH!#REF!="Derecha",RASANTE!F225&lt;=PERALTE!#REF!),IF(RASANTE!F225&lt;=PERALTE!#REF!,-2,IF(RASANTE!F225&lt;=PERALTE!#REF!,(10/(PERALTE!#REF!-PERALTE!#REF!)*(RASANTE!F225-PERALTE!#REF!)-2),IF(RASANTE!F225&lt;=PERALTE!#REF!,8,IF(RASANTE!F225&lt;=PERALTE!#REF!,(10/(PERALTE!#REF!-PERALTE!#REF!)*(RASANTE!F225-PERALTE!#REF!)-2))))),IF(AND(AH!#REF!="Izquierda",RASANTE!F225&lt;=PERALTE!$AB$26),IF(RASANTE!F225&lt;=PERALTE!$S$26,-2,IF(RASANTE!F225&lt;=PERALTE!$U$26,(-6/(PERALTE!$U$26-PERALTE!$S$26)*(RASANTE!F225-PERALTE!$S$26)-2),IF(RASANTE!F225&lt;=PERALTE!$X$26,-8,IF(RASANTE!F225&lt;=PERALTE!$Z$26,(-6/(PERALTE!$X$26-PERALTE!$Z$26)*(RASANTE!F225-PERALTE!$Z$26)-2),IF(RASANTE!F225&lt;=PERALTE!$AB$26,-2))))),IF(AND(AH!#REF!="Derecha",RASANTE!F225&lt;=PERALTE!$AB$26),IF(RASANTE!F225&lt;=PERALTE!$Q$26,-2,IF(RASANTE!F225&lt;=PERALTE!$U$26,(10/(PERALTE!$U$26-PERALTE!$Q$26)*(RASANTE!F225-PERALTE!$Q$26)-2),IF(RASANTE!F225&lt;=PERALTE!$X$26,8,IF(RASANTE!F225&lt;=PERALTE!$AB$26,(10/(PERALTE!$X$26-PERALTE!$AB$26)*(RASANTE!F225-PERALTE!$AB$26)-2))))),IF(F225&lt;=PERALTE!#REF!,-2,"Abscisa fuera de la vía")))))))))))))))))))))</f>
        <v>8</v>
      </c>
      <c r="I225" s="28">
        <f>+IF(AND(AH!$H$8="Derecha",RASANTE!F225&lt;=PERALTE!$AB$6),IF(RASANTE!F225&lt;=PERALTE!$S$6,-2,IF(RASANTE!F225&lt;=PERALTE!$U$6,(-6/(PERALTE!$U$6-PERALTE!$S$6)*(RASANTE!F225-PERALTE!$S$6)-2),IF(RASANTE!F225&lt;=PERALTE!$X$6,-8,IF(RASANTE!F225&lt;=PERALTE!$Z$6,(-6/(PERALTE!$X$6-PERALTE!$Z$6)*(RASANTE!F225-PERALTE!$Z$6)-2),IF(RASANTE!F225&lt;=PERALTE!$AB$6,-2))))),IF(AND(AH!$H$8="Izquierda",RASANTE!F225&lt;=PERALTE!$AB$6),IF(RASANTE!F225&lt;=PERALTE!$Q$6,-2,IF(RASANTE!F225&lt;=PERALTE!$U$6,(10/(PERALTE!$U$6-PERALTE!$Q$6)*(RASANTE!F225-PERALTE!$Q$6)-2),IF(RASANTE!F225&lt;=PERALTE!$X$6,8,IF(RASANTE!F225&lt;=PERALTE!$AB$6,(10/(PERALTE!$X$6-PERALTE!$AB$6)*(RASANTE!F225-PERALTE!$AB$6)-2))))),IF(AND(AH!$H$10="Derecha",RASANTE!F225&lt;=PERALTE!$AB$8),IF(RASANTE!F225&lt;=PERALTE!$S$8,-2,IF(RASANTE!F225&lt;=PERALTE!$U$8,(-6/(PERALTE!$U$8-PERALTE!$S$8)*(RASANTE!F225-PERALTE!$S$8)-2),IF(RASANTE!F225&lt;=PERALTE!$X$8,-8,IF(RASANTE!F225&lt;=PERALTE!$Z$8,(-6/(PERALTE!$X$8-PERALTE!$Z$8)*(RASANTE!F225-PERALTE!$Z$8)-2),IF(RASANTE!F225&lt;=PERALTE!$AB$8,-2))))),IF(AND(AH!$H$10="Izquierda",RASANTE!F225&lt;=PERALTE!$AB$8),IF(RASANTE!F225&lt;=PERALTE!$Q$8,-2,IF(RASANTE!F225&lt;=PERALTE!$U$8,(10/(PERALTE!$U$8-PERALTE!$Q$8)*(RASANTE!F225-PERALTE!$Q$8)-2),IF(RASANTE!F225&lt;=PERALTE!$X$8,8,IF(RASANTE!F225&lt;=PERALTE!$AB$8,(10/(PERALTE!$X$8-PERALTE!$AB$8)*(RASANTE!F225-PERALTE!$AB$8)-2))))),IF(AND(AH!$H$12="Derecha",RASANTE!F225&lt;=PERALTE!$AB$10),IF(RASANTE!F225&lt;=PERALTE!$S$10,-2,IF(RASANTE!F225&lt;=PERALTE!$U$10,(-6/(PERALTE!$U$10-PERALTE!$S$10)*(RASANTE!F225-PERALTE!$S$10)-2),IF(RASANTE!F225&lt;=PERALTE!$X$10,-8,IF(RASANTE!F225&lt;=PERALTE!$Z$10,(-6/(PERALTE!$X$10-PERALTE!$Z$10)*(RASANTE!F225-PERALTE!$Z$10)-2),IF(RASANTE!F225&lt;=PERALTE!$AB$10,-2))))),IF(AND(AH!$H$12="Izquierda",RASANTE!F225&lt;=PERALTE!$AB$10),IF(RASANTE!F225&lt;=PERALTE!$Q$10,-2,IF(RASANTE!F225&lt;=PERALTE!$U$10,(10/(PERALTE!$U$10-PERALTE!$Q$10)*(RASANTE!F225-PERALTE!$Q$10)-2),IF(RASANTE!F225&lt;=PERALTE!$X$10,8,IF(RASANTE!F225&lt;=PERALTE!$AB$10,(10/(PERALTE!$X$10-PERALTE!$AB$10)*(RASANTE!F225-PERALTE!$AB$10)-2))))),IF(AND(AH!$H$14="Derecha",RASANTE!F225&lt;=PERALTE!$AB$12),IF(RASANTE!F225&lt;=PERALTE!$S$12,-2,IF(RASANTE!F225&lt;=PERALTE!$U$12,(-6/(PERALTE!$U$12-PERALTE!$S$12)*(RASANTE!F225-PERALTE!$S$12)-2),IF(RASANTE!F225&lt;=PERALTE!$X$12,-8,IF(RASANTE!F225&lt;=PERALTE!$Z$12,(-6/(PERALTE!$X$12-PERALTE!$Z$12)*(RASANTE!F225-PERALTE!$Z$12)-2),IF(RASANTE!F225&lt;=PERALTE!$AB$12,-2))))),IF(AND(AH!$H$14="Izquierda",RASANTE!F225&lt;=PERALTE!$AB$12),IF(RASANTE!F225&lt;=PERALTE!$Q$12,-2,IF(RASANTE!F225&lt;=PERALTE!$U$12,(10/(PERALTE!$U$12-PERALTE!$Q$12)*(RASANTE!F225-PERALTE!$Q$12)-2),IF(RASANTE!F225&lt;=PERALTE!$X$12,8,IF(RASANTE!F225&lt;=PERALTE!$AB$12,(10/(PERALTE!$X$12-PERALTE!$AB$12)*(RASANTE!F225-PERALTE!$AB$12)-2))))),IF(AND(AH!$H$16="Derecha",RASANTE!F225&lt;=PERALTE!$AB$14),IF(RASANTE!F225&lt;=PERALTE!$S$14,-2,IF(RASANTE!F225&lt;=PERALTE!$U$14,(-6/(PERALTE!$U$14-PERALTE!$S$14)*(RASANTE!F225-PERALTE!$S$14)-2),IF(RASANTE!F225&lt;=PERALTE!$X$14,-8,IF(RASANTE!F225&lt;=PERALTE!$Z$14,(-6/(PERALTE!$X$14-PERALTE!$Z$14)*(RASANTE!F225-PERALTE!$Z$14)-2),IF(RASANTE!F225&lt;=PERALTE!$AB$14,-2))))),IF(AND(AH!$H$16="Izquierda",RASANTE!F225&lt;=PERALTE!$AB$14),IF(RASANTE!F225&lt;=PERALTE!$Q$14,-2,IF(RASANTE!F225&lt;=PERALTE!$U$14,(10/(PERALTE!$U$14-PERALTE!$Q$14)*(RASANTE!F225-PERALTE!$Q$14)-2),IF(RASANTE!F225&lt;=PERALTE!$X$14,8,IF(RASANTE!F225&lt;=PERALTE!$AB$14,(10/(PERALTE!$X$14-PERALTE!$AB$14)*(RASANTE!F225-PERALTE!$AB$14)-2))))),IF(AND(AH!$H$18="Derecha",RASANTE!F225&lt;=PERALTE!$AB$16),IF(RASANTE!F225&lt;=PERALTE!$S$16,-2,IF(RASANTE!F225&lt;=PERALTE!$U$16,(-6/(PERALTE!$U$16-PERALTE!$S$16)*(RASANTE!F225-PERALTE!$S$16)-2),IF(RASANTE!F225&lt;=PERALTE!$X$16,-8,IF(RASANTE!F225&lt;=PERALTE!$Z$16,(-6/(PERALTE!$X$16-PERALTE!$Z$16)*(RASANTE!F225-PERALTE!$Z$16)-2),IF(RASANTE!F225&lt;=PERALTE!$AB$16,-2))))),IF(AND(AH!$H$18="Izquierda",RASANTE!F225&lt;=PERALTE!$AB$16),IF(RASANTE!F225&lt;=PERALTE!$Q$16,-2,IF(RASANTE!F225&lt;=PERALTE!$U$16,(10/(PERALTE!$U$16-PERALTE!$Q$16)*(RASANTE!F225-PERALTE!$Q$16)-2),IF(RASANTE!F225&lt;=PERALTE!$X$16,8,IF(RASANTE!F225&lt;=PERALTE!$AB$16,(10/(PERALTE!$X$16-PERALTE!$AB$16)*(RASANTE!F225-PERALTE!$AB$16)-2))))),IF(AND(AH!$H$20="Derecha",RASANTE!F225&lt;=PERALTE!$AB$18),IF(RASANTE!F225&lt;=PERALTE!$S$18,-2,IF(RASANTE!F225&lt;=PERALTE!$U$18,(-6/(PERALTE!$U$18-PERALTE!$S$18)*(RASANTE!F225-PERALTE!$S$18)-2),IF(RASANTE!F225&lt;=PERALTE!$X$18,-8,IF(RASANTE!F225&lt;=PERALTE!$Z$18,(-6/(PERALTE!$X$18-PERALTE!$Z$18)*(RASANTE!F225-PERALTE!$Z$18)-2),IF(RASANTE!F225&lt;=PERALTE!$AB$18,-2))))),IF(AND(AH!$H$20="Izquierda",RASANTE!F225&lt;=PERALTE!$AB$18),IF(RASANTE!F225&lt;=PERALTE!$Q$18,-2,IF(RASANTE!F225&lt;=PERALTE!$U$18,(10/(PERALTE!$U$18-PERALTE!$Q$18)*(RASANTE!F225-PERALTE!$Q$18)-2),IF(RASANTE!F225&lt;=PERALTE!$X$18,8,IF(RASANTE!F225&lt;=PERALTE!$AB$18,(10/(PERALTE!$X$18-PERALTE!$AB$18)*(RASANTE!F225-PERALTE!$AB$18)-2))))),IF(AND(AH!$H$24="Derecha",RASANTE!F225&lt;=PERALTE!$AB$22),IF(RASANTE!F225&lt;=PERALTE!$S$22,-2,IF(RASANTE!F225&lt;=PERALTE!$U$22,(-6/(PERALTE!$U$22-PERALTE!$S$22)*(RASANTE!F225-PERALTE!$S$22)-2),IF(RASANTE!F225&lt;=PERALTE!$X$22,-8,IF(RASANTE!F225&lt;=PERALTE!$Z$22,(-6/(PERALTE!$X$22-PERALTE!$Z$22)*(RASANTE!F225-PERALTE!$Z$22)-2),IF(RASANTE!F225&lt;=PERALTE!$AB$22,-2))))),IF(AND(AH!$H$24="Izquierda",RASANTE!F225&lt;=PERALTE!$AB$22),IF(RASANTE!F225&lt;=PERALTE!$Q$22,-2,IF(RASANTE!F225&lt;=PERALTE!$U$22,(10/(PERALTE!$U$22-PERALTE!$Q$22)*(RASANTE!F225-PERALTE!$Q$22)-2),IF(RASANTE!F225&lt;=PERALTE!$X$22,8,IF(RASANTE!F225&lt;=PERALTE!$AB$22,(10/(PERALTE!$X$22-PERALTE!$AB$22)*(RASANTE!F225-PERALTE!$AB$22)-2))))),IF(AND(AH!#REF!="Derecha",RASANTE!F225&lt;=PERALTE!#REF!),IF(RASANTE!F225&lt;=PERALTE!#REF!,-2,IF(RASANTE!F225&lt;=PERALTE!#REF!,(-6/(PERALTE!#REF!-PERALTE!#REF!)*(RASANTE!F225-PERALTE!#REF!)-2),IF(RASANTE!F225&lt;=PERALTE!#REF!,-8,IF(RASANTE!F225&lt;=PERALTE!#REF!,(-6/(PERALTE!#REF!-PERALTE!#REF!)*(RASANTE!F225-PERALTE!#REF!)-2),IF(RASANTE!F225&lt;=PERALTE!#REF!,-2))))),IF(AND(AH!#REF!="Izquierda",RASANTE!F225&lt;=PERALTE!#REF!),IF(RASANTE!F225&lt;=PERALTE!#REF!,-2,IF(RASANTE!F225&lt;=PERALTE!#REF!,(10/(PERALTE!#REF!-PERALTE!#REF!)*(RASANTE!F225-PERALTE!#REF!)-2),IF(RASANTE!F225&lt;=PERALTE!#REF!,8,IF(RASANTE!F225&lt;=PERALTE!#REF!,(10/(PERALTE!#REF!-PERALTE!#REF!)*(RASANTE!F225-PERALTE!#REF!)-2))))),IF(AND(AH!#REF!="Derecha",RASANTE!F225&lt;=PERALTE!$AB$26),IF(RASANTE!F225&lt;=PERALTE!$S$26,-2,IF(RASANTE!F225&lt;=PERALTE!$U$26,(-6/(PERALTE!$U$26-PERALTE!$S$26)*(RASANTE!F225-PERALTE!$S$26)-2),IF(RASANTE!F225&lt;=PERALTE!$X$26,-8,IF(RASANTE!F225&lt;=PERALTE!$Z$26,(-6/(PERALTE!$X$26-PERALTE!$Z$26)*(RASANTE!F225-PERALTE!$Z$26)-2),IF(RASANTE!F225&lt;=PERALTE!$AB$26,-2))))),IF(AND(AH!#REF!="Izquierda",RASANTE!F225&lt;=PERALTE!$AB$26),IF(RASANTE!F225&lt;=PERALTE!$Q$26,-2,IF(RASANTE!F225&lt;=PERALTE!$U$26,(10/(PERALTE!$U$26-PERALTE!$Q$26)*(RASANTE!F225-PERALTE!$Q$26)-2),IF(RASANTE!F225&lt;=PERALTE!$X$26,8,IF(RASANTE!F225&lt;=PERALTE!$AB$26,(10/(PERALTE!$X$26-PERALTE!$AB$26)*(RASANTE!F225-PERALTE!$AB$26)-2))))),IF(F225&lt;=PERALTE!#REF!,-2,"Abscisa fuera de la vía")))))))))))))))))))))</f>
        <v>-8</v>
      </c>
      <c r="J225" s="28">
        <f t="shared" si="11"/>
        <v>1630.2729284648981</v>
      </c>
      <c r="K225" s="28">
        <f>+IF(AND(AV!$S$6&lt;F225,F225&lt;=AV!$T$6),AV!$P$6*((AV!$S$6-RASANTE!F225)/(AV!$N$6))^2,IF(AND(AV!$T$6&lt;RASANTE!F225,F225&lt;AV!$U$6),AV!$P$6*((AV!$U$6-RASANTE!F225)/(AV!$O$6))^2,IF(AND(AV!$S$8&lt;F225,F225&lt;=AV!$T$8),AV!$P$8*((AV!$S$8-RASANTE!F225)/(AV!$N$8))^2,IF(AND(AV!$T$8&lt;RASANTE!F225,F225&lt;AV!$U$8),AV!$P$8*((AV!$U$8-RASANTE!F225)/(AV!$O$8))^2,IF(AND(AV!$S$10&lt;F225,F225&lt;=AV!$T$10),AV!$P$10*((AV!$S$10-RASANTE!F225)/(AV!$N$10))^2,IF(AND(AV!$T$10&lt;RASANTE!F225,F225&lt;AV!$U$10),AV!$P$10*((AV!$U$10-RASANTE!F225)/(AV!$O$10))^2,IF(AND(AV!$S$12&lt;F225,F225&lt;=AV!$T$12),AV!$P$12*((AV!$S$12-RASANTE!F225)/(AV!$N$12))^2,IF(AND(AV!$T$12&lt;RASANTE!F225,F225&lt;AV!$U$12),AV!$P$12*((AV!$U$12-RASANTE!F225)/(AV!$O$12))^2,IF(AND(AV!$S$14&lt;F225,F225&lt;=AV!$T$14),AV!$P$14*((AV!$S$14-RASANTE!F225)/(AV!$N$14))^2,IF(AND(AV!$T$14&lt;RASANTE!F225,F225&lt;AV!$U$14),AV!$P$14*((AV!$U$14-RASANTE!F225)/(AV!$O$14))^2,IF(AND(AV!$S$16&lt;F225,F225&lt;=AV!$T$16),AV!$P$16*((AV!$S$16-RASANTE!F225)/(AV!$N$16))^2,IF(AND(AV!$T$16&lt;RASANTE!F225,F225&lt;AV!$U$16),AV!$P$16*((AV!$U$16-RASANTE!F225)/(AV!$O$16))^2,IF(AND(AV!$S$18&lt;F225,F225&lt;=AV!$T$18),AV!$P$18*((AV!$S$18-RASANTE!F225)/(AV!$N$18))^2,IF(AND(AV!$T$18&lt;RASANTE!F225,F225&lt;AV!$U$18),AV!$P$18*((AV!$U$18-RASANTE!F225)/(AV!$O$18))^2,IF(AND(AV!$S$20&lt;F225,F225&lt;=AV!$T$20),AV!$P$20*((AV!$S$20-RASANTE!F225)/(AV!$N$20))^2,IF(AND(AV!$T$20&lt;RASANTE!F225,F225&lt;AV!$U$20),AV!$P$20*((AV!$U$20-RASANTE!F225)/(AV!$O$20))^2,IF(AND(AV!$S$22&lt;F225,F225&lt;=AV!$T$22),AV!$P$22*((AV!$S$22-RASANTE!F225)/(AV!$N$22))^2,IF(AND(AV!$T$22&lt;RASANTE!F225,F225&lt;AV!$U$22),AV!$P$22*((AV!$U$22-RASANTE!F225)/(AV!$O$22))^2,IF(AND(AV!$S$24&lt;F225,F225&lt;=AV!$T$24),AV!$P$24*((AV!$S$24-RASANTE!F225)/(AV!$N$24))^2,IF(AND(AV!$T$24&lt;RASANTE!F225,F225&lt;AV!$U$24),AV!$P$24*((AV!$U$24-RASANTE!F225)/(AV!$O$24))^2,0))))))))))))))))))))</f>
        <v>0</v>
      </c>
      <c r="L225" s="28">
        <f>+M225+H225%*PERALTE!$C$32</f>
        <v>1630.5529284648981</v>
      </c>
      <c r="M225" s="28">
        <f t="shared" si="7"/>
        <v>1630.2729284648981</v>
      </c>
      <c r="N225" s="28">
        <f>+M225+I225%*PERALTE!$C$32</f>
        <v>1629.9929284648981</v>
      </c>
      <c r="O225" s="92"/>
      <c r="P225" s="84"/>
      <c r="Q225" s="84"/>
      <c r="R225" s="84"/>
      <c r="S225" s="84"/>
      <c r="T225" s="84"/>
      <c r="U225" s="84"/>
      <c r="V225" s="84"/>
      <c r="W225" s="84"/>
      <c r="X225" s="84"/>
      <c r="Y225" s="84"/>
    </row>
    <row r="226" spans="1:25" ht="15.75" customHeight="1" x14ac:dyDescent="0.2">
      <c r="A226" s="90"/>
      <c r="B226" s="104"/>
      <c r="C226" s="104"/>
      <c r="D226" s="104"/>
      <c r="E226" s="91"/>
      <c r="F226" s="34">
        <v>1400</v>
      </c>
      <c r="G226" s="88">
        <f>IF(F226&lt;=AV!$T$6,AV!$C$5,IF(RASANTE!F226&lt;=AV!$T$8,AV!$C$7,IF(RASANTE!F226&lt;=AV!$T$10,AV!$C$9,IF(RASANTE!F226&lt;=AV!$T$12,AV!$C$11,IF(RASANTE!F226&lt;=AV!$T$14,AV!$C$13,IF(RASANTE!F226&lt;=AV!$T$16,AV!$C$15, IF(RASANTE!F226&lt;=AV!$T$18,AV!$C$17,IF(RASANTE!F226&lt;=AV!$T$20,AV!$C$19,IF(RASANTE!F226&lt;=AV!$T$22,AV!$C$21,IF(RASANTE!F226&lt;=AV!$T$24,AV!$C$23,AV!$C$25))))))))))</f>
        <v>2.8</v>
      </c>
      <c r="H226" s="28">
        <f>+IF(AND(AH!$H$8="Izquierda",RASANTE!F226&lt;=PERALTE!$AB$6),IF(RASANTE!F226&lt;=PERALTE!$S$6,-2,IF(RASANTE!F226&lt;=PERALTE!$U$6,(-6/(PERALTE!$U$6-PERALTE!$S$6)*(RASANTE!F226-PERALTE!$S$6)-2),IF(RASANTE!F226&lt;=PERALTE!$X$6,-8,IF(RASANTE!F226&lt;=PERALTE!$Z$6,(-6/(PERALTE!$X$6-PERALTE!$Z$6)*(RASANTE!F226-PERALTE!$Z$6)-2),IF(RASANTE!F226&lt;=PERALTE!$AB$6,-2))))),IF(AND(AH!$H$8="Derecha",RASANTE!F226&lt;=PERALTE!$AB$6),IF(RASANTE!F226&lt;=PERALTE!$Q$6,-2,IF(RASANTE!F226&lt;=PERALTE!$U$6,(10/(PERALTE!$U$6-PERALTE!$Q$6)*(RASANTE!F226-PERALTE!$Q$6)-2),IF(RASANTE!F226&lt;=PERALTE!$X$6,8,IF(RASANTE!F226&lt;=PERALTE!$AB$6,(10/(PERALTE!$X$6-PERALTE!$AB$6)*(RASANTE!F226-PERALTE!$AB$6)-2))))),IF(AND(AH!$H$10="Izquierda",RASANTE!F226&lt;=PERALTE!$AB$8),IF(RASANTE!F226&lt;=PERALTE!$S$8,-2,IF(RASANTE!F226&lt;=PERALTE!$U$8,(-6/(PERALTE!$U$8-PERALTE!$S$8)*(RASANTE!F226-PERALTE!$S$8)-2),IF(RASANTE!F226&lt;=PERALTE!$X$8,-8,IF(RASANTE!F226&lt;=PERALTE!$Z$8,(-6/(PERALTE!$X$8-PERALTE!$Z$8)*(RASANTE!F226-PERALTE!$Z$8)-2),IF(RASANTE!F226&lt;=PERALTE!$AB$8,-2))))),IF(AND(AH!$H$10="Derecha",RASANTE!F226&lt;=PERALTE!$AB$8),IF(RASANTE!F226&lt;=PERALTE!$Q$8,-2,IF(RASANTE!F226&lt;=PERALTE!$U$8,(10/(PERALTE!$U$8-PERALTE!$Q$8)*(RASANTE!F226-PERALTE!$Q$8)-2),IF(RASANTE!F226&lt;=PERALTE!$X$8,8,IF(RASANTE!F226&lt;=PERALTE!$AB$8,(10/(PERALTE!$X$8-PERALTE!$AB$8)*(RASANTE!F226-PERALTE!$AB$8)-2))))),IF(AND(AH!$H$12="Izquierda",RASANTE!F226&lt;=PERALTE!$AB$10),IF(RASANTE!F226&lt;=PERALTE!$S$10,-2,IF(RASANTE!F226&lt;=PERALTE!$U$10,(-6/(PERALTE!$U$10-PERALTE!$S$10)*(RASANTE!F226-PERALTE!$S$10)-2),IF(RASANTE!F226&lt;=PERALTE!$X$10,-8,IF(RASANTE!F226&lt;=PERALTE!$Z$10,(-6/(PERALTE!$X$10-PERALTE!$Z$10)*(RASANTE!F226-PERALTE!$Z$10)-2),IF(RASANTE!F226&lt;=PERALTE!$AB$10,-2))))),IF(AND(AH!$H$12="Derecha",RASANTE!F226&lt;=PERALTE!$AB$10),IF(RASANTE!F226&lt;=PERALTE!$Q$10,-2,IF(RASANTE!F226&lt;=PERALTE!$U$10,(10/(PERALTE!$U$10-PERALTE!$Q$10)*(RASANTE!F226-PERALTE!$Q$10)-2),IF(RASANTE!F226&lt;=PERALTE!$X$10,8,IF(RASANTE!F226&lt;=PERALTE!$AB$10,(10/(PERALTE!$X$10-PERALTE!$AB$10)*(RASANTE!F226-PERALTE!$AB$10)-2))))),IF(AND(AH!$H$14="Izquierda",RASANTE!F226&lt;=PERALTE!$AB$12),IF(RASANTE!F226&lt;=PERALTE!$S$12,-2,IF(RASANTE!F226&lt;=PERALTE!$U$12,(-6/(PERALTE!$U$12-PERALTE!$S$12)*(RASANTE!F226-PERALTE!$S$12)-2),IF(RASANTE!F226&lt;=PERALTE!$X$12,-8,IF(RASANTE!F226&lt;=PERALTE!$Z$12,(-6/(PERALTE!$X$12-PERALTE!$Z$12)*(RASANTE!F226-PERALTE!$Z$12)-2),IF(RASANTE!F226&lt;=PERALTE!$AB$12,-2))))),IF(AND(AH!$H$14="Derecha",RASANTE!F226&lt;=PERALTE!$AB$12),IF(RASANTE!F226&lt;=PERALTE!$Q$12,-2,IF(RASANTE!F226&lt;=PERALTE!$U$12,(10/(PERALTE!$U$12-PERALTE!$Q$12)*(RASANTE!F226-PERALTE!$Q$12)-2),IF(RASANTE!F226&lt;=PERALTE!$X$12,8,IF(RASANTE!F226&lt;=PERALTE!$AB$12,(10/(PERALTE!$X$12-PERALTE!$AB$12)*(RASANTE!F226-PERALTE!$AB$12)-2))))),IF(AND(AH!$H$16="Izquierda",RASANTE!F226&lt;=PERALTE!$AB$14),IF(RASANTE!F226&lt;=PERALTE!$S$14,-2,IF(RASANTE!F226&lt;=PERALTE!$U$14,(-6/(PERALTE!$U$14-PERALTE!$S$14)*(RASANTE!F226-PERALTE!$S$14)-2),IF(RASANTE!F226&lt;=PERALTE!$X$14,-8,IF(RASANTE!F226&lt;=PERALTE!$Z$14,(-6/(PERALTE!$X$14-PERALTE!$Z$14)*(RASANTE!F226-PERALTE!$Z$14)-2),IF(RASANTE!F226&lt;=PERALTE!$AB$14,-2))))),IF(AND(AH!$H$16="Derecha",RASANTE!F226&lt;=PERALTE!$AB$14),IF(RASANTE!F226&lt;=PERALTE!$Q$14,-2,IF(RASANTE!F226&lt;=PERALTE!$U$14,(10/(PERALTE!$U$14-PERALTE!$Q$14)*(RASANTE!F226-PERALTE!$Q$14)-2),IF(RASANTE!F226&lt;=PERALTE!$X$14,8,IF(RASANTE!F226&lt;=PERALTE!$AB$14,(10/(PERALTE!$X$14-PERALTE!$AB$14)*(RASANTE!F226-PERALTE!$AB$14)-2))))),IF(AND(AH!$H$18="Izquierda",RASANTE!F226&lt;=PERALTE!$AB$16),IF(RASANTE!F226&lt;=PERALTE!$S$16,-2,IF(RASANTE!F226&lt;=PERALTE!$U$16,(-6/(PERALTE!$U$16-PERALTE!$S$16)*(RASANTE!F226-PERALTE!$S$16)-2),IF(RASANTE!F226&lt;=PERALTE!$X$16,-8,IF(RASANTE!F226&lt;=PERALTE!$Z$16,(-6/(PERALTE!$X$16-PERALTE!$Z$16)*(RASANTE!F226-PERALTE!$Z$16)-2),IF(RASANTE!F226&lt;=PERALTE!$AB$16,-2))))),IF(AND(AH!$H$18="Derecha",RASANTE!F226&lt;=PERALTE!$AB$16),IF(RASANTE!F226&lt;=PERALTE!$Q$16,-2,IF(RASANTE!F226&lt;=PERALTE!$U$16,(10/(PERALTE!$U$16-PERALTE!$Q$16)*(RASANTE!F226-PERALTE!$Q$16)-2),IF(RASANTE!F226&lt;=PERALTE!$X$16,8,IF(RASANTE!F226&lt;=PERALTE!$AB$16,(10/(PERALTE!$X$16-PERALTE!$AB$16)*(RASANTE!F226-PERALTE!$AB$16)-2))))),IF(AND(AH!$H$20="Izquierda",RASANTE!F226&lt;=PERALTE!$AB$18),IF(RASANTE!F226&lt;=PERALTE!$S$18,-2,IF(RASANTE!F226&lt;=PERALTE!$U$18,(-6/(PERALTE!$U$18-PERALTE!$S$18)*(RASANTE!F226-PERALTE!$S$18)-2),IF(RASANTE!F226&lt;=PERALTE!$X$18,-8,IF(RASANTE!F226&lt;=PERALTE!$Z$18,(-6/(PERALTE!$X$18-PERALTE!$Z$18)*(RASANTE!F226-PERALTE!$Z$18)-2),IF(RASANTE!F226&lt;=PERALTE!$AB$18,-2))))),IF(AND(AH!$H$20="Derecha",RASANTE!F226&lt;=PERALTE!$AB$18),IF(RASANTE!F226&lt;=PERALTE!$Q$18,-2,IF(RASANTE!F226&lt;=PERALTE!$U$18,(10/(PERALTE!$U$18-PERALTE!$Q$18)*(RASANTE!F226-PERALTE!$Q$18)-2),IF(RASANTE!F226&lt;=PERALTE!$X$18,8,IF(RASANTE!F226&lt;=PERALTE!$AB$18,(10/(PERALTE!$X$18-PERALTE!$AB$18)*(RASANTE!F226-PERALTE!$AB$18)-2))))),IF(AND(AH!$H$24="Izquierda",RASANTE!F226&lt;=PERALTE!$AB$22),IF(RASANTE!F226&lt;=PERALTE!$S$22,-2,IF(RASANTE!F226&lt;=PERALTE!$U$22,(-6/(PERALTE!$U$22-PERALTE!$S$22)*(RASANTE!F226-PERALTE!$S$22)-2),IF(RASANTE!F226&lt;=PERALTE!$X$22,-8,IF(RASANTE!F226&lt;=PERALTE!$Z$22,(-6/(PERALTE!$X$22-PERALTE!$Z$22)*(RASANTE!F226-PERALTE!$Z$22)-2),IF(RASANTE!F226&lt;=PERALTE!$AB$22,-2))))),IF(AND(AH!$H$24="Derecha",RASANTE!F226&lt;=PERALTE!$AB$22),IF(RASANTE!F226&lt;=PERALTE!$Q$22,-2,IF(RASANTE!F226&lt;=PERALTE!$U$22,(10/(PERALTE!$U$22-PERALTE!$Q$22)*(RASANTE!F226-PERALTE!$Q$22)-2),IF(RASANTE!F226&lt;=PERALTE!$X$22,8,IF(RASANTE!F226&lt;=PERALTE!$AB$22,(10/(PERALTE!$X$22-PERALTE!$AB$22)*(RASANTE!F226-PERALTE!$AB$22)-2))))),IF(AND(AH!#REF!="Izquierda",RASANTE!F226&lt;=PERALTE!#REF!),IF(RASANTE!F226&lt;=PERALTE!#REF!,-2,IF(RASANTE!F226&lt;=PERALTE!#REF!,(-6/(PERALTE!#REF!-PERALTE!#REF!)*(RASANTE!F226-PERALTE!#REF!)-2),IF(RASANTE!F226&lt;=PERALTE!#REF!,-8,IF(RASANTE!F226&lt;=PERALTE!#REF!,(-6/(PERALTE!#REF!-PERALTE!#REF!)*(RASANTE!F226-PERALTE!#REF!)-2),IF(RASANTE!F226&lt;=PERALTE!#REF!,-2))))),IF(AND(AH!#REF!="Derecha",RASANTE!F226&lt;=PERALTE!#REF!),IF(RASANTE!F226&lt;=PERALTE!#REF!,-2,IF(RASANTE!F226&lt;=PERALTE!#REF!,(10/(PERALTE!#REF!-PERALTE!#REF!)*(RASANTE!F226-PERALTE!#REF!)-2),IF(RASANTE!F226&lt;=PERALTE!#REF!,8,IF(RASANTE!F226&lt;=PERALTE!#REF!,(10/(PERALTE!#REF!-PERALTE!#REF!)*(RASANTE!F226-PERALTE!#REF!)-2))))),IF(AND(AH!#REF!="Izquierda",RASANTE!F226&lt;=PERALTE!$AB$26),IF(RASANTE!F226&lt;=PERALTE!$S$26,-2,IF(RASANTE!F226&lt;=PERALTE!$U$26,(-6/(PERALTE!$U$26-PERALTE!$S$26)*(RASANTE!F226-PERALTE!$S$26)-2),IF(RASANTE!F226&lt;=PERALTE!$X$26,-8,IF(RASANTE!F226&lt;=PERALTE!$Z$26,(-6/(PERALTE!$X$26-PERALTE!$Z$26)*(RASANTE!F226-PERALTE!$Z$26)-2),IF(RASANTE!F226&lt;=PERALTE!$AB$26,-2))))),IF(AND(AH!#REF!="Derecha",RASANTE!F226&lt;=PERALTE!$AB$26),IF(RASANTE!F226&lt;=PERALTE!$Q$26,-2,IF(RASANTE!F226&lt;=PERALTE!$U$26,(10/(PERALTE!$U$26-PERALTE!$Q$26)*(RASANTE!F226-PERALTE!$Q$26)-2),IF(RASANTE!F226&lt;=PERALTE!$X$26,8,IF(RASANTE!F226&lt;=PERALTE!$AB$26,(10/(PERALTE!$X$26-PERALTE!$AB$26)*(RASANTE!F226-PERALTE!$AB$26)-2))))),IF(F226&lt;=PERALTE!#REF!,-2,"Abscisa fuera de la vía")))))))))))))))))))))</f>
        <v>8</v>
      </c>
      <c r="I226" s="28">
        <f>+IF(AND(AH!$H$8="Derecha",RASANTE!F226&lt;=PERALTE!$AB$6),IF(RASANTE!F226&lt;=PERALTE!$S$6,-2,IF(RASANTE!F226&lt;=PERALTE!$U$6,(-6/(PERALTE!$U$6-PERALTE!$S$6)*(RASANTE!F226-PERALTE!$S$6)-2),IF(RASANTE!F226&lt;=PERALTE!$X$6,-8,IF(RASANTE!F226&lt;=PERALTE!$Z$6,(-6/(PERALTE!$X$6-PERALTE!$Z$6)*(RASANTE!F226-PERALTE!$Z$6)-2),IF(RASANTE!F226&lt;=PERALTE!$AB$6,-2))))),IF(AND(AH!$H$8="Izquierda",RASANTE!F226&lt;=PERALTE!$AB$6),IF(RASANTE!F226&lt;=PERALTE!$Q$6,-2,IF(RASANTE!F226&lt;=PERALTE!$U$6,(10/(PERALTE!$U$6-PERALTE!$Q$6)*(RASANTE!F226-PERALTE!$Q$6)-2),IF(RASANTE!F226&lt;=PERALTE!$X$6,8,IF(RASANTE!F226&lt;=PERALTE!$AB$6,(10/(PERALTE!$X$6-PERALTE!$AB$6)*(RASANTE!F226-PERALTE!$AB$6)-2))))),IF(AND(AH!$H$10="Derecha",RASANTE!F226&lt;=PERALTE!$AB$8),IF(RASANTE!F226&lt;=PERALTE!$S$8,-2,IF(RASANTE!F226&lt;=PERALTE!$U$8,(-6/(PERALTE!$U$8-PERALTE!$S$8)*(RASANTE!F226-PERALTE!$S$8)-2),IF(RASANTE!F226&lt;=PERALTE!$X$8,-8,IF(RASANTE!F226&lt;=PERALTE!$Z$8,(-6/(PERALTE!$X$8-PERALTE!$Z$8)*(RASANTE!F226-PERALTE!$Z$8)-2),IF(RASANTE!F226&lt;=PERALTE!$AB$8,-2))))),IF(AND(AH!$H$10="Izquierda",RASANTE!F226&lt;=PERALTE!$AB$8),IF(RASANTE!F226&lt;=PERALTE!$Q$8,-2,IF(RASANTE!F226&lt;=PERALTE!$U$8,(10/(PERALTE!$U$8-PERALTE!$Q$8)*(RASANTE!F226-PERALTE!$Q$8)-2),IF(RASANTE!F226&lt;=PERALTE!$X$8,8,IF(RASANTE!F226&lt;=PERALTE!$AB$8,(10/(PERALTE!$X$8-PERALTE!$AB$8)*(RASANTE!F226-PERALTE!$AB$8)-2))))),IF(AND(AH!$H$12="Derecha",RASANTE!F226&lt;=PERALTE!$AB$10),IF(RASANTE!F226&lt;=PERALTE!$S$10,-2,IF(RASANTE!F226&lt;=PERALTE!$U$10,(-6/(PERALTE!$U$10-PERALTE!$S$10)*(RASANTE!F226-PERALTE!$S$10)-2),IF(RASANTE!F226&lt;=PERALTE!$X$10,-8,IF(RASANTE!F226&lt;=PERALTE!$Z$10,(-6/(PERALTE!$X$10-PERALTE!$Z$10)*(RASANTE!F226-PERALTE!$Z$10)-2),IF(RASANTE!F226&lt;=PERALTE!$AB$10,-2))))),IF(AND(AH!$H$12="Izquierda",RASANTE!F226&lt;=PERALTE!$AB$10),IF(RASANTE!F226&lt;=PERALTE!$Q$10,-2,IF(RASANTE!F226&lt;=PERALTE!$U$10,(10/(PERALTE!$U$10-PERALTE!$Q$10)*(RASANTE!F226-PERALTE!$Q$10)-2),IF(RASANTE!F226&lt;=PERALTE!$X$10,8,IF(RASANTE!F226&lt;=PERALTE!$AB$10,(10/(PERALTE!$X$10-PERALTE!$AB$10)*(RASANTE!F226-PERALTE!$AB$10)-2))))),IF(AND(AH!$H$14="Derecha",RASANTE!F226&lt;=PERALTE!$AB$12),IF(RASANTE!F226&lt;=PERALTE!$S$12,-2,IF(RASANTE!F226&lt;=PERALTE!$U$12,(-6/(PERALTE!$U$12-PERALTE!$S$12)*(RASANTE!F226-PERALTE!$S$12)-2),IF(RASANTE!F226&lt;=PERALTE!$X$12,-8,IF(RASANTE!F226&lt;=PERALTE!$Z$12,(-6/(PERALTE!$X$12-PERALTE!$Z$12)*(RASANTE!F226-PERALTE!$Z$12)-2),IF(RASANTE!F226&lt;=PERALTE!$AB$12,-2))))),IF(AND(AH!$H$14="Izquierda",RASANTE!F226&lt;=PERALTE!$AB$12),IF(RASANTE!F226&lt;=PERALTE!$Q$12,-2,IF(RASANTE!F226&lt;=PERALTE!$U$12,(10/(PERALTE!$U$12-PERALTE!$Q$12)*(RASANTE!F226-PERALTE!$Q$12)-2),IF(RASANTE!F226&lt;=PERALTE!$X$12,8,IF(RASANTE!F226&lt;=PERALTE!$AB$12,(10/(PERALTE!$X$12-PERALTE!$AB$12)*(RASANTE!F226-PERALTE!$AB$12)-2))))),IF(AND(AH!$H$16="Derecha",RASANTE!F226&lt;=PERALTE!$AB$14),IF(RASANTE!F226&lt;=PERALTE!$S$14,-2,IF(RASANTE!F226&lt;=PERALTE!$U$14,(-6/(PERALTE!$U$14-PERALTE!$S$14)*(RASANTE!F226-PERALTE!$S$14)-2),IF(RASANTE!F226&lt;=PERALTE!$X$14,-8,IF(RASANTE!F226&lt;=PERALTE!$Z$14,(-6/(PERALTE!$X$14-PERALTE!$Z$14)*(RASANTE!F226-PERALTE!$Z$14)-2),IF(RASANTE!F226&lt;=PERALTE!$AB$14,-2))))),IF(AND(AH!$H$16="Izquierda",RASANTE!F226&lt;=PERALTE!$AB$14),IF(RASANTE!F226&lt;=PERALTE!$Q$14,-2,IF(RASANTE!F226&lt;=PERALTE!$U$14,(10/(PERALTE!$U$14-PERALTE!$Q$14)*(RASANTE!F226-PERALTE!$Q$14)-2),IF(RASANTE!F226&lt;=PERALTE!$X$14,8,IF(RASANTE!F226&lt;=PERALTE!$AB$14,(10/(PERALTE!$X$14-PERALTE!$AB$14)*(RASANTE!F226-PERALTE!$AB$14)-2))))),IF(AND(AH!$H$18="Derecha",RASANTE!F226&lt;=PERALTE!$AB$16),IF(RASANTE!F226&lt;=PERALTE!$S$16,-2,IF(RASANTE!F226&lt;=PERALTE!$U$16,(-6/(PERALTE!$U$16-PERALTE!$S$16)*(RASANTE!F226-PERALTE!$S$16)-2),IF(RASANTE!F226&lt;=PERALTE!$X$16,-8,IF(RASANTE!F226&lt;=PERALTE!$Z$16,(-6/(PERALTE!$X$16-PERALTE!$Z$16)*(RASANTE!F226-PERALTE!$Z$16)-2),IF(RASANTE!F226&lt;=PERALTE!$AB$16,-2))))),IF(AND(AH!$H$18="Izquierda",RASANTE!F226&lt;=PERALTE!$AB$16),IF(RASANTE!F226&lt;=PERALTE!$Q$16,-2,IF(RASANTE!F226&lt;=PERALTE!$U$16,(10/(PERALTE!$U$16-PERALTE!$Q$16)*(RASANTE!F226-PERALTE!$Q$16)-2),IF(RASANTE!F226&lt;=PERALTE!$X$16,8,IF(RASANTE!F226&lt;=PERALTE!$AB$16,(10/(PERALTE!$X$16-PERALTE!$AB$16)*(RASANTE!F226-PERALTE!$AB$16)-2))))),IF(AND(AH!$H$20="Derecha",RASANTE!F226&lt;=PERALTE!$AB$18),IF(RASANTE!F226&lt;=PERALTE!$S$18,-2,IF(RASANTE!F226&lt;=PERALTE!$U$18,(-6/(PERALTE!$U$18-PERALTE!$S$18)*(RASANTE!F226-PERALTE!$S$18)-2),IF(RASANTE!F226&lt;=PERALTE!$X$18,-8,IF(RASANTE!F226&lt;=PERALTE!$Z$18,(-6/(PERALTE!$X$18-PERALTE!$Z$18)*(RASANTE!F226-PERALTE!$Z$18)-2),IF(RASANTE!F226&lt;=PERALTE!$AB$18,-2))))),IF(AND(AH!$H$20="Izquierda",RASANTE!F226&lt;=PERALTE!$AB$18),IF(RASANTE!F226&lt;=PERALTE!$Q$18,-2,IF(RASANTE!F226&lt;=PERALTE!$U$18,(10/(PERALTE!$U$18-PERALTE!$Q$18)*(RASANTE!F226-PERALTE!$Q$18)-2),IF(RASANTE!F226&lt;=PERALTE!$X$18,8,IF(RASANTE!F226&lt;=PERALTE!$AB$18,(10/(PERALTE!$X$18-PERALTE!$AB$18)*(RASANTE!F226-PERALTE!$AB$18)-2))))),IF(AND(AH!$H$24="Derecha",RASANTE!F226&lt;=PERALTE!$AB$22),IF(RASANTE!F226&lt;=PERALTE!$S$22,-2,IF(RASANTE!F226&lt;=PERALTE!$U$22,(-6/(PERALTE!$U$22-PERALTE!$S$22)*(RASANTE!F226-PERALTE!$S$22)-2),IF(RASANTE!F226&lt;=PERALTE!$X$22,-8,IF(RASANTE!F226&lt;=PERALTE!$Z$22,(-6/(PERALTE!$X$22-PERALTE!$Z$22)*(RASANTE!F226-PERALTE!$Z$22)-2),IF(RASANTE!F226&lt;=PERALTE!$AB$22,-2))))),IF(AND(AH!$H$24="Izquierda",RASANTE!F226&lt;=PERALTE!$AB$22),IF(RASANTE!F226&lt;=PERALTE!$Q$22,-2,IF(RASANTE!F226&lt;=PERALTE!$U$22,(10/(PERALTE!$U$22-PERALTE!$Q$22)*(RASANTE!F226-PERALTE!$Q$22)-2),IF(RASANTE!F226&lt;=PERALTE!$X$22,8,IF(RASANTE!F226&lt;=PERALTE!$AB$22,(10/(PERALTE!$X$22-PERALTE!$AB$22)*(RASANTE!F226-PERALTE!$AB$22)-2))))),IF(AND(AH!#REF!="Derecha",RASANTE!F226&lt;=PERALTE!#REF!),IF(RASANTE!F226&lt;=PERALTE!#REF!,-2,IF(RASANTE!F226&lt;=PERALTE!#REF!,(-6/(PERALTE!#REF!-PERALTE!#REF!)*(RASANTE!F226-PERALTE!#REF!)-2),IF(RASANTE!F226&lt;=PERALTE!#REF!,-8,IF(RASANTE!F226&lt;=PERALTE!#REF!,(-6/(PERALTE!#REF!-PERALTE!#REF!)*(RASANTE!F226-PERALTE!#REF!)-2),IF(RASANTE!F226&lt;=PERALTE!#REF!,-2))))),IF(AND(AH!#REF!="Izquierda",RASANTE!F226&lt;=PERALTE!#REF!),IF(RASANTE!F226&lt;=PERALTE!#REF!,-2,IF(RASANTE!F226&lt;=PERALTE!#REF!,(10/(PERALTE!#REF!-PERALTE!#REF!)*(RASANTE!F226-PERALTE!#REF!)-2),IF(RASANTE!F226&lt;=PERALTE!#REF!,8,IF(RASANTE!F226&lt;=PERALTE!#REF!,(10/(PERALTE!#REF!-PERALTE!#REF!)*(RASANTE!F226-PERALTE!#REF!)-2))))),IF(AND(AH!#REF!="Derecha",RASANTE!F226&lt;=PERALTE!$AB$26),IF(RASANTE!F226&lt;=PERALTE!$S$26,-2,IF(RASANTE!F226&lt;=PERALTE!$U$26,(-6/(PERALTE!$U$26-PERALTE!$S$26)*(RASANTE!F226-PERALTE!$S$26)-2),IF(RASANTE!F226&lt;=PERALTE!$X$26,-8,IF(RASANTE!F226&lt;=PERALTE!$Z$26,(-6/(PERALTE!$X$26-PERALTE!$Z$26)*(RASANTE!F226-PERALTE!$Z$26)-2),IF(RASANTE!F226&lt;=PERALTE!$AB$26,-2))))),IF(AND(AH!#REF!="Izquierda",RASANTE!F226&lt;=PERALTE!$AB$26),IF(RASANTE!F226&lt;=PERALTE!$Q$26,-2,IF(RASANTE!F226&lt;=PERALTE!$U$26,(10/(PERALTE!$U$26-PERALTE!$Q$26)*(RASANTE!F226-PERALTE!$Q$26)-2),IF(RASANTE!F226&lt;=PERALTE!$X$26,8,IF(RASANTE!F226&lt;=PERALTE!$AB$26,(10/(PERALTE!$X$26-PERALTE!$AB$26)*(RASANTE!F226-PERALTE!$AB$26)-2))))),IF(F226&lt;=PERALTE!#REF!,-2,"Abscisa fuera de la vía")))))))))))))))))))))</f>
        <v>-8</v>
      </c>
      <c r="J226" s="28">
        <f t="shared" si="11"/>
        <v>1630.5529284648981</v>
      </c>
      <c r="K226" s="28">
        <f>+IF(AND(AV!$S$6&lt;F226,F226&lt;=AV!$T$6),AV!$P$6*((AV!$S$6-RASANTE!F226)/(AV!$N$6))^2,IF(AND(AV!$T$6&lt;RASANTE!F226,F226&lt;AV!$U$6),AV!$P$6*((AV!$U$6-RASANTE!F226)/(AV!$O$6))^2,IF(AND(AV!$S$8&lt;F226,F226&lt;=AV!$T$8),AV!$P$8*((AV!$S$8-RASANTE!F226)/(AV!$N$8))^2,IF(AND(AV!$T$8&lt;RASANTE!F226,F226&lt;AV!$U$8),AV!$P$8*((AV!$U$8-RASANTE!F226)/(AV!$O$8))^2,IF(AND(AV!$S$10&lt;F226,F226&lt;=AV!$T$10),AV!$P$10*((AV!$S$10-RASANTE!F226)/(AV!$N$10))^2,IF(AND(AV!$T$10&lt;RASANTE!F226,F226&lt;AV!$U$10),AV!$P$10*((AV!$U$10-RASANTE!F226)/(AV!$O$10))^2,IF(AND(AV!$S$12&lt;F226,F226&lt;=AV!$T$12),AV!$P$12*((AV!$S$12-RASANTE!F226)/(AV!$N$12))^2,IF(AND(AV!$T$12&lt;RASANTE!F226,F226&lt;AV!$U$12),AV!$P$12*((AV!$U$12-RASANTE!F226)/(AV!$O$12))^2,IF(AND(AV!$S$14&lt;F226,F226&lt;=AV!$T$14),AV!$P$14*((AV!$S$14-RASANTE!F226)/(AV!$N$14))^2,IF(AND(AV!$T$14&lt;RASANTE!F226,F226&lt;AV!$U$14),AV!$P$14*((AV!$U$14-RASANTE!F226)/(AV!$O$14))^2,IF(AND(AV!$S$16&lt;F226,F226&lt;=AV!$T$16),AV!$P$16*((AV!$S$16-RASANTE!F226)/(AV!$N$16))^2,IF(AND(AV!$T$16&lt;RASANTE!F226,F226&lt;AV!$U$16),AV!$P$16*((AV!$U$16-RASANTE!F226)/(AV!$O$16))^2,IF(AND(AV!$S$18&lt;F226,F226&lt;=AV!$T$18),AV!$P$18*((AV!$S$18-RASANTE!F226)/(AV!$N$18))^2,IF(AND(AV!$T$18&lt;RASANTE!F226,F226&lt;AV!$U$18),AV!$P$18*((AV!$U$18-RASANTE!F226)/(AV!$O$18))^2,IF(AND(AV!$S$20&lt;F226,F226&lt;=AV!$T$20),AV!$P$20*((AV!$S$20-RASANTE!F226)/(AV!$N$20))^2,IF(AND(AV!$T$20&lt;RASANTE!F226,F226&lt;AV!$U$20),AV!$P$20*((AV!$U$20-RASANTE!F226)/(AV!$O$20))^2,IF(AND(AV!$S$22&lt;F226,F226&lt;=AV!$T$22),AV!$P$22*((AV!$S$22-RASANTE!F226)/(AV!$N$22))^2,IF(AND(AV!$T$22&lt;RASANTE!F226,F226&lt;AV!$U$22),AV!$P$22*((AV!$U$22-RASANTE!F226)/(AV!$O$22))^2,IF(AND(AV!$S$24&lt;F226,F226&lt;=AV!$T$24),AV!$P$24*((AV!$S$24-RASANTE!F226)/(AV!$N$24))^2,IF(AND(AV!$T$24&lt;RASANTE!F226,F226&lt;AV!$U$24),AV!$P$24*((AV!$U$24-RASANTE!F226)/(AV!$O$24))^2,0))))))))))))))))))))</f>
        <v>0</v>
      </c>
      <c r="L226" s="28">
        <f>+M226+H226%*PERALTE!$C$32</f>
        <v>1630.832928464898</v>
      </c>
      <c r="M226" s="28">
        <f t="shared" si="7"/>
        <v>1630.5529284648981</v>
      </c>
      <c r="N226" s="28">
        <f>+M226+I226%*PERALTE!$C$32</f>
        <v>1630.2729284648981</v>
      </c>
      <c r="O226" s="92"/>
      <c r="P226" s="84"/>
      <c r="Q226" s="84"/>
      <c r="R226" s="84"/>
      <c r="S226" s="84"/>
      <c r="T226" s="84"/>
      <c r="U226" s="84"/>
      <c r="V226" s="84"/>
      <c r="W226" s="84"/>
      <c r="X226" s="84"/>
      <c r="Y226" s="84"/>
    </row>
    <row r="227" spans="1:25" ht="15.75" customHeight="1" x14ac:dyDescent="0.2">
      <c r="A227" s="111" t="s">
        <v>363</v>
      </c>
      <c r="E227" s="115"/>
      <c r="F227" s="34">
        <f>PERALTE!X16</f>
        <v>1404.6290990394887</v>
      </c>
      <c r="G227" s="88">
        <f>IF(F227&lt;=AV!$T$6,AV!$C$5,IF(RASANTE!F227&lt;=AV!$T$8,AV!$C$7,IF(RASANTE!F227&lt;=AV!$T$10,AV!$C$9,IF(RASANTE!F227&lt;=AV!$T$12,AV!$C$11,IF(RASANTE!F227&lt;=AV!$T$14,AV!$C$13,IF(RASANTE!F227&lt;=AV!$T$16,AV!$C$15, IF(RASANTE!F227&lt;=AV!$T$18,AV!$C$17,IF(RASANTE!F227&lt;=AV!$T$20,AV!$C$19,IF(RASANTE!F227&lt;=AV!$T$22,AV!$C$21,IF(RASANTE!F227&lt;=AV!$T$24,AV!$C$23,AV!$C$25))))))))))</f>
        <v>2.8</v>
      </c>
      <c r="H227" s="28">
        <f>+IF(AND(AH!$H$8="Izquierda",RASANTE!F227&lt;=PERALTE!$AB$6),IF(RASANTE!F227&lt;=PERALTE!$S$6,-2,IF(RASANTE!F227&lt;=PERALTE!$U$6,(-6/(PERALTE!$U$6-PERALTE!$S$6)*(RASANTE!F227-PERALTE!$S$6)-2),IF(RASANTE!F227&lt;=PERALTE!$X$6,-8,IF(RASANTE!F227&lt;=PERALTE!$Z$6,(-6/(PERALTE!$X$6-PERALTE!$Z$6)*(RASANTE!F227-PERALTE!$Z$6)-2),IF(RASANTE!F227&lt;=PERALTE!$AB$6,-2))))),IF(AND(AH!$H$8="Derecha",RASANTE!F227&lt;=PERALTE!$AB$6),IF(RASANTE!F227&lt;=PERALTE!$Q$6,-2,IF(RASANTE!F227&lt;=PERALTE!$U$6,(10/(PERALTE!$U$6-PERALTE!$Q$6)*(RASANTE!F227-PERALTE!$Q$6)-2),IF(RASANTE!F227&lt;=PERALTE!$X$6,8,IF(RASANTE!F227&lt;=PERALTE!$AB$6,(10/(PERALTE!$X$6-PERALTE!$AB$6)*(RASANTE!F227-PERALTE!$AB$6)-2))))),IF(AND(AH!$H$10="Izquierda",RASANTE!F227&lt;=PERALTE!$AB$8),IF(RASANTE!F227&lt;=PERALTE!$S$8,-2,IF(RASANTE!F227&lt;=PERALTE!$U$8,(-6/(PERALTE!$U$8-PERALTE!$S$8)*(RASANTE!F227-PERALTE!$S$8)-2),IF(RASANTE!F227&lt;=PERALTE!$X$8,-8,IF(RASANTE!F227&lt;=PERALTE!$Z$8,(-6/(PERALTE!$X$8-PERALTE!$Z$8)*(RASANTE!F227-PERALTE!$Z$8)-2),IF(RASANTE!F227&lt;=PERALTE!$AB$8,-2))))),IF(AND(AH!$H$10="Derecha",RASANTE!F227&lt;=PERALTE!$AB$8),IF(RASANTE!F227&lt;=PERALTE!$Q$8,-2,IF(RASANTE!F227&lt;=PERALTE!$U$8,(10/(PERALTE!$U$8-PERALTE!$Q$8)*(RASANTE!F227-PERALTE!$Q$8)-2),IF(RASANTE!F227&lt;=PERALTE!$X$8,8,IF(RASANTE!F227&lt;=PERALTE!$AB$8,(10/(PERALTE!$X$8-PERALTE!$AB$8)*(RASANTE!F227-PERALTE!$AB$8)-2))))),IF(AND(AH!$H$12="Izquierda",RASANTE!F227&lt;=PERALTE!$AB$10),IF(RASANTE!F227&lt;=PERALTE!$S$10,-2,IF(RASANTE!F227&lt;=PERALTE!$U$10,(-6/(PERALTE!$U$10-PERALTE!$S$10)*(RASANTE!F227-PERALTE!$S$10)-2),IF(RASANTE!F227&lt;=PERALTE!$X$10,-8,IF(RASANTE!F227&lt;=PERALTE!$Z$10,(-6/(PERALTE!$X$10-PERALTE!$Z$10)*(RASANTE!F227-PERALTE!$Z$10)-2),IF(RASANTE!F227&lt;=PERALTE!$AB$10,-2))))),IF(AND(AH!$H$12="Derecha",RASANTE!F227&lt;=PERALTE!$AB$10),IF(RASANTE!F227&lt;=PERALTE!$Q$10,-2,IF(RASANTE!F227&lt;=PERALTE!$U$10,(10/(PERALTE!$U$10-PERALTE!$Q$10)*(RASANTE!F227-PERALTE!$Q$10)-2),IF(RASANTE!F227&lt;=PERALTE!$X$10,8,IF(RASANTE!F227&lt;=PERALTE!$AB$10,(10/(PERALTE!$X$10-PERALTE!$AB$10)*(RASANTE!F227-PERALTE!$AB$10)-2))))),IF(AND(AH!$H$14="Izquierda",RASANTE!F227&lt;=PERALTE!$AB$12),IF(RASANTE!F227&lt;=PERALTE!$S$12,-2,IF(RASANTE!F227&lt;=PERALTE!$U$12,(-6/(PERALTE!$U$12-PERALTE!$S$12)*(RASANTE!F227-PERALTE!$S$12)-2),IF(RASANTE!F227&lt;=PERALTE!$X$12,-8,IF(RASANTE!F227&lt;=PERALTE!$Z$12,(-6/(PERALTE!$X$12-PERALTE!$Z$12)*(RASANTE!F227-PERALTE!$Z$12)-2),IF(RASANTE!F227&lt;=PERALTE!$AB$12,-2))))),IF(AND(AH!$H$14="Derecha",RASANTE!F227&lt;=PERALTE!$AB$12),IF(RASANTE!F227&lt;=PERALTE!$Q$12,-2,IF(RASANTE!F227&lt;=PERALTE!$U$12,(10/(PERALTE!$U$12-PERALTE!$Q$12)*(RASANTE!F227-PERALTE!$Q$12)-2),IF(RASANTE!F227&lt;=PERALTE!$X$12,8,IF(RASANTE!F227&lt;=PERALTE!$AB$12,(10/(PERALTE!$X$12-PERALTE!$AB$12)*(RASANTE!F227-PERALTE!$AB$12)-2))))),IF(AND(AH!$H$16="Izquierda",RASANTE!F227&lt;=PERALTE!$AB$14),IF(RASANTE!F227&lt;=PERALTE!$S$14,-2,IF(RASANTE!F227&lt;=PERALTE!$U$14,(-6/(PERALTE!$U$14-PERALTE!$S$14)*(RASANTE!F227-PERALTE!$S$14)-2),IF(RASANTE!F227&lt;=PERALTE!$X$14,-8,IF(RASANTE!F227&lt;=PERALTE!$Z$14,(-6/(PERALTE!$X$14-PERALTE!$Z$14)*(RASANTE!F227-PERALTE!$Z$14)-2),IF(RASANTE!F227&lt;=PERALTE!$AB$14,-2))))),IF(AND(AH!$H$16="Derecha",RASANTE!F227&lt;=PERALTE!$AB$14),IF(RASANTE!F227&lt;=PERALTE!$Q$14,-2,IF(RASANTE!F227&lt;=PERALTE!$U$14,(10/(PERALTE!$U$14-PERALTE!$Q$14)*(RASANTE!F227-PERALTE!$Q$14)-2),IF(RASANTE!F227&lt;=PERALTE!$X$14,8,IF(RASANTE!F227&lt;=PERALTE!$AB$14,(10/(PERALTE!$X$14-PERALTE!$AB$14)*(RASANTE!F227-PERALTE!$AB$14)-2))))),IF(AND(AH!$H$18="Izquierda",RASANTE!F227&lt;=PERALTE!$AB$16),IF(RASANTE!F227&lt;=PERALTE!$S$16,-2,IF(RASANTE!F227&lt;=PERALTE!$U$16,(-6/(PERALTE!$U$16-PERALTE!$S$16)*(RASANTE!F227-PERALTE!$S$16)-2),IF(RASANTE!F227&lt;=PERALTE!$X$16,-8,IF(RASANTE!F227&lt;=PERALTE!$Z$16,(-6/(PERALTE!$X$16-PERALTE!$Z$16)*(RASANTE!F227-PERALTE!$Z$16)-2),IF(RASANTE!F227&lt;=PERALTE!$AB$16,-2))))),IF(AND(AH!$H$18="Derecha",RASANTE!F227&lt;=PERALTE!$AB$16),IF(RASANTE!F227&lt;=PERALTE!$Q$16,-2,IF(RASANTE!F227&lt;=PERALTE!$U$16,(10/(PERALTE!$U$16-PERALTE!$Q$16)*(RASANTE!F227-PERALTE!$Q$16)-2),IF(RASANTE!F227&lt;=PERALTE!$X$16,8,IF(RASANTE!F227&lt;=PERALTE!$AB$16,(10/(PERALTE!$X$16-PERALTE!$AB$16)*(RASANTE!F227-PERALTE!$AB$16)-2))))),IF(AND(AH!$H$20="Izquierda",RASANTE!F227&lt;=PERALTE!$AB$18),IF(RASANTE!F227&lt;=PERALTE!$S$18,-2,IF(RASANTE!F227&lt;=PERALTE!$U$18,(-6/(PERALTE!$U$18-PERALTE!$S$18)*(RASANTE!F227-PERALTE!$S$18)-2),IF(RASANTE!F227&lt;=PERALTE!$X$18,-8,IF(RASANTE!F227&lt;=PERALTE!$Z$18,(-6/(PERALTE!$X$18-PERALTE!$Z$18)*(RASANTE!F227-PERALTE!$Z$18)-2),IF(RASANTE!F227&lt;=PERALTE!$AB$18,-2))))),IF(AND(AH!$H$20="Derecha",RASANTE!F227&lt;=PERALTE!$AB$18),IF(RASANTE!F227&lt;=PERALTE!$Q$18,-2,IF(RASANTE!F227&lt;=PERALTE!$U$18,(10/(PERALTE!$U$18-PERALTE!$Q$18)*(RASANTE!F227-PERALTE!$Q$18)-2),IF(RASANTE!F227&lt;=PERALTE!$X$18,8,IF(RASANTE!F227&lt;=PERALTE!$AB$18,(10/(PERALTE!$X$18-PERALTE!$AB$18)*(RASANTE!F227-PERALTE!$AB$18)-2))))),IF(AND(AH!$H$24="Izquierda",RASANTE!F227&lt;=PERALTE!$AB$22),IF(RASANTE!F227&lt;=PERALTE!$S$22,-2,IF(RASANTE!F227&lt;=PERALTE!$U$22,(-6/(PERALTE!$U$22-PERALTE!$S$22)*(RASANTE!F227-PERALTE!$S$22)-2),IF(RASANTE!F227&lt;=PERALTE!$X$22,-8,IF(RASANTE!F227&lt;=PERALTE!$Z$22,(-6/(PERALTE!$X$22-PERALTE!$Z$22)*(RASANTE!F227-PERALTE!$Z$22)-2),IF(RASANTE!F227&lt;=PERALTE!$AB$22,-2))))),IF(AND(AH!$H$24="Derecha",RASANTE!F227&lt;=PERALTE!$AB$22),IF(RASANTE!F227&lt;=PERALTE!$Q$22,-2,IF(RASANTE!F227&lt;=PERALTE!$U$22,(10/(PERALTE!$U$22-PERALTE!$Q$22)*(RASANTE!F227-PERALTE!$Q$22)-2),IF(RASANTE!F227&lt;=PERALTE!$X$22,8,IF(RASANTE!F227&lt;=PERALTE!$AB$22,(10/(PERALTE!$X$22-PERALTE!$AB$22)*(RASANTE!F227-PERALTE!$AB$22)-2))))),IF(AND(AH!#REF!="Izquierda",RASANTE!F227&lt;=PERALTE!#REF!),IF(RASANTE!F227&lt;=PERALTE!#REF!,-2,IF(RASANTE!F227&lt;=PERALTE!#REF!,(-6/(PERALTE!#REF!-PERALTE!#REF!)*(RASANTE!F227-PERALTE!#REF!)-2),IF(RASANTE!F227&lt;=PERALTE!#REF!,-8,IF(RASANTE!F227&lt;=PERALTE!#REF!,(-6/(PERALTE!#REF!-PERALTE!#REF!)*(RASANTE!F227-PERALTE!#REF!)-2),IF(RASANTE!F227&lt;=PERALTE!#REF!,-2))))),IF(AND(AH!#REF!="Derecha",RASANTE!F227&lt;=PERALTE!#REF!),IF(RASANTE!F227&lt;=PERALTE!#REF!,-2,IF(RASANTE!F227&lt;=PERALTE!#REF!,(10/(PERALTE!#REF!-PERALTE!#REF!)*(RASANTE!F227-PERALTE!#REF!)-2),IF(RASANTE!F227&lt;=PERALTE!#REF!,8,IF(RASANTE!F227&lt;=PERALTE!#REF!,(10/(PERALTE!#REF!-PERALTE!#REF!)*(RASANTE!F227-PERALTE!#REF!)-2))))),IF(AND(AH!#REF!="Izquierda",RASANTE!F227&lt;=PERALTE!$AB$26),IF(RASANTE!F227&lt;=PERALTE!$S$26,-2,IF(RASANTE!F227&lt;=PERALTE!$U$26,(-6/(PERALTE!$U$26-PERALTE!$S$26)*(RASANTE!F227-PERALTE!$S$26)-2),IF(RASANTE!F227&lt;=PERALTE!$X$26,-8,IF(RASANTE!F227&lt;=PERALTE!$Z$26,(-6/(PERALTE!$X$26-PERALTE!$Z$26)*(RASANTE!F227-PERALTE!$Z$26)-2),IF(RASANTE!F227&lt;=PERALTE!$AB$26,-2))))),IF(AND(AH!#REF!="Derecha",RASANTE!F227&lt;=PERALTE!$AB$26),IF(RASANTE!F227&lt;=PERALTE!$Q$26,-2,IF(RASANTE!F227&lt;=PERALTE!$U$26,(10/(PERALTE!$U$26-PERALTE!$Q$26)*(RASANTE!F227-PERALTE!$Q$26)-2),IF(RASANTE!F227&lt;=PERALTE!$X$26,8,IF(RASANTE!F227&lt;=PERALTE!$AB$26,(10/(PERALTE!$X$26-PERALTE!$AB$26)*(RASANTE!F227-PERALTE!$AB$26)-2))))),IF(F227&lt;=PERALTE!#REF!,-2,"Abscisa fuera de la vía")))))))))))))))))))))</f>
        <v>8</v>
      </c>
      <c r="I227" s="28">
        <f>+IF(AND(AH!$H$8="Derecha",RASANTE!F227&lt;=PERALTE!$AB$6),IF(RASANTE!F227&lt;=PERALTE!$S$6,-2,IF(RASANTE!F227&lt;=PERALTE!$U$6,(-6/(PERALTE!$U$6-PERALTE!$S$6)*(RASANTE!F227-PERALTE!$S$6)-2),IF(RASANTE!F227&lt;=PERALTE!$X$6,-8,IF(RASANTE!F227&lt;=PERALTE!$Z$6,(-6/(PERALTE!$X$6-PERALTE!$Z$6)*(RASANTE!F227-PERALTE!$Z$6)-2),IF(RASANTE!F227&lt;=PERALTE!$AB$6,-2))))),IF(AND(AH!$H$8="Izquierda",RASANTE!F227&lt;=PERALTE!$AB$6),IF(RASANTE!F227&lt;=PERALTE!$Q$6,-2,IF(RASANTE!F227&lt;=PERALTE!$U$6,(10/(PERALTE!$U$6-PERALTE!$Q$6)*(RASANTE!F227-PERALTE!$Q$6)-2),IF(RASANTE!F227&lt;=PERALTE!$X$6,8,IF(RASANTE!F227&lt;=PERALTE!$AB$6,(10/(PERALTE!$X$6-PERALTE!$AB$6)*(RASANTE!F227-PERALTE!$AB$6)-2))))),IF(AND(AH!$H$10="Derecha",RASANTE!F227&lt;=PERALTE!$AB$8),IF(RASANTE!F227&lt;=PERALTE!$S$8,-2,IF(RASANTE!F227&lt;=PERALTE!$U$8,(-6/(PERALTE!$U$8-PERALTE!$S$8)*(RASANTE!F227-PERALTE!$S$8)-2),IF(RASANTE!F227&lt;=PERALTE!$X$8,-8,IF(RASANTE!F227&lt;=PERALTE!$Z$8,(-6/(PERALTE!$X$8-PERALTE!$Z$8)*(RASANTE!F227-PERALTE!$Z$8)-2),IF(RASANTE!F227&lt;=PERALTE!$AB$8,-2))))),IF(AND(AH!$H$10="Izquierda",RASANTE!F227&lt;=PERALTE!$AB$8),IF(RASANTE!F227&lt;=PERALTE!$Q$8,-2,IF(RASANTE!F227&lt;=PERALTE!$U$8,(10/(PERALTE!$U$8-PERALTE!$Q$8)*(RASANTE!F227-PERALTE!$Q$8)-2),IF(RASANTE!F227&lt;=PERALTE!$X$8,8,IF(RASANTE!F227&lt;=PERALTE!$AB$8,(10/(PERALTE!$X$8-PERALTE!$AB$8)*(RASANTE!F227-PERALTE!$AB$8)-2))))),IF(AND(AH!$H$12="Derecha",RASANTE!F227&lt;=PERALTE!$AB$10),IF(RASANTE!F227&lt;=PERALTE!$S$10,-2,IF(RASANTE!F227&lt;=PERALTE!$U$10,(-6/(PERALTE!$U$10-PERALTE!$S$10)*(RASANTE!F227-PERALTE!$S$10)-2),IF(RASANTE!F227&lt;=PERALTE!$X$10,-8,IF(RASANTE!F227&lt;=PERALTE!$Z$10,(-6/(PERALTE!$X$10-PERALTE!$Z$10)*(RASANTE!F227-PERALTE!$Z$10)-2),IF(RASANTE!F227&lt;=PERALTE!$AB$10,-2))))),IF(AND(AH!$H$12="Izquierda",RASANTE!F227&lt;=PERALTE!$AB$10),IF(RASANTE!F227&lt;=PERALTE!$Q$10,-2,IF(RASANTE!F227&lt;=PERALTE!$U$10,(10/(PERALTE!$U$10-PERALTE!$Q$10)*(RASANTE!F227-PERALTE!$Q$10)-2),IF(RASANTE!F227&lt;=PERALTE!$X$10,8,IF(RASANTE!F227&lt;=PERALTE!$AB$10,(10/(PERALTE!$X$10-PERALTE!$AB$10)*(RASANTE!F227-PERALTE!$AB$10)-2))))),IF(AND(AH!$H$14="Derecha",RASANTE!F227&lt;=PERALTE!$AB$12),IF(RASANTE!F227&lt;=PERALTE!$S$12,-2,IF(RASANTE!F227&lt;=PERALTE!$U$12,(-6/(PERALTE!$U$12-PERALTE!$S$12)*(RASANTE!F227-PERALTE!$S$12)-2),IF(RASANTE!F227&lt;=PERALTE!$X$12,-8,IF(RASANTE!F227&lt;=PERALTE!$Z$12,(-6/(PERALTE!$X$12-PERALTE!$Z$12)*(RASANTE!F227-PERALTE!$Z$12)-2),IF(RASANTE!F227&lt;=PERALTE!$AB$12,-2))))),IF(AND(AH!$H$14="Izquierda",RASANTE!F227&lt;=PERALTE!$AB$12),IF(RASANTE!F227&lt;=PERALTE!$Q$12,-2,IF(RASANTE!F227&lt;=PERALTE!$U$12,(10/(PERALTE!$U$12-PERALTE!$Q$12)*(RASANTE!F227-PERALTE!$Q$12)-2),IF(RASANTE!F227&lt;=PERALTE!$X$12,8,IF(RASANTE!F227&lt;=PERALTE!$AB$12,(10/(PERALTE!$X$12-PERALTE!$AB$12)*(RASANTE!F227-PERALTE!$AB$12)-2))))),IF(AND(AH!$H$16="Derecha",RASANTE!F227&lt;=PERALTE!$AB$14),IF(RASANTE!F227&lt;=PERALTE!$S$14,-2,IF(RASANTE!F227&lt;=PERALTE!$U$14,(-6/(PERALTE!$U$14-PERALTE!$S$14)*(RASANTE!F227-PERALTE!$S$14)-2),IF(RASANTE!F227&lt;=PERALTE!$X$14,-8,IF(RASANTE!F227&lt;=PERALTE!$Z$14,(-6/(PERALTE!$X$14-PERALTE!$Z$14)*(RASANTE!F227-PERALTE!$Z$14)-2),IF(RASANTE!F227&lt;=PERALTE!$AB$14,-2))))),IF(AND(AH!$H$16="Izquierda",RASANTE!F227&lt;=PERALTE!$AB$14),IF(RASANTE!F227&lt;=PERALTE!$Q$14,-2,IF(RASANTE!F227&lt;=PERALTE!$U$14,(10/(PERALTE!$U$14-PERALTE!$Q$14)*(RASANTE!F227-PERALTE!$Q$14)-2),IF(RASANTE!F227&lt;=PERALTE!$X$14,8,IF(RASANTE!F227&lt;=PERALTE!$AB$14,(10/(PERALTE!$X$14-PERALTE!$AB$14)*(RASANTE!F227-PERALTE!$AB$14)-2))))),IF(AND(AH!$H$18="Derecha",RASANTE!F227&lt;=PERALTE!$AB$16),IF(RASANTE!F227&lt;=PERALTE!$S$16,-2,IF(RASANTE!F227&lt;=PERALTE!$U$16,(-6/(PERALTE!$U$16-PERALTE!$S$16)*(RASANTE!F227-PERALTE!$S$16)-2),IF(RASANTE!F227&lt;=PERALTE!$X$16,-8,IF(RASANTE!F227&lt;=PERALTE!$Z$16,(-6/(PERALTE!$X$16-PERALTE!$Z$16)*(RASANTE!F227-PERALTE!$Z$16)-2),IF(RASANTE!F227&lt;=PERALTE!$AB$16,-2))))),IF(AND(AH!$H$18="Izquierda",RASANTE!F227&lt;=PERALTE!$AB$16),IF(RASANTE!F227&lt;=PERALTE!$Q$16,-2,IF(RASANTE!F227&lt;=PERALTE!$U$16,(10/(PERALTE!$U$16-PERALTE!$Q$16)*(RASANTE!F227-PERALTE!$Q$16)-2),IF(RASANTE!F227&lt;=PERALTE!$X$16,8,IF(RASANTE!F227&lt;=PERALTE!$AB$16,(10/(PERALTE!$X$16-PERALTE!$AB$16)*(RASANTE!F227-PERALTE!$AB$16)-2))))),IF(AND(AH!$H$20="Derecha",RASANTE!F227&lt;=PERALTE!$AB$18),IF(RASANTE!F227&lt;=PERALTE!$S$18,-2,IF(RASANTE!F227&lt;=PERALTE!$U$18,(-6/(PERALTE!$U$18-PERALTE!$S$18)*(RASANTE!F227-PERALTE!$S$18)-2),IF(RASANTE!F227&lt;=PERALTE!$X$18,-8,IF(RASANTE!F227&lt;=PERALTE!$Z$18,(-6/(PERALTE!$X$18-PERALTE!$Z$18)*(RASANTE!F227-PERALTE!$Z$18)-2),IF(RASANTE!F227&lt;=PERALTE!$AB$18,-2))))),IF(AND(AH!$H$20="Izquierda",RASANTE!F227&lt;=PERALTE!$AB$18),IF(RASANTE!F227&lt;=PERALTE!$Q$18,-2,IF(RASANTE!F227&lt;=PERALTE!$U$18,(10/(PERALTE!$U$18-PERALTE!$Q$18)*(RASANTE!F227-PERALTE!$Q$18)-2),IF(RASANTE!F227&lt;=PERALTE!$X$18,8,IF(RASANTE!F227&lt;=PERALTE!$AB$18,(10/(PERALTE!$X$18-PERALTE!$AB$18)*(RASANTE!F227-PERALTE!$AB$18)-2))))),IF(AND(AH!$H$24="Derecha",RASANTE!F227&lt;=PERALTE!$AB$22),IF(RASANTE!F227&lt;=PERALTE!$S$22,-2,IF(RASANTE!F227&lt;=PERALTE!$U$22,(-6/(PERALTE!$U$22-PERALTE!$S$22)*(RASANTE!F227-PERALTE!$S$22)-2),IF(RASANTE!F227&lt;=PERALTE!$X$22,-8,IF(RASANTE!F227&lt;=PERALTE!$Z$22,(-6/(PERALTE!$X$22-PERALTE!$Z$22)*(RASANTE!F227-PERALTE!$Z$22)-2),IF(RASANTE!F227&lt;=PERALTE!$AB$22,-2))))),IF(AND(AH!$H$24="Izquierda",RASANTE!F227&lt;=PERALTE!$AB$22),IF(RASANTE!F227&lt;=PERALTE!$Q$22,-2,IF(RASANTE!F227&lt;=PERALTE!$U$22,(10/(PERALTE!$U$22-PERALTE!$Q$22)*(RASANTE!F227-PERALTE!$Q$22)-2),IF(RASANTE!F227&lt;=PERALTE!$X$22,8,IF(RASANTE!F227&lt;=PERALTE!$AB$22,(10/(PERALTE!$X$22-PERALTE!$AB$22)*(RASANTE!F227-PERALTE!$AB$22)-2))))),IF(AND(AH!#REF!="Derecha",RASANTE!F227&lt;=PERALTE!#REF!),IF(RASANTE!F227&lt;=PERALTE!#REF!,-2,IF(RASANTE!F227&lt;=PERALTE!#REF!,(-6/(PERALTE!#REF!-PERALTE!#REF!)*(RASANTE!F227-PERALTE!#REF!)-2),IF(RASANTE!F227&lt;=PERALTE!#REF!,-8,IF(RASANTE!F227&lt;=PERALTE!#REF!,(-6/(PERALTE!#REF!-PERALTE!#REF!)*(RASANTE!F227-PERALTE!#REF!)-2),IF(RASANTE!F227&lt;=PERALTE!#REF!,-2))))),IF(AND(AH!#REF!="Izquierda",RASANTE!F227&lt;=PERALTE!#REF!),IF(RASANTE!F227&lt;=PERALTE!#REF!,-2,IF(RASANTE!F227&lt;=PERALTE!#REF!,(10/(PERALTE!#REF!-PERALTE!#REF!)*(RASANTE!F227-PERALTE!#REF!)-2),IF(RASANTE!F227&lt;=PERALTE!#REF!,8,IF(RASANTE!F227&lt;=PERALTE!#REF!,(10/(PERALTE!#REF!-PERALTE!#REF!)*(RASANTE!F227-PERALTE!#REF!)-2))))),IF(AND(AH!#REF!="Derecha",RASANTE!F227&lt;=PERALTE!$AB$26),IF(RASANTE!F227&lt;=PERALTE!$S$26,-2,IF(RASANTE!F227&lt;=PERALTE!$U$26,(-6/(PERALTE!$U$26-PERALTE!$S$26)*(RASANTE!F227-PERALTE!$S$26)-2),IF(RASANTE!F227&lt;=PERALTE!$X$26,-8,IF(RASANTE!F227&lt;=PERALTE!$Z$26,(-6/(PERALTE!$X$26-PERALTE!$Z$26)*(RASANTE!F227-PERALTE!$Z$26)-2),IF(RASANTE!F227&lt;=PERALTE!$AB$26,-2))))),IF(AND(AH!#REF!="Izquierda",RASANTE!F227&lt;=PERALTE!$AB$26),IF(RASANTE!F227&lt;=PERALTE!$Q$26,-2,IF(RASANTE!F227&lt;=PERALTE!$U$26,(10/(PERALTE!$U$26-PERALTE!$Q$26)*(RASANTE!F227-PERALTE!$Q$26)-2),IF(RASANTE!F227&lt;=PERALTE!$X$26,8,IF(RASANTE!F227&lt;=PERALTE!$AB$26,(10/(PERALTE!$X$26-PERALTE!$AB$26)*(RASANTE!F227-PERALTE!$AB$26)-2))))),IF(F227&lt;=PERALTE!#REF!,-2,"Abscisa fuera de la vía")))))))))))))))))))))</f>
        <v>-8</v>
      </c>
      <c r="J227" s="28">
        <f t="shared" si="11"/>
        <v>1630.6825432380037</v>
      </c>
      <c r="K227" s="28">
        <f>+IF(AND(AV!$S$6&lt;F227,F227&lt;=AV!$T$6),AV!$P$6*((AV!$S$6-RASANTE!F227)/(AV!$N$6))^2,IF(AND(AV!$T$6&lt;RASANTE!F227,F227&lt;AV!$U$6),AV!$P$6*((AV!$U$6-RASANTE!F227)/(AV!$O$6))^2,IF(AND(AV!$S$8&lt;F227,F227&lt;=AV!$T$8),AV!$P$8*((AV!$S$8-RASANTE!F227)/(AV!$N$8))^2,IF(AND(AV!$T$8&lt;RASANTE!F227,F227&lt;AV!$U$8),AV!$P$8*((AV!$U$8-RASANTE!F227)/(AV!$O$8))^2,IF(AND(AV!$S$10&lt;F227,F227&lt;=AV!$T$10),AV!$P$10*((AV!$S$10-RASANTE!F227)/(AV!$N$10))^2,IF(AND(AV!$T$10&lt;RASANTE!F227,F227&lt;AV!$U$10),AV!$P$10*((AV!$U$10-RASANTE!F227)/(AV!$O$10))^2,IF(AND(AV!$S$12&lt;F227,F227&lt;=AV!$T$12),AV!$P$12*((AV!$S$12-RASANTE!F227)/(AV!$N$12))^2,IF(AND(AV!$T$12&lt;RASANTE!F227,F227&lt;AV!$U$12),AV!$P$12*((AV!$U$12-RASANTE!F227)/(AV!$O$12))^2,IF(AND(AV!$S$14&lt;F227,F227&lt;=AV!$T$14),AV!$P$14*((AV!$S$14-RASANTE!F227)/(AV!$N$14))^2,IF(AND(AV!$T$14&lt;RASANTE!F227,F227&lt;AV!$U$14),AV!$P$14*((AV!$U$14-RASANTE!F227)/(AV!$O$14))^2,IF(AND(AV!$S$16&lt;F227,F227&lt;=AV!$T$16),AV!$P$16*((AV!$S$16-RASANTE!F227)/(AV!$N$16))^2,IF(AND(AV!$T$16&lt;RASANTE!F227,F227&lt;AV!$U$16),AV!$P$16*((AV!$U$16-RASANTE!F227)/(AV!$O$16))^2,IF(AND(AV!$S$18&lt;F227,F227&lt;=AV!$T$18),AV!$P$18*((AV!$S$18-RASANTE!F227)/(AV!$N$18))^2,IF(AND(AV!$T$18&lt;RASANTE!F227,F227&lt;AV!$U$18),AV!$P$18*((AV!$U$18-RASANTE!F227)/(AV!$O$18))^2,IF(AND(AV!$S$20&lt;F227,F227&lt;=AV!$T$20),AV!$P$20*((AV!$S$20-RASANTE!F227)/(AV!$N$20))^2,IF(AND(AV!$T$20&lt;RASANTE!F227,F227&lt;AV!$U$20),AV!$P$20*((AV!$U$20-RASANTE!F227)/(AV!$O$20))^2,IF(AND(AV!$S$22&lt;F227,F227&lt;=AV!$T$22),AV!$P$22*((AV!$S$22-RASANTE!F227)/(AV!$N$22))^2,IF(AND(AV!$T$22&lt;RASANTE!F227,F227&lt;AV!$U$22),AV!$P$22*((AV!$U$22-RASANTE!F227)/(AV!$O$22))^2,IF(AND(AV!$S$24&lt;F227,F227&lt;=AV!$T$24),AV!$P$24*((AV!$S$24-RASANTE!F227)/(AV!$N$24))^2,IF(AND(AV!$T$24&lt;RASANTE!F227,F227&lt;AV!$U$24),AV!$P$24*((AV!$U$24-RASANTE!F227)/(AV!$O$24))^2,0))))))))))))))))))))</f>
        <v>0</v>
      </c>
      <c r="L227" s="28">
        <f>+M227+H227%*PERALTE!$C$32</f>
        <v>1630.9625432380037</v>
      </c>
      <c r="M227" s="28">
        <f t="shared" si="7"/>
        <v>1630.6825432380037</v>
      </c>
      <c r="N227" s="28">
        <f>+M227+I227%*PERALTE!$C$32</f>
        <v>1630.4025432380038</v>
      </c>
      <c r="O227" s="92"/>
      <c r="P227" s="84"/>
      <c r="Q227" s="84"/>
      <c r="R227" s="84"/>
      <c r="S227" s="84"/>
      <c r="T227" s="84"/>
      <c r="U227" s="84"/>
      <c r="V227" s="84"/>
      <c r="W227" s="84"/>
      <c r="X227" s="84"/>
      <c r="Y227" s="84"/>
    </row>
    <row r="228" spans="1:25" ht="15.75" customHeight="1" x14ac:dyDescent="0.2">
      <c r="A228" s="109" t="s">
        <v>227</v>
      </c>
      <c r="E228" s="115"/>
      <c r="F228" s="34">
        <f>PERALTE!W16</f>
        <v>1404.6290990394889</v>
      </c>
      <c r="G228" s="88">
        <f>IF(F228&lt;=AV!$T$6,AV!$C$5,IF(RASANTE!F228&lt;=AV!$T$8,AV!$C$7,IF(RASANTE!F228&lt;=AV!$T$10,AV!$C$9,IF(RASANTE!F228&lt;=AV!$T$12,AV!$C$11,IF(RASANTE!F228&lt;=AV!$T$14,AV!$C$13,IF(RASANTE!F228&lt;=AV!$T$16,AV!$C$15, IF(RASANTE!F228&lt;=AV!$T$18,AV!$C$17,IF(RASANTE!F228&lt;=AV!$T$20,AV!$C$19,IF(RASANTE!F228&lt;=AV!$T$22,AV!$C$21,IF(RASANTE!F228&lt;=AV!$T$24,AV!$C$23,AV!$C$25))))))))))</f>
        <v>2.8</v>
      </c>
      <c r="H228" s="28">
        <f>+IF(AND(AH!$H$8="Izquierda",RASANTE!F228&lt;=PERALTE!$AB$6),IF(RASANTE!F228&lt;=PERALTE!$S$6,-2,IF(RASANTE!F228&lt;=PERALTE!$U$6,(-6/(PERALTE!$U$6-PERALTE!$S$6)*(RASANTE!F228-PERALTE!$S$6)-2),IF(RASANTE!F228&lt;=PERALTE!$X$6,-8,IF(RASANTE!F228&lt;=PERALTE!$Z$6,(-6/(PERALTE!$X$6-PERALTE!$Z$6)*(RASANTE!F228-PERALTE!$Z$6)-2),IF(RASANTE!F228&lt;=PERALTE!$AB$6,-2))))),IF(AND(AH!$H$8="Derecha",RASANTE!F228&lt;=PERALTE!$AB$6),IF(RASANTE!F228&lt;=PERALTE!$Q$6,-2,IF(RASANTE!F228&lt;=PERALTE!$U$6,(10/(PERALTE!$U$6-PERALTE!$Q$6)*(RASANTE!F228-PERALTE!$Q$6)-2),IF(RASANTE!F228&lt;=PERALTE!$X$6,8,IF(RASANTE!F228&lt;=PERALTE!$AB$6,(10/(PERALTE!$X$6-PERALTE!$AB$6)*(RASANTE!F228-PERALTE!$AB$6)-2))))),IF(AND(AH!$H$10="Izquierda",RASANTE!F228&lt;=PERALTE!$AB$8),IF(RASANTE!F228&lt;=PERALTE!$S$8,-2,IF(RASANTE!F228&lt;=PERALTE!$U$8,(-6/(PERALTE!$U$8-PERALTE!$S$8)*(RASANTE!F228-PERALTE!$S$8)-2),IF(RASANTE!F228&lt;=PERALTE!$X$8,-8,IF(RASANTE!F228&lt;=PERALTE!$Z$8,(-6/(PERALTE!$X$8-PERALTE!$Z$8)*(RASANTE!F228-PERALTE!$Z$8)-2),IF(RASANTE!F228&lt;=PERALTE!$AB$8,-2))))),IF(AND(AH!$H$10="Derecha",RASANTE!F228&lt;=PERALTE!$AB$8),IF(RASANTE!F228&lt;=PERALTE!$Q$8,-2,IF(RASANTE!F228&lt;=PERALTE!$U$8,(10/(PERALTE!$U$8-PERALTE!$Q$8)*(RASANTE!F228-PERALTE!$Q$8)-2),IF(RASANTE!F228&lt;=PERALTE!$X$8,8,IF(RASANTE!F228&lt;=PERALTE!$AB$8,(10/(PERALTE!$X$8-PERALTE!$AB$8)*(RASANTE!F228-PERALTE!$AB$8)-2))))),IF(AND(AH!$H$12="Izquierda",RASANTE!F228&lt;=PERALTE!$AB$10),IF(RASANTE!F228&lt;=PERALTE!$S$10,-2,IF(RASANTE!F228&lt;=PERALTE!$U$10,(-6/(PERALTE!$U$10-PERALTE!$S$10)*(RASANTE!F228-PERALTE!$S$10)-2),IF(RASANTE!F228&lt;=PERALTE!$X$10,-8,IF(RASANTE!F228&lt;=PERALTE!$Z$10,(-6/(PERALTE!$X$10-PERALTE!$Z$10)*(RASANTE!F228-PERALTE!$Z$10)-2),IF(RASANTE!F228&lt;=PERALTE!$AB$10,-2))))),IF(AND(AH!$H$12="Derecha",RASANTE!F228&lt;=PERALTE!$AB$10),IF(RASANTE!F228&lt;=PERALTE!$Q$10,-2,IF(RASANTE!F228&lt;=PERALTE!$U$10,(10/(PERALTE!$U$10-PERALTE!$Q$10)*(RASANTE!F228-PERALTE!$Q$10)-2),IF(RASANTE!F228&lt;=PERALTE!$X$10,8,IF(RASANTE!F228&lt;=PERALTE!$AB$10,(10/(PERALTE!$X$10-PERALTE!$AB$10)*(RASANTE!F228-PERALTE!$AB$10)-2))))),IF(AND(AH!$H$14="Izquierda",RASANTE!F228&lt;=PERALTE!$AB$12),IF(RASANTE!F228&lt;=PERALTE!$S$12,-2,IF(RASANTE!F228&lt;=PERALTE!$U$12,(-6/(PERALTE!$U$12-PERALTE!$S$12)*(RASANTE!F228-PERALTE!$S$12)-2),IF(RASANTE!F228&lt;=PERALTE!$X$12,-8,IF(RASANTE!F228&lt;=PERALTE!$Z$12,(-6/(PERALTE!$X$12-PERALTE!$Z$12)*(RASANTE!F228-PERALTE!$Z$12)-2),IF(RASANTE!F228&lt;=PERALTE!$AB$12,-2))))),IF(AND(AH!$H$14="Derecha",RASANTE!F228&lt;=PERALTE!$AB$12),IF(RASANTE!F228&lt;=PERALTE!$Q$12,-2,IF(RASANTE!F228&lt;=PERALTE!$U$12,(10/(PERALTE!$U$12-PERALTE!$Q$12)*(RASANTE!F228-PERALTE!$Q$12)-2),IF(RASANTE!F228&lt;=PERALTE!$X$12,8,IF(RASANTE!F228&lt;=PERALTE!$AB$12,(10/(PERALTE!$X$12-PERALTE!$AB$12)*(RASANTE!F228-PERALTE!$AB$12)-2))))),IF(AND(AH!$H$16="Izquierda",RASANTE!F228&lt;=PERALTE!$AB$14),IF(RASANTE!F228&lt;=PERALTE!$S$14,-2,IF(RASANTE!F228&lt;=PERALTE!$U$14,(-6/(PERALTE!$U$14-PERALTE!$S$14)*(RASANTE!F228-PERALTE!$S$14)-2),IF(RASANTE!F228&lt;=PERALTE!$X$14,-8,IF(RASANTE!F228&lt;=PERALTE!$Z$14,(-6/(PERALTE!$X$14-PERALTE!$Z$14)*(RASANTE!F228-PERALTE!$Z$14)-2),IF(RASANTE!F228&lt;=PERALTE!$AB$14,-2))))),IF(AND(AH!$H$16="Derecha",RASANTE!F228&lt;=PERALTE!$AB$14),IF(RASANTE!F228&lt;=PERALTE!$Q$14,-2,IF(RASANTE!F228&lt;=PERALTE!$U$14,(10/(PERALTE!$U$14-PERALTE!$Q$14)*(RASANTE!F228-PERALTE!$Q$14)-2),IF(RASANTE!F228&lt;=PERALTE!$X$14,8,IF(RASANTE!F228&lt;=PERALTE!$AB$14,(10/(PERALTE!$X$14-PERALTE!$AB$14)*(RASANTE!F228-PERALTE!$AB$14)-2))))),IF(AND(AH!$H$18="Izquierda",RASANTE!F228&lt;=PERALTE!$AB$16),IF(RASANTE!F228&lt;=PERALTE!$S$16,-2,IF(RASANTE!F228&lt;=PERALTE!$U$16,(-6/(PERALTE!$U$16-PERALTE!$S$16)*(RASANTE!F228-PERALTE!$S$16)-2),IF(RASANTE!F228&lt;=PERALTE!$X$16,-8,IF(RASANTE!F228&lt;=PERALTE!$Z$16,(-6/(PERALTE!$X$16-PERALTE!$Z$16)*(RASANTE!F228-PERALTE!$Z$16)-2),IF(RASANTE!F228&lt;=PERALTE!$AB$16,-2))))),IF(AND(AH!$H$18="Derecha",RASANTE!F228&lt;=PERALTE!$AB$16),IF(RASANTE!F228&lt;=PERALTE!$Q$16,-2,IF(RASANTE!F228&lt;=PERALTE!$U$16,(10/(PERALTE!$U$16-PERALTE!$Q$16)*(RASANTE!F228-PERALTE!$Q$16)-2),IF(RASANTE!F228&lt;=PERALTE!$X$16,8,IF(RASANTE!F228&lt;=PERALTE!$AB$16,(10/(PERALTE!$X$16-PERALTE!$AB$16)*(RASANTE!F228-PERALTE!$AB$16)-2))))),IF(AND(AH!$H$20="Izquierda",RASANTE!F228&lt;=PERALTE!$AB$18),IF(RASANTE!F228&lt;=PERALTE!$S$18,-2,IF(RASANTE!F228&lt;=PERALTE!$U$18,(-6/(PERALTE!$U$18-PERALTE!$S$18)*(RASANTE!F228-PERALTE!$S$18)-2),IF(RASANTE!F228&lt;=PERALTE!$X$18,-8,IF(RASANTE!F228&lt;=PERALTE!$Z$18,(-6/(PERALTE!$X$18-PERALTE!$Z$18)*(RASANTE!F228-PERALTE!$Z$18)-2),IF(RASANTE!F228&lt;=PERALTE!$AB$18,-2))))),IF(AND(AH!$H$20="Derecha",RASANTE!F228&lt;=PERALTE!$AB$18),IF(RASANTE!F228&lt;=PERALTE!$Q$18,-2,IF(RASANTE!F228&lt;=PERALTE!$U$18,(10/(PERALTE!$U$18-PERALTE!$Q$18)*(RASANTE!F228-PERALTE!$Q$18)-2),IF(RASANTE!F228&lt;=PERALTE!$X$18,8,IF(RASANTE!F228&lt;=PERALTE!$AB$18,(10/(PERALTE!$X$18-PERALTE!$AB$18)*(RASANTE!F228-PERALTE!$AB$18)-2))))),IF(AND(AH!$H$24="Izquierda",RASANTE!F228&lt;=PERALTE!$AB$22),IF(RASANTE!F228&lt;=PERALTE!$S$22,-2,IF(RASANTE!F228&lt;=PERALTE!$U$22,(-6/(PERALTE!$U$22-PERALTE!$S$22)*(RASANTE!F228-PERALTE!$S$22)-2),IF(RASANTE!F228&lt;=PERALTE!$X$22,-8,IF(RASANTE!F228&lt;=PERALTE!$Z$22,(-6/(PERALTE!$X$22-PERALTE!$Z$22)*(RASANTE!F228-PERALTE!$Z$22)-2),IF(RASANTE!F228&lt;=PERALTE!$AB$22,-2))))),IF(AND(AH!$H$24="Derecha",RASANTE!F228&lt;=PERALTE!$AB$22),IF(RASANTE!F228&lt;=PERALTE!$Q$22,-2,IF(RASANTE!F228&lt;=PERALTE!$U$22,(10/(PERALTE!$U$22-PERALTE!$Q$22)*(RASANTE!F228-PERALTE!$Q$22)-2),IF(RASANTE!F228&lt;=PERALTE!$X$22,8,IF(RASANTE!F228&lt;=PERALTE!$AB$22,(10/(PERALTE!$X$22-PERALTE!$AB$22)*(RASANTE!F228-PERALTE!$AB$22)-2))))),IF(AND(AH!#REF!="Izquierda",RASANTE!F228&lt;=PERALTE!#REF!),IF(RASANTE!F228&lt;=PERALTE!#REF!,-2,IF(RASANTE!F228&lt;=PERALTE!#REF!,(-6/(PERALTE!#REF!-PERALTE!#REF!)*(RASANTE!F228-PERALTE!#REF!)-2),IF(RASANTE!F228&lt;=PERALTE!#REF!,-8,IF(RASANTE!F228&lt;=PERALTE!#REF!,(-6/(PERALTE!#REF!-PERALTE!#REF!)*(RASANTE!F228-PERALTE!#REF!)-2),IF(RASANTE!F228&lt;=PERALTE!#REF!,-2))))),IF(AND(AH!#REF!="Derecha",RASANTE!F228&lt;=PERALTE!#REF!),IF(RASANTE!F228&lt;=PERALTE!#REF!,-2,IF(RASANTE!F228&lt;=PERALTE!#REF!,(10/(PERALTE!#REF!-PERALTE!#REF!)*(RASANTE!F228-PERALTE!#REF!)-2),IF(RASANTE!F228&lt;=PERALTE!#REF!,8,IF(RASANTE!F228&lt;=PERALTE!#REF!,(10/(PERALTE!#REF!-PERALTE!#REF!)*(RASANTE!F228-PERALTE!#REF!)-2))))),IF(AND(AH!#REF!="Izquierda",RASANTE!F228&lt;=PERALTE!$AB$26),IF(RASANTE!F228&lt;=PERALTE!$S$26,-2,IF(RASANTE!F228&lt;=PERALTE!$U$26,(-6/(PERALTE!$U$26-PERALTE!$S$26)*(RASANTE!F228-PERALTE!$S$26)-2),IF(RASANTE!F228&lt;=PERALTE!$X$26,-8,IF(RASANTE!F228&lt;=PERALTE!$Z$26,(-6/(PERALTE!$X$26-PERALTE!$Z$26)*(RASANTE!F228-PERALTE!$Z$26)-2),IF(RASANTE!F228&lt;=PERALTE!$AB$26,-2))))),IF(AND(AH!#REF!="Derecha",RASANTE!F228&lt;=PERALTE!$AB$26),IF(RASANTE!F228&lt;=PERALTE!$Q$26,-2,IF(RASANTE!F228&lt;=PERALTE!$U$26,(10/(PERALTE!$U$26-PERALTE!$Q$26)*(RASANTE!F228-PERALTE!$Q$26)-2),IF(RASANTE!F228&lt;=PERALTE!$X$26,8,IF(RASANTE!F228&lt;=PERALTE!$AB$26,(10/(PERALTE!$X$26-PERALTE!$AB$26)*(RASANTE!F228-PERALTE!$AB$26)-2))))),IF(F228&lt;=PERALTE!#REF!,-2,"Abscisa fuera de la vía")))))))))))))))))))))</f>
        <v>8</v>
      </c>
      <c r="I228" s="28">
        <f>+IF(AND(AH!$H$8="Derecha",RASANTE!F228&lt;=PERALTE!$AB$6),IF(RASANTE!F228&lt;=PERALTE!$S$6,-2,IF(RASANTE!F228&lt;=PERALTE!$U$6,(-6/(PERALTE!$U$6-PERALTE!$S$6)*(RASANTE!F228-PERALTE!$S$6)-2),IF(RASANTE!F228&lt;=PERALTE!$X$6,-8,IF(RASANTE!F228&lt;=PERALTE!$Z$6,(-6/(PERALTE!$X$6-PERALTE!$Z$6)*(RASANTE!F228-PERALTE!$Z$6)-2),IF(RASANTE!F228&lt;=PERALTE!$AB$6,-2))))),IF(AND(AH!$H$8="Izquierda",RASANTE!F228&lt;=PERALTE!$AB$6),IF(RASANTE!F228&lt;=PERALTE!$Q$6,-2,IF(RASANTE!F228&lt;=PERALTE!$U$6,(10/(PERALTE!$U$6-PERALTE!$Q$6)*(RASANTE!F228-PERALTE!$Q$6)-2),IF(RASANTE!F228&lt;=PERALTE!$X$6,8,IF(RASANTE!F228&lt;=PERALTE!$AB$6,(10/(PERALTE!$X$6-PERALTE!$AB$6)*(RASANTE!F228-PERALTE!$AB$6)-2))))),IF(AND(AH!$H$10="Derecha",RASANTE!F228&lt;=PERALTE!$AB$8),IF(RASANTE!F228&lt;=PERALTE!$S$8,-2,IF(RASANTE!F228&lt;=PERALTE!$U$8,(-6/(PERALTE!$U$8-PERALTE!$S$8)*(RASANTE!F228-PERALTE!$S$8)-2),IF(RASANTE!F228&lt;=PERALTE!$X$8,-8,IF(RASANTE!F228&lt;=PERALTE!$Z$8,(-6/(PERALTE!$X$8-PERALTE!$Z$8)*(RASANTE!F228-PERALTE!$Z$8)-2),IF(RASANTE!F228&lt;=PERALTE!$AB$8,-2))))),IF(AND(AH!$H$10="Izquierda",RASANTE!F228&lt;=PERALTE!$AB$8),IF(RASANTE!F228&lt;=PERALTE!$Q$8,-2,IF(RASANTE!F228&lt;=PERALTE!$U$8,(10/(PERALTE!$U$8-PERALTE!$Q$8)*(RASANTE!F228-PERALTE!$Q$8)-2),IF(RASANTE!F228&lt;=PERALTE!$X$8,8,IF(RASANTE!F228&lt;=PERALTE!$AB$8,(10/(PERALTE!$X$8-PERALTE!$AB$8)*(RASANTE!F228-PERALTE!$AB$8)-2))))),IF(AND(AH!$H$12="Derecha",RASANTE!F228&lt;=PERALTE!$AB$10),IF(RASANTE!F228&lt;=PERALTE!$S$10,-2,IF(RASANTE!F228&lt;=PERALTE!$U$10,(-6/(PERALTE!$U$10-PERALTE!$S$10)*(RASANTE!F228-PERALTE!$S$10)-2),IF(RASANTE!F228&lt;=PERALTE!$X$10,-8,IF(RASANTE!F228&lt;=PERALTE!$Z$10,(-6/(PERALTE!$X$10-PERALTE!$Z$10)*(RASANTE!F228-PERALTE!$Z$10)-2),IF(RASANTE!F228&lt;=PERALTE!$AB$10,-2))))),IF(AND(AH!$H$12="Izquierda",RASANTE!F228&lt;=PERALTE!$AB$10),IF(RASANTE!F228&lt;=PERALTE!$Q$10,-2,IF(RASANTE!F228&lt;=PERALTE!$U$10,(10/(PERALTE!$U$10-PERALTE!$Q$10)*(RASANTE!F228-PERALTE!$Q$10)-2),IF(RASANTE!F228&lt;=PERALTE!$X$10,8,IF(RASANTE!F228&lt;=PERALTE!$AB$10,(10/(PERALTE!$X$10-PERALTE!$AB$10)*(RASANTE!F228-PERALTE!$AB$10)-2))))),IF(AND(AH!$H$14="Derecha",RASANTE!F228&lt;=PERALTE!$AB$12),IF(RASANTE!F228&lt;=PERALTE!$S$12,-2,IF(RASANTE!F228&lt;=PERALTE!$U$12,(-6/(PERALTE!$U$12-PERALTE!$S$12)*(RASANTE!F228-PERALTE!$S$12)-2),IF(RASANTE!F228&lt;=PERALTE!$X$12,-8,IF(RASANTE!F228&lt;=PERALTE!$Z$12,(-6/(PERALTE!$X$12-PERALTE!$Z$12)*(RASANTE!F228-PERALTE!$Z$12)-2),IF(RASANTE!F228&lt;=PERALTE!$AB$12,-2))))),IF(AND(AH!$H$14="Izquierda",RASANTE!F228&lt;=PERALTE!$AB$12),IF(RASANTE!F228&lt;=PERALTE!$Q$12,-2,IF(RASANTE!F228&lt;=PERALTE!$U$12,(10/(PERALTE!$U$12-PERALTE!$Q$12)*(RASANTE!F228-PERALTE!$Q$12)-2),IF(RASANTE!F228&lt;=PERALTE!$X$12,8,IF(RASANTE!F228&lt;=PERALTE!$AB$12,(10/(PERALTE!$X$12-PERALTE!$AB$12)*(RASANTE!F228-PERALTE!$AB$12)-2))))),IF(AND(AH!$H$16="Derecha",RASANTE!F228&lt;=PERALTE!$AB$14),IF(RASANTE!F228&lt;=PERALTE!$S$14,-2,IF(RASANTE!F228&lt;=PERALTE!$U$14,(-6/(PERALTE!$U$14-PERALTE!$S$14)*(RASANTE!F228-PERALTE!$S$14)-2),IF(RASANTE!F228&lt;=PERALTE!$X$14,-8,IF(RASANTE!F228&lt;=PERALTE!$Z$14,(-6/(PERALTE!$X$14-PERALTE!$Z$14)*(RASANTE!F228-PERALTE!$Z$14)-2),IF(RASANTE!F228&lt;=PERALTE!$AB$14,-2))))),IF(AND(AH!$H$16="Izquierda",RASANTE!F228&lt;=PERALTE!$AB$14),IF(RASANTE!F228&lt;=PERALTE!$Q$14,-2,IF(RASANTE!F228&lt;=PERALTE!$U$14,(10/(PERALTE!$U$14-PERALTE!$Q$14)*(RASANTE!F228-PERALTE!$Q$14)-2),IF(RASANTE!F228&lt;=PERALTE!$X$14,8,IF(RASANTE!F228&lt;=PERALTE!$AB$14,(10/(PERALTE!$X$14-PERALTE!$AB$14)*(RASANTE!F228-PERALTE!$AB$14)-2))))),IF(AND(AH!$H$18="Derecha",RASANTE!F228&lt;=PERALTE!$AB$16),IF(RASANTE!F228&lt;=PERALTE!$S$16,-2,IF(RASANTE!F228&lt;=PERALTE!$U$16,(-6/(PERALTE!$U$16-PERALTE!$S$16)*(RASANTE!F228-PERALTE!$S$16)-2),IF(RASANTE!F228&lt;=PERALTE!$X$16,-8,IF(RASANTE!F228&lt;=PERALTE!$Z$16,(-6/(PERALTE!$X$16-PERALTE!$Z$16)*(RASANTE!F228-PERALTE!$Z$16)-2),IF(RASANTE!F228&lt;=PERALTE!$AB$16,-2))))),IF(AND(AH!$H$18="Izquierda",RASANTE!F228&lt;=PERALTE!$AB$16),IF(RASANTE!F228&lt;=PERALTE!$Q$16,-2,IF(RASANTE!F228&lt;=PERALTE!$U$16,(10/(PERALTE!$U$16-PERALTE!$Q$16)*(RASANTE!F228-PERALTE!$Q$16)-2),IF(RASANTE!F228&lt;=PERALTE!$X$16,8,IF(RASANTE!F228&lt;=PERALTE!$AB$16,(10/(PERALTE!$X$16-PERALTE!$AB$16)*(RASANTE!F228-PERALTE!$AB$16)-2))))),IF(AND(AH!$H$20="Derecha",RASANTE!F228&lt;=PERALTE!$AB$18),IF(RASANTE!F228&lt;=PERALTE!$S$18,-2,IF(RASANTE!F228&lt;=PERALTE!$U$18,(-6/(PERALTE!$U$18-PERALTE!$S$18)*(RASANTE!F228-PERALTE!$S$18)-2),IF(RASANTE!F228&lt;=PERALTE!$X$18,-8,IF(RASANTE!F228&lt;=PERALTE!$Z$18,(-6/(PERALTE!$X$18-PERALTE!$Z$18)*(RASANTE!F228-PERALTE!$Z$18)-2),IF(RASANTE!F228&lt;=PERALTE!$AB$18,-2))))),IF(AND(AH!$H$20="Izquierda",RASANTE!F228&lt;=PERALTE!$AB$18),IF(RASANTE!F228&lt;=PERALTE!$Q$18,-2,IF(RASANTE!F228&lt;=PERALTE!$U$18,(10/(PERALTE!$U$18-PERALTE!$Q$18)*(RASANTE!F228-PERALTE!$Q$18)-2),IF(RASANTE!F228&lt;=PERALTE!$X$18,8,IF(RASANTE!F228&lt;=PERALTE!$AB$18,(10/(PERALTE!$X$18-PERALTE!$AB$18)*(RASANTE!F228-PERALTE!$AB$18)-2))))),IF(AND(AH!$H$24="Derecha",RASANTE!F228&lt;=PERALTE!$AB$22),IF(RASANTE!F228&lt;=PERALTE!$S$22,-2,IF(RASANTE!F228&lt;=PERALTE!$U$22,(-6/(PERALTE!$U$22-PERALTE!$S$22)*(RASANTE!F228-PERALTE!$S$22)-2),IF(RASANTE!F228&lt;=PERALTE!$X$22,-8,IF(RASANTE!F228&lt;=PERALTE!$Z$22,(-6/(PERALTE!$X$22-PERALTE!$Z$22)*(RASANTE!F228-PERALTE!$Z$22)-2),IF(RASANTE!F228&lt;=PERALTE!$AB$22,-2))))),IF(AND(AH!$H$24="Izquierda",RASANTE!F228&lt;=PERALTE!$AB$22),IF(RASANTE!F228&lt;=PERALTE!$Q$22,-2,IF(RASANTE!F228&lt;=PERALTE!$U$22,(10/(PERALTE!$U$22-PERALTE!$Q$22)*(RASANTE!F228-PERALTE!$Q$22)-2),IF(RASANTE!F228&lt;=PERALTE!$X$22,8,IF(RASANTE!F228&lt;=PERALTE!$AB$22,(10/(PERALTE!$X$22-PERALTE!$AB$22)*(RASANTE!F228-PERALTE!$AB$22)-2))))),IF(AND(AH!#REF!="Derecha",RASANTE!F228&lt;=PERALTE!#REF!),IF(RASANTE!F228&lt;=PERALTE!#REF!,-2,IF(RASANTE!F228&lt;=PERALTE!#REF!,(-6/(PERALTE!#REF!-PERALTE!#REF!)*(RASANTE!F228-PERALTE!#REF!)-2),IF(RASANTE!F228&lt;=PERALTE!#REF!,-8,IF(RASANTE!F228&lt;=PERALTE!#REF!,(-6/(PERALTE!#REF!-PERALTE!#REF!)*(RASANTE!F228-PERALTE!#REF!)-2),IF(RASANTE!F228&lt;=PERALTE!#REF!,-2))))),IF(AND(AH!#REF!="Izquierda",RASANTE!F228&lt;=PERALTE!#REF!),IF(RASANTE!F228&lt;=PERALTE!#REF!,-2,IF(RASANTE!F228&lt;=PERALTE!#REF!,(10/(PERALTE!#REF!-PERALTE!#REF!)*(RASANTE!F228-PERALTE!#REF!)-2),IF(RASANTE!F228&lt;=PERALTE!#REF!,8,IF(RASANTE!F228&lt;=PERALTE!#REF!,(10/(PERALTE!#REF!-PERALTE!#REF!)*(RASANTE!F228-PERALTE!#REF!)-2))))),IF(AND(AH!#REF!="Derecha",RASANTE!F228&lt;=PERALTE!$AB$26),IF(RASANTE!F228&lt;=PERALTE!$S$26,-2,IF(RASANTE!F228&lt;=PERALTE!$U$26,(-6/(PERALTE!$U$26-PERALTE!$S$26)*(RASANTE!F228-PERALTE!$S$26)-2),IF(RASANTE!F228&lt;=PERALTE!$X$26,-8,IF(RASANTE!F228&lt;=PERALTE!$Z$26,(-6/(PERALTE!$X$26-PERALTE!$Z$26)*(RASANTE!F228-PERALTE!$Z$26)-2),IF(RASANTE!F228&lt;=PERALTE!$AB$26,-2))))),IF(AND(AH!#REF!="Izquierda",RASANTE!F228&lt;=PERALTE!$AB$26),IF(RASANTE!F228&lt;=PERALTE!$Q$26,-2,IF(RASANTE!F228&lt;=PERALTE!$U$26,(10/(PERALTE!$U$26-PERALTE!$Q$26)*(RASANTE!F228-PERALTE!$Q$26)-2),IF(RASANTE!F228&lt;=PERALTE!$X$26,8,IF(RASANTE!F228&lt;=PERALTE!$AB$26,(10/(PERALTE!$X$26-PERALTE!$AB$26)*(RASANTE!F228-PERALTE!$AB$26)-2))))),IF(F228&lt;=PERALTE!#REF!,-2,"Abscisa fuera de la vía")))))))))))))))))))))</f>
        <v>-8</v>
      </c>
      <c r="J228" s="28">
        <f t="shared" si="11"/>
        <v>1630.6825432380037</v>
      </c>
      <c r="K228" s="28">
        <f>+IF(AND(AV!$S$6&lt;F228,F228&lt;=AV!$T$6),AV!$P$6*((AV!$S$6-RASANTE!F228)/(AV!$N$6))^2,IF(AND(AV!$T$6&lt;RASANTE!F228,F228&lt;AV!$U$6),AV!$P$6*((AV!$U$6-RASANTE!F228)/(AV!$O$6))^2,IF(AND(AV!$S$8&lt;F228,F228&lt;=AV!$T$8),AV!$P$8*((AV!$S$8-RASANTE!F228)/(AV!$N$8))^2,IF(AND(AV!$T$8&lt;RASANTE!F228,F228&lt;AV!$U$8),AV!$P$8*((AV!$U$8-RASANTE!F228)/(AV!$O$8))^2,IF(AND(AV!$S$10&lt;F228,F228&lt;=AV!$T$10),AV!$P$10*((AV!$S$10-RASANTE!F228)/(AV!$N$10))^2,IF(AND(AV!$T$10&lt;RASANTE!F228,F228&lt;AV!$U$10),AV!$P$10*((AV!$U$10-RASANTE!F228)/(AV!$O$10))^2,IF(AND(AV!$S$12&lt;F228,F228&lt;=AV!$T$12),AV!$P$12*((AV!$S$12-RASANTE!F228)/(AV!$N$12))^2,IF(AND(AV!$T$12&lt;RASANTE!F228,F228&lt;AV!$U$12),AV!$P$12*((AV!$U$12-RASANTE!F228)/(AV!$O$12))^2,IF(AND(AV!$S$14&lt;F228,F228&lt;=AV!$T$14),AV!$P$14*((AV!$S$14-RASANTE!F228)/(AV!$N$14))^2,IF(AND(AV!$T$14&lt;RASANTE!F228,F228&lt;AV!$U$14),AV!$P$14*((AV!$U$14-RASANTE!F228)/(AV!$O$14))^2,IF(AND(AV!$S$16&lt;F228,F228&lt;=AV!$T$16),AV!$P$16*((AV!$S$16-RASANTE!F228)/(AV!$N$16))^2,IF(AND(AV!$T$16&lt;RASANTE!F228,F228&lt;AV!$U$16),AV!$P$16*((AV!$U$16-RASANTE!F228)/(AV!$O$16))^2,IF(AND(AV!$S$18&lt;F228,F228&lt;=AV!$T$18),AV!$P$18*((AV!$S$18-RASANTE!F228)/(AV!$N$18))^2,IF(AND(AV!$T$18&lt;RASANTE!F228,F228&lt;AV!$U$18),AV!$P$18*((AV!$U$18-RASANTE!F228)/(AV!$O$18))^2,IF(AND(AV!$S$20&lt;F228,F228&lt;=AV!$T$20),AV!$P$20*((AV!$S$20-RASANTE!F228)/(AV!$N$20))^2,IF(AND(AV!$T$20&lt;RASANTE!F228,F228&lt;AV!$U$20),AV!$P$20*((AV!$U$20-RASANTE!F228)/(AV!$O$20))^2,IF(AND(AV!$S$22&lt;F228,F228&lt;=AV!$T$22),AV!$P$22*((AV!$S$22-RASANTE!F228)/(AV!$N$22))^2,IF(AND(AV!$T$22&lt;RASANTE!F228,F228&lt;AV!$U$22),AV!$P$22*((AV!$U$22-RASANTE!F228)/(AV!$O$22))^2,IF(AND(AV!$S$24&lt;F228,F228&lt;=AV!$T$24),AV!$P$24*((AV!$S$24-RASANTE!F228)/(AV!$N$24))^2,IF(AND(AV!$T$24&lt;RASANTE!F228,F228&lt;AV!$U$24),AV!$P$24*((AV!$U$24-RASANTE!F228)/(AV!$O$24))^2,0))))))))))))))))))))</f>
        <v>0</v>
      </c>
      <c r="L228" s="28">
        <f>+M228+H228%*PERALTE!$C$32</f>
        <v>1630.9625432380037</v>
      </c>
      <c r="M228" s="28">
        <f t="shared" si="7"/>
        <v>1630.6825432380037</v>
      </c>
      <c r="N228" s="28">
        <f>+M228+I228%*PERALTE!$C$32</f>
        <v>1630.4025432380038</v>
      </c>
      <c r="O228" s="92"/>
      <c r="P228" s="84"/>
      <c r="Q228" s="84"/>
      <c r="R228" s="84"/>
      <c r="S228" s="84"/>
      <c r="T228" s="84"/>
      <c r="U228" s="84"/>
      <c r="V228" s="84"/>
      <c r="W228" s="84"/>
      <c r="X228" s="84"/>
      <c r="Y228" s="84"/>
    </row>
    <row r="229" spans="1:25" ht="15.75" customHeight="1" x14ac:dyDescent="0.2">
      <c r="A229" s="90"/>
      <c r="B229" s="107"/>
      <c r="C229" s="107"/>
      <c r="D229" s="107"/>
      <c r="E229" s="91"/>
      <c r="F229" s="34">
        <v>1410</v>
      </c>
      <c r="G229" s="88">
        <f>IF(F229&lt;=AV!$T$6,AV!$C$5,IF(RASANTE!F229&lt;=AV!$T$8,AV!$C$7,IF(RASANTE!F229&lt;=AV!$T$10,AV!$C$9,IF(RASANTE!F229&lt;=AV!$T$12,AV!$C$11,IF(RASANTE!F229&lt;=AV!$T$14,AV!$C$13,IF(RASANTE!F229&lt;=AV!$T$16,AV!$C$15, IF(RASANTE!F229&lt;=AV!$T$18,AV!$C$17,IF(RASANTE!F229&lt;=AV!$T$20,AV!$C$19,IF(RASANTE!F229&lt;=AV!$T$22,AV!$C$21,IF(RASANTE!F229&lt;=AV!$T$24,AV!$C$23,AV!$C$25))))))))))</f>
        <v>2.8</v>
      </c>
      <c r="H229" s="28">
        <f>+IF(AND(AH!$H$8="Izquierda",RASANTE!F229&lt;=PERALTE!$AB$6),IF(RASANTE!F229&lt;=PERALTE!$S$6,-2,IF(RASANTE!F229&lt;=PERALTE!$U$6,(-6/(PERALTE!$U$6-PERALTE!$S$6)*(RASANTE!F229-PERALTE!$S$6)-2),IF(RASANTE!F229&lt;=PERALTE!$X$6,-8,IF(RASANTE!F229&lt;=PERALTE!$Z$6,(-6/(PERALTE!$X$6-PERALTE!$Z$6)*(RASANTE!F229-PERALTE!$Z$6)-2),IF(RASANTE!F229&lt;=PERALTE!$AB$6,-2))))),IF(AND(AH!$H$8="Derecha",RASANTE!F229&lt;=PERALTE!$AB$6),IF(RASANTE!F229&lt;=PERALTE!$Q$6,-2,IF(RASANTE!F229&lt;=PERALTE!$U$6,(10/(PERALTE!$U$6-PERALTE!$Q$6)*(RASANTE!F229-PERALTE!$Q$6)-2),IF(RASANTE!F229&lt;=PERALTE!$X$6,8,IF(RASANTE!F229&lt;=PERALTE!$AB$6,(10/(PERALTE!$X$6-PERALTE!$AB$6)*(RASANTE!F229-PERALTE!$AB$6)-2))))),IF(AND(AH!$H$10="Izquierda",RASANTE!F229&lt;=PERALTE!$AB$8),IF(RASANTE!F229&lt;=PERALTE!$S$8,-2,IF(RASANTE!F229&lt;=PERALTE!$U$8,(-6/(PERALTE!$U$8-PERALTE!$S$8)*(RASANTE!F229-PERALTE!$S$8)-2),IF(RASANTE!F229&lt;=PERALTE!$X$8,-8,IF(RASANTE!F229&lt;=PERALTE!$Z$8,(-6/(PERALTE!$X$8-PERALTE!$Z$8)*(RASANTE!F229-PERALTE!$Z$8)-2),IF(RASANTE!F229&lt;=PERALTE!$AB$8,-2))))),IF(AND(AH!$H$10="Derecha",RASANTE!F229&lt;=PERALTE!$AB$8),IF(RASANTE!F229&lt;=PERALTE!$Q$8,-2,IF(RASANTE!F229&lt;=PERALTE!$U$8,(10/(PERALTE!$U$8-PERALTE!$Q$8)*(RASANTE!F229-PERALTE!$Q$8)-2),IF(RASANTE!F229&lt;=PERALTE!$X$8,8,IF(RASANTE!F229&lt;=PERALTE!$AB$8,(10/(PERALTE!$X$8-PERALTE!$AB$8)*(RASANTE!F229-PERALTE!$AB$8)-2))))),IF(AND(AH!$H$12="Izquierda",RASANTE!F229&lt;=PERALTE!$AB$10),IF(RASANTE!F229&lt;=PERALTE!$S$10,-2,IF(RASANTE!F229&lt;=PERALTE!$U$10,(-6/(PERALTE!$U$10-PERALTE!$S$10)*(RASANTE!F229-PERALTE!$S$10)-2),IF(RASANTE!F229&lt;=PERALTE!$X$10,-8,IF(RASANTE!F229&lt;=PERALTE!$Z$10,(-6/(PERALTE!$X$10-PERALTE!$Z$10)*(RASANTE!F229-PERALTE!$Z$10)-2),IF(RASANTE!F229&lt;=PERALTE!$AB$10,-2))))),IF(AND(AH!$H$12="Derecha",RASANTE!F229&lt;=PERALTE!$AB$10),IF(RASANTE!F229&lt;=PERALTE!$Q$10,-2,IF(RASANTE!F229&lt;=PERALTE!$U$10,(10/(PERALTE!$U$10-PERALTE!$Q$10)*(RASANTE!F229-PERALTE!$Q$10)-2),IF(RASANTE!F229&lt;=PERALTE!$X$10,8,IF(RASANTE!F229&lt;=PERALTE!$AB$10,(10/(PERALTE!$X$10-PERALTE!$AB$10)*(RASANTE!F229-PERALTE!$AB$10)-2))))),IF(AND(AH!$H$14="Izquierda",RASANTE!F229&lt;=PERALTE!$AB$12),IF(RASANTE!F229&lt;=PERALTE!$S$12,-2,IF(RASANTE!F229&lt;=PERALTE!$U$12,(-6/(PERALTE!$U$12-PERALTE!$S$12)*(RASANTE!F229-PERALTE!$S$12)-2),IF(RASANTE!F229&lt;=PERALTE!$X$12,-8,IF(RASANTE!F229&lt;=PERALTE!$Z$12,(-6/(PERALTE!$X$12-PERALTE!$Z$12)*(RASANTE!F229-PERALTE!$Z$12)-2),IF(RASANTE!F229&lt;=PERALTE!$AB$12,-2))))),IF(AND(AH!$H$14="Derecha",RASANTE!F229&lt;=PERALTE!$AB$12),IF(RASANTE!F229&lt;=PERALTE!$Q$12,-2,IF(RASANTE!F229&lt;=PERALTE!$U$12,(10/(PERALTE!$U$12-PERALTE!$Q$12)*(RASANTE!F229-PERALTE!$Q$12)-2),IF(RASANTE!F229&lt;=PERALTE!$X$12,8,IF(RASANTE!F229&lt;=PERALTE!$AB$12,(10/(PERALTE!$X$12-PERALTE!$AB$12)*(RASANTE!F229-PERALTE!$AB$12)-2))))),IF(AND(AH!$H$16="Izquierda",RASANTE!F229&lt;=PERALTE!$AB$14),IF(RASANTE!F229&lt;=PERALTE!$S$14,-2,IF(RASANTE!F229&lt;=PERALTE!$U$14,(-6/(PERALTE!$U$14-PERALTE!$S$14)*(RASANTE!F229-PERALTE!$S$14)-2),IF(RASANTE!F229&lt;=PERALTE!$X$14,-8,IF(RASANTE!F229&lt;=PERALTE!$Z$14,(-6/(PERALTE!$X$14-PERALTE!$Z$14)*(RASANTE!F229-PERALTE!$Z$14)-2),IF(RASANTE!F229&lt;=PERALTE!$AB$14,-2))))),IF(AND(AH!$H$16="Derecha",RASANTE!F229&lt;=PERALTE!$AB$14),IF(RASANTE!F229&lt;=PERALTE!$Q$14,-2,IF(RASANTE!F229&lt;=PERALTE!$U$14,(10/(PERALTE!$U$14-PERALTE!$Q$14)*(RASANTE!F229-PERALTE!$Q$14)-2),IF(RASANTE!F229&lt;=PERALTE!$X$14,8,IF(RASANTE!F229&lt;=PERALTE!$AB$14,(10/(PERALTE!$X$14-PERALTE!$AB$14)*(RASANTE!F229-PERALTE!$AB$14)-2))))),IF(AND(AH!$H$18="Izquierda",RASANTE!F229&lt;=PERALTE!$AB$16),IF(RASANTE!F229&lt;=PERALTE!$S$16,-2,IF(RASANTE!F229&lt;=PERALTE!$U$16,(-6/(PERALTE!$U$16-PERALTE!$S$16)*(RASANTE!F229-PERALTE!$S$16)-2),IF(RASANTE!F229&lt;=PERALTE!$X$16,-8,IF(RASANTE!F229&lt;=PERALTE!$Z$16,(-6/(PERALTE!$X$16-PERALTE!$Z$16)*(RASANTE!F229-PERALTE!$Z$16)-2),IF(RASANTE!F229&lt;=PERALTE!$AB$16,-2))))),IF(AND(AH!$H$18="Derecha",RASANTE!F229&lt;=PERALTE!$AB$16),IF(RASANTE!F229&lt;=PERALTE!$Q$16,-2,IF(RASANTE!F229&lt;=PERALTE!$U$16,(10/(PERALTE!$U$16-PERALTE!$Q$16)*(RASANTE!F229-PERALTE!$Q$16)-2),IF(RASANTE!F229&lt;=PERALTE!$X$16,8,IF(RASANTE!F229&lt;=PERALTE!$AB$16,(10/(PERALTE!$X$16-PERALTE!$AB$16)*(RASANTE!F229-PERALTE!$AB$16)-2))))),IF(AND(AH!$H$20="Izquierda",RASANTE!F229&lt;=PERALTE!$AB$18),IF(RASANTE!F229&lt;=PERALTE!$S$18,-2,IF(RASANTE!F229&lt;=PERALTE!$U$18,(-6/(PERALTE!$U$18-PERALTE!$S$18)*(RASANTE!F229-PERALTE!$S$18)-2),IF(RASANTE!F229&lt;=PERALTE!$X$18,-8,IF(RASANTE!F229&lt;=PERALTE!$Z$18,(-6/(PERALTE!$X$18-PERALTE!$Z$18)*(RASANTE!F229-PERALTE!$Z$18)-2),IF(RASANTE!F229&lt;=PERALTE!$AB$18,-2))))),IF(AND(AH!$H$20="Derecha",RASANTE!F229&lt;=PERALTE!$AB$18),IF(RASANTE!F229&lt;=PERALTE!$Q$18,-2,IF(RASANTE!F229&lt;=PERALTE!$U$18,(10/(PERALTE!$U$18-PERALTE!$Q$18)*(RASANTE!F229-PERALTE!$Q$18)-2),IF(RASANTE!F229&lt;=PERALTE!$X$18,8,IF(RASANTE!F229&lt;=PERALTE!$AB$18,(10/(PERALTE!$X$18-PERALTE!$AB$18)*(RASANTE!F229-PERALTE!$AB$18)-2))))),IF(AND(AH!$H$24="Izquierda",RASANTE!F229&lt;=PERALTE!$AB$22),IF(RASANTE!F229&lt;=PERALTE!$S$22,-2,IF(RASANTE!F229&lt;=PERALTE!$U$22,(-6/(PERALTE!$U$22-PERALTE!$S$22)*(RASANTE!F229-PERALTE!$S$22)-2),IF(RASANTE!F229&lt;=PERALTE!$X$22,-8,IF(RASANTE!F229&lt;=PERALTE!$Z$22,(-6/(PERALTE!$X$22-PERALTE!$Z$22)*(RASANTE!F229-PERALTE!$Z$22)-2),IF(RASANTE!F229&lt;=PERALTE!$AB$22,-2))))),IF(AND(AH!$H$24="Derecha",RASANTE!F229&lt;=PERALTE!$AB$22),IF(RASANTE!F229&lt;=PERALTE!$Q$22,-2,IF(RASANTE!F229&lt;=PERALTE!$U$22,(10/(PERALTE!$U$22-PERALTE!$Q$22)*(RASANTE!F229-PERALTE!$Q$22)-2),IF(RASANTE!F229&lt;=PERALTE!$X$22,8,IF(RASANTE!F229&lt;=PERALTE!$AB$22,(10/(PERALTE!$X$22-PERALTE!$AB$22)*(RASANTE!F229-PERALTE!$AB$22)-2))))),IF(AND(AH!#REF!="Izquierda",RASANTE!F229&lt;=PERALTE!#REF!),IF(RASANTE!F229&lt;=PERALTE!#REF!,-2,IF(RASANTE!F229&lt;=PERALTE!#REF!,(-6/(PERALTE!#REF!-PERALTE!#REF!)*(RASANTE!F229-PERALTE!#REF!)-2),IF(RASANTE!F229&lt;=PERALTE!#REF!,-8,IF(RASANTE!F229&lt;=PERALTE!#REF!,(-6/(PERALTE!#REF!-PERALTE!#REF!)*(RASANTE!F229-PERALTE!#REF!)-2),IF(RASANTE!F229&lt;=PERALTE!#REF!,-2))))),IF(AND(AH!#REF!="Derecha",RASANTE!F229&lt;=PERALTE!#REF!),IF(RASANTE!F229&lt;=PERALTE!#REF!,-2,IF(RASANTE!F229&lt;=PERALTE!#REF!,(10/(PERALTE!#REF!-PERALTE!#REF!)*(RASANTE!F229-PERALTE!#REF!)-2),IF(RASANTE!F229&lt;=PERALTE!#REF!,8,IF(RASANTE!F229&lt;=PERALTE!#REF!,(10/(PERALTE!#REF!-PERALTE!#REF!)*(RASANTE!F229-PERALTE!#REF!)-2))))),IF(AND(AH!#REF!="Izquierda",RASANTE!F229&lt;=PERALTE!$AB$26),IF(RASANTE!F229&lt;=PERALTE!$S$26,-2,IF(RASANTE!F229&lt;=PERALTE!$U$26,(-6/(PERALTE!$U$26-PERALTE!$S$26)*(RASANTE!F229-PERALTE!$S$26)-2),IF(RASANTE!F229&lt;=PERALTE!$X$26,-8,IF(RASANTE!F229&lt;=PERALTE!$Z$26,(-6/(PERALTE!$X$26-PERALTE!$Z$26)*(RASANTE!F229-PERALTE!$Z$26)-2),IF(RASANTE!F229&lt;=PERALTE!$AB$26,-2))))),IF(AND(AH!#REF!="Derecha",RASANTE!F229&lt;=PERALTE!$AB$26),IF(RASANTE!F229&lt;=PERALTE!$Q$26,-2,IF(RASANTE!F229&lt;=PERALTE!$U$26,(10/(PERALTE!$U$26-PERALTE!$Q$26)*(RASANTE!F229-PERALTE!$Q$26)-2),IF(RASANTE!F229&lt;=PERALTE!$X$26,8,IF(RASANTE!F229&lt;=PERALTE!$AB$26,(10/(PERALTE!$X$26-PERALTE!$AB$26)*(RASANTE!F229-PERALTE!$AB$26)-2))))),IF(F229&lt;=PERALTE!#REF!,-2,"Abscisa fuera de la vía")))))))))))))))))))))</f>
        <v>6.8184017886875008</v>
      </c>
      <c r="I229" s="28">
        <f>+IF(AND(AH!$H$8="Derecha",RASANTE!F229&lt;=PERALTE!$AB$6),IF(RASANTE!F229&lt;=PERALTE!$S$6,-2,IF(RASANTE!F229&lt;=PERALTE!$U$6,(-6/(PERALTE!$U$6-PERALTE!$S$6)*(RASANTE!F229-PERALTE!$S$6)-2),IF(RASANTE!F229&lt;=PERALTE!$X$6,-8,IF(RASANTE!F229&lt;=PERALTE!$Z$6,(-6/(PERALTE!$X$6-PERALTE!$Z$6)*(RASANTE!F229-PERALTE!$Z$6)-2),IF(RASANTE!F229&lt;=PERALTE!$AB$6,-2))))),IF(AND(AH!$H$8="Izquierda",RASANTE!F229&lt;=PERALTE!$AB$6),IF(RASANTE!F229&lt;=PERALTE!$Q$6,-2,IF(RASANTE!F229&lt;=PERALTE!$U$6,(10/(PERALTE!$U$6-PERALTE!$Q$6)*(RASANTE!F229-PERALTE!$Q$6)-2),IF(RASANTE!F229&lt;=PERALTE!$X$6,8,IF(RASANTE!F229&lt;=PERALTE!$AB$6,(10/(PERALTE!$X$6-PERALTE!$AB$6)*(RASANTE!F229-PERALTE!$AB$6)-2))))),IF(AND(AH!$H$10="Derecha",RASANTE!F229&lt;=PERALTE!$AB$8),IF(RASANTE!F229&lt;=PERALTE!$S$8,-2,IF(RASANTE!F229&lt;=PERALTE!$U$8,(-6/(PERALTE!$U$8-PERALTE!$S$8)*(RASANTE!F229-PERALTE!$S$8)-2),IF(RASANTE!F229&lt;=PERALTE!$X$8,-8,IF(RASANTE!F229&lt;=PERALTE!$Z$8,(-6/(PERALTE!$X$8-PERALTE!$Z$8)*(RASANTE!F229-PERALTE!$Z$8)-2),IF(RASANTE!F229&lt;=PERALTE!$AB$8,-2))))),IF(AND(AH!$H$10="Izquierda",RASANTE!F229&lt;=PERALTE!$AB$8),IF(RASANTE!F229&lt;=PERALTE!$Q$8,-2,IF(RASANTE!F229&lt;=PERALTE!$U$8,(10/(PERALTE!$U$8-PERALTE!$Q$8)*(RASANTE!F229-PERALTE!$Q$8)-2),IF(RASANTE!F229&lt;=PERALTE!$X$8,8,IF(RASANTE!F229&lt;=PERALTE!$AB$8,(10/(PERALTE!$X$8-PERALTE!$AB$8)*(RASANTE!F229-PERALTE!$AB$8)-2))))),IF(AND(AH!$H$12="Derecha",RASANTE!F229&lt;=PERALTE!$AB$10),IF(RASANTE!F229&lt;=PERALTE!$S$10,-2,IF(RASANTE!F229&lt;=PERALTE!$U$10,(-6/(PERALTE!$U$10-PERALTE!$S$10)*(RASANTE!F229-PERALTE!$S$10)-2),IF(RASANTE!F229&lt;=PERALTE!$X$10,-8,IF(RASANTE!F229&lt;=PERALTE!$Z$10,(-6/(PERALTE!$X$10-PERALTE!$Z$10)*(RASANTE!F229-PERALTE!$Z$10)-2),IF(RASANTE!F229&lt;=PERALTE!$AB$10,-2))))),IF(AND(AH!$H$12="Izquierda",RASANTE!F229&lt;=PERALTE!$AB$10),IF(RASANTE!F229&lt;=PERALTE!$Q$10,-2,IF(RASANTE!F229&lt;=PERALTE!$U$10,(10/(PERALTE!$U$10-PERALTE!$Q$10)*(RASANTE!F229-PERALTE!$Q$10)-2),IF(RASANTE!F229&lt;=PERALTE!$X$10,8,IF(RASANTE!F229&lt;=PERALTE!$AB$10,(10/(PERALTE!$X$10-PERALTE!$AB$10)*(RASANTE!F229-PERALTE!$AB$10)-2))))),IF(AND(AH!$H$14="Derecha",RASANTE!F229&lt;=PERALTE!$AB$12),IF(RASANTE!F229&lt;=PERALTE!$S$12,-2,IF(RASANTE!F229&lt;=PERALTE!$U$12,(-6/(PERALTE!$U$12-PERALTE!$S$12)*(RASANTE!F229-PERALTE!$S$12)-2),IF(RASANTE!F229&lt;=PERALTE!$X$12,-8,IF(RASANTE!F229&lt;=PERALTE!$Z$12,(-6/(PERALTE!$X$12-PERALTE!$Z$12)*(RASANTE!F229-PERALTE!$Z$12)-2),IF(RASANTE!F229&lt;=PERALTE!$AB$12,-2))))),IF(AND(AH!$H$14="Izquierda",RASANTE!F229&lt;=PERALTE!$AB$12),IF(RASANTE!F229&lt;=PERALTE!$Q$12,-2,IF(RASANTE!F229&lt;=PERALTE!$U$12,(10/(PERALTE!$U$12-PERALTE!$Q$12)*(RASANTE!F229-PERALTE!$Q$12)-2),IF(RASANTE!F229&lt;=PERALTE!$X$12,8,IF(RASANTE!F229&lt;=PERALTE!$AB$12,(10/(PERALTE!$X$12-PERALTE!$AB$12)*(RASANTE!F229-PERALTE!$AB$12)-2))))),IF(AND(AH!$H$16="Derecha",RASANTE!F229&lt;=PERALTE!$AB$14),IF(RASANTE!F229&lt;=PERALTE!$S$14,-2,IF(RASANTE!F229&lt;=PERALTE!$U$14,(-6/(PERALTE!$U$14-PERALTE!$S$14)*(RASANTE!F229-PERALTE!$S$14)-2),IF(RASANTE!F229&lt;=PERALTE!$X$14,-8,IF(RASANTE!F229&lt;=PERALTE!$Z$14,(-6/(PERALTE!$X$14-PERALTE!$Z$14)*(RASANTE!F229-PERALTE!$Z$14)-2),IF(RASANTE!F229&lt;=PERALTE!$AB$14,-2))))),IF(AND(AH!$H$16="Izquierda",RASANTE!F229&lt;=PERALTE!$AB$14),IF(RASANTE!F229&lt;=PERALTE!$Q$14,-2,IF(RASANTE!F229&lt;=PERALTE!$U$14,(10/(PERALTE!$U$14-PERALTE!$Q$14)*(RASANTE!F229-PERALTE!$Q$14)-2),IF(RASANTE!F229&lt;=PERALTE!$X$14,8,IF(RASANTE!F229&lt;=PERALTE!$AB$14,(10/(PERALTE!$X$14-PERALTE!$AB$14)*(RASANTE!F229-PERALTE!$AB$14)-2))))),IF(AND(AH!$H$18="Derecha",RASANTE!F229&lt;=PERALTE!$AB$16),IF(RASANTE!F229&lt;=PERALTE!$S$16,-2,IF(RASANTE!F229&lt;=PERALTE!$U$16,(-6/(PERALTE!$U$16-PERALTE!$S$16)*(RASANTE!F229-PERALTE!$S$16)-2),IF(RASANTE!F229&lt;=PERALTE!$X$16,-8,IF(RASANTE!F229&lt;=PERALTE!$Z$16,(-6/(PERALTE!$X$16-PERALTE!$Z$16)*(RASANTE!F229-PERALTE!$Z$16)-2),IF(RASANTE!F229&lt;=PERALTE!$AB$16,-2))))),IF(AND(AH!$H$18="Izquierda",RASANTE!F229&lt;=PERALTE!$AB$16),IF(RASANTE!F229&lt;=PERALTE!$Q$16,-2,IF(RASANTE!F229&lt;=PERALTE!$U$16,(10/(PERALTE!$U$16-PERALTE!$Q$16)*(RASANTE!F229-PERALTE!$Q$16)-2),IF(RASANTE!F229&lt;=PERALTE!$X$16,8,IF(RASANTE!F229&lt;=PERALTE!$AB$16,(10/(PERALTE!$X$16-PERALTE!$AB$16)*(RASANTE!F229-PERALTE!$AB$16)-2))))),IF(AND(AH!$H$20="Derecha",RASANTE!F229&lt;=PERALTE!$AB$18),IF(RASANTE!F229&lt;=PERALTE!$S$18,-2,IF(RASANTE!F229&lt;=PERALTE!$U$18,(-6/(PERALTE!$U$18-PERALTE!$S$18)*(RASANTE!F229-PERALTE!$S$18)-2),IF(RASANTE!F229&lt;=PERALTE!$X$18,-8,IF(RASANTE!F229&lt;=PERALTE!$Z$18,(-6/(PERALTE!$X$18-PERALTE!$Z$18)*(RASANTE!F229-PERALTE!$Z$18)-2),IF(RASANTE!F229&lt;=PERALTE!$AB$18,-2))))),IF(AND(AH!$H$20="Izquierda",RASANTE!F229&lt;=PERALTE!$AB$18),IF(RASANTE!F229&lt;=PERALTE!$Q$18,-2,IF(RASANTE!F229&lt;=PERALTE!$U$18,(10/(PERALTE!$U$18-PERALTE!$Q$18)*(RASANTE!F229-PERALTE!$Q$18)-2),IF(RASANTE!F229&lt;=PERALTE!$X$18,8,IF(RASANTE!F229&lt;=PERALTE!$AB$18,(10/(PERALTE!$X$18-PERALTE!$AB$18)*(RASANTE!F229-PERALTE!$AB$18)-2))))),IF(AND(AH!$H$24="Derecha",RASANTE!F229&lt;=PERALTE!$AB$22),IF(RASANTE!F229&lt;=PERALTE!$S$22,-2,IF(RASANTE!F229&lt;=PERALTE!$U$22,(-6/(PERALTE!$U$22-PERALTE!$S$22)*(RASANTE!F229-PERALTE!$S$22)-2),IF(RASANTE!F229&lt;=PERALTE!$X$22,-8,IF(RASANTE!F229&lt;=PERALTE!$Z$22,(-6/(PERALTE!$X$22-PERALTE!$Z$22)*(RASANTE!F229-PERALTE!$Z$22)-2),IF(RASANTE!F229&lt;=PERALTE!$AB$22,-2))))),IF(AND(AH!$H$24="Izquierda",RASANTE!F229&lt;=PERALTE!$AB$22),IF(RASANTE!F229&lt;=PERALTE!$Q$22,-2,IF(RASANTE!F229&lt;=PERALTE!$U$22,(10/(PERALTE!$U$22-PERALTE!$Q$22)*(RASANTE!F229-PERALTE!$Q$22)-2),IF(RASANTE!F229&lt;=PERALTE!$X$22,8,IF(RASANTE!F229&lt;=PERALTE!$AB$22,(10/(PERALTE!$X$22-PERALTE!$AB$22)*(RASANTE!F229-PERALTE!$AB$22)-2))))),IF(AND(AH!#REF!="Derecha",RASANTE!F229&lt;=PERALTE!#REF!),IF(RASANTE!F229&lt;=PERALTE!#REF!,-2,IF(RASANTE!F229&lt;=PERALTE!#REF!,(-6/(PERALTE!#REF!-PERALTE!#REF!)*(RASANTE!F229-PERALTE!#REF!)-2),IF(RASANTE!F229&lt;=PERALTE!#REF!,-8,IF(RASANTE!F229&lt;=PERALTE!#REF!,(-6/(PERALTE!#REF!-PERALTE!#REF!)*(RASANTE!F229-PERALTE!#REF!)-2),IF(RASANTE!F229&lt;=PERALTE!#REF!,-2))))),IF(AND(AH!#REF!="Izquierda",RASANTE!F229&lt;=PERALTE!#REF!),IF(RASANTE!F229&lt;=PERALTE!#REF!,-2,IF(RASANTE!F229&lt;=PERALTE!#REF!,(10/(PERALTE!#REF!-PERALTE!#REF!)*(RASANTE!F229-PERALTE!#REF!)-2),IF(RASANTE!F229&lt;=PERALTE!#REF!,8,IF(RASANTE!F229&lt;=PERALTE!#REF!,(10/(PERALTE!#REF!-PERALTE!#REF!)*(RASANTE!F229-PERALTE!#REF!)-2))))),IF(AND(AH!#REF!="Derecha",RASANTE!F229&lt;=PERALTE!$AB$26),IF(RASANTE!F229&lt;=PERALTE!$S$26,-2,IF(RASANTE!F229&lt;=PERALTE!$U$26,(-6/(PERALTE!$U$26-PERALTE!$S$26)*(RASANTE!F229-PERALTE!$S$26)-2),IF(RASANTE!F229&lt;=PERALTE!$X$26,-8,IF(RASANTE!F229&lt;=PERALTE!$Z$26,(-6/(PERALTE!$X$26-PERALTE!$Z$26)*(RASANTE!F229-PERALTE!$Z$26)-2),IF(RASANTE!F229&lt;=PERALTE!$AB$26,-2))))),IF(AND(AH!#REF!="Izquierda",RASANTE!F229&lt;=PERALTE!$AB$26),IF(RASANTE!F229&lt;=PERALTE!$Q$26,-2,IF(RASANTE!F229&lt;=PERALTE!$U$26,(10/(PERALTE!$U$26-PERALTE!$Q$26)*(RASANTE!F229-PERALTE!$Q$26)-2),IF(RASANTE!F229&lt;=PERALTE!$X$26,8,IF(RASANTE!F229&lt;=PERALTE!$AB$26,(10/(PERALTE!$X$26-PERALTE!$AB$26)*(RASANTE!F229-PERALTE!$AB$26)-2))))),IF(F229&lt;=PERALTE!#REF!,-2,"Abscisa fuera de la vía")))))))))))))))))))))</f>
        <v>-6.8184017886875052</v>
      </c>
      <c r="J229" s="28">
        <f t="shared" si="11"/>
        <v>1630.832928464898</v>
      </c>
      <c r="K229" s="28">
        <f>+IF(AND(AV!$S$6&lt;F229,F229&lt;=AV!$T$6),AV!$P$6*((AV!$S$6-RASANTE!F229)/(AV!$N$6))^2,IF(AND(AV!$T$6&lt;RASANTE!F229,F229&lt;AV!$U$6),AV!$P$6*((AV!$U$6-RASANTE!F229)/(AV!$O$6))^2,IF(AND(AV!$S$8&lt;F229,F229&lt;=AV!$T$8),AV!$P$8*((AV!$S$8-RASANTE!F229)/(AV!$N$8))^2,IF(AND(AV!$T$8&lt;RASANTE!F229,F229&lt;AV!$U$8),AV!$P$8*((AV!$U$8-RASANTE!F229)/(AV!$O$8))^2,IF(AND(AV!$S$10&lt;F229,F229&lt;=AV!$T$10),AV!$P$10*((AV!$S$10-RASANTE!F229)/(AV!$N$10))^2,IF(AND(AV!$T$10&lt;RASANTE!F229,F229&lt;AV!$U$10),AV!$P$10*((AV!$U$10-RASANTE!F229)/(AV!$O$10))^2,IF(AND(AV!$S$12&lt;F229,F229&lt;=AV!$T$12),AV!$P$12*((AV!$S$12-RASANTE!F229)/(AV!$N$12))^2,IF(AND(AV!$T$12&lt;RASANTE!F229,F229&lt;AV!$U$12),AV!$P$12*((AV!$U$12-RASANTE!F229)/(AV!$O$12))^2,IF(AND(AV!$S$14&lt;F229,F229&lt;=AV!$T$14),AV!$P$14*((AV!$S$14-RASANTE!F229)/(AV!$N$14))^2,IF(AND(AV!$T$14&lt;RASANTE!F229,F229&lt;AV!$U$14),AV!$P$14*((AV!$U$14-RASANTE!F229)/(AV!$O$14))^2,IF(AND(AV!$S$16&lt;F229,F229&lt;=AV!$T$16),AV!$P$16*((AV!$S$16-RASANTE!F229)/(AV!$N$16))^2,IF(AND(AV!$T$16&lt;RASANTE!F229,F229&lt;AV!$U$16),AV!$P$16*((AV!$U$16-RASANTE!F229)/(AV!$O$16))^2,IF(AND(AV!$S$18&lt;F229,F229&lt;=AV!$T$18),AV!$P$18*((AV!$S$18-RASANTE!F229)/(AV!$N$18))^2,IF(AND(AV!$T$18&lt;RASANTE!F229,F229&lt;AV!$U$18),AV!$P$18*((AV!$U$18-RASANTE!F229)/(AV!$O$18))^2,IF(AND(AV!$S$20&lt;F229,F229&lt;=AV!$T$20),AV!$P$20*((AV!$S$20-RASANTE!F229)/(AV!$N$20))^2,IF(AND(AV!$T$20&lt;RASANTE!F229,F229&lt;AV!$U$20),AV!$P$20*((AV!$U$20-RASANTE!F229)/(AV!$O$20))^2,IF(AND(AV!$S$22&lt;F229,F229&lt;=AV!$T$22),AV!$P$22*((AV!$S$22-RASANTE!F229)/(AV!$N$22))^2,IF(AND(AV!$T$22&lt;RASANTE!F229,F229&lt;AV!$U$22),AV!$P$22*((AV!$U$22-RASANTE!F229)/(AV!$O$22))^2,IF(AND(AV!$S$24&lt;F229,F229&lt;=AV!$T$24),AV!$P$24*((AV!$S$24-RASANTE!F229)/(AV!$N$24))^2,IF(AND(AV!$T$24&lt;RASANTE!F229,F229&lt;AV!$U$24),AV!$P$24*((AV!$U$24-RASANTE!F229)/(AV!$O$24))^2,0))))))))))))))))))))</f>
        <v>0</v>
      </c>
      <c r="L229" s="28">
        <f>+M229+H229%*PERALTE!$C$32</f>
        <v>1631.071572527502</v>
      </c>
      <c r="M229" s="28">
        <f t="shared" si="7"/>
        <v>1630.832928464898</v>
      </c>
      <c r="N229" s="28">
        <f>+M229+I229%*PERALTE!$C$32</f>
        <v>1630.5942844022941</v>
      </c>
      <c r="O229" s="92"/>
      <c r="P229" s="84"/>
      <c r="Q229" s="84"/>
      <c r="R229" s="84"/>
      <c r="S229" s="84"/>
      <c r="T229" s="84"/>
      <c r="U229" s="84"/>
      <c r="V229" s="84"/>
      <c r="W229" s="84"/>
      <c r="X229" s="84"/>
      <c r="Y229" s="84"/>
    </row>
    <row r="230" spans="1:25" ht="15.75" customHeight="1" x14ac:dyDescent="0.2">
      <c r="A230" s="90"/>
      <c r="B230" s="86"/>
      <c r="C230" s="86"/>
      <c r="D230" s="86"/>
      <c r="E230" s="91"/>
      <c r="F230" s="34">
        <v>1420</v>
      </c>
      <c r="G230" s="88">
        <f>IF(F230&lt;=AV!$T$6,AV!$C$5,IF(RASANTE!F230&lt;=AV!$T$8,AV!$C$7,IF(RASANTE!F230&lt;=AV!$T$10,AV!$C$9,IF(RASANTE!F230&lt;=AV!$T$12,AV!$C$11,IF(RASANTE!F230&lt;=AV!$T$14,AV!$C$13,IF(RASANTE!F230&lt;=AV!$T$16,AV!$C$15, IF(RASANTE!F230&lt;=AV!$T$18,AV!$C$17,IF(RASANTE!F230&lt;=AV!$T$20,AV!$C$19,IF(RASANTE!F230&lt;=AV!$T$22,AV!$C$21,IF(RASANTE!F230&lt;=AV!$T$24,AV!$C$23,AV!$C$25))))))))))</f>
        <v>2.8</v>
      </c>
      <c r="H230" s="28">
        <f>+IF(AND(AH!$H$8="Izquierda",RASANTE!F230&lt;=PERALTE!$AB$6),IF(RASANTE!F230&lt;=PERALTE!$S$6,-2,IF(RASANTE!F230&lt;=PERALTE!$U$6,(-6/(PERALTE!$U$6-PERALTE!$S$6)*(RASANTE!F230-PERALTE!$S$6)-2),IF(RASANTE!F230&lt;=PERALTE!$X$6,-8,IF(RASANTE!F230&lt;=PERALTE!$Z$6,(-6/(PERALTE!$X$6-PERALTE!$Z$6)*(RASANTE!F230-PERALTE!$Z$6)-2),IF(RASANTE!F230&lt;=PERALTE!$AB$6,-2))))),IF(AND(AH!$H$8="Derecha",RASANTE!F230&lt;=PERALTE!$AB$6),IF(RASANTE!F230&lt;=PERALTE!$Q$6,-2,IF(RASANTE!F230&lt;=PERALTE!$U$6,(10/(PERALTE!$U$6-PERALTE!$Q$6)*(RASANTE!F230-PERALTE!$Q$6)-2),IF(RASANTE!F230&lt;=PERALTE!$X$6,8,IF(RASANTE!F230&lt;=PERALTE!$AB$6,(10/(PERALTE!$X$6-PERALTE!$AB$6)*(RASANTE!F230-PERALTE!$AB$6)-2))))),IF(AND(AH!$H$10="Izquierda",RASANTE!F230&lt;=PERALTE!$AB$8),IF(RASANTE!F230&lt;=PERALTE!$S$8,-2,IF(RASANTE!F230&lt;=PERALTE!$U$8,(-6/(PERALTE!$U$8-PERALTE!$S$8)*(RASANTE!F230-PERALTE!$S$8)-2),IF(RASANTE!F230&lt;=PERALTE!$X$8,-8,IF(RASANTE!F230&lt;=PERALTE!$Z$8,(-6/(PERALTE!$X$8-PERALTE!$Z$8)*(RASANTE!F230-PERALTE!$Z$8)-2),IF(RASANTE!F230&lt;=PERALTE!$AB$8,-2))))),IF(AND(AH!$H$10="Derecha",RASANTE!F230&lt;=PERALTE!$AB$8),IF(RASANTE!F230&lt;=PERALTE!$Q$8,-2,IF(RASANTE!F230&lt;=PERALTE!$U$8,(10/(PERALTE!$U$8-PERALTE!$Q$8)*(RASANTE!F230-PERALTE!$Q$8)-2),IF(RASANTE!F230&lt;=PERALTE!$X$8,8,IF(RASANTE!F230&lt;=PERALTE!$AB$8,(10/(PERALTE!$X$8-PERALTE!$AB$8)*(RASANTE!F230-PERALTE!$AB$8)-2))))),IF(AND(AH!$H$12="Izquierda",RASANTE!F230&lt;=PERALTE!$AB$10),IF(RASANTE!F230&lt;=PERALTE!$S$10,-2,IF(RASANTE!F230&lt;=PERALTE!$U$10,(-6/(PERALTE!$U$10-PERALTE!$S$10)*(RASANTE!F230-PERALTE!$S$10)-2),IF(RASANTE!F230&lt;=PERALTE!$X$10,-8,IF(RASANTE!F230&lt;=PERALTE!$Z$10,(-6/(PERALTE!$X$10-PERALTE!$Z$10)*(RASANTE!F230-PERALTE!$Z$10)-2),IF(RASANTE!F230&lt;=PERALTE!$AB$10,-2))))),IF(AND(AH!$H$12="Derecha",RASANTE!F230&lt;=PERALTE!$AB$10),IF(RASANTE!F230&lt;=PERALTE!$Q$10,-2,IF(RASANTE!F230&lt;=PERALTE!$U$10,(10/(PERALTE!$U$10-PERALTE!$Q$10)*(RASANTE!F230-PERALTE!$Q$10)-2),IF(RASANTE!F230&lt;=PERALTE!$X$10,8,IF(RASANTE!F230&lt;=PERALTE!$AB$10,(10/(PERALTE!$X$10-PERALTE!$AB$10)*(RASANTE!F230-PERALTE!$AB$10)-2))))),IF(AND(AH!$H$14="Izquierda",RASANTE!F230&lt;=PERALTE!$AB$12),IF(RASANTE!F230&lt;=PERALTE!$S$12,-2,IF(RASANTE!F230&lt;=PERALTE!$U$12,(-6/(PERALTE!$U$12-PERALTE!$S$12)*(RASANTE!F230-PERALTE!$S$12)-2),IF(RASANTE!F230&lt;=PERALTE!$X$12,-8,IF(RASANTE!F230&lt;=PERALTE!$Z$12,(-6/(PERALTE!$X$12-PERALTE!$Z$12)*(RASANTE!F230-PERALTE!$Z$12)-2),IF(RASANTE!F230&lt;=PERALTE!$AB$12,-2))))),IF(AND(AH!$H$14="Derecha",RASANTE!F230&lt;=PERALTE!$AB$12),IF(RASANTE!F230&lt;=PERALTE!$Q$12,-2,IF(RASANTE!F230&lt;=PERALTE!$U$12,(10/(PERALTE!$U$12-PERALTE!$Q$12)*(RASANTE!F230-PERALTE!$Q$12)-2),IF(RASANTE!F230&lt;=PERALTE!$X$12,8,IF(RASANTE!F230&lt;=PERALTE!$AB$12,(10/(PERALTE!$X$12-PERALTE!$AB$12)*(RASANTE!F230-PERALTE!$AB$12)-2))))),IF(AND(AH!$H$16="Izquierda",RASANTE!F230&lt;=PERALTE!$AB$14),IF(RASANTE!F230&lt;=PERALTE!$S$14,-2,IF(RASANTE!F230&lt;=PERALTE!$U$14,(-6/(PERALTE!$U$14-PERALTE!$S$14)*(RASANTE!F230-PERALTE!$S$14)-2),IF(RASANTE!F230&lt;=PERALTE!$X$14,-8,IF(RASANTE!F230&lt;=PERALTE!$Z$14,(-6/(PERALTE!$X$14-PERALTE!$Z$14)*(RASANTE!F230-PERALTE!$Z$14)-2),IF(RASANTE!F230&lt;=PERALTE!$AB$14,-2))))),IF(AND(AH!$H$16="Derecha",RASANTE!F230&lt;=PERALTE!$AB$14),IF(RASANTE!F230&lt;=PERALTE!$Q$14,-2,IF(RASANTE!F230&lt;=PERALTE!$U$14,(10/(PERALTE!$U$14-PERALTE!$Q$14)*(RASANTE!F230-PERALTE!$Q$14)-2),IF(RASANTE!F230&lt;=PERALTE!$X$14,8,IF(RASANTE!F230&lt;=PERALTE!$AB$14,(10/(PERALTE!$X$14-PERALTE!$AB$14)*(RASANTE!F230-PERALTE!$AB$14)-2))))),IF(AND(AH!$H$18="Izquierda",RASANTE!F230&lt;=PERALTE!$AB$16),IF(RASANTE!F230&lt;=PERALTE!$S$16,-2,IF(RASANTE!F230&lt;=PERALTE!$U$16,(-6/(PERALTE!$U$16-PERALTE!$S$16)*(RASANTE!F230-PERALTE!$S$16)-2),IF(RASANTE!F230&lt;=PERALTE!$X$16,-8,IF(RASANTE!F230&lt;=PERALTE!$Z$16,(-6/(PERALTE!$X$16-PERALTE!$Z$16)*(RASANTE!F230-PERALTE!$Z$16)-2),IF(RASANTE!F230&lt;=PERALTE!$AB$16,-2))))),IF(AND(AH!$H$18="Derecha",RASANTE!F230&lt;=PERALTE!$AB$16),IF(RASANTE!F230&lt;=PERALTE!$Q$16,-2,IF(RASANTE!F230&lt;=PERALTE!$U$16,(10/(PERALTE!$U$16-PERALTE!$Q$16)*(RASANTE!F230-PERALTE!$Q$16)-2),IF(RASANTE!F230&lt;=PERALTE!$X$16,8,IF(RASANTE!F230&lt;=PERALTE!$AB$16,(10/(PERALTE!$X$16-PERALTE!$AB$16)*(RASANTE!F230-PERALTE!$AB$16)-2))))),IF(AND(AH!$H$20="Izquierda",RASANTE!F230&lt;=PERALTE!$AB$18),IF(RASANTE!F230&lt;=PERALTE!$S$18,-2,IF(RASANTE!F230&lt;=PERALTE!$U$18,(-6/(PERALTE!$U$18-PERALTE!$S$18)*(RASANTE!F230-PERALTE!$S$18)-2),IF(RASANTE!F230&lt;=PERALTE!$X$18,-8,IF(RASANTE!F230&lt;=PERALTE!$Z$18,(-6/(PERALTE!$X$18-PERALTE!$Z$18)*(RASANTE!F230-PERALTE!$Z$18)-2),IF(RASANTE!F230&lt;=PERALTE!$AB$18,-2))))),IF(AND(AH!$H$20="Derecha",RASANTE!F230&lt;=PERALTE!$AB$18),IF(RASANTE!F230&lt;=PERALTE!$Q$18,-2,IF(RASANTE!F230&lt;=PERALTE!$U$18,(10/(PERALTE!$U$18-PERALTE!$Q$18)*(RASANTE!F230-PERALTE!$Q$18)-2),IF(RASANTE!F230&lt;=PERALTE!$X$18,8,IF(RASANTE!F230&lt;=PERALTE!$AB$18,(10/(PERALTE!$X$18-PERALTE!$AB$18)*(RASANTE!F230-PERALTE!$AB$18)-2))))),IF(AND(AH!$H$24="Izquierda",RASANTE!F230&lt;=PERALTE!$AB$22),IF(RASANTE!F230&lt;=PERALTE!$S$22,-2,IF(RASANTE!F230&lt;=PERALTE!$U$22,(-6/(PERALTE!$U$22-PERALTE!$S$22)*(RASANTE!F230-PERALTE!$S$22)-2),IF(RASANTE!F230&lt;=PERALTE!$X$22,-8,IF(RASANTE!F230&lt;=PERALTE!$Z$22,(-6/(PERALTE!$X$22-PERALTE!$Z$22)*(RASANTE!F230-PERALTE!$Z$22)-2),IF(RASANTE!F230&lt;=PERALTE!$AB$22,-2))))),IF(AND(AH!$H$24="Derecha",RASANTE!F230&lt;=PERALTE!$AB$22),IF(RASANTE!F230&lt;=PERALTE!$Q$22,-2,IF(RASANTE!F230&lt;=PERALTE!$U$22,(10/(PERALTE!$U$22-PERALTE!$Q$22)*(RASANTE!F230-PERALTE!$Q$22)-2),IF(RASANTE!F230&lt;=PERALTE!$X$22,8,IF(RASANTE!F230&lt;=PERALTE!$AB$22,(10/(PERALTE!$X$22-PERALTE!$AB$22)*(RASANTE!F230-PERALTE!$AB$22)-2))))),IF(AND(AH!#REF!="Izquierda",RASANTE!F230&lt;=PERALTE!#REF!),IF(RASANTE!F230&lt;=PERALTE!#REF!,-2,IF(RASANTE!F230&lt;=PERALTE!#REF!,(-6/(PERALTE!#REF!-PERALTE!#REF!)*(RASANTE!F230-PERALTE!#REF!)-2),IF(RASANTE!F230&lt;=PERALTE!#REF!,-8,IF(RASANTE!F230&lt;=PERALTE!#REF!,(-6/(PERALTE!#REF!-PERALTE!#REF!)*(RASANTE!F230-PERALTE!#REF!)-2),IF(RASANTE!F230&lt;=PERALTE!#REF!,-2))))),IF(AND(AH!#REF!="Derecha",RASANTE!F230&lt;=PERALTE!#REF!),IF(RASANTE!F230&lt;=PERALTE!#REF!,-2,IF(RASANTE!F230&lt;=PERALTE!#REF!,(10/(PERALTE!#REF!-PERALTE!#REF!)*(RASANTE!F230-PERALTE!#REF!)-2),IF(RASANTE!F230&lt;=PERALTE!#REF!,8,IF(RASANTE!F230&lt;=PERALTE!#REF!,(10/(PERALTE!#REF!-PERALTE!#REF!)*(RASANTE!F230-PERALTE!#REF!)-2))))),IF(AND(AH!#REF!="Izquierda",RASANTE!F230&lt;=PERALTE!$AB$26),IF(RASANTE!F230&lt;=PERALTE!$S$26,-2,IF(RASANTE!F230&lt;=PERALTE!$U$26,(-6/(PERALTE!$U$26-PERALTE!$S$26)*(RASANTE!F230-PERALTE!$S$26)-2),IF(RASANTE!F230&lt;=PERALTE!$X$26,-8,IF(RASANTE!F230&lt;=PERALTE!$Z$26,(-6/(PERALTE!$X$26-PERALTE!$Z$26)*(RASANTE!F230-PERALTE!$Z$26)-2),IF(RASANTE!F230&lt;=PERALTE!$AB$26,-2))))),IF(AND(AH!#REF!="Derecha",RASANTE!F230&lt;=PERALTE!$AB$26),IF(RASANTE!F230&lt;=PERALTE!$Q$26,-2,IF(RASANTE!F230&lt;=PERALTE!$U$26,(10/(PERALTE!$U$26-PERALTE!$Q$26)*(RASANTE!F230-PERALTE!$Q$26)-2),IF(RASANTE!F230&lt;=PERALTE!$X$26,8,IF(RASANTE!F230&lt;=PERALTE!$AB$26,(10/(PERALTE!$X$26-PERALTE!$AB$26)*(RASANTE!F230-PERALTE!$AB$26)-2))))),IF(F230&lt;=PERALTE!#REF!,-2,"Abscisa fuera de la vía")))))))))))))))))))))</f>
        <v>4.6184017886874917</v>
      </c>
      <c r="I230" s="28">
        <f>+IF(AND(AH!$H$8="Derecha",RASANTE!F230&lt;=PERALTE!$AB$6),IF(RASANTE!F230&lt;=PERALTE!$S$6,-2,IF(RASANTE!F230&lt;=PERALTE!$U$6,(-6/(PERALTE!$U$6-PERALTE!$S$6)*(RASANTE!F230-PERALTE!$S$6)-2),IF(RASANTE!F230&lt;=PERALTE!$X$6,-8,IF(RASANTE!F230&lt;=PERALTE!$Z$6,(-6/(PERALTE!$X$6-PERALTE!$Z$6)*(RASANTE!F230-PERALTE!$Z$6)-2),IF(RASANTE!F230&lt;=PERALTE!$AB$6,-2))))),IF(AND(AH!$H$8="Izquierda",RASANTE!F230&lt;=PERALTE!$AB$6),IF(RASANTE!F230&lt;=PERALTE!$Q$6,-2,IF(RASANTE!F230&lt;=PERALTE!$U$6,(10/(PERALTE!$U$6-PERALTE!$Q$6)*(RASANTE!F230-PERALTE!$Q$6)-2),IF(RASANTE!F230&lt;=PERALTE!$X$6,8,IF(RASANTE!F230&lt;=PERALTE!$AB$6,(10/(PERALTE!$X$6-PERALTE!$AB$6)*(RASANTE!F230-PERALTE!$AB$6)-2))))),IF(AND(AH!$H$10="Derecha",RASANTE!F230&lt;=PERALTE!$AB$8),IF(RASANTE!F230&lt;=PERALTE!$S$8,-2,IF(RASANTE!F230&lt;=PERALTE!$U$8,(-6/(PERALTE!$U$8-PERALTE!$S$8)*(RASANTE!F230-PERALTE!$S$8)-2),IF(RASANTE!F230&lt;=PERALTE!$X$8,-8,IF(RASANTE!F230&lt;=PERALTE!$Z$8,(-6/(PERALTE!$X$8-PERALTE!$Z$8)*(RASANTE!F230-PERALTE!$Z$8)-2),IF(RASANTE!F230&lt;=PERALTE!$AB$8,-2))))),IF(AND(AH!$H$10="Izquierda",RASANTE!F230&lt;=PERALTE!$AB$8),IF(RASANTE!F230&lt;=PERALTE!$Q$8,-2,IF(RASANTE!F230&lt;=PERALTE!$U$8,(10/(PERALTE!$U$8-PERALTE!$Q$8)*(RASANTE!F230-PERALTE!$Q$8)-2),IF(RASANTE!F230&lt;=PERALTE!$X$8,8,IF(RASANTE!F230&lt;=PERALTE!$AB$8,(10/(PERALTE!$X$8-PERALTE!$AB$8)*(RASANTE!F230-PERALTE!$AB$8)-2))))),IF(AND(AH!$H$12="Derecha",RASANTE!F230&lt;=PERALTE!$AB$10),IF(RASANTE!F230&lt;=PERALTE!$S$10,-2,IF(RASANTE!F230&lt;=PERALTE!$U$10,(-6/(PERALTE!$U$10-PERALTE!$S$10)*(RASANTE!F230-PERALTE!$S$10)-2),IF(RASANTE!F230&lt;=PERALTE!$X$10,-8,IF(RASANTE!F230&lt;=PERALTE!$Z$10,(-6/(PERALTE!$X$10-PERALTE!$Z$10)*(RASANTE!F230-PERALTE!$Z$10)-2),IF(RASANTE!F230&lt;=PERALTE!$AB$10,-2))))),IF(AND(AH!$H$12="Izquierda",RASANTE!F230&lt;=PERALTE!$AB$10),IF(RASANTE!F230&lt;=PERALTE!$Q$10,-2,IF(RASANTE!F230&lt;=PERALTE!$U$10,(10/(PERALTE!$U$10-PERALTE!$Q$10)*(RASANTE!F230-PERALTE!$Q$10)-2),IF(RASANTE!F230&lt;=PERALTE!$X$10,8,IF(RASANTE!F230&lt;=PERALTE!$AB$10,(10/(PERALTE!$X$10-PERALTE!$AB$10)*(RASANTE!F230-PERALTE!$AB$10)-2))))),IF(AND(AH!$H$14="Derecha",RASANTE!F230&lt;=PERALTE!$AB$12),IF(RASANTE!F230&lt;=PERALTE!$S$12,-2,IF(RASANTE!F230&lt;=PERALTE!$U$12,(-6/(PERALTE!$U$12-PERALTE!$S$12)*(RASANTE!F230-PERALTE!$S$12)-2),IF(RASANTE!F230&lt;=PERALTE!$X$12,-8,IF(RASANTE!F230&lt;=PERALTE!$Z$12,(-6/(PERALTE!$X$12-PERALTE!$Z$12)*(RASANTE!F230-PERALTE!$Z$12)-2),IF(RASANTE!F230&lt;=PERALTE!$AB$12,-2))))),IF(AND(AH!$H$14="Izquierda",RASANTE!F230&lt;=PERALTE!$AB$12),IF(RASANTE!F230&lt;=PERALTE!$Q$12,-2,IF(RASANTE!F230&lt;=PERALTE!$U$12,(10/(PERALTE!$U$12-PERALTE!$Q$12)*(RASANTE!F230-PERALTE!$Q$12)-2),IF(RASANTE!F230&lt;=PERALTE!$X$12,8,IF(RASANTE!F230&lt;=PERALTE!$AB$12,(10/(PERALTE!$X$12-PERALTE!$AB$12)*(RASANTE!F230-PERALTE!$AB$12)-2))))),IF(AND(AH!$H$16="Derecha",RASANTE!F230&lt;=PERALTE!$AB$14),IF(RASANTE!F230&lt;=PERALTE!$S$14,-2,IF(RASANTE!F230&lt;=PERALTE!$U$14,(-6/(PERALTE!$U$14-PERALTE!$S$14)*(RASANTE!F230-PERALTE!$S$14)-2),IF(RASANTE!F230&lt;=PERALTE!$X$14,-8,IF(RASANTE!F230&lt;=PERALTE!$Z$14,(-6/(PERALTE!$X$14-PERALTE!$Z$14)*(RASANTE!F230-PERALTE!$Z$14)-2),IF(RASANTE!F230&lt;=PERALTE!$AB$14,-2))))),IF(AND(AH!$H$16="Izquierda",RASANTE!F230&lt;=PERALTE!$AB$14),IF(RASANTE!F230&lt;=PERALTE!$Q$14,-2,IF(RASANTE!F230&lt;=PERALTE!$U$14,(10/(PERALTE!$U$14-PERALTE!$Q$14)*(RASANTE!F230-PERALTE!$Q$14)-2),IF(RASANTE!F230&lt;=PERALTE!$X$14,8,IF(RASANTE!F230&lt;=PERALTE!$AB$14,(10/(PERALTE!$X$14-PERALTE!$AB$14)*(RASANTE!F230-PERALTE!$AB$14)-2))))),IF(AND(AH!$H$18="Derecha",RASANTE!F230&lt;=PERALTE!$AB$16),IF(RASANTE!F230&lt;=PERALTE!$S$16,-2,IF(RASANTE!F230&lt;=PERALTE!$U$16,(-6/(PERALTE!$U$16-PERALTE!$S$16)*(RASANTE!F230-PERALTE!$S$16)-2),IF(RASANTE!F230&lt;=PERALTE!$X$16,-8,IF(RASANTE!F230&lt;=PERALTE!$Z$16,(-6/(PERALTE!$X$16-PERALTE!$Z$16)*(RASANTE!F230-PERALTE!$Z$16)-2),IF(RASANTE!F230&lt;=PERALTE!$AB$16,-2))))),IF(AND(AH!$H$18="Izquierda",RASANTE!F230&lt;=PERALTE!$AB$16),IF(RASANTE!F230&lt;=PERALTE!$Q$16,-2,IF(RASANTE!F230&lt;=PERALTE!$U$16,(10/(PERALTE!$U$16-PERALTE!$Q$16)*(RASANTE!F230-PERALTE!$Q$16)-2),IF(RASANTE!F230&lt;=PERALTE!$X$16,8,IF(RASANTE!F230&lt;=PERALTE!$AB$16,(10/(PERALTE!$X$16-PERALTE!$AB$16)*(RASANTE!F230-PERALTE!$AB$16)-2))))),IF(AND(AH!$H$20="Derecha",RASANTE!F230&lt;=PERALTE!$AB$18),IF(RASANTE!F230&lt;=PERALTE!$S$18,-2,IF(RASANTE!F230&lt;=PERALTE!$U$18,(-6/(PERALTE!$U$18-PERALTE!$S$18)*(RASANTE!F230-PERALTE!$S$18)-2),IF(RASANTE!F230&lt;=PERALTE!$X$18,-8,IF(RASANTE!F230&lt;=PERALTE!$Z$18,(-6/(PERALTE!$X$18-PERALTE!$Z$18)*(RASANTE!F230-PERALTE!$Z$18)-2),IF(RASANTE!F230&lt;=PERALTE!$AB$18,-2))))),IF(AND(AH!$H$20="Izquierda",RASANTE!F230&lt;=PERALTE!$AB$18),IF(RASANTE!F230&lt;=PERALTE!$Q$18,-2,IF(RASANTE!F230&lt;=PERALTE!$U$18,(10/(PERALTE!$U$18-PERALTE!$Q$18)*(RASANTE!F230-PERALTE!$Q$18)-2),IF(RASANTE!F230&lt;=PERALTE!$X$18,8,IF(RASANTE!F230&lt;=PERALTE!$AB$18,(10/(PERALTE!$X$18-PERALTE!$AB$18)*(RASANTE!F230-PERALTE!$AB$18)-2))))),IF(AND(AH!$H$24="Derecha",RASANTE!F230&lt;=PERALTE!$AB$22),IF(RASANTE!F230&lt;=PERALTE!$S$22,-2,IF(RASANTE!F230&lt;=PERALTE!$U$22,(-6/(PERALTE!$U$22-PERALTE!$S$22)*(RASANTE!F230-PERALTE!$S$22)-2),IF(RASANTE!F230&lt;=PERALTE!$X$22,-8,IF(RASANTE!F230&lt;=PERALTE!$Z$22,(-6/(PERALTE!$X$22-PERALTE!$Z$22)*(RASANTE!F230-PERALTE!$Z$22)-2),IF(RASANTE!F230&lt;=PERALTE!$AB$22,-2))))),IF(AND(AH!$H$24="Izquierda",RASANTE!F230&lt;=PERALTE!$AB$22),IF(RASANTE!F230&lt;=PERALTE!$Q$22,-2,IF(RASANTE!F230&lt;=PERALTE!$U$22,(10/(PERALTE!$U$22-PERALTE!$Q$22)*(RASANTE!F230-PERALTE!$Q$22)-2),IF(RASANTE!F230&lt;=PERALTE!$X$22,8,IF(RASANTE!F230&lt;=PERALTE!$AB$22,(10/(PERALTE!$X$22-PERALTE!$AB$22)*(RASANTE!F230-PERALTE!$AB$22)-2))))),IF(AND(AH!#REF!="Derecha",RASANTE!F230&lt;=PERALTE!#REF!),IF(RASANTE!F230&lt;=PERALTE!#REF!,-2,IF(RASANTE!F230&lt;=PERALTE!#REF!,(-6/(PERALTE!#REF!-PERALTE!#REF!)*(RASANTE!F230-PERALTE!#REF!)-2),IF(RASANTE!F230&lt;=PERALTE!#REF!,-8,IF(RASANTE!F230&lt;=PERALTE!#REF!,(-6/(PERALTE!#REF!-PERALTE!#REF!)*(RASANTE!F230-PERALTE!#REF!)-2),IF(RASANTE!F230&lt;=PERALTE!#REF!,-2))))),IF(AND(AH!#REF!="Izquierda",RASANTE!F230&lt;=PERALTE!#REF!),IF(RASANTE!F230&lt;=PERALTE!#REF!,-2,IF(RASANTE!F230&lt;=PERALTE!#REF!,(10/(PERALTE!#REF!-PERALTE!#REF!)*(RASANTE!F230-PERALTE!#REF!)-2),IF(RASANTE!F230&lt;=PERALTE!#REF!,8,IF(RASANTE!F230&lt;=PERALTE!#REF!,(10/(PERALTE!#REF!-PERALTE!#REF!)*(RASANTE!F230-PERALTE!#REF!)-2))))),IF(AND(AH!#REF!="Derecha",RASANTE!F230&lt;=PERALTE!$AB$26),IF(RASANTE!F230&lt;=PERALTE!$S$26,-2,IF(RASANTE!F230&lt;=PERALTE!$U$26,(-6/(PERALTE!$U$26-PERALTE!$S$26)*(RASANTE!F230-PERALTE!$S$26)-2),IF(RASANTE!F230&lt;=PERALTE!$X$26,-8,IF(RASANTE!F230&lt;=PERALTE!$Z$26,(-6/(PERALTE!$X$26-PERALTE!$Z$26)*(RASANTE!F230-PERALTE!$Z$26)-2),IF(RASANTE!F230&lt;=PERALTE!$AB$26,-2))))),IF(AND(AH!#REF!="Izquierda",RASANTE!F230&lt;=PERALTE!$AB$26),IF(RASANTE!F230&lt;=PERALTE!$Q$26,-2,IF(RASANTE!F230&lt;=PERALTE!$U$26,(10/(PERALTE!$U$26-PERALTE!$Q$26)*(RASANTE!F230-PERALTE!$Q$26)-2),IF(RASANTE!F230&lt;=PERALTE!$X$26,8,IF(RASANTE!F230&lt;=PERALTE!$AB$26,(10/(PERALTE!$X$26-PERALTE!$AB$26)*(RASANTE!F230-PERALTE!$AB$26)-2))))),IF(F230&lt;=PERALTE!#REF!,-2,"Abscisa fuera de la vía")))))))))))))))))))))</f>
        <v>-4.6184017886875033</v>
      </c>
      <c r="J230" s="28">
        <f t="shared" si="11"/>
        <v>1631.112928464898</v>
      </c>
      <c r="K230" s="28">
        <f>+IF(AND(AV!$S$6&lt;F230,F230&lt;=AV!$T$6),AV!$P$6*((AV!$S$6-RASANTE!F230)/(AV!$N$6))^2,IF(AND(AV!$T$6&lt;RASANTE!F230,F230&lt;AV!$U$6),AV!$P$6*((AV!$U$6-RASANTE!F230)/(AV!$O$6))^2,IF(AND(AV!$S$8&lt;F230,F230&lt;=AV!$T$8),AV!$P$8*((AV!$S$8-RASANTE!F230)/(AV!$N$8))^2,IF(AND(AV!$T$8&lt;RASANTE!F230,F230&lt;AV!$U$8),AV!$P$8*((AV!$U$8-RASANTE!F230)/(AV!$O$8))^2,IF(AND(AV!$S$10&lt;F230,F230&lt;=AV!$T$10),AV!$P$10*((AV!$S$10-RASANTE!F230)/(AV!$N$10))^2,IF(AND(AV!$T$10&lt;RASANTE!F230,F230&lt;AV!$U$10),AV!$P$10*((AV!$U$10-RASANTE!F230)/(AV!$O$10))^2,IF(AND(AV!$S$12&lt;F230,F230&lt;=AV!$T$12),AV!$P$12*((AV!$S$12-RASANTE!F230)/(AV!$N$12))^2,IF(AND(AV!$T$12&lt;RASANTE!F230,F230&lt;AV!$U$12),AV!$P$12*((AV!$U$12-RASANTE!F230)/(AV!$O$12))^2,IF(AND(AV!$S$14&lt;F230,F230&lt;=AV!$T$14),AV!$P$14*((AV!$S$14-RASANTE!F230)/(AV!$N$14))^2,IF(AND(AV!$T$14&lt;RASANTE!F230,F230&lt;AV!$U$14),AV!$P$14*((AV!$U$14-RASANTE!F230)/(AV!$O$14))^2,IF(AND(AV!$S$16&lt;F230,F230&lt;=AV!$T$16),AV!$P$16*((AV!$S$16-RASANTE!F230)/(AV!$N$16))^2,IF(AND(AV!$T$16&lt;RASANTE!F230,F230&lt;AV!$U$16),AV!$P$16*((AV!$U$16-RASANTE!F230)/(AV!$O$16))^2,IF(AND(AV!$S$18&lt;F230,F230&lt;=AV!$T$18),AV!$P$18*((AV!$S$18-RASANTE!F230)/(AV!$N$18))^2,IF(AND(AV!$T$18&lt;RASANTE!F230,F230&lt;AV!$U$18),AV!$P$18*((AV!$U$18-RASANTE!F230)/(AV!$O$18))^2,IF(AND(AV!$S$20&lt;F230,F230&lt;=AV!$T$20),AV!$P$20*((AV!$S$20-RASANTE!F230)/(AV!$N$20))^2,IF(AND(AV!$T$20&lt;RASANTE!F230,F230&lt;AV!$U$20),AV!$P$20*((AV!$U$20-RASANTE!F230)/(AV!$O$20))^2,IF(AND(AV!$S$22&lt;F230,F230&lt;=AV!$T$22),AV!$P$22*((AV!$S$22-RASANTE!F230)/(AV!$N$22))^2,IF(AND(AV!$T$22&lt;RASANTE!F230,F230&lt;AV!$U$22),AV!$P$22*((AV!$U$22-RASANTE!F230)/(AV!$O$22))^2,IF(AND(AV!$S$24&lt;F230,F230&lt;=AV!$T$24),AV!$P$24*((AV!$S$24-RASANTE!F230)/(AV!$N$24))^2,IF(AND(AV!$T$24&lt;RASANTE!F230,F230&lt;AV!$U$24),AV!$P$24*((AV!$U$24-RASANTE!F230)/(AV!$O$24))^2,0))))))))))))))))))))</f>
        <v>0</v>
      </c>
      <c r="L230" s="28">
        <f>+M230+H230%*PERALTE!$C$32</f>
        <v>1631.274572527502</v>
      </c>
      <c r="M230" s="28">
        <f t="shared" si="7"/>
        <v>1631.112928464898</v>
      </c>
      <c r="N230" s="28">
        <f>+M230+I230%*PERALTE!$C$32</f>
        <v>1630.951284402294</v>
      </c>
      <c r="O230" s="92"/>
      <c r="P230" s="84"/>
      <c r="Q230" s="84"/>
      <c r="R230" s="84"/>
      <c r="S230" s="84"/>
      <c r="T230" s="84"/>
      <c r="U230" s="84"/>
      <c r="V230" s="84"/>
      <c r="W230" s="84"/>
      <c r="X230" s="84"/>
      <c r="Y230" s="84"/>
    </row>
    <row r="231" spans="1:25" ht="15.75" customHeight="1" x14ac:dyDescent="0.2">
      <c r="A231" s="90" t="s">
        <v>364</v>
      </c>
      <c r="B231" s="86"/>
      <c r="C231" s="86"/>
      <c r="D231" s="86"/>
      <c r="E231" s="91"/>
      <c r="F231" s="34">
        <f>PERALTE!Y16</f>
        <v>1422.8109172213069</v>
      </c>
      <c r="G231" s="88">
        <f>IF(F231&lt;=AV!$T$6,AV!$C$5,IF(RASANTE!F231&lt;=AV!$T$8,AV!$C$7,IF(RASANTE!F231&lt;=AV!$T$10,AV!$C$9,IF(RASANTE!F231&lt;=AV!$T$12,AV!$C$11,IF(RASANTE!F231&lt;=AV!$T$14,AV!$C$13,IF(RASANTE!F231&lt;=AV!$T$16,AV!$C$15, IF(RASANTE!F231&lt;=AV!$T$18,AV!$C$17,IF(RASANTE!F231&lt;=AV!$T$20,AV!$C$19,IF(RASANTE!F231&lt;=AV!$T$22,AV!$C$21,IF(RASANTE!F231&lt;=AV!$T$24,AV!$C$23,AV!$C$25))))))))))</f>
        <v>2.8</v>
      </c>
      <c r="H231" s="28">
        <f>+IF(AND(AH!$H$8="Izquierda",RASANTE!F231&lt;=PERALTE!$AB$6),IF(RASANTE!F231&lt;=PERALTE!$S$6,-2,IF(RASANTE!F231&lt;=PERALTE!$U$6,(-6/(PERALTE!$U$6-PERALTE!$S$6)*(RASANTE!F231-PERALTE!$S$6)-2),IF(RASANTE!F231&lt;=PERALTE!$X$6,-8,IF(RASANTE!F231&lt;=PERALTE!$Z$6,(-6/(PERALTE!$X$6-PERALTE!$Z$6)*(RASANTE!F231-PERALTE!$Z$6)-2),IF(RASANTE!F231&lt;=PERALTE!$AB$6,-2))))),IF(AND(AH!$H$8="Derecha",RASANTE!F231&lt;=PERALTE!$AB$6),IF(RASANTE!F231&lt;=PERALTE!$Q$6,-2,IF(RASANTE!F231&lt;=PERALTE!$U$6,(10/(PERALTE!$U$6-PERALTE!$Q$6)*(RASANTE!F231-PERALTE!$Q$6)-2),IF(RASANTE!F231&lt;=PERALTE!$X$6,8,IF(RASANTE!F231&lt;=PERALTE!$AB$6,(10/(PERALTE!$X$6-PERALTE!$AB$6)*(RASANTE!F231-PERALTE!$AB$6)-2))))),IF(AND(AH!$H$10="Izquierda",RASANTE!F231&lt;=PERALTE!$AB$8),IF(RASANTE!F231&lt;=PERALTE!$S$8,-2,IF(RASANTE!F231&lt;=PERALTE!$U$8,(-6/(PERALTE!$U$8-PERALTE!$S$8)*(RASANTE!F231-PERALTE!$S$8)-2),IF(RASANTE!F231&lt;=PERALTE!$X$8,-8,IF(RASANTE!F231&lt;=PERALTE!$Z$8,(-6/(PERALTE!$X$8-PERALTE!$Z$8)*(RASANTE!F231-PERALTE!$Z$8)-2),IF(RASANTE!F231&lt;=PERALTE!$AB$8,-2))))),IF(AND(AH!$H$10="Derecha",RASANTE!F231&lt;=PERALTE!$AB$8),IF(RASANTE!F231&lt;=PERALTE!$Q$8,-2,IF(RASANTE!F231&lt;=PERALTE!$U$8,(10/(PERALTE!$U$8-PERALTE!$Q$8)*(RASANTE!F231-PERALTE!$Q$8)-2),IF(RASANTE!F231&lt;=PERALTE!$X$8,8,IF(RASANTE!F231&lt;=PERALTE!$AB$8,(10/(PERALTE!$X$8-PERALTE!$AB$8)*(RASANTE!F231-PERALTE!$AB$8)-2))))),IF(AND(AH!$H$12="Izquierda",RASANTE!F231&lt;=PERALTE!$AB$10),IF(RASANTE!F231&lt;=PERALTE!$S$10,-2,IF(RASANTE!F231&lt;=PERALTE!$U$10,(-6/(PERALTE!$U$10-PERALTE!$S$10)*(RASANTE!F231-PERALTE!$S$10)-2),IF(RASANTE!F231&lt;=PERALTE!$X$10,-8,IF(RASANTE!F231&lt;=PERALTE!$Z$10,(-6/(PERALTE!$X$10-PERALTE!$Z$10)*(RASANTE!F231-PERALTE!$Z$10)-2),IF(RASANTE!F231&lt;=PERALTE!$AB$10,-2))))),IF(AND(AH!$H$12="Derecha",RASANTE!F231&lt;=PERALTE!$AB$10),IF(RASANTE!F231&lt;=PERALTE!$Q$10,-2,IF(RASANTE!F231&lt;=PERALTE!$U$10,(10/(PERALTE!$U$10-PERALTE!$Q$10)*(RASANTE!F231-PERALTE!$Q$10)-2),IF(RASANTE!F231&lt;=PERALTE!$X$10,8,IF(RASANTE!F231&lt;=PERALTE!$AB$10,(10/(PERALTE!$X$10-PERALTE!$AB$10)*(RASANTE!F231-PERALTE!$AB$10)-2))))),IF(AND(AH!$H$14="Izquierda",RASANTE!F231&lt;=PERALTE!$AB$12),IF(RASANTE!F231&lt;=PERALTE!$S$12,-2,IF(RASANTE!F231&lt;=PERALTE!$U$12,(-6/(PERALTE!$U$12-PERALTE!$S$12)*(RASANTE!F231-PERALTE!$S$12)-2),IF(RASANTE!F231&lt;=PERALTE!$X$12,-8,IF(RASANTE!F231&lt;=PERALTE!$Z$12,(-6/(PERALTE!$X$12-PERALTE!$Z$12)*(RASANTE!F231-PERALTE!$Z$12)-2),IF(RASANTE!F231&lt;=PERALTE!$AB$12,-2))))),IF(AND(AH!$H$14="Derecha",RASANTE!F231&lt;=PERALTE!$AB$12),IF(RASANTE!F231&lt;=PERALTE!$Q$12,-2,IF(RASANTE!F231&lt;=PERALTE!$U$12,(10/(PERALTE!$U$12-PERALTE!$Q$12)*(RASANTE!F231-PERALTE!$Q$12)-2),IF(RASANTE!F231&lt;=PERALTE!$X$12,8,IF(RASANTE!F231&lt;=PERALTE!$AB$12,(10/(PERALTE!$X$12-PERALTE!$AB$12)*(RASANTE!F231-PERALTE!$AB$12)-2))))),IF(AND(AH!$H$16="Izquierda",RASANTE!F231&lt;=PERALTE!$AB$14),IF(RASANTE!F231&lt;=PERALTE!$S$14,-2,IF(RASANTE!F231&lt;=PERALTE!$U$14,(-6/(PERALTE!$U$14-PERALTE!$S$14)*(RASANTE!F231-PERALTE!$S$14)-2),IF(RASANTE!F231&lt;=PERALTE!$X$14,-8,IF(RASANTE!F231&lt;=PERALTE!$Z$14,(-6/(PERALTE!$X$14-PERALTE!$Z$14)*(RASANTE!F231-PERALTE!$Z$14)-2),IF(RASANTE!F231&lt;=PERALTE!$AB$14,-2))))),IF(AND(AH!$H$16="Derecha",RASANTE!F231&lt;=PERALTE!$AB$14),IF(RASANTE!F231&lt;=PERALTE!$Q$14,-2,IF(RASANTE!F231&lt;=PERALTE!$U$14,(10/(PERALTE!$U$14-PERALTE!$Q$14)*(RASANTE!F231-PERALTE!$Q$14)-2),IF(RASANTE!F231&lt;=PERALTE!$X$14,8,IF(RASANTE!F231&lt;=PERALTE!$AB$14,(10/(PERALTE!$X$14-PERALTE!$AB$14)*(RASANTE!F231-PERALTE!$AB$14)-2))))),IF(AND(AH!$H$18="Izquierda",RASANTE!F231&lt;=PERALTE!$AB$16),IF(RASANTE!F231&lt;=PERALTE!$S$16,-2,IF(RASANTE!F231&lt;=PERALTE!$U$16,(-6/(PERALTE!$U$16-PERALTE!$S$16)*(RASANTE!F231-PERALTE!$S$16)-2),IF(RASANTE!F231&lt;=PERALTE!$X$16,-8,IF(RASANTE!F231&lt;=PERALTE!$Z$16,(-6/(PERALTE!$X$16-PERALTE!$Z$16)*(RASANTE!F231-PERALTE!$Z$16)-2),IF(RASANTE!F231&lt;=PERALTE!$AB$16,-2))))),IF(AND(AH!$H$18="Derecha",RASANTE!F231&lt;=PERALTE!$AB$16),IF(RASANTE!F231&lt;=PERALTE!$Q$16,-2,IF(RASANTE!F231&lt;=PERALTE!$U$16,(10/(PERALTE!$U$16-PERALTE!$Q$16)*(RASANTE!F231-PERALTE!$Q$16)-2),IF(RASANTE!F231&lt;=PERALTE!$X$16,8,IF(RASANTE!F231&lt;=PERALTE!$AB$16,(10/(PERALTE!$X$16-PERALTE!$AB$16)*(RASANTE!F231-PERALTE!$AB$16)-2))))),IF(AND(AH!$H$20="Izquierda",RASANTE!F231&lt;=PERALTE!$AB$18),IF(RASANTE!F231&lt;=PERALTE!$S$18,-2,IF(RASANTE!F231&lt;=PERALTE!$U$18,(-6/(PERALTE!$U$18-PERALTE!$S$18)*(RASANTE!F231-PERALTE!$S$18)-2),IF(RASANTE!F231&lt;=PERALTE!$X$18,-8,IF(RASANTE!F231&lt;=PERALTE!$Z$18,(-6/(PERALTE!$X$18-PERALTE!$Z$18)*(RASANTE!F231-PERALTE!$Z$18)-2),IF(RASANTE!F231&lt;=PERALTE!$AB$18,-2))))),IF(AND(AH!$H$20="Derecha",RASANTE!F231&lt;=PERALTE!$AB$18),IF(RASANTE!F231&lt;=PERALTE!$Q$18,-2,IF(RASANTE!F231&lt;=PERALTE!$U$18,(10/(PERALTE!$U$18-PERALTE!$Q$18)*(RASANTE!F231-PERALTE!$Q$18)-2),IF(RASANTE!F231&lt;=PERALTE!$X$18,8,IF(RASANTE!F231&lt;=PERALTE!$AB$18,(10/(PERALTE!$X$18-PERALTE!$AB$18)*(RASANTE!F231-PERALTE!$AB$18)-2))))),IF(AND(AH!$H$24="Izquierda",RASANTE!F231&lt;=PERALTE!$AB$22),IF(RASANTE!F231&lt;=PERALTE!$S$22,-2,IF(RASANTE!F231&lt;=PERALTE!$U$22,(-6/(PERALTE!$U$22-PERALTE!$S$22)*(RASANTE!F231-PERALTE!$S$22)-2),IF(RASANTE!F231&lt;=PERALTE!$X$22,-8,IF(RASANTE!F231&lt;=PERALTE!$Z$22,(-6/(PERALTE!$X$22-PERALTE!$Z$22)*(RASANTE!F231-PERALTE!$Z$22)-2),IF(RASANTE!F231&lt;=PERALTE!$AB$22,-2))))),IF(AND(AH!$H$24="Derecha",RASANTE!F231&lt;=PERALTE!$AB$22),IF(RASANTE!F231&lt;=PERALTE!$Q$22,-2,IF(RASANTE!F231&lt;=PERALTE!$U$22,(10/(PERALTE!$U$22-PERALTE!$Q$22)*(RASANTE!F231-PERALTE!$Q$22)-2),IF(RASANTE!F231&lt;=PERALTE!$X$22,8,IF(RASANTE!F231&lt;=PERALTE!$AB$22,(10/(PERALTE!$X$22-PERALTE!$AB$22)*(RASANTE!F231-PERALTE!$AB$22)-2))))),IF(AND(AH!#REF!="Izquierda",RASANTE!F231&lt;=PERALTE!#REF!),IF(RASANTE!F231&lt;=PERALTE!#REF!,-2,IF(RASANTE!F231&lt;=PERALTE!#REF!,(-6/(PERALTE!#REF!-PERALTE!#REF!)*(RASANTE!F231-PERALTE!#REF!)-2),IF(RASANTE!F231&lt;=PERALTE!#REF!,-8,IF(RASANTE!F231&lt;=PERALTE!#REF!,(-6/(PERALTE!#REF!-PERALTE!#REF!)*(RASANTE!F231-PERALTE!#REF!)-2),IF(RASANTE!F231&lt;=PERALTE!#REF!,-2))))),IF(AND(AH!#REF!="Derecha",RASANTE!F231&lt;=PERALTE!#REF!),IF(RASANTE!F231&lt;=PERALTE!#REF!,-2,IF(RASANTE!F231&lt;=PERALTE!#REF!,(10/(PERALTE!#REF!-PERALTE!#REF!)*(RASANTE!F231-PERALTE!#REF!)-2),IF(RASANTE!F231&lt;=PERALTE!#REF!,8,IF(RASANTE!F231&lt;=PERALTE!#REF!,(10/(PERALTE!#REF!-PERALTE!#REF!)*(RASANTE!F231-PERALTE!#REF!)-2))))),IF(AND(AH!#REF!="Izquierda",RASANTE!F231&lt;=PERALTE!$AB$26),IF(RASANTE!F231&lt;=PERALTE!$S$26,-2,IF(RASANTE!F231&lt;=PERALTE!$U$26,(-6/(PERALTE!$U$26-PERALTE!$S$26)*(RASANTE!F231-PERALTE!$S$26)-2),IF(RASANTE!F231&lt;=PERALTE!$X$26,-8,IF(RASANTE!F231&lt;=PERALTE!$Z$26,(-6/(PERALTE!$X$26-PERALTE!$Z$26)*(RASANTE!F231-PERALTE!$Z$26)-2),IF(RASANTE!F231&lt;=PERALTE!$AB$26,-2))))),IF(AND(AH!#REF!="Derecha",RASANTE!F231&lt;=PERALTE!$AB$26),IF(RASANTE!F231&lt;=PERALTE!$Q$26,-2,IF(RASANTE!F231&lt;=PERALTE!$U$26,(10/(PERALTE!$U$26-PERALTE!$Q$26)*(RASANTE!F231-PERALTE!$Q$26)-2),IF(RASANTE!F231&lt;=PERALTE!$X$26,8,IF(RASANTE!F231&lt;=PERALTE!$AB$26,(10/(PERALTE!$X$26-PERALTE!$AB$26)*(RASANTE!F231-PERALTE!$AB$26)-2))))),IF(F231&lt;=PERALTE!#REF!,-2,"Abscisa fuera de la vía")))))))))))))))))))))</f>
        <v>3.9999999999999698</v>
      </c>
      <c r="I231" s="28">
        <f>+IF(AND(AH!$H$8="Derecha",RASANTE!F231&lt;=PERALTE!$AB$6),IF(RASANTE!F231&lt;=PERALTE!$S$6,-2,IF(RASANTE!F231&lt;=PERALTE!$U$6,(-6/(PERALTE!$U$6-PERALTE!$S$6)*(RASANTE!F231-PERALTE!$S$6)-2),IF(RASANTE!F231&lt;=PERALTE!$X$6,-8,IF(RASANTE!F231&lt;=PERALTE!$Z$6,(-6/(PERALTE!$X$6-PERALTE!$Z$6)*(RASANTE!F231-PERALTE!$Z$6)-2),IF(RASANTE!F231&lt;=PERALTE!$AB$6,-2))))),IF(AND(AH!$H$8="Izquierda",RASANTE!F231&lt;=PERALTE!$AB$6),IF(RASANTE!F231&lt;=PERALTE!$Q$6,-2,IF(RASANTE!F231&lt;=PERALTE!$U$6,(10/(PERALTE!$U$6-PERALTE!$Q$6)*(RASANTE!F231-PERALTE!$Q$6)-2),IF(RASANTE!F231&lt;=PERALTE!$X$6,8,IF(RASANTE!F231&lt;=PERALTE!$AB$6,(10/(PERALTE!$X$6-PERALTE!$AB$6)*(RASANTE!F231-PERALTE!$AB$6)-2))))),IF(AND(AH!$H$10="Derecha",RASANTE!F231&lt;=PERALTE!$AB$8),IF(RASANTE!F231&lt;=PERALTE!$S$8,-2,IF(RASANTE!F231&lt;=PERALTE!$U$8,(-6/(PERALTE!$U$8-PERALTE!$S$8)*(RASANTE!F231-PERALTE!$S$8)-2),IF(RASANTE!F231&lt;=PERALTE!$X$8,-8,IF(RASANTE!F231&lt;=PERALTE!$Z$8,(-6/(PERALTE!$X$8-PERALTE!$Z$8)*(RASANTE!F231-PERALTE!$Z$8)-2),IF(RASANTE!F231&lt;=PERALTE!$AB$8,-2))))),IF(AND(AH!$H$10="Izquierda",RASANTE!F231&lt;=PERALTE!$AB$8),IF(RASANTE!F231&lt;=PERALTE!$Q$8,-2,IF(RASANTE!F231&lt;=PERALTE!$U$8,(10/(PERALTE!$U$8-PERALTE!$Q$8)*(RASANTE!F231-PERALTE!$Q$8)-2),IF(RASANTE!F231&lt;=PERALTE!$X$8,8,IF(RASANTE!F231&lt;=PERALTE!$AB$8,(10/(PERALTE!$X$8-PERALTE!$AB$8)*(RASANTE!F231-PERALTE!$AB$8)-2))))),IF(AND(AH!$H$12="Derecha",RASANTE!F231&lt;=PERALTE!$AB$10),IF(RASANTE!F231&lt;=PERALTE!$S$10,-2,IF(RASANTE!F231&lt;=PERALTE!$U$10,(-6/(PERALTE!$U$10-PERALTE!$S$10)*(RASANTE!F231-PERALTE!$S$10)-2),IF(RASANTE!F231&lt;=PERALTE!$X$10,-8,IF(RASANTE!F231&lt;=PERALTE!$Z$10,(-6/(PERALTE!$X$10-PERALTE!$Z$10)*(RASANTE!F231-PERALTE!$Z$10)-2),IF(RASANTE!F231&lt;=PERALTE!$AB$10,-2))))),IF(AND(AH!$H$12="Izquierda",RASANTE!F231&lt;=PERALTE!$AB$10),IF(RASANTE!F231&lt;=PERALTE!$Q$10,-2,IF(RASANTE!F231&lt;=PERALTE!$U$10,(10/(PERALTE!$U$10-PERALTE!$Q$10)*(RASANTE!F231-PERALTE!$Q$10)-2),IF(RASANTE!F231&lt;=PERALTE!$X$10,8,IF(RASANTE!F231&lt;=PERALTE!$AB$10,(10/(PERALTE!$X$10-PERALTE!$AB$10)*(RASANTE!F231-PERALTE!$AB$10)-2))))),IF(AND(AH!$H$14="Derecha",RASANTE!F231&lt;=PERALTE!$AB$12),IF(RASANTE!F231&lt;=PERALTE!$S$12,-2,IF(RASANTE!F231&lt;=PERALTE!$U$12,(-6/(PERALTE!$U$12-PERALTE!$S$12)*(RASANTE!F231-PERALTE!$S$12)-2),IF(RASANTE!F231&lt;=PERALTE!$X$12,-8,IF(RASANTE!F231&lt;=PERALTE!$Z$12,(-6/(PERALTE!$X$12-PERALTE!$Z$12)*(RASANTE!F231-PERALTE!$Z$12)-2),IF(RASANTE!F231&lt;=PERALTE!$AB$12,-2))))),IF(AND(AH!$H$14="Izquierda",RASANTE!F231&lt;=PERALTE!$AB$12),IF(RASANTE!F231&lt;=PERALTE!$Q$12,-2,IF(RASANTE!F231&lt;=PERALTE!$U$12,(10/(PERALTE!$U$12-PERALTE!$Q$12)*(RASANTE!F231-PERALTE!$Q$12)-2),IF(RASANTE!F231&lt;=PERALTE!$X$12,8,IF(RASANTE!F231&lt;=PERALTE!$AB$12,(10/(PERALTE!$X$12-PERALTE!$AB$12)*(RASANTE!F231-PERALTE!$AB$12)-2))))),IF(AND(AH!$H$16="Derecha",RASANTE!F231&lt;=PERALTE!$AB$14),IF(RASANTE!F231&lt;=PERALTE!$S$14,-2,IF(RASANTE!F231&lt;=PERALTE!$U$14,(-6/(PERALTE!$U$14-PERALTE!$S$14)*(RASANTE!F231-PERALTE!$S$14)-2),IF(RASANTE!F231&lt;=PERALTE!$X$14,-8,IF(RASANTE!F231&lt;=PERALTE!$Z$14,(-6/(PERALTE!$X$14-PERALTE!$Z$14)*(RASANTE!F231-PERALTE!$Z$14)-2),IF(RASANTE!F231&lt;=PERALTE!$AB$14,-2))))),IF(AND(AH!$H$16="Izquierda",RASANTE!F231&lt;=PERALTE!$AB$14),IF(RASANTE!F231&lt;=PERALTE!$Q$14,-2,IF(RASANTE!F231&lt;=PERALTE!$U$14,(10/(PERALTE!$U$14-PERALTE!$Q$14)*(RASANTE!F231-PERALTE!$Q$14)-2),IF(RASANTE!F231&lt;=PERALTE!$X$14,8,IF(RASANTE!F231&lt;=PERALTE!$AB$14,(10/(PERALTE!$X$14-PERALTE!$AB$14)*(RASANTE!F231-PERALTE!$AB$14)-2))))),IF(AND(AH!$H$18="Derecha",RASANTE!F231&lt;=PERALTE!$AB$16),IF(RASANTE!F231&lt;=PERALTE!$S$16,-2,IF(RASANTE!F231&lt;=PERALTE!$U$16,(-6/(PERALTE!$U$16-PERALTE!$S$16)*(RASANTE!F231-PERALTE!$S$16)-2),IF(RASANTE!F231&lt;=PERALTE!$X$16,-8,IF(RASANTE!F231&lt;=PERALTE!$Z$16,(-6/(PERALTE!$X$16-PERALTE!$Z$16)*(RASANTE!F231-PERALTE!$Z$16)-2),IF(RASANTE!F231&lt;=PERALTE!$AB$16,-2))))),IF(AND(AH!$H$18="Izquierda",RASANTE!F231&lt;=PERALTE!$AB$16),IF(RASANTE!F231&lt;=PERALTE!$Q$16,-2,IF(RASANTE!F231&lt;=PERALTE!$U$16,(10/(PERALTE!$U$16-PERALTE!$Q$16)*(RASANTE!F231-PERALTE!$Q$16)-2),IF(RASANTE!F231&lt;=PERALTE!$X$16,8,IF(RASANTE!F231&lt;=PERALTE!$AB$16,(10/(PERALTE!$X$16-PERALTE!$AB$16)*(RASANTE!F231-PERALTE!$AB$16)-2))))),IF(AND(AH!$H$20="Derecha",RASANTE!F231&lt;=PERALTE!$AB$18),IF(RASANTE!F231&lt;=PERALTE!$S$18,-2,IF(RASANTE!F231&lt;=PERALTE!$U$18,(-6/(PERALTE!$U$18-PERALTE!$S$18)*(RASANTE!F231-PERALTE!$S$18)-2),IF(RASANTE!F231&lt;=PERALTE!$X$18,-8,IF(RASANTE!F231&lt;=PERALTE!$Z$18,(-6/(PERALTE!$X$18-PERALTE!$Z$18)*(RASANTE!F231-PERALTE!$Z$18)-2),IF(RASANTE!F231&lt;=PERALTE!$AB$18,-2))))),IF(AND(AH!$H$20="Izquierda",RASANTE!F231&lt;=PERALTE!$AB$18),IF(RASANTE!F231&lt;=PERALTE!$Q$18,-2,IF(RASANTE!F231&lt;=PERALTE!$U$18,(10/(PERALTE!$U$18-PERALTE!$Q$18)*(RASANTE!F231-PERALTE!$Q$18)-2),IF(RASANTE!F231&lt;=PERALTE!$X$18,8,IF(RASANTE!F231&lt;=PERALTE!$AB$18,(10/(PERALTE!$X$18-PERALTE!$AB$18)*(RASANTE!F231-PERALTE!$AB$18)-2))))),IF(AND(AH!$H$24="Derecha",RASANTE!F231&lt;=PERALTE!$AB$22),IF(RASANTE!F231&lt;=PERALTE!$S$22,-2,IF(RASANTE!F231&lt;=PERALTE!$U$22,(-6/(PERALTE!$U$22-PERALTE!$S$22)*(RASANTE!F231-PERALTE!$S$22)-2),IF(RASANTE!F231&lt;=PERALTE!$X$22,-8,IF(RASANTE!F231&lt;=PERALTE!$Z$22,(-6/(PERALTE!$X$22-PERALTE!$Z$22)*(RASANTE!F231-PERALTE!$Z$22)-2),IF(RASANTE!F231&lt;=PERALTE!$AB$22,-2))))),IF(AND(AH!$H$24="Izquierda",RASANTE!F231&lt;=PERALTE!$AB$22),IF(RASANTE!F231&lt;=PERALTE!$Q$22,-2,IF(RASANTE!F231&lt;=PERALTE!$U$22,(10/(PERALTE!$U$22-PERALTE!$Q$22)*(RASANTE!F231-PERALTE!$Q$22)-2),IF(RASANTE!F231&lt;=PERALTE!$X$22,8,IF(RASANTE!F231&lt;=PERALTE!$AB$22,(10/(PERALTE!$X$22-PERALTE!$AB$22)*(RASANTE!F231-PERALTE!$AB$22)-2))))),IF(AND(AH!#REF!="Derecha",RASANTE!F231&lt;=PERALTE!#REF!),IF(RASANTE!F231&lt;=PERALTE!#REF!,-2,IF(RASANTE!F231&lt;=PERALTE!#REF!,(-6/(PERALTE!#REF!-PERALTE!#REF!)*(RASANTE!F231-PERALTE!#REF!)-2),IF(RASANTE!F231&lt;=PERALTE!#REF!,-8,IF(RASANTE!F231&lt;=PERALTE!#REF!,(-6/(PERALTE!#REF!-PERALTE!#REF!)*(RASANTE!F231-PERALTE!#REF!)-2),IF(RASANTE!F231&lt;=PERALTE!#REF!,-2))))),IF(AND(AH!#REF!="Izquierda",RASANTE!F231&lt;=PERALTE!#REF!),IF(RASANTE!F231&lt;=PERALTE!#REF!,-2,IF(RASANTE!F231&lt;=PERALTE!#REF!,(10/(PERALTE!#REF!-PERALTE!#REF!)*(RASANTE!F231-PERALTE!#REF!)-2),IF(RASANTE!F231&lt;=PERALTE!#REF!,8,IF(RASANTE!F231&lt;=PERALTE!#REF!,(10/(PERALTE!#REF!-PERALTE!#REF!)*(RASANTE!F231-PERALTE!#REF!)-2))))),IF(AND(AH!#REF!="Derecha",RASANTE!F231&lt;=PERALTE!$AB$26),IF(RASANTE!F231&lt;=PERALTE!$S$26,-2,IF(RASANTE!F231&lt;=PERALTE!$U$26,(-6/(PERALTE!$U$26-PERALTE!$S$26)*(RASANTE!F231-PERALTE!$S$26)-2),IF(RASANTE!F231&lt;=PERALTE!$X$26,-8,IF(RASANTE!F231&lt;=PERALTE!$Z$26,(-6/(PERALTE!$X$26-PERALTE!$Z$26)*(RASANTE!F231-PERALTE!$Z$26)-2),IF(RASANTE!F231&lt;=PERALTE!$AB$26,-2))))),IF(AND(AH!#REF!="Izquierda",RASANTE!F231&lt;=PERALTE!$AB$26),IF(RASANTE!F231&lt;=PERALTE!$Q$26,-2,IF(RASANTE!F231&lt;=PERALTE!$U$26,(10/(PERALTE!$U$26-PERALTE!$Q$26)*(RASANTE!F231-PERALTE!$Q$26)-2),IF(RASANTE!F231&lt;=PERALTE!$X$26,8,IF(RASANTE!F231&lt;=PERALTE!$AB$26,(10/(PERALTE!$X$26-PERALTE!$AB$26)*(RASANTE!F231-PERALTE!$AB$26)-2))))),IF(F231&lt;=PERALTE!#REF!,-2,"Abscisa fuera de la vía")))))))))))))))))))))</f>
        <v>-3.9999999999999831</v>
      </c>
      <c r="J231" s="28">
        <f t="shared" si="11"/>
        <v>1631.1916341470946</v>
      </c>
      <c r="K231" s="28">
        <f>+IF(AND(AV!$S$6&lt;F231,F231&lt;=AV!$T$6),AV!$P$6*((AV!$S$6-RASANTE!F231)/(AV!$N$6))^2,IF(AND(AV!$T$6&lt;RASANTE!F231,F231&lt;AV!$U$6),AV!$P$6*((AV!$U$6-RASANTE!F231)/(AV!$O$6))^2,IF(AND(AV!$S$8&lt;F231,F231&lt;=AV!$T$8),AV!$P$8*((AV!$S$8-RASANTE!F231)/(AV!$N$8))^2,IF(AND(AV!$T$8&lt;RASANTE!F231,F231&lt;AV!$U$8),AV!$P$8*((AV!$U$8-RASANTE!F231)/(AV!$O$8))^2,IF(AND(AV!$S$10&lt;F231,F231&lt;=AV!$T$10),AV!$P$10*((AV!$S$10-RASANTE!F231)/(AV!$N$10))^2,IF(AND(AV!$T$10&lt;RASANTE!F231,F231&lt;AV!$U$10),AV!$P$10*((AV!$U$10-RASANTE!F231)/(AV!$O$10))^2,IF(AND(AV!$S$12&lt;F231,F231&lt;=AV!$T$12),AV!$P$12*((AV!$S$12-RASANTE!F231)/(AV!$N$12))^2,IF(AND(AV!$T$12&lt;RASANTE!F231,F231&lt;AV!$U$12),AV!$P$12*((AV!$U$12-RASANTE!F231)/(AV!$O$12))^2,IF(AND(AV!$S$14&lt;F231,F231&lt;=AV!$T$14),AV!$P$14*((AV!$S$14-RASANTE!F231)/(AV!$N$14))^2,IF(AND(AV!$T$14&lt;RASANTE!F231,F231&lt;AV!$U$14),AV!$P$14*((AV!$U$14-RASANTE!F231)/(AV!$O$14))^2,IF(AND(AV!$S$16&lt;F231,F231&lt;=AV!$T$16),AV!$P$16*((AV!$S$16-RASANTE!F231)/(AV!$N$16))^2,IF(AND(AV!$T$16&lt;RASANTE!F231,F231&lt;AV!$U$16),AV!$P$16*((AV!$U$16-RASANTE!F231)/(AV!$O$16))^2,IF(AND(AV!$S$18&lt;F231,F231&lt;=AV!$T$18),AV!$P$18*((AV!$S$18-RASANTE!F231)/(AV!$N$18))^2,IF(AND(AV!$T$18&lt;RASANTE!F231,F231&lt;AV!$U$18),AV!$P$18*((AV!$U$18-RASANTE!F231)/(AV!$O$18))^2,IF(AND(AV!$S$20&lt;F231,F231&lt;=AV!$T$20),AV!$P$20*((AV!$S$20-RASANTE!F231)/(AV!$N$20))^2,IF(AND(AV!$T$20&lt;RASANTE!F231,F231&lt;AV!$U$20),AV!$P$20*((AV!$U$20-RASANTE!F231)/(AV!$O$20))^2,IF(AND(AV!$S$22&lt;F231,F231&lt;=AV!$T$22),AV!$P$22*((AV!$S$22-RASANTE!F231)/(AV!$N$22))^2,IF(AND(AV!$T$22&lt;RASANTE!F231,F231&lt;AV!$U$22),AV!$P$22*((AV!$U$22-RASANTE!F231)/(AV!$O$22))^2,IF(AND(AV!$S$24&lt;F231,F231&lt;=AV!$T$24),AV!$P$24*((AV!$S$24-RASANTE!F231)/(AV!$N$24))^2,IF(AND(AV!$T$24&lt;RASANTE!F231,F231&lt;AV!$U$24),AV!$P$24*((AV!$U$24-RASANTE!F231)/(AV!$O$24))^2,0))))))))))))))))))))</f>
        <v>0</v>
      </c>
      <c r="L231" s="28">
        <f>+M231+H231%*PERALTE!$C$32</f>
        <v>1631.3316341470947</v>
      </c>
      <c r="M231" s="28">
        <f t="shared" si="7"/>
        <v>1631.1916341470946</v>
      </c>
      <c r="N231" s="28">
        <f>+M231+I231%*PERALTE!$C$32</f>
        <v>1631.0516341470945</v>
      </c>
      <c r="O231" s="92"/>
      <c r="P231" s="84"/>
      <c r="Q231" s="84"/>
      <c r="R231" s="84"/>
      <c r="S231" s="84"/>
      <c r="T231" s="84"/>
      <c r="U231" s="84"/>
      <c r="V231" s="84"/>
      <c r="W231" s="84"/>
      <c r="X231" s="84"/>
      <c r="Y231" s="84"/>
    </row>
    <row r="232" spans="1:25" ht="15.75" customHeight="1" x14ac:dyDescent="0.2">
      <c r="A232" s="90"/>
      <c r="B232" s="86"/>
      <c r="C232" s="86"/>
      <c r="D232" s="86"/>
      <c r="E232" s="91"/>
      <c r="F232" s="34">
        <v>1430</v>
      </c>
      <c r="G232" s="88">
        <f>IF(F232&lt;=AV!$T$6,AV!$C$5,IF(RASANTE!F232&lt;=AV!$T$8,AV!$C$7,IF(RASANTE!F232&lt;=AV!$T$10,AV!$C$9,IF(RASANTE!F232&lt;=AV!$T$12,AV!$C$11,IF(RASANTE!F232&lt;=AV!$T$14,AV!$C$13,IF(RASANTE!F232&lt;=AV!$T$16,AV!$C$15, IF(RASANTE!F232&lt;=AV!$T$18,AV!$C$17,IF(RASANTE!F232&lt;=AV!$T$20,AV!$C$19,IF(RASANTE!F232&lt;=AV!$T$22,AV!$C$21,IF(RASANTE!F232&lt;=AV!$T$24,AV!$C$23,AV!$C$25))))))))))</f>
        <v>2.8</v>
      </c>
      <c r="H232" s="28">
        <f>+IF(AND(AH!$H$8="Izquierda",RASANTE!F232&lt;=PERALTE!$AB$6),IF(RASANTE!F232&lt;=PERALTE!$S$6,-2,IF(RASANTE!F232&lt;=PERALTE!$U$6,(-6/(PERALTE!$U$6-PERALTE!$S$6)*(RASANTE!F232-PERALTE!$S$6)-2),IF(RASANTE!F232&lt;=PERALTE!$X$6,-8,IF(RASANTE!F232&lt;=PERALTE!$Z$6,(-6/(PERALTE!$X$6-PERALTE!$Z$6)*(RASANTE!F232-PERALTE!$Z$6)-2),IF(RASANTE!F232&lt;=PERALTE!$AB$6,-2))))),IF(AND(AH!$H$8="Derecha",RASANTE!F232&lt;=PERALTE!$AB$6),IF(RASANTE!F232&lt;=PERALTE!$Q$6,-2,IF(RASANTE!F232&lt;=PERALTE!$U$6,(10/(PERALTE!$U$6-PERALTE!$Q$6)*(RASANTE!F232-PERALTE!$Q$6)-2),IF(RASANTE!F232&lt;=PERALTE!$X$6,8,IF(RASANTE!F232&lt;=PERALTE!$AB$6,(10/(PERALTE!$X$6-PERALTE!$AB$6)*(RASANTE!F232-PERALTE!$AB$6)-2))))),IF(AND(AH!$H$10="Izquierda",RASANTE!F232&lt;=PERALTE!$AB$8),IF(RASANTE!F232&lt;=PERALTE!$S$8,-2,IF(RASANTE!F232&lt;=PERALTE!$U$8,(-6/(PERALTE!$U$8-PERALTE!$S$8)*(RASANTE!F232-PERALTE!$S$8)-2),IF(RASANTE!F232&lt;=PERALTE!$X$8,-8,IF(RASANTE!F232&lt;=PERALTE!$Z$8,(-6/(PERALTE!$X$8-PERALTE!$Z$8)*(RASANTE!F232-PERALTE!$Z$8)-2),IF(RASANTE!F232&lt;=PERALTE!$AB$8,-2))))),IF(AND(AH!$H$10="Derecha",RASANTE!F232&lt;=PERALTE!$AB$8),IF(RASANTE!F232&lt;=PERALTE!$Q$8,-2,IF(RASANTE!F232&lt;=PERALTE!$U$8,(10/(PERALTE!$U$8-PERALTE!$Q$8)*(RASANTE!F232-PERALTE!$Q$8)-2),IF(RASANTE!F232&lt;=PERALTE!$X$8,8,IF(RASANTE!F232&lt;=PERALTE!$AB$8,(10/(PERALTE!$X$8-PERALTE!$AB$8)*(RASANTE!F232-PERALTE!$AB$8)-2))))),IF(AND(AH!$H$12="Izquierda",RASANTE!F232&lt;=PERALTE!$AB$10),IF(RASANTE!F232&lt;=PERALTE!$S$10,-2,IF(RASANTE!F232&lt;=PERALTE!$U$10,(-6/(PERALTE!$U$10-PERALTE!$S$10)*(RASANTE!F232-PERALTE!$S$10)-2),IF(RASANTE!F232&lt;=PERALTE!$X$10,-8,IF(RASANTE!F232&lt;=PERALTE!$Z$10,(-6/(PERALTE!$X$10-PERALTE!$Z$10)*(RASANTE!F232-PERALTE!$Z$10)-2),IF(RASANTE!F232&lt;=PERALTE!$AB$10,-2))))),IF(AND(AH!$H$12="Derecha",RASANTE!F232&lt;=PERALTE!$AB$10),IF(RASANTE!F232&lt;=PERALTE!$Q$10,-2,IF(RASANTE!F232&lt;=PERALTE!$U$10,(10/(PERALTE!$U$10-PERALTE!$Q$10)*(RASANTE!F232-PERALTE!$Q$10)-2),IF(RASANTE!F232&lt;=PERALTE!$X$10,8,IF(RASANTE!F232&lt;=PERALTE!$AB$10,(10/(PERALTE!$X$10-PERALTE!$AB$10)*(RASANTE!F232-PERALTE!$AB$10)-2))))),IF(AND(AH!$H$14="Izquierda",RASANTE!F232&lt;=PERALTE!$AB$12),IF(RASANTE!F232&lt;=PERALTE!$S$12,-2,IF(RASANTE!F232&lt;=PERALTE!$U$12,(-6/(PERALTE!$U$12-PERALTE!$S$12)*(RASANTE!F232-PERALTE!$S$12)-2),IF(RASANTE!F232&lt;=PERALTE!$X$12,-8,IF(RASANTE!F232&lt;=PERALTE!$Z$12,(-6/(PERALTE!$X$12-PERALTE!$Z$12)*(RASANTE!F232-PERALTE!$Z$12)-2),IF(RASANTE!F232&lt;=PERALTE!$AB$12,-2))))),IF(AND(AH!$H$14="Derecha",RASANTE!F232&lt;=PERALTE!$AB$12),IF(RASANTE!F232&lt;=PERALTE!$Q$12,-2,IF(RASANTE!F232&lt;=PERALTE!$U$12,(10/(PERALTE!$U$12-PERALTE!$Q$12)*(RASANTE!F232-PERALTE!$Q$12)-2),IF(RASANTE!F232&lt;=PERALTE!$X$12,8,IF(RASANTE!F232&lt;=PERALTE!$AB$12,(10/(PERALTE!$X$12-PERALTE!$AB$12)*(RASANTE!F232-PERALTE!$AB$12)-2))))),IF(AND(AH!$H$16="Izquierda",RASANTE!F232&lt;=PERALTE!$AB$14),IF(RASANTE!F232&lt;=PERALTE!$S$14,-2,IF(RASANTE!F232&lt;=PERALTE!$U$14,(-6/(PERALTE!$U$14-PERALTE!$S$14)*(RASANTE!F232-PERALTE!$S$14)-2),IF(RASANTE!F232&lt;=PERALTE!$X$14,-8,IF(RASANTE!F232&lt;=PERALTE!$Z$14,(-6/(PERALTE!$X$14-PERALTE!$Z$14)*(RASANTE!F232-PERALTE!$Z$14)-2),IF(RASANTE!F232&lt;=PERALTE!$AB$14,-2))))),IF(AND(AH!$H$16="Derecha",RASANTE!F232&lt;=PERALTE!$AB$14),IF(RASANTE!F232&lt;=PERALTE!$Q$14,-2,IF(RASANTE!F232&lt;=PERALTE!$U$14,(10/(PERALTE!$U$14-PERALTE!$Q$14)*(RASANTE!F232-PERALTE!$Q$14)-2),IF(RASANTE!F232&lt;=PERALTE!$X$14,8,IF(RASANTE!F232&lt;=PERALTE!$AB$14,(10/(PERALTE!$X$14-PERALTE!$AB$14)*(RASANTE!F232-PERALTE!$AB$14)-2))))),IF(AND(AH!$H$18="Izquierda",RASANTE!F232&lt;=PERALTE!$AB$16),IF(RASANTE!F232&lt;=PERALTE!$S$16,-2,IF(RASANTE!F232&lt;=PERALTE!$U$16,(-6/(PERALTE!$U$16-PERALTE!$S$16)*(RASANTE!F232-PERALTE!$S$16)-2),IF(RASANTE!F232&lt;=PERALTE!$X$16,-8,IF(RASANTE!F232&lt;=PERALTE!$Z$16,(-6/(PERALTE!$X$16-PERALTE!$Z$16)*(RASANTE!F232-PERALTE!$Z$16)-2),IF(RASANTE!F232&lt;=PERALTE!$AB$16,-2))))),IF(AND(AH!$H$18="Derecha",RASANTE!F232&lt;=PERALTE!$AB$16),IF(RASANTE!F232&lt;=PERALTE!$Q$16,-2,IF(RASANTE!F232&lt;=PERALTE!$U$16,(10/(PERALTE!$U$16-PERALTE!$Q$16)*(RASANTE!F232-PERALTE!$Q$16)-2),IF(RASANTE!F232&lt;=PERALTE!$X$16,8,IF(RASANTE!F232&lt;=PERALTE!$AB$16,(10/(PERALTE!$X$16-PERALTE!$AB$16)*(RASANTE!F232-PERALTE!$AB$16)-2))))),IF(AND(AH!$H$20="Izquierda",RASANTE!F232&lt;=PERALTE!$AB$18),IF(RASANTE!F232&lt;=PERALTE!$S$18,-2,IF(RASANTE!F232&lt;=PERALTE!$U$18,(-6/(PERALTE!$U$18-PERALTE!$S$18)*(RASANTE!F232-PERALTE!$S$18)-2),IF(RASANTE!F232&lt;=PERALTE!$X$18,-8,IF(RASANTE!F232&lt;=PERALTE!$Z$18,(-6/(PERALTE!$X$18-PERALTE!$Z$18)*(RASANTE!F232-PERALTE!$Z$18)-2),IF(RASANTE!F232&lt;=PERALTE!$AB$18,-2))))),IF(AND(AH!$H$20="Derecha",RASANTE!F232&lt;=PERALTE!$AB$18),IF(RASANTE!F232&lt;=PERALTE!$Q$18,-2,IF(RASANTE!F232&lt;=PERALTE!$U$18,(10/(PERALTE!$U$18-PERALTE!$Q$18)*(RASANTE!F232-PERALTE!$Q$18)-2),IF(RASANTE!F232&lt;=PERALTE!$X$18,8,IF(RASANTE!F232&lt;=PERALTE!$AB$18,(10/(PERALTE!$X$18-PERALTE!$AB$18)*(RASANTE!F232-PERALTE!$AB$18)-2))))),IF(AND(AH!$H$24="Izquierda",RASANTE!F232&lt;=PERALTE!$AB$22),IF(RASANTE!F232&lt;=PERALTE!$S$22,-2,IF(RASANTE!F232&lt;=PERALTE!$U$22,(-6/(PERALTE!$U$22-PERALTE!$S$22)*(RASANTE!F232-PERALTE!$S$22)-2),IF(RASANTE!F232&lt;=PERALTE!$X$22,-8,IF(RASANTE!F232&lt;=PERALTE!$Z$22,(-6/(PERALTE!$X$22-PERALTE!$Z$22)*(RASANTE!F232-PERALTE!$Z$22)-2),IF(RASANTE!F232&lt;=PERALTE!$AB$22,-2))))),IF(AND(AH!$H$24="Derecha",RASANTE!F232&lt;=PERALTE!$AB$22),IF(RASANTE!F232&lt;=PERALTE!$Q$22,-2,IF(RASANTE!F232&lt;=PERALTE!$U$22,(10/(PERALTE!$U$22-PERALTE!$Q$22)*(RASANTE!F232-PERALTE!$Q$22)-2),IF(RASANTE!F232&lt;=PERALTE!$X$22,8,IF(RASANTE!F232&lt;=PERALTE!$AB$22,(10/(PERALTE!$X$22-PERALTE!$AB$22)*(RASANTE!F232-PERALTE!$AB$22)-2))))),IF(AND(AH!#REF!="Izquierda",RASANTE!F232&lt;=PERALTE!#REF!),IF(RASANTE!F232&lt;=PERALTE!#REF!,-2,IF(RASANTE!F232&lt;=PERALTE!#REF!,(-6/(PERALTE!#REF!-PERALTE!#REF!)*(RASANTE!F232-PERALTE!#REF!)-2),IF(RASANTE!F232&lt;=PERALTE!#REF!,-8,IF(RASANTE!F232&lt;=PERALTE!#REF!,(-6/(PERALTE!#REF!-PERALTE!#REF!)*(RASANTE!F232-PERALTE!#REF!)-2),IF(RASANTE!F232&lt;=PERALTE!#REF!,-2))))),IF(AND(AH!#REF!="Derecha",RASANTE!F232&lt;=PERALTE!#REF!),IF(RASANTE!F232&lt;=PERALTE!#REF!,-2,IF(RASANTE!F232&lt;=PERALTE!#REF!,(10/(PERALTE!#REF!-PERALTE!#REF!)*(RASANTE!F232-PERALTE!#REF!)-2),IF(RASANTE!F232&lt;=PERALTE!#REF!,8,IF(RASANTE!F232&lt;=PERALTE!#REF!,(10/(PERALTE!#REF!-PERALTE!#REF!)*(RASANTE!F232-PERALTE!#REF!)-2))))),IF(AND(AH!#REF!="Izquierda",RASANTE!F232&lt;=PERALTE!$AB$26),IF(RASANTE!F232&lt;=PERALTE!$S$26,-2,IF(RASANTE!F232&lt;=PERALTE!$U$26,(-6/(PERALTE!$U$26-PERALTE!$S$26)*(RASANTE!F232-PERALTE!$S$26)-2),IF(RASANTE!F232&lt;=PERALTE!$X$26,-8,IF(RASANTE!F232&lt;=PERALTE!$Z$26,(-6/(PERALTE!$X$26-PERALTE!$Z$26)*(RASANTE!F232-PERALTE!$Z$26)-2),IF(RASANTE!F232&lt;=PERALTE!$AB$26,-2))))),IF(AND(AH!#REF!="Derecha",RASANTE!F232&lt;=PERALTE!$AB$26),IF(RASANTE!F232&lt;=PERALTE!$Q$26,-2,IF(RASANTE!F232&lt;=PERALTE!$U$26,(10/(PERALTE!$U$26-PERALTE!$Q$26)*(RASANTE!F232-PERALTE!$Q$26)-2),IF(RASANTE!F232&lt;=PERALTE!$X$26,8,IF(RASANTE!F232&lt;=PERALTE!$AB$26,(10/(PERALTE!$X$26-PERALTE!$AB$26)*(RASANTE!F232-PERALTE!$AB$26)-2))))),IF(F232&lt;=PERALTE!#REF!,-2,"Abscisa fuera de la vía")))))))))))))))))))))</f>
        <v>2.4184017886874836</v>
      </c>
      <c r="I232" s="28">
        <f>+IF(AND(AH!$H$8="Derecha",RASANTE!F232&lt;=PERALTE!$AB$6),IF(RASANTE!F232&lt;=PERALTE!$S$6,-2,IF(RASANTE!F232&lt;=PERALTE!$U$6,(-6/(PERALTE!$U$6-PERALTE!$S$6)*(RASANTE!F232-PERALTE!$S$6)-2),IF(RASANTE!F232&lt;=PERALTE!$X$6,-8,IF(RASANTE!F232&lt;=PERALTE!$Z$6,(-6/(PERALTE!$X$6-PERALTE!$Z$6)*(RASANTE!F232-PERALTE!$Z$6)-2),IF(RASANTE!F232&lt;=PERALTE!$AB$6,-2))))),IF(AND(AH!$H$8="Izquierda",RASANTE!F232&lt;=PERALTE!$AB$6),IF(RASANTE!F232&lt;=PERALTE!$Q$6,-2,IF(RASANTE!F232&lt;=PERALTE!$U$6,(10/(PERALTE!$U$6-PERALTE!$Q$6)*(RASANTE!F232-PERALTE!$Q$6)-2),IF(RASANTE!F232&lt;=PERALTE!$X$6,8,IF(RASANTE!F232&lt;=PERALTE!$AB$6,(10/(PERALTE!$X$6-PERALTE!$AB$6)*(RASANTE!F232-PERALTE!$AB$6)-2))))),IF(AND(AH!$H$10="Derecha",RASANTE!F232&lt;=PERALTE!$AB$8),IF(RASANTE!F232&lt;=PERALTE!$S$8,-2,IF(RASANTE!F232&lt;=PERALTE!$U$8,(-6/(PERALTE!$U$8-PERALTE!$S$8)*(RASANTE!F232-PERALTE!$S$8)-2),IF(RASANTE!F232&lt;=PERALTE!$X$8,-8,IF(RASANTE!F232&lt;=PERALTE!$Z$8,(-6/(PERALTE!$X$8-PERALTE!$Z$8)*(RASANTE!F232-PERALTE!$Z$8)-2),IF(RASANTE!F232&lt;=PERALTE!$AB$8,-2))))),IF(AND(AH!$H$10="Izquierda",RASANTE!F232&lt;=PERALTE!$AB$8),IF(RASANTE!F232&lt;=PERALTE!$Q$8,-2,IF(RASANTE!F232&lt;=PERALTE!$U$8,(10/(PERALTE!$U$8-PERALTE!$Q$8)*(RASANTE!F232-PERALTE!$Q$8)-2),IF(RASANTE!F232&lt;=PERALTE!$X$8,8,IF(RASANTE!F232&lt;=PERALTE!$AB$8,(10/(PERALTE!$X$8-PERALTE!$AB$8)*(RASANTE!F232-PERALTE!$AB$8)-2))))),IF(AND(AH!$H$12="Derecha",RASANTE!F232&lt;=PERALTE!$AB$10),IF(RASANTE!F232&lt;=PERALTE!$S$10,-2,IF(RASANTE!F232&lt;=PERALTE!$U$10,(-6/(PERALTE!$U$10-PERALTE!$S$10)*(RASANTE!F232-PERALTE!$S$10)-2),IF(RASANTE!F232&lt;=PERALTE!$X$10,-8,IF(RASANTE!F232&lt;=PERALTE!$Z$10,(-6/(PERALTE!$X$10-PERALTE!$Z$10)*(RASANTE!F232-PERALTE!$Z$10)-2),IF(RASANTE!F232&lt;=PERALTE!$AB$10,-2))))),IF(AND(AH!$H$12="Izquierda",RASANTE!F232&lt;=PERALTE!$AB$10),IF(RASANTE!F232&lt;=PERALTE!$Q$10,-2,IF(RASANTE!F232&lt;=PERALTE!$U$10,(10/(PERALTE!$U$10-PERALTE!$Q$10)*(RASANTE!F232-PERALTE!$Q$10)-2),IF(RASANTE!F232&lt;=PERALTE!$X$10,8,IF(RASANTE!F232&lt;=PERALTE!$AB$10,(10/(PERALTE!$X$10-PERALTE!$AB$10)*(RASANTE!F232-PERALTE!$AB$10)-2))))),IF(AND(AH!$H$14="Derecha",RASANTE!F232&lt;=PERALTE!$AB$12),IF(RASANTE!F232&lt;=PERALTE!$S$12,-2,IF(RASANTE!F232&lt;=PERALTE!$U$12,(-6/(PERALTE!$U$12-PERALTE!$S$12)*(RASANTE!F232-PERALTE!$S$12)-2),IF(RASANTE!F232&lt;=PERALTE!$X$12,-8,IF(RASANTE!F232&lt;=PERALTE!$Z$12,(-6/(PERALTE!$X$12-PERALTE!$Z$12)*(RASANTE!F232-PERALTE!$Z$12)-2),IF(RASANTE!F232&lt;=PERALTE!$AB$12,-2))))),IF(AND(AH!$H$14="Izquierda",RASANTE!F232&lt;=PERALTE!$AB$12),IF(RASANTE!F232&lt;=PERALTE!$Q$12,-2,IF(RASANTE!F232&lt;=PERALTE!$U$12,(10/(PERALTE!$U$12-PERALTE!$Q$12)*(RASANTE!F232-PERALTE!$Q$12)-2),IF(RASANTE!F232&lt;=PERALTE!$X$12,8,IF(RASANTE!F232&lt;=PERALTE!$AB$12,(10/(PERALTE!$X$12-PERALTE!$AB$12)*(RASANTE!F232-PERALTE!$AB$12)-2))))),IF(AND(AH!$H$16="Derecha",RASANTE!F232&lt;=PERALTE!$AB$14),IF(RASANTE!F232&lt;=PERALTE!$S$14,-2,IF(RASANTE!F232&lt;=PERALTE!$U$14,(-6/(PERALTE!$U$14-PERALTE!$S$14)*(RASANTE!F232-PERALTE!$S$14)-2),IF(RASANTE!F232&lt;=PERALTE!$X$14,-8,IF(RASANTE!F232&lt;=PERALTE!$Z$14,(-6/(PERALTE!$X$14-PERALTE!$Z$14)*(RASANTE!F232-PERALTE!$Z$14)-2),IF(RASANTE!F232&lt;=PERALTE!$AB$14,-2))))),IF(AND(AH!$H$16="Izquierda",RASANTE!F232&lt;=PERALTE!$AB$14),IF(RASANTE!F232&lt;=PERALTE!$Q$14,-2,IF(RASANTE!F232&lt;=PERALTE!$U$14,(10/(PERALTE!$U$14-PERALTE!$Q$14)*(RASANTE!F232-PERALTE!$Q$14)-2),IF(RASANTE!F232&lt;=PERALTE!$X$14,8,IF(RASANTE!F232&lt;=PERALTE!$AB$14,(10/(PERALTE!$X$14-PERALTE!$AB$14)*(RASANTE!F232-PERALTE!$AB$14)-2))))),IF(AND(AH!$H$18="Derecha",RASANTE!F232&lt;=PERALTE!$AB$16),IF(RASANTE!F232&lt;=PERALTE!$S$16,-2,IF(RASANTE!F232&lt;=PERALTE!$U$16,(-6/(PERALTE!$U$16-PERALTE!$S$16)*(RASANTE!F232-PERALTE!$S$16)-2),IF(RASANTE!F232&lt;=PERALTE!$X$16,-8,IF(RASANTE!F232&lt;=PERALTE!$Z$16,(-6/(PERALTE!$X$16-PERALTE!$Z$16)*(RASANTE!F232-PERALTE!$Z$16)-2),IF(RASANTE!F232&lt;=PERALTE!$AB$16,-2))))),IF(AND(AH!$H$18="Izquierda",RASANTE!F232&lt;=PERALTE!$AB$16),IF(RASANTE!F232&lt;=PERALTE!$Q$16,-2,IF(RASANTE!F232&lt;=PERALTE!$U$16,(10/(PERALTE!$U$16-PERALTE!$Q$16)*(RASANTE!F232-PERALTE!$Q$16)-2),IF(RASANTE!F232&lt;=PERALTE!$X$16,8,IF(RASANTE!F232&lt;=PERALTE!$AB$16,(10/(PERALTE!$X$16-PERALTE!$AB$16)*(RASANTE!F232-PERALTE!$AB$16)-2))))),IF(AND(AH!$H$20="Derecha",RASANTE!F232&lt;=PERALTE!$AB$18),IF(RASANTE!F232&lt;=PERALTE!$S$18,-2,IF(RASANTE!F232&lt;=PERALTE!$U$18,(-6/(PERALTE!$U$18-PERALTE!$S$18)*(RASANTE!F232-PERALTE!$S$18)-2),IF(RASANTE!F232&lt;=PERALTE!$X$18,-8,IF(RASANTE!F232&lt;=PERALTE!$Z$18,(-6/(PERALTE!$X$18-PERALTE!$Z$18)*(RASANTE!F232-PERALTE!$Z$18)-2),IF(RASANTE!F232&lt;=PERALTE!$AB$18,-2))))),IF(AND(AH!$H$20="Izquierda",RASANTE!F232&lt;=PERALTE!$AB$18),IF(RASANTE!F232&lt;=PERALTE!$Q$18,-2,IF(RASANTE!F232&lt;=PERALTE!$U$18,(10/(PERALTE!$U$18-PERALTE!$Q$18)*(RASANTE!F232-PERALTE!$Q$18)-2),IF(RASANTE!F232&lt;=PERALTE!$X$18,8,IF(RASANTE!F232&lt;=PERALTE!$AB$18,(10/(PERALTE!$X$18-PERALTE!$AB$18)*(RASANTE!F232-PERALTE!$AB$18)-2))))),IF(AND(AH!$H$24="Derecha",RASANTE!F232&lt;=PERALTE!$AB$22),IF(RASANTE!F232&lt;=PERALTE!$S$22,-2,IF(RASANTE!F232&lt;=PERALTE!$U$22,(-6/(PERALTE!$U$22-PERALTE!$S$22)*(RASANTE!F232-PERALTE!$S$22)-2),IF(RASANTE!F232&lt;=PERALTE!$X$22,-8,IF(RASANTE!F232&lt;=PERALTE!$Z$22,(-6/(PERALTE!$X$22-PERALTE!$Z$22)*(RASANTE!F232-PERALTE!$Z$22)-2),IF(RASANTE!F232&lt;=PERALTE!$AB$22,-2))))),IF(AND(AH!$H$24="Izquierda",RASANTE!F232&lt;=PERALTE!$AB$22),IF(RASANTE!F232&lt;=PERALTE!$Q$22,-2,IF(RASANTE!F232&lt;=PERALTE!$U$22,(10/(PERALTE!$U$22-PERALTE!$Q$22)*(RASANTE!F232-PERALTE!$Q$22)-2),IF(RASANTE!F232&lt;=PERALTE!$X$22,8,IF(RASANTE!F232&lt;=PERALTE!$AB$22,(10/(PERALTE!$X$22-PERALTE!$AB$22)*(RASANTE!F232-PERALTE!$AB$22)-2))))),IF(AND(AH!#REF!="Derecha",RASANTE!F232&lt;=PERALTE!#REF!),IF(RASANTE!F232&lt;=PERALTE!#REF!,-2,IF(RASANTE!F232&lt;=PERALTE!#REF!,(-6/(PERALTE!#REF!-PERALTE!#REF!)*(RASANTE!F232-PERALTE!#REF!)-2),IF(RASANTE!F232&lt;=PERALTE!#REF!,-8,IF(RASANTE!F232&lt;=PERALTE!#REF!,(-6/(PERALTE!#REF!-PERALTE!#REF!)*(RASANTE!F232-PERALTE!#REF!)-2),IF(RASANTE!F232&lt;=PERALTE!#REF!,-2))))),IF(AND(AH!#REF!="Izquierda",RASANTE!F232&lt;=PERALTE!#REF!),IF(RASANTE!F232&lt;=PERALTE!#REF!,-2,IF(RASANTE!F232&lt;=PERALTE!#REF!,(10/(PERALTE!#REF!-PERALTE!#REF!)*(RASANTE!F232-PERALTE!#REF!)-2),IF(RASANTE!F232&lt;=PERALTE!#REF!,8,IF(RASANTE!F232&lt;=PERALTE!#REF!,(10/(PERALTE!#REF!-PERALTE!#REF!)*(RASANTE!F232-PERALTE!#REF!)-2))))),IF(AND(AH!#REF!="Derecha",RASANTE!F232&lt;=PERALTE!$AB$26),IF(RASANTE!F232&lt;=PERALTE!$S$26,-2,IF(RASANTE!F232&lt;=PERALTE!$U$26,(-6/(PERALTE!$U$26-PERALTE!$S$26)*(RASANTE!F232-PERALTE!$S$26)-2),IF(RASANTE!F232&lt;=PERALTE!$X$26,-8,IF(RASANTE!F232&lt;=PERALTE!$Z$26,(-6/(PERALTE!$X$26-PERALTE!$Z$26)*(RASANTE!F232-PERALTE!$Z$26)-2),IF(RASANTE!F232&lt;=PERALTE!$AB$26,-2))))),IF(AND(AH!#REF!="Izquierda",RASANTE!F232&lt;=PERALTE!$AB$26),IF(RASANTE!F232&lt;=PERALTE!$Q$26,-2,IF(RASANTE!F232&lt;=PERALTE!$U$26,(10/(PERALTE!$U$26-PERALTE!$Q$26)*(RASANTE!F232-PERALTE!$Q$26)-2),IF(RASANTE!F232&lt;=PERALTE!$X$26,8,IF(RASANTE!F232&lt;=PERALTE!$AB$26,(10/(PERALTE!$X$26-PERALTE!$AB$26)*(RASANTE!F232-PERALTE!$AB$26)-2))))),IF(F232&lt;=PERALTE!#REF!,-2,"Abscisa fuera de la vía")))))))))))))))))))))</f>
        <v>-2.4184017886875022</v>
      </c>
      <c r="J232" s="28">
        <f t="shared" si="11"/>
        <v>1631.392928464898</v>
      </c>
      <c r="K232" s="28">
        <f>+IF(AND(AV!$S$6&lt;F232,F232&lt;=AV!$T$6),AV!$P$6*((AV!$S$6-RASANTE!F232)/(AV!$N$6))^2,IF(AND(AV!$T$6&lt;RASANTE!F232,F232&lt;AV!$U$6),AV!$P$6*((AV!$U$6-RASANTE!F232)/(AV!$O$6))^2,IF(AND(AV!$S$8&lt;F232,F232&lt;=AV!$T$8),AV!$P$8*((AV!$S$8-RASANTE!F232)/(AV!$N$8))^2,IF(AND(AV!$T$8&lt;RASANTE!F232,F232&lt;AV!$U$8),AV!$P$8*((AV!$U$8-RASANTE!F232)/(AV!$O$8))^2,IF(AND(AV!$S$10&lt;F232,F232&lt;=AV!$T$10),AV!$P$10*((AV!$S$10-RASANTE!F232)/(AV!$N$10))^2,IF(AND(AV!$T$10&lt;RASANTE!F232,F232&lt;AV!$U$10),AV!$P$10*((AV!$U$10-RASANTE!F232)/(AV!$O$10))^2,IF(AND(AV!$S$12&lt;F232,F232&lt;=AV!$T$12),AV!$P$12*((AV!$S$12-RASANTE!F232)/(AV!$N$12))^2,IF(AND(AV!$T$12&lt;RASANTE!F232,F232&lt;AV!$U$12),AV!$P$12*((AV!$U$12-RASANTE!F232)/(AV!$O$12))^2,IF(AND(AV!$S$14&lt;F232,F232&lt;=AV!$T$14),AV!$P$14*((AV!$S$14-RASANTE!F232)/(AV!$N$14))^2,IF(AND(AV!$T$14&lt;RASANTE!F232,F232&lt;AV!$U$14),AV!$P$14*((AV!$U$14-RASANTE!F232)/(AV!$O$14))^2,IF(AND(AV!$S$16&lt;F232,F232&lt;=AV!$T$16),AV!$P$16*((AV!$S$16-RASANTE!F232)/(AV!$N$16))^2,IF(AND(AV!$T$16&lt;RASANTE!F232,F232&lt;AV!$U$16),AV!$P$16*((AV!$U$16-RASANTE!F232)/(AV!$O$16))^2,IF(AND(AV!$S$18&lt;F232,F232&lt;=AV!$T$18),AV!$P$18*((AV!$S$18-RASANTE!F232)/(AV!$N$18))^2,IF(AND(AV!$T$18&lt;RASANTE!F232,F232&lt;AV!$U$18),AV!$P$18*((AV!$U$18-RASANTE!F232)/(AV!$O$18))^2,IF(AND(AV!$S$20&lt;F232,F232&lt;=AV!$T$20),AV!$P$20*((AV!$S$20-RASANTE!F232)/(AV!$N$20))^2,IF(AND(AV!$T$20&lt;RASANTE!F232,F232&lt;AV!$U$20),AV!$P$20*((AV!$U$20-RASANTE!F232)/(AV!$O$20))^2,IF(AND(AV!$S$22&lt;F232,F232&lt;=AV!$T$22),AV!$P$22*((AV!$S$22-RASANTE!F232)/(AV!$N$22))^2,IF(AND(AV!$T$22&lt;RASANTE!F232,F232&lt;AV!$U$22),AV!$P$22*((AV!$U$22-RASANTE!F232)/(AV!$O$22))^2,IF(AND(AV!$S$24&lt;F232,F232&lt;=AV!$T$24),AV!$P$24*((AV!$S$24-RASANTE!F232)/(AV!$N$24))^2,IF(AND(AV!$T$24&lt;RASANTE!F232,F232&lt;AV!$U$24),AV!$P$24*((AV!$U$24-RASANTE!F232)/(AV!$O$24))^2,0))))))))))))))))))))</f>
        <v>0</v>
      </c>
      <c r="L232" s="28">
        <f>+M232+H232%*PERALTE!$C$32</f>
        <v>1631.4775725275019</v>
      </c>
      <c r="M232" s="28">
        <f t="shared" si="7"/>
        <v>1631.392928464898</v>
      </c>
      <c r="N232" s="28">
        <f>+M232+I232%*PERALTE!$C$32</f>
        <v>1631.308284402294</v>
      </c>
      <c r="O232" s="92"/>
      <c r="P232" s="84"/>
      <c r="Q232" s="84"/>
      <c r="R232" s="84"/>
      <c r="S232" s="84"/>
      <c r="T232" s="84"/>
      <c r="U232" s="84"/>
      <c r="V232" s="84"/>
      <c r="W232" s="84"/>
      <c r="X232" s="84"/>
      <c r="Y232" s="84"/>
    </row>
    <row r="233" spans="1:25" ht="15.75" customHeight="1" x14ac:dyDescent="0.2">
      <c r="A233" s="90" t="s">
        <v>365</v>
      </c>
      <c r="B233" s="86"/>
      <c r="C233" s="86"/>
      <c r="D233" s="86"/>
      <c r="E233" s="91"/>
      <c r="F233" s="34">
        <f>PERALTE!Z16</f>
        <v>1431.9018263122159</v>
      </c>
      <c r="G233" s="88">
        <f>IF(F233&lt;=AV!$T$6,AV!$C$5,IF(RASANTE!F233&lt;=AV!$T$8,AV!$C$7,IF(RASANTE!F233&lt;=AV!$T$10,AV!$C$9,IF(RASANTE!F233&lt;=AV!$T$12,AV!$C$11,IF(RASANTE!F233&lt;=AV!$T$14,AV!$C$13,IF(RASANTE!F233&lt;=AV!$T$16,AV!$C$15, IF(RASANTE!F233&lt;=AV!$T$18,AV!$C$17,IF(RASANTE!F233&lt;=AV!$T$20,AV!$C$19,IF(RASANTE!F233&lt;=AV!$T$22,AV!$C$21,IF(RASANTE!F233&lt;=AV!$T$24,AV!$C$23,AV!$C$25))))))))))</f>
        <v>2.8</v>
      </c>
      <c r="H233" s="28">
        <f>+IF(AND(AH!$H$8="Izquierda",RASANTE!F233&lt;=PERALTE!$AB$6),IF(RASANTE!F233&lt;=PERALTE!$S$6,-2,IF(RASANTE!F233&lt;=PERALTE!$U$6,(-6/(PERALTE!$U$6-PERALTE!$S$6)*(RASANTE!F233-PERALTE!$S$6)-2),IF(RASANTE!F233&lt;=PERALTE!$X$6,-8,IF(RASANTE!F233&lt;=PERALTE!$Z$6,(-6/(PERALTE!$X$6-PERALTE!$Z$6)*(RASANTE!F233-PERALTE!$Z$6)-2),IF(RASANTE!F233&lt;=PERALTE!$AB$6,-2))))),IF(AND(AH!$H$8="Derecha",RASANTE!F233&lt;=PERALTE!$AB$6),IF(RASANTE!F233&lt;=PERALTE!$Q$6,-2,IF(RASANTE!F233&lt;=PERALTE!$U$6,(10/(PERALTE!$U$6-PERALTE!$Q$6)*(RASANTE!F233-PERALTE!$Q$6)-2),IF(RASANTE!F233&lt;=PERALTE!$X$6,8,IF(RASANTE!F233&lt;=PERALTE!$AB$6,(10/(PERALTE!$X$6-PERALTE!$AB$6)*(RASANTE!F233-PERALTE!$AB$6)-2))))),IF(AND(AH!$H$10="Izquierda",RASANTE!F233&lt;=PERALTE!$AB$8),IF(RASANTE!F233&lt;=PERALTE!$S$8,-2,IF(RASANTE!F233&lt;=PERALTE!$U$8,(-6/(PERALTE!$U$8-PERALTE!$S$8)*(RASANTE!F233-PERALTE!$S$8)-2),IF(RASANTE!F233&lt;=PERALTE!$X$8,-8,IF(RASANTE!F233&lt;=PERALTE!$Z$8,(-6/(PERALTE!$X$8-PERALTE!$Z$8)*(RASANTE!F233-PERALTE!$Z$8)-2),IF(RASANTE!F233&lt;=PERALTE!$AB$8,-2))))),IF(AND(AH!$H$10="Derecha",RASANTE!F233&lt;=PERALTE!$AB$8),IF(RASANTE!F233&lt;=PERALTE!$Q$8,-2,IF(RASANTE!F233&lt;=PERALTE!$U$8,(10/(PERALTE!$U$8-PERALTE!$Q$8)*(RASANTE!F233-PERALTE!$Q$8)-2),IF(RASANTE!F233&lt;=PERALTE!$X$8,8,IF(RASANTE!F233&lt;=PERALTE!$AB$8,(10/(PERALTE!$X$8-PERALTE!$AB$8)*(RASANTE!F233-PERALTE!$AB$8)-2))))),IF(AND(AH!$H$12="Izquierda",RASANTE!F233&lt;=PERALTE!$AB$10),IF(RASANTE!F233&lt;=PERALTE!$S$10,-2,IF(RASANTE!F233&lt;=PERALTE!$U$10,(-6/(PERALTE!$U$10-PERALTE!$S$10)*(RASANTE!F233-PERALTE!$S$10)-2),IF(RASANTE!F233&lt;=PERALTE!$X$10,-8,IF(RASANTE!F233&lt;=PERALTE!$Z$10,(-6/(PERALTE!$X$10-PERALTE!$Z$10)*(RASANTE!F233-PERALTE!$Z$10)-2),IF(RASANTE!F233&lt;=PERALTE!$AB$10,-2))))),IF(AND(AH!$H$12="Derecha",RASANTE!F233&lt;=PERALTE!$AB$10),IF(RASANTE!F233&lt;=PERALTE!$Q$10,-2,IF(RASANTE!F233&lt;=PERALTE!$U$10,(10/(PERALTE!$U$10-PERALTE!$Q$10)*(RASANTE!F233-PERALTE!$Q$10)-2),IF(RASANTE!F233&lt;=PERALTE!$X$10,8,IF(RASANTE!F233&lt;=PERALTE!$AB$10,(10/(PERALTE!$X$10-PERALTE!$AB$10)*(RASANTE!F233-PERALTE!$AB$10)-2))))),IF(AND(AH!$H$14="Izquierda",RASANTE!F233&lt;=PERALTE!$AB$12),IF(RASANTE!F233&lt;=PERALTE!$S$12,-2,IF(RASANTE!F233&lt;=PERALTE!$U$12,(-6/(PERALTE!$U$12-PERALTE!$S$12)*(RASANTE!F233-PERALTE!$S$12)-2),IF(RASANTE!F233&lt;=PERALTE!$X$12,-8,IF(RASANTE!F233&lt;=PERALTE!$Z$12,(-6/(PERALTE!$X$12-PERALTE!$Z$12)*(RASANTE!F233-PERALTE!$Z$12)-2),IF(RASANTE!F233&lt;=PERALTE!$AB$12,-2))))),IF(AND(AH!$H$14="Derecha",RASANTE!F233&lt;=PERALTE!$AB$12),IF(RASANTE!F233&lt;=PERALTE!$Q$12,-2,IF(RASANTE!F233&lt;=PERALTE!$U$12,(10/(PERALTE!$U$12-PERALTE!$Q$12)*(RASANTE!F233-PERALTE!$Q$12)-2),IF(RASANTE!F233&lt;=PERALTE!$X$12,8,IF(RASANTE!F233&lt;=PERALTE!$AB$12,(10/(PERALTE!$X$12-PERALTE!$AB$12)*(RASANTE!F233-PERALTE!$AB$12)-2))))),IF(AND(AH!$H$16="Izquierda",RASANTE!F233&lt;=PERALTE!$AB$14),IF(RASANTE!F233&lt;=PERALTE!$S$14,-2,IF(RASANTE!F233&lt;=PERALTE!$U$14,(-6/(PERALTE!$U$14-PERALTE!$S$14)*(RASANTE!F233-PERALTE!$S$14)-2),IF(RASANTE!F233&lt;=PERALTE!$X$14,-8,IF(RASANTE!F233&lt;=PERALTE!$Z$14,(-6/(PERALTE!$X$14-PERALTE!$Z$14)*(RASANTE!F233-PERALTE!$Z$14)-2),IF(RASANTE!F233&lt;=PERALTE!$AB$14,-2))))),IF(AND(AH!$H$16="Derecha",RASANTE!F233&lt;=PERALTE!$AB$14),IF(RASANTE!F233&lt;=PERALTE!$Q$14,-2,IF(RASANTE!F233&lt;=PERALTE!$U$14,(10/(PERALTE!$U$14-PERALTE!$Q$14)*(RASANTE!F233-PERALTE!$Q$14)-2),IF(RASANTE!F233&lt;=PERALTE!$X$14,8,IF(RASANTE!F233&lt;=PERALTE!$AB$14,(10/(PERALTE!$X$14-PERALTE!$AB$14)*(RASANTE!F233-PERALTE!$AB$14)-2))))),IF(AND(AH!$H$18="Izquierda",RASANTE!F233&lt;=PERALTE!$AB$16),IF(RASANTE!F233&lt;=PERALTE!$S$16,-2,IF(RASANTE!F233&lt;=PERALTE!$U$16,(-6/(PERALTE!$U$16-PERALTE!$S$16)*(RASANTE!F233-PERALTE!$S$16)-2),IF(RASANTE!F233&lt;=PERALTE!$X$16,-8,IF(RASANTE!F233&lt;=PERALTE!$Z$16,(-6/(PERALTE!$X$16-PERALTE!$Z$16)*(RASANTE!F233-PERALTE!$Z$16)-2),IF(RASANTE!F233&lt;=PERALTE!$AB$16,-2))))),IF(AND(AH!$H$18="Derecha",RASANTE!F233&lt;=PERALTE!$AB$16),IF(RASANTE!F233&lt;=PERALTE!$Q$16,-2,IF(RASANTE!F233&lt;=PERALTE!$U$16,(10/(PERALTE!$U$16-PERALTE!$Q$16)*(RASANTE!F233-PERALTE!$Q$16)-2),IF(RASANTE!F233&lt;=PERALTE!$X$16,8,IF(RASANTE!F233&lt;=PERALTE!$AB$16,(10/(PERALTE!$X$16-PERALTE!$AB$16)*(RASANTE!F233-PERALTE!$AB$16)-2))))),IF(AND(AH!$H$20="Izquierda",RASANTE!F233&lt;=PERALTE!$AB$18),IF(RASANTE!F233&lt;=PERALTE!$S$18,-2,IF(RASANTE!F233&lt;=PERALTE!$U$18,(-6/(PERALTE!$U$18-PERALTE!$S$18)*(RASANTE!F233-PERALTE!$S$18)-2),IF(RASANTE!F233&lt;=PERALTE!$X$18,-8,IF(RASANTE!F233&lt;=PERALTE!$Z$18,(-6/(PERALTE!$X$18-PERALTE!$Z$18)*(RASANTE!F233-PERALTE!$Z$18)-2),IF(RASANTE!F233&lt;=PERALTE!$AB$18,-2))))),IF(AND(AH!$H$20="Derecha",RASANTE!F233&lt;=PERALTE!$AB$18),IF(RASANTE!F233&lt;=PERALTE!$Q$18,-2,IF(RASANTE!F233&lt;=PERALTE!$U$18,(10/(PERALTE!$U$18-PERALTE!$Q$18)*(RASANTE!F233-PERALTE!$Q$18)-2),IF(RASANTE!F233&lt;=PERALTE!$X$18,8,IF(RASANTE!F233&lt;=PERALTE!$AB$18,(10/(PERALTE!$X$18-PERALTE!$AB$18)*(RASANTE!F233-PERALTE!$AB$18)-2))))),IF(AND(AH!$H$24="Izquierda",RASANTE!F233&lt;=PERALTE!$AB$22),IF(RASANTE!F233&lt;=PERALTE!$S$22,-2,IF(RASANTE!F233&lt;=PERALTE!$U$22,(-6/(PERALTE!$U$22-PERALTE!$S$22)*(RASANTE!F233-PERALTE!$S$22)-2),IF(RASANTE!F233&lt;=PERALTE!$X$22,-8,IF(RASANTE!F233&lt;=PERALTE!$Z$22,(-6/(PERALTE!$X$22-PERALTE!$Z$22)*(RASANTE!F233-PERALTE!$Z$22)-2),IF(RASANTE!F233&lt;=PERALTE!$AB$22,-2))))),IF(AND(AH!$H$24="Derecha",RASANTE!F233&lt;=PERALTE!$AB$22),IF(RASANTE!F233&lt;=PERALTE!$Q$22,-2,IF(RASANTE!F233&lt;=PERALTE!$U$22,(10/(PERALTE!$U$22-PERALTE!$Q$22)*(RASANTE!F233-PERALTE!$Q$22)-2),IF(RASANTE!F233&lt;=PERALTE!$X$22,8,IF(RASANTE!F233&lt;=PERALTE!$AB$22,(10/(PERALTE!$X$22-PERALTE!$AB$22)*(RASANTE!F233-PERALTE!$AB$22)-2))))),IF(AND(AH!#REF!="Izquierda",RASANTE!F233&lt;=PERALTE!#REF!),IF(RASANTE!F233&lt;=PERALTE!#REF!,-2,IF(RASANTE!F233&lt;=PERALTE!#REF!,(-6/(PERALTE!#REF!-PERALTE!#REF!)*(RASANTE!F233-PERALTE!#REF!)-2),IF(RASANTE!F233&lt;=PERALTE!#REF!,-8,IF(RASANTE!F233&lt;=PERALTE!#REF!,(-6/(PERALTE!#REF!-PERALTE!#REF!)*(RASANTE!F233-PERALTE!#REF!)-2),IF(RASANTE!F233&lt;=PERALTE!#REF!,-2))))),IF(AND(AH!#REF!="Derecha",RASANTE!F233&lt;=PERALTE!#REF!),IF(RASANTE!F233&lt;=PERALTE!#REF!,-2,IF(RASANTE!F233&lt;=PERALTE!#REF!,(10/(PERALTE!#REF!-PERALTE!#REF!)*(RASANTE!F233-PERALTE!#REF!)-2),IF(RASANTE!F233&lt;=PERALTE!#REF!,8,IF(RASANTE!F233&lt;=PERALTE!#REF!,(10/(PERALTE!#REF!-PERALTE!#REF!)*(RASANTE!F233-PERALTE!#REF!)-2))))),IF(AND(AH!#REF!="Izquierda",RASANTE!F233&lt;=PERALTE!$AB$26),IF(RASANTE!F233&lt;=PERALTE!$S$26,-2,IF(RASANTE!F233&lt;=PERALTE!$U$26,(-6/(PERALTE!$U$26-PERALTE!$S$26)*(RASANTE!F233-PERALTE!$S$26)-2),IF(RASANTE!F233&lt;=PERALTE!$X$26,-8,IF(RASANTE!F233&lt;=PERALTE!$Z$26,(-6/(PERALTE!$X$26-PERALTE!$Z$26)*(RASANTE!F233-PERALTE!$Z$26)-2),IF(RASANTE!F233&lt;=PERALTE!$AB$26,-2))))),IF(AND(AH!#REF!="Derecha",RASANTE!F233&lt;=PERALTE!$AB$26),IF(RASANTE!F233&lt;=PERALTE!$Q$26,-2,IF(RASANTE!F233&lt;=PERALTE!$U$26,(10/(PERALTE!$U$26-PERALTE!$Q$26)*(RASANTE!F233-PERALTE!$Q$26)-2),IF(RASANTE!F233&lt;=PERALTE!$X$26,8,IF(RASANTE!F233&lt;=PERALTE!$AB$26,(10/(PERALTE!$X$26-PERALTE!$AB$26)*(RASANTE!F233-PERALTE!$AB$26)-2))))),IF(F233&lt;=PERALTE!#REF!,-2,"Abscisa fuera de la vía")))))))))))))))))))))</f>
        <v>1.9999999999999796</v>
      </c>
      <c r="I233" s="28">
        <f>+IF(AND(AH!$H$8="Derecha",RASANTE!F233&lt;=PERALTE!$AB$6),IF(RASANTE!F233&lt;=PERALTE!$S$6,-2,IF(RASANTE!F233&lt;=PERALTE!$U$6,(-6/(PERALTE!$U$6-PERALTE!$S$6)*(RASANTE!F233-PERALTE!$S$6)-2),IF(RASANTE!F233&lt;=PERALTE!$X$6,-8,IF(RASANTE!F233&lt;=PERALTE!$Z$6,(-6/(PERALTE!$X$6-PERALTE!$Z$6)*(RASANTE!F233-PERALTE!$Z$6)-2),IF(RASANTE!F233&lt;=PERALTE!$AB$6,-2))))),IF(AND(AH!$H$8="Izquierda",RASANTE!F233&lt;=PERALTE!$AB$6),IF(RASANTE!F233&lt;=PERALTE!$Q$6,-2,IF(RASANTE!F233&lt;=PERALTE!$U$6,(10/(PERALTE!$U$6-PERALTE!$Q$6)*(RASANTE!F233-PERALTE!$Q$6)-2),IF(RASANTE!F233&lt;=PERALTE!$X$6,8,IF(RASANTE!F233&lt;=PERALTE!$AB$6,(10/(PERALTE!$X$6-PERALTE!$AB$6)*(RASANTE!F233-PERALTE!$AB$6)-2))))),IF(AND(AH!$H$10="Derecha",RASANTE!F233&lt;=PERALTE!$AB$8),IF(RASANTE!F233&lt;=PERALTE!$S$8,-2,IF(RASANTE!F233&lt;=PERALTE!$U$8,(-6/(PERALTE!$U$8-PERALTE!$S$8)*(RASANTE!F233-PERALTE!$S$8)-2),IF(RASANTE!F233&lt;=PERALTE!$X$8,-8,IF(RASANTE!F233&lt;=PERALTE!$Z$8,(-6/(PERALTE!$X$8-PERALTE!$Z$8)*(RASANTE!F233-PERALTE!$Z$8)-2),IF(RASANTE!F233&lt;=PERALTE!$AB$8,-2))))),IF(AND(AH!$H$10="Izquierda",RASANTE!F233&lt;=PERALTE!$AB$8),IF(RASANTE!F233&lt;=PERALTE!$Q$8,-2,IF(RASANTE!F233&lt;=PERALTE!$U$8,(10/(PERALTE!$U$8-PERALTE!$Q$8)*(RASANTE!F233-PERALTE!$Q$8)-2),IF(RASANTE!F233&lt;=PERALTE!$X$8,8,IF(RASANTE!F233&lt;=PERALTE!$AB$8,(10/(PERALTE!$X$8-PERALTE!$AB$8)*(RASANTE!F233-PERALTE!$AB$8)-2))))),IF(AND(AH!$H$12="Derecha",RASANTE!F233&lt;=PERALTE!$AB$10),IF(RASANTE!F233&lt;=PERALTE!$S$10,-2,IF(RASANTE!F233&lt;=PERALTE!$U$10,(-6/(PERALTE!$U$10-PERALTE!$S$10)*(RASANTE!F233-PERALTE!$S$10)-2),IF(RASANTE!F233&lt;=PERALTE!$X$10,-8,IF(RASANTE!F233&lt;=PERALTE!$Z$10,(-6/(PERALTE!$X$10-PERALTE!$Z$10)*(RASANTE!F233-PERALTE!$Z$10)-2),IF(RASANTE!F233&lt;=PERALTE!$AB$10,-2))))),IF(AND(AH!$H$12="Izquierda",RASANTE!F233&lt;=PERALTE!$AB$10),IF(RASANTE!F233&lt;=PERALTE!$Q$10,-2,IF(RASANTE!F233&lt;=PERALTE!$U$10,(10/(PERALTE!$U$10-PERALTE!$Q$10)*(RASANTE!F233-PERALTE!$Q$10)-2),IF(RASANTE!F233&lt;=PERALTE!$X$10,8,IF(RASANTE!F233&lt;=PERALTE!$AB$10,(10/(PERALTE!$X$10-PERALTE!$AB$10)*(RASANTE!F233-PERALTE!$AB$10)-2))))),IF(AND(AH!$H$14="Derecha",RASANTE!F233&lt;=PERALTE!$AB$12),IF(RASANTE!F233&lt;=PERALTE!$S$12,-2,IF(RASANTE!F233&lt;=PERALTE!$U$12,(-6/(PERALTE!$U$12-PERALTE!$S$12)*(RASANTE!F233-PERALTE!$S$12)-2),IF(RASANTE!F233&lt;=PERALTE!$X$12,-8,IF(RASANTE!F233&lt;=PERALTE!$Z$12,(-6/(PERALTE!$X$12-PERALTE!$Z$12)*(RASANTE!F233-PERALTE!$Z$12)-2),IF(RASANTE!F233&lt;=PERALTE!$AB$12,-2))))),IF(AND(AH!$H$14="Izquierda",RASANTE!F233&lt;=PERALTE!$AB$12),IF(RASANTE!F233&lt;=PERALTE!$Q$12,-2,IF(RASANTE!F233&lt;=PERALTE!$U$12,(10/(PERALTE!$U$12-PERALTE!$Q$12)*(RASANTE!F233-PERALTE!$Q$12)-2),IF(RASANTE!F233&lt;=PERALTE!$X$12,8,IF(RASANTE!F233&lt;=PERALTE!$AB$12,(10/(PERALTE!$X$12-PERALTE!$AB$12)*(RASANTE!F233-PERALTE!$AB$12)-2))))),IF(AND(AH!$H$16="Derecha",RASANTE!F233&lt;=PERALTE!$AB$14),IF(RASANTE!F233&lt;=PERALTE!$S$14,-2,IF(RASANTE!F233&lt;=PERALTE!$U$14,(-6/(PERALTE!$U$14-PERALTE!$S$14)*(RASANTE!F233-PERALTE!$S$14)-2),IF(RASANTE!F233&lt;=PERALTE!$X$14,-8,IF(RASANTE!F233&lt;=PERALTE!$Z$14,(-6/(PERALTE!$X$14-PERALTE!$Z$14)*(RASANTE!F233-PERALTE!$Z$14)-2),IF(RASANTE!F233&lt;=PERALTE!$AB$14,-2))))),IF(AND(AH!$H$16="Izquierda",RASANTE!F233&lt;=PERALTE!$AB$14),IF(RASANTE!F233&lt;=PERALTE!$Q$14,-2,IF(RASANTE!F233&lt;=PERALTE!$U$14,(10/(PERALTE!$U$14-PERALTE!$Q$14)*(RASANTE!F233-PERALTE!$Q$14)-2),IF(RASANTE!F233&lt;=PERALTE!$X$14,8,IF(RASANTE!F233&lt;=PERALTE!$AB$14,(10/(PERALTE!$X$14-PERALTE!$AB$14)*(RASANTE!F233-PERALTE!$AB$14)-2))))),IF(AND(AH!$H$18="Derecha",RASANTE!F233&lt;=PERALTE!$AB$16),IF(RASANTE!F233&lt;=PERALTE!$S$16,-2,IF(RASANTE!F233&lt;=PERALTE!$U$16,(-6/(PERALTE!$U$16-PERALTE!$S$16)*(RASANTE!F233-PERALTE!$S$16)-2),IF(RASANTE!F233&lt;=PERALTE!$X$16,-8,IF(RASANTE!F233&lt;=PERALTE!$Z$16,(-6/(PERALTE!$X$16-PERALTE!$Z$16)*(RASANTE!F233-PERALTE!$Z$16)-2),IF(RASANTE!F233&lt;=PERALTE!$AB$16,-2))))),IF(AND(AH!$H$18="Izquierda",RASANTE!F233&lt;=PERALTE!$AB$16),IF(RASANTE!F233&lt;=PERALTE!$Q$16,-2,IF(RASANTE!F233&lt;=PERALTE!$U$16,(10/(PERALTE!$U$16-PERALTE!$Q$16)*(RASANTE!F233-PERALTE!$Q$16)-2),IF(RASANTE!F233&lt;=PERALTE!$X$16,8,IF(RASANTE!F233&lt;=PERALTE!$AB$16,(10/(PERALTE!$X$16-PERALTE!$AB$16)*(RASANTE!F233-PERALTE!$AB$16)-2))))),IF(AND(AH!$H$20="Derecha",RASANTE!F233&lt;=PERALTE!$AB$18),IF(RASANTE!F233&lt;=PERALTE!$S$18,-2,IF(RASANTE!F233&lt;=PERALTE!$U$18,(-6/(PERALTE!$U$18-PERALTE!$S$18)*(RASANTE!F233-PERALTE!$S$18)-2),IF(RASANTE!F233&lt;=PERALTE!$X$18,-8,IF(RASANTE!F233&lt;=PERALTE!$Z$18,(-6/(PERALTE!$X$18-PERALTE!$Z$18)*(RASANTE!F233-PERALTE!$Z$18)-2),IF(RASANTE!F233&lt;=PERALTE!$AB$18,-2))))),IF(AND(AH!$H$20="Izquierda",RASANTE!F233&lt;=PERALTE!$AB$18),IF(RASANTE!F233&lt;=PERALTE!$Q$18,-2,IF(RASANTE!F233&lt;=PERALTE!$U$18,(10/(PERALTE!$U$18-PERALTE!$Q$18)*(RASANTE!F233-PERALTE!$Q$18)-2),IF(RASANTE!F233&lt;=PERALTE!$X$18,8,IF(RASANTE!F233&lt;=PERALTE!$AB$18,(10/(PERALTE!$X$18-PERALTE!$AB$18)*(RASANTE!F233-PERALTE!$AB$18)-2))))),IF(AND(AH!$H$24="Derecha",RASANTE!F233&lt;=PERALTE!$AB$22),IF(RASANTE!F233&lt;=PERALTE!$S$22,-2,IF(RASANTE!F233&lt;=PERALTE!$U$22,(-6/(PERALTE!$U$22-PERALTE!$S$22)*(RASANTE!F233-PERALTE!$S$22)-2),IF(RASANTE!F233&lt;=PERALTE!$X$22,-8,IF(RASANTE!F233&lt;=PERALTE!$Z$22,(-6/(PERALTE!$X$22-PERALTE!$Z$22)*(RASANTE!F233-PERALTE!$Z$22)-2),IF(RASANTE!F233&lt;=PERALTE!$AB$22,-2))))),IF(AND(AH!$H$24="Izquierda",RASANTE!F233&lt;=PERALTE!$AB$22),IF(RASANTE!F233&lt;=PERALTE!$Q$22,-2,IF(RASANTE!F233&lt;=PERALTE!$U$22,(10/(PERALTE!$U$22-PERALTE!$Q$22)*(RASANTE!F233-PERALTE!$Q$22)-2),IF(RASANTE!F233&lt;=PERALTE!$X$22,8,IF(RASANTE!F233&lt;=PERALTE!$AB$22,(10/(PERALTE!$X$22-PERALTE!$AB$22)*(RASANTE!F233-PERALTE!$AB$22)-2))))),IF(AND(AH!#REF!="Derecha",RASANTE!F233&lt;=PERALTE!#REF!),IF(RASANTE!F233&lt;=PERALTE!#REF!,-2,IF(RASANTE!F233&lt;=PERALTE!#REF!,(-6/(PERALTE!#REF!-PERALTE!#REF!)*(RASANTE!F233-PERALTE!#REF!)-2),IF(RASANTE!F233&lt;=PERALTE!#REF!,-8,IF(RASANTE!F233&lt;=PERALTE!#REF!,(-6/(PERALTE!#REF!-PERALTE!#REF!)*(RASANTE!F233-PERALTE!#REF!)-2),IF(RASANTE!F233&lt;=PERALTE!#REF!,-2))))),IF(AND(AH!#REF!="Izquierda",RASANTE!F233&lt;=PERALTE!#REF!),IF(RASANTE!F233&lt;=PERALTE!#REF!,-2,IF(RASANTE!F233&lt;=PERALTE!#REF!,(10/(PERALTE!#REF!-PERALTE!#REF!)*(RASANTE!F233-PERALTE!#REF!)-2),IF(RASANTE!F233&lt;=PERALTE!#REF!,8,IF(RASANTE!F233&lt;=PERALTE!#REF!,(10/(PERALTE!#REF!-PERALTE!#REF!)*(RASANTE!F233-PERALTE!#REF!)-2))))),IF(AND(AH!#REF!="Derecha",RASANTE!F233&lt;=PERALTE!$AB$26),IF(RASANTE!F233&lt;=PERALTE!$S$26,-2,IF(RASANTE!F233&lt;=PERALTE!$U$26,(-6/(PERALTE!$U$26-PERALTE!$S$26)*(RASANTE!F233-PERALTE!$S$26)-2),IF(RASANTE!F233&lt;=PERALTE!$X$26,-8,IF(RASANTE!F233&lt;=PERALTE!$Z$26,(-6/(PERALTE!$X$26-PERALTE!$Z$26)*(RASANTE!F233-PERALTE!$Z$26)-2),IF(RASANTE!F233&lt;=PERALTE!$AB$26,-2))))),IF(AND(AH!#REF!="Izquierda",RASANTE!F233&lt;=PERALTE!$AB$26),IF(RASANTE!F233&lt;=PERALTE!$Q$26,-2,IF(RASANTE!F233&lt;=PERALTE!$U$26,(10/(PERALTE!$U$26-PERALTE!$Q$26)*(RASANTE!F233-PERALTE!$Q$26)-2),IF(RASANTE!F233&lt;=PERALTE!$X$26,8,IF(RASANTE!F233&lt;=PERALTE!$AB$26,(10/(PERALTE!$X$26-PERALTE!$AB$26)*(RASANTE!F233-PERALTE!$AB$26)-2))))),IF(F233&lt;=PERALTE!#REF!,-2,"Abscisa fuera de la vía")))))))))))))))))))))</f>
        <v>-2</v>
      </c>
      <c r="J233" s="28">
        <f t="shared" si="11"/>
        <v>1631.4461796016401</v>
      </c>
      <c r="K233" s="28">
        <f>+IF(AND(AV!$S$6&lt;F233,F233&lt;=AV!$T$6),AV!$P$6*((AV!$S$6-RASANTE!F233)/(AV!$N$6))^2,IF(AND(AV!$T$6&lt;RASANTE!F233,F233&lt;AV!$U$6),AV!$P$6*((AV!$U$6-RASANTE!F233)/(AV!$O$6))^2,IF(AND(AV!$S$8&lt;F233,F233&lt;=AV!$T$8),AV!$P$8*((AV!$S$8-RASANTE!F233)/(AV!$N$8))^2,IF(AND(AV!$T$8&lt;RASANTE!F233,F233&lt;AV!$U$8),AV!$P$8*((AV!$U$8-RASANTE!F233)/(AV!$O$8))^2,IF(AND(AV!$S$10&lt;F233,F233&lt;=AV!$T$10),AV!$P$10*((AV!$S$10-RASANTE!F233)/(AV!$N$10))^2,IF(AND(AV!$T$10&lt;RASANTE!F233,F233&lt;AV!$U$10),AV!$P$10*((AV!$U$10-RASANTE!F233)/(AV!$O$10))^2,IF(AND(AV!$S$12&lt;F233,F233&lt;=AV!$T$12),AV!$P$12*((AV!$S$12-RASANTE!F233)/(AV!$N$12))^2,IF(AND(AV!$T$12&lt;RASANTE!F233,F233&lt;AV!$U$12),AV!$P$12*((AV!$U$12-RASANTE!F233)/(AV!$O$12))^2,IF(AND(AV!$S$14&lt;F233,F233&lt;=AV!$T$14),AV!$P$14*((AV!$S$14-RASANTE!F233)/(AV!$N$14))^2,IF(AND(AV!$T$14&lt;RASANTE!F233,F233&lt;AV!$U$14),AV!$P$14*((AV!$U$14-RASANTE!F233)/(AV!$O$14))^2,IF(AND(AV!$S$16&lt;F233,F233&lt;=AV!$T$16),AV!$P$16*((AV!$S$16-RASANTE!F233)/(AV!$N$16))^2,IF(AND(AV!$T$16&lt;RASANTE!F233,F233&lt;AV!$U$16),AV!$P$16*((AV!$U$16-RASANTE!F233)/(AV!$O$16))^2,IF(AND(AV!$S$18&lt;F233,F233&lt;=AV!$T$18),AV!$P$18*((AV!$S$18-RASANTE!F233)/(AV!$N$18))^2,IF(AND(AV!$T$18&lt;RASANTE!F233,F233&lt;AV!$U$18),AV!$P$18*((AV!$U$18-RASANTE!F233)/(AV!$O$18))^2,IF(AND(AV!$S$20&lt;F233,F233&lt;=AV!$T$20),AV!$P$20*((AV!$S$20-RASANTE!F233)/(AV!$N$20))^2,IF(AND(AV!$T$20&lt;RASANTE!F233,F233&lt;AV!$U$20),AV!$P$20*((AV!$U$20-RASANTE!F233)/(AV!$O$20))^2,IF(AND(AV!$S$22&lt;F233,F233&lt;=AV!$T$22),AV!$P$22*((AV!$S$22-RASANTE!F233)/(AV!$N$22))^2,IF(AND(AV!$T$22&lt;RASANTE!F233,F233&lt;AV!$U$22),AV!$P$22*((AV!$U$22-RASANTE!F233)/(AV!$O$22))^2,IF(AND(AV!$S$24&lt;F233,F233&lt;=AV!$T$24),AV!$P$24*((AV!$S$24-RASANTE!F233)/(AV!$N$24))^2,IF(AND(AV!$T$24&lt;RASANTE!F233,F233&lt;AV!$U$24),AV!$P$24*((AV!$U$24-RASANTE!F233)/(AV!$O$24))^2,0))))))))))))))))))))</f>
        <v>0</v>
      </c>
      <c r="L233" s="28">
        <f>+M233+H233%*PERALTE!$C$32</f>
        <v>1631.51617960164</v>
      </c>
      <c r="M233" s="28">
        <f t="shared" si="7"/>
        <v>1631.4461796016401</v>
      </c>
      <c r="N233" s="28">
        <f>+M233+I233%*PERALTE!$C$32</f>
        <v>1631.3761796016402</v>
      </c>
      <c r="O233" s="92"/>
      <c r="P233" s="84"/>
      <c r="Q233" s="84"/>
      <c r="R233" s="84"/>
      <c r="S233" s="84"/>
      <c r="T233" s="84"/>
      <c r="U233" s="84"/>
      <c r="V233" s="84"/>
      <c r="W233" s="84"/>
      <c r="X233" s="84"/>
      <c r="Y233" s="84"/>
    </row>
    <row r="234" spans="1:25" ht="15.75" customHeight="1" x14ac:dyDescent="0.2">
      <c r="A234" s="90"/>
      <c r="B234" s="86"/>
      <c r="C234" s="86"/>
      <c r="D234" s="86"/>
      <c r="E234" s="91"/>
      <c r="F234" s="34">
        <v>1440</v>
      </c>
      <c r="G234" s="88">
        <f>IF(F234&lt;=AV!$T$6,AV!$C$5,IF(RASANTE!F234&lt;=AV!$T$8,AV!$C$7,IF(RASANTE!F234&lt;=AV!$T$10,AV!$C$9,IF(RASANTE!F234&lt;=AV!$T$12,AV!$C$11,IF(RASANTE!F234&lt;=AV!$T$14,AV!$C$13,IF(RASANTE!F234&lt;=AV!$T$16,AV!$C$15, IF(RASANTE!F234&lt;=AV!$T$18,AV!$C$17,IF(RASANTE!F234&lt;=AV!$T$20,AV!$C$19,IF(RASANTE!F234&lt;=AV!$T$22,AV!$C$21,IF(RASANTE!F234&lt;=AV!$T$24,AV!$C$23,AV!$C$25))))))))))</f>
        <v>2.8</v>
      </c>
      <c r="H234" s="28">
        <f>+IF(AND(AH!$H$8="Izquierda",RASANTE!F234&lt;=PERALTE!$AB$6),IF(RASANTE!F234&lt;=PERALTE!$S$6,-2,IF(RASANTE!F234&lt;=PERALTE!$U$6,(-6/(PERALTE!$U$6-PERALTE!$S$6)*(RASANTE!F234-PERALTE!$S$6)-2),IF(RASANTE!F234&lt;=PERALTE!$X$6,-8,IF(RASANTE!F234&lt;=PERALTE!$Z$6,(-6/(PERALTE!$X$6-PERALTE!$Z$6)*(RASANTE!F234-PERALTE!$Z$6)-2),IF(RASANTE!F234&lt;=PERALTE!$AB$6,-2))))),IF(AND(AH!$H$8="Derecha",RASANTE!F234&lt;=PERALTE!$AB$6),IF(RASANTE!F234&lt;=PERALTE!$Q$6,-2,IF(RASANTE!F234&lt;=PERALTE!$U$6,(10/(PERALTE!$U$6-PERALTE!$Q$6)*(RASANTE!F234-PERALTE!$Q$6)-2),IF(RASANTE!F234&lt;=PERALTE!$X$6,8,IF(RASANTE!F234&lt;=PERALTE!$AB$6,(10/(PERALTE!$X$6-PERALTE!$AB$6)*(RASANTE!F234-PERALTE!$AB$6)-2))))),IF(AND(AH!$H$10="Izquierda",RASANTE!F234&lt;=PERALTE!$AB$8),IF(RASANTE!F234&lt;=PERALTE!$S$8,-2,IF(RASANTE!F234&lt;=PERALTE!$U$8,(-6/(PERALTE!$U$8-PERALTE!$S$8)*(RASANTE!F234-PERALTE!$S$8)-2),IF(RASANTE!F234&lt;=PERALTE!$X$8,-8,IF(RASANTE!F234&lt;=PERALTE!$Z$8,(-6/(PERALTE!$X$8-PERALTE!$Z$8)*(RASANTE!F234-PERALTE!$Z$8)-2),IF(RASANTE!F234&lt;=PERALTE!$AB$8,-2))))),IF(AND(AH!$H$10="Derecha",RASANTE!F234&lt;=PERALTE!$AB$8),IF(RASANTE!F234&lt;=PERALTE!$Q$8,-2,IF(RASANTE!F234&lt;=PERALTE!$U$8,(10/(PERALTE!$U$8-PERALTE!$Q$8)*(RASANTE!F234-PERALTE!$Q$8)-2),IF(RASANTE!F234&lt;=PERALTE!$X$8,8,IF(RASANTE!F234&lt;=PERALTE!$AB$8,(10/(PERALTE!$X$8-PERALTE!$AB$8)*(RASANTE!F234-PERALTE!$AB$8)-2))))),IF(AND(AH!$H$12="Izquierda",RASANTE!F234&lt;=PERALTE!$AB$10),IF(RASANTE!F234&lt;=PERALTE!$S$10,-2,IF(RASANTE!F234&lt;=PERALTE!$U$10,(-6/(PERALTE!$U$10-PERALTE!$S$10)*(RASANTE!F234-PERALTE!$S$10)-2),IF(RASANTE!F234&lt;=PERALTE!$X$10,-8,IF(RASANTE!F234&lt;=PERALTE!$Z$10,(-6/(PERALTE!$X$10-PERALTE!$Z$10)*(RASANTE!F234-PERALTE!$Z$10)-2),IF(RASANTE!F234&lt;=PERALTE!$AB$10,-2))))),IF(AND(AH!$H$12="Derecha",RASANTE!F234&lt;=PERALTE!$AB$10),IF(RASANTE!F234&lt;=PERALTE!$Q$10,-2,IF(RASANTE!F234&lt;=PERALTE!$U$10,(10/(PERALTE!$U$10-PERALTE!$Q$10)*(RASANTE!F234-PERALTE!$Q$10)-2),IF(RASANTE!F234&lt;=PERALTE!$X$10,8,IF(RASANTE!F234&lt;=PERALTE!$AB$10,(10/(PERALTE!$X$10-PERALTE!$AB$10)*(RASANTE!F234-PERALTE!$AB$10)-2))))),IF(AND(AH!$H$14="Izquierda",RASANTE!F234&lt;=PERALTE!$AB$12),IF(RASANTE!F234&lt;=PERALTE!$S$12,-2,IF(RASANTE!F234&lt;=PERALTE!$U$12,(-6/(PERALTE!$U$12-PERALTE!$S$12)*(RASANTE!F234-PERALTE!$S$12)-2),IF(RASANTE!F234&lt;=PERALTE!$X$12,-8,IF(RASANTE!F234&lt;=PERALTE!$Z$12,(-6/(PERALTE!$X$12-PERALTE!$Z$12)*(RASANTE!F234-PERALTE!$Z$12)-2),IF(RASANTE!F234&lt;=PERALTE!$AB$12,-2))))),IF(AND(AH!$H$14="Derecha",RASANTE!F234&lt;=PERALTE!$AB$12),IF(RASANTE!F234&lt;=PERALTE!$Q$12,-2,IF(RASANTE!F234&lt;=PERALTE!$U$12,(10/(PERALTE!$U$12-PERALTE!$Q$12)*(RASANTE!F234-PERALTE!$Q$12)-2),IF(RASANTE!F234&lt;=PERALTE!$X$12,8,IF(RASANTE!F234&lt;=PERALTE!$AB$12,(10/(PERALTE!$X$12-PERALTE!$AB$12)*(RASANTE!F234-PERALTE!$AB$12)-2))))),IF(AND(AH!$H$16="Izquierda",RASANTE!F234&lt;=PERALTE!$AB$14),IF(RASANTE!F234&lt;=PERALTE!$S$14,-2,IF(RASANTE!F234&lt;=PERALTE!$U$14,(-6/(PERALTE!$U$14-PERALTE!$S$14)*(RASANTE!F234-PERALTE!$S$14)-2),IF(RASANTE!F234&lt;=PERALTE!$X$14,-8,IF(RASANTE!F234&lt;=PERALTE!$Z$14,(-6/(PERALTE!$X$14-PERALTE!$Z$14)*(RASANTE!F234-PERALTE!$Z$14)-2),IF(RASANTE!F234&lt;=PERALTE!$AB$14,-2))))),IF(AND(AH!$H$16="Derecha",RASANTE!F234&lt;=PERALTE!$AB$14),IF(RASANTE!F234&lt;=PERALTE!$Q$14,-2,IF(RASANTE!F234&lt;=PERALTE!$U$14,(10/(PERALTE!$U$14-PERALTE!$Q$14)*(RASANTE!F234-PERALTE!$Q$14)-2),IF(RASANTE!F234&lt;=PERALTE!$X$14,8,IF(RASANTE!F234&lt;=PERALTE!$AB$14,(10/(PERALTE!$X$14-PERALTE!$AB$14)*(RASANTE!F234-PERALTE!$AB$14)-2))))),IF(AND(AH!$H$18="Izquierda",RASANTE!F234&lt;=PERALTE!$AB$16),IF(RASANTE!F234&lt;=PERALTE!$S$16,-2,IF(RASANTE!F234&lt;=PERALTE!$U$16,(-6/(PERALTE!$U$16-PERALTE!$S$16)*(RASANTE!F234-PERALTE!$S$16)-2),IF(RASANTE!F234&lt;=PERALTE!$X$16,-8,IF(RASANTE!F234&lt;=PERALTE!$Z$16,(-6/(PERALTE!$X$16-PERALTE!$Z$16)*(RASANTE!F234-PERALTE!$Z$16)-2),IF(RASANTE!F234&lt;=PERALTE!$AB$16,-2))))),IF(AND(AH!$H$18="Derecha",RASANTE!F234&lt;=PERALTE!$AB$16),IF(RASANTE!F234&lt;=PERALTE!$Q$16,-2,IF(RASANTE!F234&lt;=PERALTE!$U$16,(10/(PERALTE!$U$16-PERALTE!$Q$16)*(RASANTE!F234-PERALTE!$Q$16)-2),IF(RASANTE!F234&lt;=PERALTE!$X$16,8,IF(RASANTE!F234&lt;=PERALTE!$AB$16,(10/(PERALTE!$X$16-PERALTE!$AB$16)*(RASANTE!F234-PERALTE!$AB$16)-2))))),IF(AND(AH!$H$20="Izquierda",RASANTE!F234&lt;=PERALTE!$AB$18),IF(RASANTE!F234&lt;=PERALTE!$S$18,-2,IF(RASANTE!F234&lt;=PERALTE!$U$18,(-6/(PERALTE!$U$18-PERALTE!$S$18)*(RASANTE!F234-PERALTE!$S$18)-2),IF(RASANTE!F234&lt;=PERALTE!$X$18,-8,IF(RASANTE!F234&lt;=PERALTE!$Z$18,(-6/(PERALTE!$X$18-PERALTE!$Z$18)*(RASANTE!F234-PERALTE!$Z$18)-2),IF(RASANTE!F234&lt;=PERALTE!$AB$18,-2))))),IF(AND(AH!$H$20="Derecha",RASANTE!F234&lt;=PERALTE!$AB$18),IF(RASANTE!F234&lt;=PERALTE!$Q$18,-2,IF(RASANTE!F234&lt;=PERALTE!$U$18,(10/(PERALTE!$U$18-PERALTE!$Q$18)*(RASANTE!F234-PERALTE!$Q$18)-2),IF(RASANTE!F234&lt;=PERALTE!$X$18,8,IF(RASANTE!F234&lt;=PERALTE!$AB$18,(10/(PERALTE!$X$18-PERALTE!$AB$18)*(RASANTE!F234-PERALTE!$AB$18)-2))))),IF(AND(AH!$H$24="Izquierda",RASANTE!F234&lt;=PERALTE!$AB$22),IF(RASANTE!F234&lt;=PERALTE!$S$22,-2,IF(RASANTE!F234&lt;=PERALTE!$U$22,(-6/(PERALTE!$U$22-PERALTE!$S$22)*(RASANTE!F234-PERALTE!$S$22)-2),IF(RASANTE!F234&lt;=PERALTE!$X$22,-8,IF(RASANTE!F234&lt;=PERALTE!$Z$22,(-6/(PERALTE!$X$22-PERALTE!$Z$22)*(RASANTE!F234-PERALTE!$Z$22)-2),IF(RASANTE!F234&lt;=PERALTE!$AB$22,-2))))),IF(AND(AH!$H$24="Derecha",RASANTE!F234&lt;=PERALTE!$AB$22),IF(RASANTE!F234&lt;=PERALTE!$Q$22,-2,IF(RASANTE!F234&lt;=PERALTE!$U$22,(10/(PERALTE!$U$22-PERALTE!$Q$22)*(RASANTE!F234-PERALTE!$Q$22)-2),IF(RASANTE!F234&lt;=PERALTE!$X$22,8,IF(RASANTE!F234&lt;=PERALTE!$AB$22,(10/(PERALTE!$X$22-PERALTE!$AB$22)*(RASANTE!F234-PERALTE!$AB$22)-2))))),IF(AND(AH!#REF!="Izquierda",RASANTE!F234&lt;=PERALTE!#REF!),IF(RASANTE!F234&lt;=PERALTE!#REF!,-2,IF(RASANTE!F234&lt;=PERALTE!#REF!,(-6/(PERALTE!#REF!-PERALTE!#REF!)*(RASANTE!F234-PERALTE!#REF!)-2),IF(RASANTE!F234&lt;=PERALTE!#REF!,-8,IF(RASANTE!F234&lt;=PERALTE!#REF!,(-6/(PERALTE!#REF!-PERALTE!#REF!)*(RASANTE!F234-PERALTE!#REF!)-2),IF(RASANTE!F234&lt;=PERALTE!#REF!,-2))))),IF(AND(AH!#REF!="Derecha",RASANTE!F234&lt;=PERALTE!#REF!),IF(RASANTE!F234&lt;=PERALTE!#REF!,-2,IF(RASANTE!F234&lt;=PERALTE!#REF!,(10/(PERALTE!#REF!-PERALTE!#REF!)*(RASANTE!F234-PERALTE!#REF!)-2),IF(RASANTE!F234&lt;=PERALTE!#REF!,8,IF(RASANTE!F234&lt;=PERALTE!#REF!,(10/(PERALTE!#REF!-PERALTE!#REF!)*(RASANTE!F234-PERALTE!#REF!)-2))))),IF(AND(AH!#REF!="Izquierda",RASANTE!F234&lt;=PERALTE!$AB$26),IF(RASANTE!F234&lt;=PERALTE!$S$26,-2,IF(RASANTE!F234&lt;=PERALTE!$U$26,(-6/(PERALTE!$U$26-PERALTE!$S$26)*(RASANTE!F234-PERALTE!$S$26)-2),IF(RASANTE!F234&lt;=PERALTE!$X$26,-8,IF(RASANTE!F234&lt;=PERALTE!$Z$26,(-6/(PERALTE!$X$26-PERALTE!$Z$26)*(RASANTE!F234-PERALTE!$Z$26)-2),IF(RASANTE!F234&lt;=PERALTE!$AB$26,-2))))),IF(AND(AH!#REF!="Derecha",RASANTE!F234&lt;=PERALTE!$AB$26),IF(RASANTE!F234&lt;=PERALTE!$Q$26,-2,IF(RASANTE!F234&lt;=PERALTE!$U$26,(10/(PERALTE!$U$26-PERALTE!$Q$26)*(RASANTE!F234-PERALTE!$Q$26)-2),IF(RASANTE!F234&lt;=PERALTE!$X$26,8,IF(RASANTE!F234&lt;=PERALTE!$AB$26,(10/(PERALTE!$X$26-PERALTE!$AB$26)*(RASANTE!F234-PERALTE!$AB$26)-2))))),IF(F234&lt;=PERALTE!#REF!,-2,"Abscisa fuera de la vía")))))))))))))))))))))</f>
        <v>0.21840178868747451</v>
      </c>
      <c r="I234" s="28">
        <f>+IF(AND(AH!$H$8="Derecha",RASANTE!F234&lt;=PERALTE!$AB$6),IF(RASANTE!F234&lt;=PERALTE!$S$6,-2,IF(RASANTE!F234&lt;=PERALTE!$U$6,(-6/(PERALTE!$U$6-PERALTE!$S$6)*(RASANTE!F234-PERALTE!$S$6)-2),IF(RASANTE!F234&lt;=PERALTE!$X$6,-8,IF(RASANTE!F234&lt;=PERALTE!$Z$6,(-6/(PERALTE!$X$6-PERALTE!$Z$6)*(RASANTE!F234-PERALTE!$Z$6)-2),IF(RASANTE!F234&lt;=PERALTE!$AB$6,-2))))),IF(AND(AH!$H$8="Izquierda",RASANTE!F234&lt;=PERALTE!$AB$6),IF(RASANTE!F234&lt;=PERALTE!$Q$6,-2,IF(RASANTE!F234&lt;=PERALTE!$U$6,(10/(PERALTE!$U$6-PERALTE!$Q$6)*(RASANTE!F234-PERALTE!$Q$6)-2),IF(RASANTE!F234&lt;=PERALTE!$X$6,8,IF(RASANTE!F234&lt;=PERALTE!$AB$6,(10/(PERALTE!$X$6-PERALTE!$AB$6)*(RASANTE!F234-PERALTE!$AB$6)-2))))),IF(AND(AH!$H$10="Derecha",RASANTE!F234&lt;=PERALTE!$AB$8),IF(RASANTE!F234&lt;=PERALTE!$S$8,-2,IF(RASANTE!F234&lt;=PERALTE!$U$8,(-6/(PERALTE!$U$8-PERALTE!$S$8)*(RASANTE!F234-PERALTE!$S$8)-2),IF(RASANTE!F234&lt;=PERALTE!$X$8,-8,IF(RASANTE!F234&lt;=PERALTE!$Z$8,(-6/(PERALTE!$X$8-PERALTE!$Z$8)*(RASANTE!F234-PERALTE!$Z$8)-2),IF(RASANTE!F234&lt;=PERALTE!$AB$8,-2))))),IF(AND(AH!$H$10="Izquierda",RASANTE!F234&lt;=PERALTE!$AB$8),IF(RASANTE!F234&lt;=PERALTE!$Q$8,-2,IF(RASANTE!F234&lt;=PERALTE!$U$8,(10/(PERALTE!$U$8-PERALTE!$Q$8)*(RASANTE!F234-PERALTE!$Q$8)-2),IF(RASANTE!F234&lt;=PERALTE!$X$8,8,IF(RASANTE!F234&lt;=PERALTE!$AB$8,(10/(PERALTE!$X$8-PERALTE!$AB$8)*(RASANTE!F234-PERALTE!$AB$8)-2))))),IF(AND(AH!$H$12="Derecha",RASANTE!F234&lt;=PERALTE!$AB$10),IF(RASANTE!F234&lt;=PERALTE!$S$10,-2,IF(RASANTE!F234&lt;=PERALTE!$U$10,(-6/(PERALTE!$U$10-PERALTE!$S$10)*(RASANTE!F234-PERALTE!$S$10)-2),IF(RASANTE!F234&lt;=PERALTE!$X$10,-8,IF(RASANTE!F234&lt;=PERALTE!$Z$10,(-6/(PERALTE!$X$10-PERALTE!$Z$10)*(RASANTE!F234-PERALTE!$Z$10)-2),IF(RASANTE!F234&lt;=PERALTE!$AB$10,-2))))),IF(AND(AH!$H$12="Izquierda",RASANTE!F234&lt;=PERALTE!$AB$10),IF(RASANTE!F234&lt;=PERALTE!$Q$10,-2,IF(RASANTE!F234&lt;=PERALTE!$U$10,(10/(PERALTE!$U$10-PERALTE!$Q$10)*(RASANTE!F234-PERALTE!$Q$10)-2),IF(RASANTE!F234&lt;=PERALTE!$X$10,8,IF(RASANTE!F234&lt;=PERALTE!$AB$10,(10/(PERALTE!$X$10-PERALTE!$AB$10)*(RASANTE!F234-PERALTE!$AB$10)-2))))),IF(AND(AH!$H$14="Derecha",RASANTE!F234&lt;=PERALTE!$AB$12),IF(RASANTE!F234&lt;=PERALTE!$S$12,-2,IF(RASANTE!F234&lt;=PERALTE!$U$12,(-6/(PERALTE!$U$12-PERALTE!$S$12)*(RASANTE!F234-PERALTE!$S$12)-2),IF(RASANTE!F234&lt;=PERALTE!$X$12,-8,IF(RASANTE!F234&lt;=PERALTE!$Z$12,(-6/(PERALTE!$X$12-PERALTE!$Z$12)*(RASANTE!F234-PERALTE!$Z$12)-2),IF(RASANTE!F234&lt;=PERALTE!$AB$12,-2))))),IF(AND(AH!$H$14="Izquierda",RASANTE!F234&lt;=PERALTE!$AB$12),IF(RASANTE!F234&lt;=PERALTE!$Q$12,-2,IF(RASANTE!F234&lt;=PERALTE!$U$12,(10/(PERALTE!$U$12-PERALTE!$Q$12)*(RASANTE!F234-PERALTE!$Q$12)-2),IF(RASANTE!F234&lt;=PERALTE!$X$12,8,IF(RASANTE!F234&lt;=PERALTE!$AB$12,(10/(PERALTE!$X$12-PERALTE!$AB$12)*(RASANTE!F234-PERALTE!$AB$12)-2))))),IF(AND(AH!$H$16="Derecha",RASANTE!F234&lt;=PERALTE!$AB$14),IF(RASANTE!F234&lt;=PERALTE!$S$14,-2,IF(RASANTE!F234&lt;=PERALTE!$U$14,(-6/(PERALTE!$U$14-PERALTE!$S$14)*(RASANTE!F234-PERALTE!$S$14)-2),IF(RASANTE!F234&lt;=PERALTE!$X$14,-8,IF(RASANTE!F234&lt;=PERALTE!$Z$14,(-6/(PERALTE!$X$14-PERALTE!$Z$14)*(RASANTE!F234-PERALTE!$Z$14)-2),IF(RASANTE!F234&lt;=PERALTE!$AB$14,-2))))),IF(AND(AH!$H$16="Izquierda",RASANTE!F234&lt;=PERALTE!$AB$14),IF(RASANTE!F234&lt;=PERALTE!$Q$14,-2,IF(RASANTE!F234&lt;=PERALTE!$U$14,(10/(PERALTE!$U$14-PERALTE!$Q$14)*(RASANTE!F234-PERALTE!$Q$14)-2),IF(RASANTE!F234&lt;=PERALTE!$X$14,8,IF(RASANTE!F234&lt;=PERALTE!$AB$14,(10/(PERALTE!$X$14-PERALTE!$AB$14)*(RASANTE!F234-PERALTE!$AB$14)-2))))),IF(AND(AH!$H$18="Derecha",RASANTE!F234&lt;=PERALTE!$AB$16),IF(RASANTE!F234&lt;=PERALTE!$S$16,-2,IF(RASANTE!F234&lt;=PERALTE!$U$16,(-6/(PERALTE!$U$16-PERALTE!$S$16)*(RASANTE!F234-PERALTE!$S$16)-2),IF(RASANTE!F234&lt;=PERALTE!$X$16,-8,IF(RASANTE!F234&lt;=PERALTE!$Z$16,(-6/(PERALTE!$X$16-PERALTE!$Z$16)*(RASANTE!F234-PERALTE!$Z$16)-2),IF(RASANTE!F234&lt;=PERALTE!$AB$16,-2))))),IF(AND(AH!$H$18="Izquierda",RASANTE!F234&lt;=PERALTE!$AB$16),IF(RASANTE!F234&lt;=PERALTE!$Q$16,-2,IF(RASANTE!F234&lt;=PERALTE!$U$16,(10/(PERALTE!$U$16-PERALTE!$Q$16)*(RASANTE!F234-PERALTE!$Q$16)-2),IF(RASANTE!F234&lt;=PERALTE!$X$16,8,IF(RASANTE!F234&lt;=PERALTE!$AB$16,(10/(PERALTE!$X$16-PERALTE!$AB$16)*(RASANTE!F234-PERALTE!$AB$16)-2))))),IF(AND(AH!$H$20="Derecha",RASANTE!F234&lt;=PERALTE!$AB$18),IF(RASANTE!F234&lt;=PERALTE!$S$18,-2,IF(RASANTE!F234&lt;=PERALTE!$U$18,(-6/(PERALTE!$U$18-PERALTE!$S$18)*(RASANTE!F234-PERALTE!$S$18)-2),IF(RASANTE!F234&lt;=PERALTE!$X$18,-8,IF(RASANTE!F234&lt;=PERALTE!$Z$18,(-6/(PERALTE!$X$18-PERALTE!$Z$18)*(RASANTE!F234-PERALTE!$Z$18)-2),IF(RASANTE!F234&lt;=PERALTE!$AB$18,-2))))),IF(AND(AH!$H$20="Izquierda",RASANTE!F234&lt;=PERALTE!$AB$18),IF(RASANTE!F234&lt;=PERALTE!$Q$18,-2,IF(RASANTE!F234&lt;=PERALTE!$U$18,(10/(PERALTE!$U$18-PERALTE!$Q$18)*(RASANTE!F234-PERALTE!$Q$18)-2),IF(RASANTE!F234&lt;=PERALTE!$X$18,8,IF(RASANTE!F234&lt;=PERALTE!$AB$18,(10/(PERALTE!$X$18-PERALTE!$AB$18)*(RASANTE!F234-PERALTE!$AB$18)-2))))),IF(AND(AH!$H$24="Derecha",RASANTE!F234&lt;=PERALTE!$AB$22),IF(RASANTE!F234&lt;=PERALTE!$S$22,-2,IF(RASANTE!F234&lt;=PERALTE!$U$22,(-6/(PERALTE!$U$22-PERALTE!$S$22)*(RASANTE!F234-PERALTE!$S$22)-2),IF(RASANTE!F234&lt;=PERALTE!$X$22,-8,IF(RASANTE!F234&lt;=PERALTE!$Z$22,(-6/(PERALTE!$X$22-PERALTE!$Z$22)*(RASANTE!F234-PERALTE!$Z$22)-2),IF(RASANTE!F234&lt;=PERALTE!$AB$22,-2))))),IF(AND(AH!$H$24="Izquierda",RASANTE!F234&lt;=PERALTE!$AB$22),IF(RASANTE!F234&lt;=PERALTE!$Q$22,-2,IF(RASANTE!F234&lt;=PERALTE!$U$22,(10/(PERALTE!$U$22-PERALTE!$Q$22)*(RASANTE!F234-PERALTE!$Q$22)-2),IF(RASANTE!F234&lt;=PERALTE!$X$22,8,IF(RASANTE!F234&lt;=PERALTE!$AB$22,(10/(PERALTE!$X$22-PERALTE!$AB$22)*(RASANTE!F234-PERALTE!$AB$22)-2))))),IF(AND(AH!#REF!="Derecha",RASANTE!F234&lt;=PERALTE!#REF!),IF(RASANTE!F234&lt;=PERALTE!#REF!,-2,IF(RASANTE!F234&lt;=PERALTE!#REF!,(-6/(PERALTE!#REF!-PERALTE!#REF!)*(RASANTE!F234-PERALTE!#REF!)-2),IF(RASANTE!F234&lt;=PERALTE!#REF!,-8,IF(RASANTE!F234&lt;=PERALTE!#REF!,(-6/(PERALTE!#REF!-PERALTE!#REF!)*(RASANTE!F234-PERALTE!#REF!)-2),IF(RASANTE!F234&lt;=PERALTE!#REF!,-2))))),IF(AND(AH!#REF!="Izquierda",RASANTE!F234&lt;=PERALTE!#REF!),IF(RASANTE!F234&lt;=PERALTE!#REF!,-2,IF(RASANTE!F234&lt;=PERALTE!#REF!,(10/(PERALTE!#REF!-PERALTE!#REF!)*(RASANTE!F234-PERALTE!#REF!)-2),IF(RASANTE!F234&lt;=PERALTE!#REF!,8,IF(RASANTE!F234&lt;=PERALTE!#REF!,(10/(PERALTE!#REF!-PERALTE!#REF!)*(RASANTE!F234-PERALTE!#REF!)-2))))),IF(AND(AH!#REF!="Derecha",RASANTE!F234&lt;=PERALTE!$AB$26),IF(RASANTE!F234&lt;=PERALTE!$S$26,-2,IF(RASANTE!F234&lt;=PERALTE!$U$26,(-6/(PERALTE!$U$26-PERALTE!$S$26)*(RASANTE!F234-PERALTE!$S$26)-2),IF(RASANTE!F234&lt;=PERALTE!$X$26,-8,IF(RASANTE!F234&lt;=PERALTE!$Z$26,(-6/(PERALTE!$X$26-PERALTE!$Z$26)*(RASANTE!F234-PERALTE!$Z$26)-2),IF(RASANTE!F234&lt;=PERALTE!$AB$26,-2))))),IF(AND(AH!#REF!="Izquierda",RASANTE!F234&lt;=PERALTE!$AB$26),IF(RASANTE!F234&lt;=PERALTE!$Q$26,-2,IF(RASANTE!F234&lt;=PERALTE!$U$26,(10/(PERALTE!$U$26-PERALTE!$Q$26)*(RASANTE!F234-PERALTE!$Q$26)-2),IF(RASANTE!F234&lt;=PERALTE!$X$26,8,IF(RASANTE!F234&lt;=PERALTE!$AB$26,(10/(PERALTE!$X$26-PERALTE!$AB$26)*(RASANTE!F234-PERALTE!$AB$26)-2))))),IF(F234&lt;=PERALTE!#REF!,-2,"Abscisa fuera de la vía")))))))))))))))))))))</f>
        <v>-2</v>
      </c>
      <c r="J234" s="28">
        <f t="shared" si="11"/>
        <v>1631.672928464898</v>
      </c>
      <c r="K234" s="28">
        <f>+IF(AND(AV!$S$6&lt;F234,F234&lt;=AV!$T$6),AV!$P$6*((AV!$S$6-RASANTE!F234)/(AV!$N$6))^2,IF(AND(AV!$T$6&lt;RASANTE!F234,F234&lt;AV!$U$6),AV!$P$6*((AV!$U$6-RASANTE!F234)/(AV!$O$6))^2,IF(AND(AV!$S$8&lt;F234,F234&lt;=AV!$T$8),AV!$P$8*((AV!$S$8-RASANTE!F234)/(AV!$N$8))^2,IF(AND(AV!$T$8&lt;RASANTE!F234,F234&lt;AV!$U$8),AV!$P$8*((AV!$U$8-RASANTE!F234)/(AV!$O$8))^2,IF(AND(AV!$S$10&lt;F234,F234&lt;=AV!$T$10),AV!$P$10*((AV!$S$10-RASANTE!F234)/(AV!$N$10))^2,IF(AND(AV!$T$10&lt;RASANTE!F234,F234&lt;AV!$U$10),AV!$P$10*((AV!$U$10-RASANTE!F234)/(AV!$O$10))^2,IF(AND(AV!$S$12&lt;F234,F234&lt;=AV!$T$12),AV!$P$12*((AV!$S$12-RASANTE!F234)/(AV!$N$12))^2,IF(AND(AV!$T$12&lt;RASANTE!F234,F234&lt;AV!$U$12),AV!$P$12*((AV!$U$12-RASANTE!F234)/(AV!$O$12))^2,IF(AND(AV!$S$14&lt;F234,F234&lt;=AV!$T$14),AV!$P$14*((AV!$S$14-RASANTE!F234)/(AV!$N$14))^2,IF(AND(AV!$T$14&lt;RASANTE!F234,F234&lt;AV!$U$14),AV!$P$14*((AV!$U$14-RASANTE!F234)/(AV!$O$14))^2,IF(AND(AV!$S$16&lt;F234,F234&lt;=AV!$T$16),AV!$P$16*((AV!$S$16-RASANTE!F234)/(AV!$N$16))^2,IF(AND(AV!$T$16&lt;RASANTE!F234,F234&lt;AV!$U$16),AV!$P$16*((AV!$U$16-RASANTE!F234)/(AV!$O$16))^2,IF(AND(AV!$S$18&lt;F234,F234&lt;=AV!$T$18),AV!$P$18*((AV!$S$18-RASANTE!F234)/(AV!$N$18))^2,IF(AND(AV!$T$18&lt;RASANTE!F234,F234&lt;AV!$U$18),AV!$P$18*((AV!$U$18-RASANTE!F234)/(AV!$O$18))^2,IF(AND(AV!$S$20&lt;F234,F234&lt;=AV!$T$20),AV!$P$20*((AV!$S$20-RASANTE!F234)/(AV!$N$20))^2,IF(AND(AV!$T$20&lt;RASANTE!F234,F234&lt;AV!$U$20),AV!$P$20*((AV!$U$20-RASANTE!F234)/(AV!$O$20))^2,IF(AND(AV!$S$22&lt;F234,F234&lt;=AV!$T$22),AV!$P$22*((AV!$S$22-RASANTE!F234)/(AV!$N$22))^2,IF(AND(AV!$T$22&lt;RASANTE!F234,F234&lt;AV!$U$22),AV!$P$22*((AV!$U$22-RASANTE!F234)/(AV!$O$22))^2,IF(AND(AV!$S$24&lt;F234,F234&lt;=AV!$T$24),AV!$P$24*((AV!$S$24-RASANTE!F234)/(AV!$N$24))^2,IF(AND(AV!$T$24&lt;RASANTE!F234,F234&lt;AV!$U$24),AV!$P$24*((AV!$U$24-RASANTE!F234)/(AV!$O$24))^2,0))))))))))))))))))))</f>
        <v>0</v>
      </c>
      <c r="L234" s="28">
        <f>+M234+H234%*PERALTE!$C$32</f>
        <v>1631.6805725275019</v>
      </c>
      <c r="M234" s="28">
        <f t="shared" ref="M234:M283" si="12">J234+K234</f>
        <v>1631.672928464898</v>
      </c>
      <c r="N234" s="28">
        <f>+M234+I234%*PERALTE!$C$32</f>
        <v>1631.602928464898</v>
      </c>
      <c r="O234" s="92"/>
      <c r="P234" s="84"/>
      <c r="Q234" s="84"/>
      <c r="R234" s="84"/>
      <c r="S234" s="84"/>
      <c r="T234" s="84"/>
      <c r="U234" s="84"/>
      <c r="V234" s="84"/>
      <c r="W234" s="84"/>
      <c r="X234" s="84"/>
      <c r="Y234" s="84"/>
    </row>
    <row r="235" spans="1:25" ht="15.75" customHeight="1" x14ac:dyDescent="0.2">
      <c r="A235" s="90" t="s">
        <v>366</v>
      </c>
      <c r="B235" s="86"/>
      <c r="C235" s="86"/>
      <c r="D235" s="86"/>
      <c r="E235" s="91"/>
      <c r="F235" s="34">
        <f>PERALTE!AA16</f>
        <v>1440.9927354031249</v>
      </c>
      <c r="G235" s="88">
        <f>IF(F235&lt;=AV!$T$6,AV!$C$5,IF(RASANTE!F235&lt;=AV!$T$8,AV!$C$7,IF(RASANTE!F235&lt;=AV!$T$10,AV!$C$9,IF(RASANTE!F235&lt;=AV!$T$12,AV!$C$11,IF(RASANTE!F235&lt;=AV!$T$14,AV!$C$13,IF(RASANTE!F235&lt;=AV!$T$16,AV!$C$15, IF(RASANTE!F235&lt;=AV!$T$18,AV!$C$17,IF(RASANTE!F235&lt;=AV!$T$20,AV!$C$19,IF(RASANTE!F235&lt;=AV!$T$22,AV!$C$21,IF(RASANTE!F235&lt;=AV!$T$24,AV!$C$23,AV!$C$25))))))))))</f>
        <v>2.8</v>
      </c>
      <c r="H235" s="28">
        <f>+IF(AND(AH!$H$8="Izquierda",RASANTE!F235&lt;=PERALTE!$AB$6),IF(RASANTE!F235&lt;=PERALTE!$S$6,-2,IF(RASANTE!F235&lt;=PERALTE!$U$6,(-6/(PERALTE!$U$6-PERALTE!$S$6)*(RASANTE!F235-PERALTE!$S$6)-2),IF(RASANTE!F235&lt;=PERALTE!$X$6,-8,IF(RASANTE!F235&lt;=PERALTE!$Z$6,(-6/(PERALTE!$X$6-PERALTE!$Z$6)*(RASANTE!F235-PERALTE!$Z$6)-2),IF(RASANTE!F235&lt;=PERALTE!$AB$6,-2))))),IF(AND(AH!$H$8="Derecha",RASANTE!F235&lt;=PERALTE!$AB$6),IF(RASANTE!F235&lt;=PERALTE!$Q$6,-2,IF(RASANTE!F235&lt;=PERALTE!$U$6,(10/(PERALTE!$U$6-PERALTE!$Q$6)*(RASANTE!F235-PERALTE!$Q$6)-2),IF(RASANTE!F235&lt;=PERALTE!$X$6,8,IF(RASANTE!F235&lt;=PERALTE!$AB$6,(10/(PERALTE!$X$6-PERALTE!$AB$6)*(RASANTE!F235-PERALTE!$AB$6)-2))))),IF(AND(AH!$H$10="Izquierda",RASANTE!F235&lt;=PERALTE!$AB$8),IF(RASANTE!F235&lt;=PERALTE!$S$8,-2,IF(RASANTE!F235&lt;=PERALTE!$U$8,(-6/(PERALTE!$U$8-PERALTE!$S$8)*(RASANTE!F235-PERALTE!$S$8)-2),IF(RASANTE!F235&lt;=PERALTE!$X$8,-8,IF(RASANTE!F235&lt;=PERALTE!$Z$8,(-6/(PERALTE!$X$8-PERALTE!$Z$8)*(RASANTE!F235-PERALTE!$Z$8)-2),IF(RASANTE!F235&lt;=PERALTE!$AB$8,-2))))),IF(AND(AH!$H$10="Derecha",RASANTE!F235&lt;=PERALTE!$AB$8),IF(RASANTE!F235&lt;=PERALTE!$Q$8,-2,IF(RASANTE!F235&lt;=PERALTE!$U$8,(10/(PERALTE!$U$8-PERALTE!$Q$8)*(RASANTE!F235-PERALTE!$Q$8)-2),IF(RASANTE!F235&lt;=PERALTE!$X$8,8,IF(RASANTE!F235&lt;=PERALTE!$AB$8,(10/(PERALTE!$X$8-PERALTE!$AB$8)*(RASANTE!F235-PERALTE!$AB$8)-2))))),IF(AND(AH!$H$12="Izquierda",RASANTE!F235&lt;=PERALTE!$AB$10),IF(RASANTE!F235&lt;=PERALTE!$S$10,-2,IF(RASANTE!F235&lt;=PERALTE!$U$10,(-6/(PERALTE!$U$10-PERALTE!$S$10)*(RASANTE!F235-PERALTE!$S$10)-2),IF(RASANTE!F235&lt;=PERALTE!$X$10,-8,IF(RASANTE!F235&lt;=PERALTE!$Z$10,(-6/(PERALTE!$X$10-PERALTE!$Z$10)*(RASANTE!F235-PERALTE!$Z$10)-2),IF(RASANTE!F235&lt;=PERALTE!$AB$10,-2))))),IF(AND(AH!$H$12="Derecha",RASANTE!F235&lt;=PERALTE!$AB$10),IF(RASANTE!F235&lt;=PERALTE!$Q$10,-2,IF(RASANTE!F235&lt;=PERALTE!$U$10,(10/(PERALTE!$U$10-PERALTE!$Q$10)*(RASANTE!F235-PERALTE!$Q$10)-2),IF(RASANTE!F235&lt;=PERALTE!$X$10,8,IF(RASANTE!F235&lt;=PERALTE!$AB$10,(10/(PERALTE!$X$10-PERALTE!$AB$10)*(RASANTE!F235-PERALTE!$AB$10)-2))))),IF(AND(AH!$H$14="Izquierda",RASANTE!F235&lt;=PERALTE!$AB$12),IF(RASANTE!F235&lt;=PERALTE!$S$12,-2,IF(RASANTE!F235&lt;=PERALTE!$U$12,(-6/(PERALTE!$U$12-PERALTE!$S$12)*(RASANTE!F235-PERALTE!$S$12)-2),IF(RASANTE!F235&lt;=PERALTE!$X$12,-8,IF(RASANTE!F235&lt;=PERALTE!$Z$12,(-6/(PERALTE!$X$12-PERALTE!$Z$12)*(RASANTE!F235-PERALTE!$Z$12)-2),IF(RASANTE!F235&lt;=PERALTE!$AB$12,-2))))),IF(AND(AH!$H$14="Derecha",RASANTE!F235&lt;=PERALTE!$AB$12),IF(RASANTE!F235&lt;=PERALTE!$Q$12,-2,IF(RASANTE!F235&lt;=PERALTE!$U$12,(10/(PERALTE!$U$12-PERALTE!$Q$12)*(RASANTE!F235-PERALTE!$Q$12)-2),IF(RASANTE!F235&lt;=PERALTE!$X$12,8,IF(RASANTE!F235&lt;=PERALTE!$AB$12,(10/(PERALTE!$X$12-PERALTE!$AB$12)*(RASANTE!F235-PERALTE!$AB$12)-2))))),IF(AND(AH!$H$16="Izquierda",RASANTE!F235&lt;=PERALTE!$AB$14),IF(RASANTE!F235&lt;=PERALTE!$S$14,-2,IF(RASANTE!F235&lt;=PERALTE!$U$14,(-6/(PERALTE!$U$14-PERALTE!$S$14)*(RASANTE!F235-PERALTE!$S$14)-2),IF(RASANTE!F235&lt;=PERALTE!$X$14,-8,IF(RASANTE!F235&lt;=PERALTE!$Z$14,(-6/(PERALTE!$X$14-PERALTE!$Z$14)*(RASANTE!F235-PERALTE!$Z$14)-2),IF(RASANTE!F235&lt;=PERALTE!$AB$14,-2))))),IF(AND(AH!$H$16="Derecha",RASANTE!F235&lt;=PERALTE!$AB$14),IF(RASANTE!F235&lt;=PERALTE!$Q$14,-2,IF(RASANTE!F235&lt;=PERALTE!$U$14,(10/(PERALTE!$U$14-PERALTE!$Q$14)*(RASANTE!F235-PERALTE!$Q$14)-2),IF(RASANTE!F235&lt;=PERALTE!$X$14,8,IF(RASANTE!F235&lt;=PERALTE!$AB$14,(10/(PERALTE!$X$14-PERALTE!$AB$14)*(RASANTE!F235-PERALTE!$AB$14)-2))))),IF(AND(AH!$H$18="Izquierda",RASANTE!F235&lt;=PERALTE!$AB$16),IF(RASANTE!F235&lt;=PERALTE!$S$16,-2,IF(RASANTE!F235&lt;=PERALTE!$U$16,(-6/(PERALTE!$U$16-PERALTE!$S$16)*(RASANTE!F235-PERALTE!$S$16)-2),IF(RASANTE!F235&lt;=PERALTE!$X$16,-8,IF(RASANTE!F235&lt;=PERALTE!$Z$16,(-6/(PERALTE!$X$16-PERALTE!$Z$16)*(RASANTE!F235-PERALTE!$Z$16)-2),IF(RASANTE!F235&lt;=PERALTE!$AB$16,-2))))),IF(AND(AH!$H$18="Derecha",RASANTE!F235&lt;=PERALTE!$AB$16),IF(RASANTE!F235&lt;=PERALTE!$Q$16,-2,IF(RASANTE!F235&lt;=PERALTE!$U$16,(10/(PERALTE!$U$16-PERALTE!$Q$16)*(RASANTE!F235-PERALTE!$Q$16)-2),IF(RASANTE!F235&lt;=PERALTE!$X$16,8,IF(RASANTE!F235&lt;=PERALTE!$AB$16,(10/(PERALTE!$X$16-PERALTE!$AB$16)*(RASANTE!F235-PERALTE!$AB$16)-2))))),IF(AND(AH!$H$20="Izquierda",RASANTE!F235&lt;=PERALTE!$AB$18),IF(RASANTE!F235&lt;=PERALTE!$S$18,-2,IF(RASANTE!F235&lt;=PERALTE!$U$18,(-6/(PERALTE!$U$18-PERALTE!$S$18)*(RASANTE!F235-PERALTE!$S$18)-2),IF(RASANTE!F235&lt;=PERALTE!$X$18,-8,IF(RASANTE!F235&lt;=PERALTE!$Z$18,(-6/(PERALTE!$X$18-PERALTE!$Z$18)*(RASANTE!F235-PERALTE!$Z$18)-2),IF(RASANTE!F235&lt;=PERALTE!$AB$18,-2))))),IF(AND(AH!$H$20="Derecha",RASANTE!F235&lt;=PERALTE!$AB$18),IF(RASANTE!F235&lt;=PERALTE!$Q$18,-2,IF(RASANTE!F235&lt;=PERALTE!$U$18,(10/(PERALTE!$U$18-PERALTE!$Q$18)*(RASANTE!F235-PERALTE!$Q$18)-2),IF(RASANTE!F235&lt;=PERALTE!$X$18,8,IF(RASANTE!F235&lt;=PERALTE!$AB$18,(10/(PERALTE!$X$18-PERALTE!$AB$18)*(RASANTE!F235-PERALTE!$AB$18)-2))))),IF(AND(AH!$H$24="Izquierda",RASANTE!F235&lt;=PERALTE!$AB$22),IF(RASANTE!F235&lt;=PERALTE!$S$22,-2,IF(RASANTE!F235&lt;=PERALTE!$U$22,(-6/(PERALTE!$U$22-PERALTE!$S$22)*(RASANTE!F235-PERALTE!$S$22)-2),IF(RASANTE!F235&lt;=PERALTE!$X$22,-8,IF(RASANTE!F235&lt;=PERALTE!$Z$22,(-6/(PERALTE!$X$22-PERALTE!$Z$22)*(RASANTE!F235-PERALTE!$Z$22)-2),IF(RASANTE!F235&lt;=PERALTE!$AB$22,-2))))),IF(AND(AH!$H$24="Derecha",RASANTE!F235&lt;=PERALTE!$AB$22),IF(RASANTE!F235&lt;=PERALTE!$Q$22,-2,IF(RASANTE!F235&lt;=PERALTE!$U$22,(10/(PERALTE!$U$22-PERALTE!$Q$22)*(RASANTE!F235-PERALTE!$Q$22)-2),IF(RASANTE!F235&lt;=PERALTE!$X$22,8,IF(RASANTE!F235&lt;=PERALTE!$AB$22,(10/(PERALTE!$X$22-PERALTE!$AB$22)*(RASANTE!F235-PERALTE!$AB$22)-2))))),IF(AND(AH!#REF!="Izquierda",RASANTE!F235&lt;=PERALTE!#REF!),IF(RASANTE!F235&lt;=PERALTE!#REF!,-2,IF(RASANTE!F235&lt;=PERALTE!#REF!,(-6/(PERALTE!#REF!-PERALTE!#REF!)*(RASANTE!F235-PERALTE!#REF!)-2),IF(RASANTE!F235&lt;=PERALTE!#REF!,-8,IF(RASANTE!F235&lt;=PERALTE!#REF!,(-6/(PERALTE!#REF!-PERALTE!#REF!)*(RASANTE!F235-PERALTE!#REF!)-2),IF(RASANTE!F235&lt;=PERALTE!#REF!,-2))))),IF(AND(AH!#REF!="Derecha",RASANTE!F235&lt;=PERALTE!#REF!),IF(RASANTE!F235&lt;=PERALTE!#REF!,-2,IF(RASANTE!F235&lt;=PERALTE!#REF!,(10/(PERALTE!#REF!-PERALTE!#REF!)*(RASANTE!F235-PERALTE!#REF!)-2),IF(RASANTE!F235&lt;=PERALTE!#REF!,8,IF(RASANTE!F235&lt;=PERALTE!#REF!,(10/(PERALTE!#REF!-PERALTE!#REF!)*(RASANTE!F235-PERALTE!#REF!)-2))))),IF(AND(AH!#REF!="Izquierda",RASANTE!F235&lt;=PERALTE!$AB$26),IF(RASANTE!F235&lt;=PERALTE!$S$26,-2,IF(RASANTE!F235&lt;=PERALTE!$U$26,(-6/(PERALTE!$U$26-PERALTE!$S$26)*(RASANTE!F235-PERALTE!$S$26)-2),IF(RASANTE!F235&lt;=PERALTE!$X$26,-8,IF(RASANTE!F235&lt;=PERALTE!$Z$26,(-6/(PERALTE!$X$26-PERALTE!$Z$26)*(RASANTE!F235-PERALTE!$Z$26)-2),IF(RASANTE!F235&lt;=PERALTE!$AB$26,-2))))),IF(AND(AH!#REF!="Derecha",RASANTE!F235&lt;=PERALTE!$AB$26),IF(RASANTE!F235&lt;=PERALTE!$Q$26,-2,IF(RASANTE!F235&lt;=PERALTE!$U$26,(10/(PERALTE!$U$26-PERALTE!$Q$26)*(RASANTE!F235-PERALTE!$Q$26)-2),IF(RASANTE!F235&lt;=PERALTE!$X$26,8,IF(RASANTE!F235&lt;=PERALTE!$AB$26,(10/(PERALTE!$X$26-PERALTE!$AB$26)*(RASANTE!F235-PERALTE!$AB$26)-2))))),IF(F235&lt;=PERALTE!#REF!,-2,"Abscisa fuera de la vía")))))))))))))))))))))</f>
        <v>-1.021405182655144E-14</v>
      </c>
      <c r="I235" s="28">
        <f>+IF(AND(AH!$H$8="Derecha",RASANTE!F235&lt;=PERALTE!$AB$6),IF(RASANTE!F235&lt;=PERALTE!$S$6,-2,IF(RASANTE!F235&lt;=PERALTE!$U$6,(-6/(PERALTE!$U$6-PERALTE!$S$6)*(RASANTE!F235-PERALTE!$S$6)-2),IF(RASANTE!F235&lt;=PERALTE!$X$6,-8,IF(RASANTE!F235&lt;=PERALTE!$Z$6,(-6/(PERALTE!$X$6-PERALTE!$Z$6)*(RASANTE!F235-PERALTE!$Z$6)-2),IF(RASANTE!F235&lt;=PERALTE!$AB$6,-2))))),IF(AND(AH!$H$8="Izquierda",RASANTE!F235&lt;=PERALTE!$AB$6),IF(RASANTE!F235&lt;=PERALTE!$Q$6,-2,IF(RASANTE!F235&lt;=PERALTE!$U$6,(10/(PERALTE!$U$6-PERALTE!$Q$6)*(RASANTE!F235-PERALTE!$Q$6)-2),IF(RASANTE!F235&lt;=PERALTE!$X$6,8,IF(RASANTE!F235&lt;=PERALTE!$AB$6,(10/(PERALTE!$X$6-PERALTE!$AB$6)*(RASANTE!F235-PERALTE!$AB$6)-2))))),IF(AND(AH!$H$10="Derecha",RASANTE!F235&lt;=PERALTE!$AB$8),IF(RASANTE!F235&lt;=PERALTE!$S$8,-2,IF(RASANTE!F235&lt;=PERALTE!$U$8,(-6/(PERALTE!$U$8-PERALTE!$S$8)*(RASANTE!F235-PERALTE!$S$8)-2),IF(RASANTE!F235&lt;=PERALTE!$X$8,-8,IF(RASANTE!F235&lt;=PERALTE!$Z$8,(-6/(PERALTE!$X$8-PERALTE!$Z$8)*(RASANTE!F235-PERALTE!$Z$8)-2),IF(RASANTE!F235&lt;=PERALTE!$AB$8,-2))))),IF(AND(AH!$H$10="Izquierda",RASANTE!F235&lt;=PERALTE!$AB$8),IF(RASANTE!F235&lt;=PERALTE!$Q$8,-2,IF(RASANTE!F235&lt;=PERALTE!$U$8,(10/(PERALTE!$U$8-PERALTE!$Q$8)*(RASANTE!F235-PERALTE!$Q$8)-2),IF(RASANTE!F235&lt;=PERALTE!$X$8,8,IF(RASANTE!F235&lt;=PERALTE!$AB$8,(10/(PERALTE!$X$8-PERALTE!$AB$8)*(RASANTE!F235-PERALTE!$AB$8)-2))))),IF(AND(AH!$H$12="Derecha",RASANTE!F235&lt;=PERALTE!$AB$10),IF(RASANTE!F235&lt;=PERALTE!$S$10,-2,IF(RASANTE!F235&lt;=PERALTE!$U$10,(-6/(PERALTE!$U$10-PERALTE!$S$10)*(RASANTE!F235-PERALTE!$S$10)-2),IF(RASANTE!F235&lt;=PERALTE!$X$10,-8,IF(RASANTE!F235&lt;=PERALTE!$Z$10,(-6/(PERALTE!$X$10-PERALTE!$Z$10)*(RASANTE!F235-PERALTE!$Z$10)-2),IF(RASANTE!F235&lt;=PERALTE!$AB$10,-2))))),IF(AND(AH!$H$12="Izquierda",RASANTE!F235&lt;=PERALTE!$AB$10),IF(RASANTE!F235&lt;=PERALTE!$Q$10,-2,IF(RASANTE!F235&lt;=PERALTE!$U$10,(10/(PERALTE!$U$10-PERALTE!$Q$10)*(RASANTE!F235-PERALTE!$Q$10)-2),IF(RASANTE!F235&lt;=PERALTE!$X$10,8,IF(RASANTE!F235&lt;=PERALTE!$AB$10,(10/(PERALTE!$X$10-PERALTE!$AB$10)*(RASANTE!F235-PERALTE!$AB$10)-2))))),IF(AND(AH!$H$14="Derecha",RASANTE!F235&lt;=PERALTE!$AB$12),IF(RASANTE!F235&lt;=PERALTE!$S$12,-2,IF(RASANTE!F235&lt;=PERALTE!$U$12,(-6/(PERALTE!$U$12-PERALTE!$S$12)*(RASANTE!F235-PERALTE!$S$12)-2),IF(RASANTE!F235&lt;=PERALTE!$X$12,-8,IF(RASANTE!F235&lt;=PERALTE!$Z$12,(-6/(PERALTE!$X$12-PERALTE!$Z$12)*(RASANTE!F235-PERALTE!$Z$12)-2),IF(RASANTE!F235&lt;=PERALTE!$AB$12,-2))))),IF(AND(AH!$H$14="Izquierda",RASANTE!F235&lt;=PERALTE!$AB$12),IF(RASANTE!F235&lt;=PERALTE!$Q$12,-2,IF(RASANTE!F235&lt;=PERALTE!$U$12,(10/(PERALTE!$U$12-PERALTE!$Q$12)*(RASANTE!F235-PERALTE!$Q$12)-2),IF(RASANTE!F235&lt;=PERALTE!$X$12,8,IF(RASANTE!F235&lt;=PERALTE!$AB$12,(10/(PERALTE!$X$12-PERALTE!$AB$12)*(RASANTE!F235-PERALTE!$AB$12)-2))))),IF(AND(AH!$H$16="Derecha",RASANTE!F235&lt;=PERALTE!$AB$14),IF(RASANTE!F235&lt;=PERALTE!$S$14,-2,IF(RASANTE!F235&lt;=PERALTE!$U$14,(-6/(PERALTE!$U$14-PERALTE!$S$14)*(RASANTE!F235-PERALTE!$S$14)-2),IF(RASANTE!F235&lt;=PERALTE!$X$14,-8,IF(RASANTE!F235&lt;=PERALTE!$Z$14,(-6/(PERALTE!$X$14-PERALTE!$Z$14)*(RASANTE!F235-PERALTE!$Z$14)-2),IF(RASANTE!F235&lt;=PERALTE!$AB$14,-2))))),IF(AND(AH!$H$16="Izquierda",RASANTE!F235&lt;=PERALTE!$AB$14),IF(RASANTE!F235&lt;=PERALTE!$Q$14,-2,IF(RASANTE!F235&lt;=PERALTE!$U$14,(10/(PERALTE!$U$14-PERALTE!$Q$14)*(RASANTE!F235-PERALTE!$Q$14)-2),IF(RASANTE!F235&lt;=PERALTE!$X$14,8,IF(RASANTE!F235&lt;=PERALTE!$AB$14,(10/(PERALTE!$X$14-PERALTE!$AB$14)*(RASANTE!F235-PERALTE!$AB$14)-2))))),IF(AND(AH!$H$18="Derecha",RASANTE!F235&lt;=PERALTE!$AB$16),IF(RASANTE!F235&lt;=PERALTE!$S$16,-2,IF(RASANTE!F235&lt;=PERALTE!$U$16,(-6/(PERALTE!$U$16-PERALTE!$S$16)*(RASANTE!F235-PERALTE!$S$16)-2),IF(RASANTE!F235&lt;=PERALTE!$X$16,-8,IF(RASANTE!F235&lt;=PERALTE!$Z$16,(-6/(PERALTE!$X$16-PERALTE!$Z$16)*(RASANTE!F235-PERALTE!$Z$16)-2),IF(RASANTE!F235&lt;=PERALTE!$AB$16,-2))))),IF(AND(AH!$H$18="Izquierda",RASANTE!F235&lt;=PERALTE!$AB$16),IF(RASANTE!F235&lt;=PERALTE!$Q$16,-2,IF(RASANTE!F235&lt;=PERALTE!$U$16,(10/(PERALTE!$U$16-PERALTE!$Q$16)*(RASANTE!F235-PERALTE!$Q$16)-2),IF(RASANTE!F235&lt;=PERALTE!$X$16,8,IF(RASANTE!F235&lt;=PERALTE!$AB$16,(10/(PERALTE!$X$16-PERALTE!$AB$16)*(RASANTE!F235-PERALTE!$AB$16)-2))))),IF(AND(AH!$H$20="Derecha",RASANTE!F235&lt;=PERALTE!$AB$18),IF(RASANTE!F235&lt;=PERALTE!$S$18,-2,IF(RASANTE!F235&lt;=PERALTE!$U$18,(-6/(PERALTE!$U$18-PERALTE!$S$18)*(RASANTE!F235-PERALTE!$S$18)-2),IF(RASANTE!F235&lt;=PERALTE!$X$18,-8,IF(RASANTE!F235&lt;=PERALTE!$Z$18,(-6/(PERALTE!$X$18-PERALTE!$Z$18)*(RASANTE!F235-PERALTE!$Z$18)-2),IF(RASANTE!F235&lt;=PERALTE!$AB$18,-2))))),IF(AND(AH!$H$20="Izquierda",RASANTE!F235&lt;=PERALTE!$AB$18),IF(RASANTE!F235&lt;=PERALTE!$Q$18,-2,IF(RASANTE!F235&lt;=PERALTE!$U$18,(10/(PERALTE!$U$18-PERALTE!$Q$18)*(RASANTE!F235-PERALTE!$Q$18)-2),IF(RASANTE!F235&lt;=PERALTE!$X$18,8,IF(RASANTE!F235&lt;=PERALTE!$AB$18,(10/(PERALTE!$X$18-PERALTE!$AB$18)*(RASANTE!F235-PERALTE!$AB$18)-2))))),IF(AND(AH!$H$24="Derecha",RASANTE!F235&lt;=PERALTE!$AB$22),IF(RASANTE!F235&lt;=PERALTE!$S$22,-2,IF(RASANTE!F235&lt;=PERALTE!$U$22,(-6/(PERALTE!$U$22-PERALTE!$S$22)*(RASANTE!F235-PERALTE!$S$22)-2),IF(RASANTE!F235&lt;=PERALTE!$X$22,-8,IF(RASANTE!F235&lt;=PERALTE!$Z$22,(-6/(PERALTE!$X$22-PERALTE!$Z$22)*(RASANTE!F235-PERALTE!$Z$22)-2),IF(RASANTE!F235&lt;=PERALTE!$AB$22,-2))))),IF(AND(AH!$H$24="Izquierda",RASANTE!F235&lt;=PERALTE!$AB$22),IF(RASANTE!F235&lt;=PERALTE!$Q$22,-2,IF(RASANTE!F235&lt;=PERALTE!$U$22,(10/(PERALTE!$U$22-PERALTE!$Q$22)*(RASANTE!F235-PERALTE!$Q$22)-2),IF(RASANTE!F235&lt;=PERALTE!$X$22,8,IF(RASANTE!F235&lt;=PERALTE!$AB$22,(10/(PERALTE!$X$22-PERALTE!$AB$22)*(RASANTE!F235-PERALTE!$AB$22)-2))))),IF(AND(AH!#REF!="Derecha",RASANTE!F235&lt;=PERALTE!#REF!),IF(RASANTE!F235&lt;=PERALTE!#REF!,-2,IF(RASANTE!F235&lt;=PERALTE!#REF!,(-6/(PERALTE!#REF!-PERALTE!#REF!)*(RASANTE!F235-PERALTE!#REF!)-2),IF(RASANTE!F235&lt;=PERALTE!#REF!,-8,IF(RASANTE!F235&lt;=PERALTE!#REF!,(-6/(PERALTE!#REF!-PERALTE!#REF!)*(RASANTE!F235-PERALTE!#REF!)-2),IF(RASANTE!F235&lt;=PERALTE!#REF!,-2))))),IF(AND(AH!#REF!="Izquierda",RASANTE!F235&lt;=PERALTE!#REF!),IF(RASANTE!F235&lt;=PERALTE!#REF!,-2,IF(RASANTE!F235&lt;=PERALTE!#REF!,(10/(PERALTE!#REF!-PERALTE!#REF!)*(RASANTE!F235-PERALTE!#REF!)-2),IF(RASANTE!F235&lt;=PERALTE!#REF!,8,IF(RASANTE!F235&lt;=PERALTE!#REF!,(10/(PERALTE!#REF!-PERALTE!#REF!)*(RASANTE!F235-PERALTE!#REF!)-2))))),IF(AND(AH!#REF!="Derecha",RASANTE!F235&lt;=PERALTE!$AB$26),IF(RASANTE!F235&lt;=PERALTE!$S$26,-2,IF(RASANTE!F235&lt;=PERALTE!$U$26,(-6/(PERALTE!$U$26-PERALTE!$S$26)*(RASANTE!F235-PERALTE!$S$26)-2),IF(RASANTE!F235&lt;=PERALTE!$X$26,-8,IF(RASANTE!F235&lt;=PERALTE!$Z$26,(-6/(PERALTE!$X$26-PERALTE!$Z$26)*(RASANTE!F235-PERALTE!$Z$26)-2),IF(RASANTE!F235&lt;=PERALTE!$AB$26,-2))))),IF(AND(AH!#REF!="Izquierda",RASANTE!F235&lt;=PERALTE!$AB$26),IF(RASANTE!F235&lt;=PERALTE!$Q$26,-2,IF(RASANTE!F235&lt;=PERALTE!$U$26,(10/(PERALTE!$U$26-PERALTE!$Q$26)*(RASANTE!F235-PERALTE!$Q$26)-2),IF(RASANTE!F235&lt;=PERALTE!$X$26,8,IF(RASANTE!F235&lt;=PERALTE!$AB$26,(10/(PERALTE!$X$26-PERALTE!$AB$26)*(RASANTE!F235-PERALTE!$AB$26)-2))))),IF(F235&lt;=PERALTE!#REF!,-2,"Abscisa fuera de la vía")))))))))))))))))))))</f>
        <v>-2</v>
      </c>
      <c r="J235" s="28">
        <f t="shared" si="11"/>
        <v>1631.7007250561855</v>
      </c>
      <c r="K235" s="28">
        <f>+IF(AND(AV!$S$6&lt;F235,F235&lt;=AV!$T$6),AV!$P$6*((AV!$S$6-RASANTE!F235)/(AV!$N$6))^2,IF(AND(AV!$T$6&lt;RASANTE!F235,F235&lt;AV!$U$6),AV!$P$6*((AV!$U$6-RASANTE!F235)/(AV!$O$6))^2,IF(AND(AV!$S$8&lt;F235,F235&lt;=AV!$T$8),AV!$P$8*((AV!$S$8-RASANTE!F235)/(AV!$N$8))^2,IF(AND(AV!$T$8&lt;RASANTE!F235,F235&lt;AV!$U$8),AV!$P$8*((AV!$U$8-RASANTE!F235)/(AV!$O$8))^2,IF(AND(AV!$S$10&lt;F235,F235&lt;=AV!$T$10),AV!$P$10*((AV!$S$10-RASANTE!F235)/(AV!$N$10))^2,IF(AND(AV!$T$10&lt;RASANTE!F235,F235&lt;AV!$U$10),AV!$P$10*((AV!$U$10-RASANTE!F235)/(AV!$O$10))^2,IF(AND(AV!$S$12&lt;F235,F235&lt;=AV!$T$12),AV!$P$12*((AV!$S$12-RASANTE!F235)/(AV!$N$12))^2,IF(AND(AV!$T$12&lt;RASANTE!F235,F235&lt;AV!$U$12),AV!$P$12*((AV!$U$12-RASANTE!F235)/(AV!$O$12))^2,IF(AND(AV!$S$14&lt;F235,F235&lt;=AV!$T$14),AV!$P$14*((AV!$S$14-RASANTE!F235)/(AV!$N$14))^2,IF(AND(AV!$T$14&lt;RASANTE!F235,F235&lt;AV!$U$14),AV!$P$14*((AV!$U$14-RASANTE!F235)/(AV!$O$14))^2,IF(AND(AV!$S$16&lt;F235,F235&lt;=AV!$T$16),AV!$P$16*((AV!$S$16-RASANTE!F235)/(AV!$N$16))^2,IF(AND(AV!$T$16&lt;RASANTE!F235,F235&lt;AV!$U$16),AV!$P$16*((AV!$U$16-RASANTE!F235)/(AV!$O$16))^2,IF(AND(AV!$S$18&lt;F235,F235&lt;=AV!$T$18),AV!$P$18*((AV!$S$18-RASANTE!F235)/(AV!$N$18))^2,IF(AND(AV!$T$18&lt;RASANTE!F235,F235&lt;AV!$U$18),AV!$P$18*((AV!$U$18-RASANTE!F235)/(AV!$O$18))^2,IF(AND(AV!$S$20&lt;F235,F235&lt;=AV!$T$20),AV!$P$20*((AV!$S$20-RASANTE!F235)/(AV!$N$20))^2,IF(AND(AV!$T$20&lt;RASANTE!F235,F235&lt;AV!$U$20),AV!$P$20*((AV!$U$20-RASANTE!F235)/(AV!$O$20))^2,IF(AND(AV!$S$22&lt;F235,F235&lt;=AV!$T$22),AV!$P$22*((AV!$S$22-RASANTE!F235)/(AV!$N$22))^2,IF(AND(AV!$T$22&lt;RASANTE!F235,F235&lt;AV!$U$22),AV!$P$22*((AV!$U$22-RASANTE!F235)/(AV!$O$22))^2,IF(AND(AV!$S$24&lt;F235,F235&lt;=AV!$T$24),AV!$P$24*((AV!$S$24-RASANTE!F235)/(AV!$N$24))^2,IF(AND(AV!$T$24&lt;RASANTE!F235,F235&lt;AV!$U$24),AV!$P$24*((AV!$U$24-RASANTE!F235)/(AV!$O$24))^2,0))))))))))))))))))))</f>
        <v>0</v>
      </c>
      <c r="L235" s="28">
        <f>+M235+H235%*PERALTE!$C$32</f>
        <v>1631.7007250561855</v>
      </c>
      <c r="M235" s="28">
        <f t="shared" si="12"/>
        <v>1631.7007250561855</v>
      </c>
      <c r="N235" s="28">
        <f>+M235+I235%*PERALTE!$C$32</f>
        <v>1631.6307250561856</v>
      </c>
      <c r="O235" s="92"/>
      <c r="P235" s="84"/>
      <c r="Q235" s="84"/>
      <c r="R235" s="84"/>
      <c r="S235" s="84"/>
      <c r="T235" s="84"/>
      <c r="U235" s="84"/>
      <c r="V235" s="84"/>
      <c r="W235" s="84"/>
      <c r="X235" s="84"/>
      <c r="Y235" s="84"/>
    </row>
    <row r="236" spans="1:25" ht="15.75" customHeight="1" x14ac:dyDescent="0.2">
      <c r="A236" s="90"/>
      <c r="B236" s="86"/>
      <c r="C236" s="86"/>
      <c r="D236" s="86"/>
      <c r="E236" s="91"/>
      <c r="F236" s="34">
        <v>1450</v>
      </c>
      <c r="G236" s="88">
        <f>IF(F236&lt;=AV!$T$6,AV!$C$5,IF(RASANTE!F236&lt;=AV!$T$8,AV!$C$7,IF(RASANTE!F236&lt;=AV!$T$10,AV!$C$9,IF(RASANTE!F236&lt;=AV!$T$12,AV!$C$11,IF(RASANTE!F236&lt;=AV!$T$14,AV!$C$13,IF(RASANTE!F236&lt;=AV!$T$16,AV!$C$15, IF(RASANTE!F236&lt;=AV!$T$18,AV!$C$17,IF(RASANTE!F236&lt;=AV!$T$20,AV!$C$19,IF(RASANTE!F236&lt;=AV!$T$22,AV!$C$21,IF(RASANTE!F236&lt;=AV!$T$24,AV!$C$23,AV!$C$25))))))))))</f>
        <v>2.8</v>
      </c>
      <c r="H236" s="28">
        <f>+IF(AND(AH!$H$8="Izquierda",RASANTE!F236&lt;=PERALTE!$AB$6),IF(RASANTE!F236&lt;=PERALTE!$S$6,-2,IF(RASANTE!F236&lt;=PERALTE!$U$6,(-6/(PERALTE!$U$6-PERALTE!$S$6)*(RASANTE!F236-PERALTE!$S$6)-2),IF(RASANTE!F236&lt;=PERALTE!$X$6,-8,IF(RASANTE!F236&lt;=PERALTE!$Z$6,(-6/(PERALTE!$X$6-PERALTE!$Z$6)*(RASANTE!F236-PERALTE!$Z$6)-2),IF(RASANTE!F236&lt;=PERALTE!$AB$6,-2))))),IF(AND(AH!$H$8="Derecha",RASANTE!F236&lt;=PERALTE!$AB$6),IF(RASANTE!F236&lt;=PERALTE!$Q$6,-2,IF(RASANTE!F236&lt;=PERALTE!$U$6,(10/(PERALTE!$U$6-PERALTE!$Q$6)*(RASANTE!F236-PERALTE!$Q$6)-2),IF(RASANTE!F236&lt;=PERALTE!$X$6,8,IF(RASANTE!F236&lt;=PERALTE!$AB$6,(10/(PERALTE!$X$6-PERALTE!$AB$6)*(RASANTE!F236-PERALTE!$AB$6)-2))))),IF(AND(AH!$H$10="Izquierda",RASANTE!F236&lt;=PERALTE!$AB$8),IF(RASANTE!F236&lt;=PERALTE!$S$8,-2,IF(RASANTE!F236&lt;=PERALTE!$U$8,(-6/(PERALTE!$U$8-PERALTE!$S$8)*(RASANTE!F236-PERALTE!$S$8)-2),IF(RASANTE!F236&lt;=PERALTE!$X$8,-8,IF(RASANTE!F236&lt;=PERALTE!$Z$8,(-6/(PERALTE!$X$8-PERALTE!$Z$8)*(RASANTE!F236-PERALTE!$Z$8)-2),IF(RASANTE!F236&lt;=PERALTE!$AB$8,-2))))),IF(AND(AH!$H$10="Derecha",RASANTE!F236&lt;=PERALTE!$AB$8),IF(RASANTE!F236&lt;=PERALTE!$Q$8,-2,IF(RASANTE!F236&lt;=PERALTE!$U$8,(10/(PERALTE!$U$8-PERALTE!$Q$8)*(RASANTE!F236-PERALTE!$Q$8)-2),IF(RASANTE!F236&lt;=PERALTE!$X$8,8,IF(RASANTE!F236&lt;=PERALTE!$AB$8,(10/(PERALTE!$X$8-PERALTE!$AB$8)*(RASANTE!F236-PERALTE!$AB$8)-2))))),IF(AND(AH!$H$12="Izquierda",RASANTE!F236&lt;=PERALTE!$AB$10),IF(RASANTE!F236&lt;=PERALTE!$S$10,-2,IF(RASANTE!F236&lt;=PERALTE!$U$10,(-6/(PERALTE!$U$10-PERALTE!$S$10)*(RASANTE!F236-PERALTE!$S$10)-2),IF(RASANTE!F236&lt;=PERALTE!$X$10,-8,IF(RASANTE!F236&lt;=PERALTE!$Z$10,(-6/(PERALTE!$X$10-PERALTE!$Z$10)*(RASANTE!F236-PERALTE!$Z$10)-2),IF(RASANTE!F236&lt;=PERALTE!$AB$10,-2))))),IF(AND(AH!$H$12="Derecha",RASANTE!F236&lt;=PERALTE!$AB$10),IF(RASANTE!F236&lt;=PERALTE!$Q$10,-2,IF(RASANTE!F236&lt;=PERALTE!$U$10,(10/(PERALTE!$U$10-PERALTE!$Q$10)*(RASANTE!F236-PERALTE!$Q$10)-2),IF(RASANTE!F236&lt;=PERALTE!$X$10,8,IF(RASANTE!F236&lt;=PERALTE!$AB$10,(10/(PERALTE!$X$10-PERALTE!$AB$10)*(RASANTE!F236-PERALTE!$AB$10)-2))))),IF(AND(AH!$H$14="Izquierda",RASANTE!F236&lt;=PERALTE!$AB$12),IF(RASANTE!F236&lt;=PERALTE!$S$12,-2,IF(RASANTE!F236&lt;=PERALTE!$U$12,(-6/(PERALTE!$U$12-PERALTE!$S$12)*(RASANTE!F236-PERALTE!$S$12)-2),IF(RASANTE!F236&lt;=PERALTE!$X$12,-8,IF(RASANTE!F236&lt;=PERALTE!$Z$12,(-6/(PERALTE!$X$12-PERALTE!$Z$12)*(RASANTE!F236-PERALTE!$Z$12)-2),IF(RASANTE!F236&lt;=PERALTE!$AB$12,-2))))),IF(AND(AH!$H$14="Derecha",RASANTE!F236&lt;=PERALTE!$AB$12),IF(RASANTE!F236&lt;=PERALTE!$Q$12,-2,IF(RASANTE!F236&lt;=PERALTE!$U$12,(10/(PERALTE!$U$12-PERALTE!$Q$12)*(RASANTE!F236-PERALTE!$Q$12)-2),IF(RASANTE!F236&lt;=PERALTE!$X$12,8,IF(RASANTE!F236&lt;=PERALTE!$AB$12,(10/(PERALTE!$X$12-PERALTE!$AB$12)*(RASANTE!F236-PERALTE!$AB$12)-2))))),IF(AND(AH!$H$16="Izquierda",RASANTE!F236&lt;=PERALTE!$AB$14),IF(RASANTE!F236&lt;=PERALTE!$S$14,-2,IF(RASANTE!F236&lt;=PERALTE!$U$14,(-6/(PERALTE!$U$14-PERALTE!$S$14)*(RASANTE!F236-PERALTE!$S$14)-2),IF(RASANTE!F236&lt;=PERALTE!$X$14,-8,IF(RASANTE!F236&lt;=PERALTE!$Z$14,(-6/(PERALTE!$X$14-PERALTE!$Z$14)*(RASANTE!F236-PERALTE!$Z$14)-2),IF(RASANTE!F236&lt;=PERALTE!$AB$14,-2))))),IF(AND(AH!$H$16="Derecha",RASANTE!F236&lt;=PERALTE!$AB$14),IF(RASANTE!F236&lt;=PERALTE!$Q$14,-2,IF(RASANTE!F236&lt;=PERALTE!$U$14,(10/(PERALTE!$U$14-PERALTE!$Q$14)*(RASANTE!F236-PERALTE!$Q$14)-2),IF(RASANTE!F236&lt;=PERALTE!$X$14,8,IF(RASANTE!F236&lt;=PERALTE!$AB$14,(10/(PERALTE!$X$14-PERALTE!$AB$14)*(RASANTE!F236-PERALTE!$AB$14)-2))))),IF(AND(AH!$H$18="Izquierda",RASANTE!F236&lt;=PERALTE!$AB$16),IF(RASANTE!F236&lt;=PERALTE!$S$16,-2,IF(RASANTE!F236&lt;=PERALTE!$U$16,(-6/(PERALTE!$U$16-PERALTE!$S$16)*(RASANTE!F236-PERALTE!$S$16)-2),IF(RASANTE!F236&lt;=PERALTE!$X$16,-8,IF(RASANTE!F236&lt;=PERALTE!$Z$16,(-6/(PERALTE!$X$16-PERALTE!$Z$16)*(RASANTE!F236-PERALTE!$Z$16)-2),IF(RASANTE!F236&lt;=PERALTE!$AB$16,-2))))),IF(AND(AH!$H$18="Derecha",RASANTE!F236&lt;=PERALTE!$AB$16),IF(RASANTE!F236&lt;=PERALTE!$Q$16,-2,IF(RASANTE!F236&lt;=PERALTE!$U$16,(10/(PERALTE!$U$16-PERALTE!$Q$16)*(RASANTE!F236-PERALTE!$Q$16)-2),IF(RASANTE!F236&lt;=PERALTE!$X$16,8,IF(RASANTE!F236&lt;=PERALTE!$AB$16,(10/(PERALTE!$X$16-PERALTE!$AB$16)*(RASANTE!F236-PERALTE!$AB$16)-2))))),IF(AND(AH!$H$20="Izquierda",RASANTE!F236&lt;=PERALTE!$AB$18),IF(RASANTE!F236&lt;=PERALTE!$S$18,-2,IF(RASANTE!F236&lt;=PERALTE!$U$18,(-6/(PERALTE!$U$18-PERALTE!$S$18)*(RASANTE!F236-PERALTE!$S$18)-2),IF(RASANTE!F236&lt;=PERALTE!$X$18,-8,IF(RASANTE!F236&lt;=PERALTE!$Z$18,(-6/(PERALTE!$X$18-PERALTE!$Z$18)*(RASANTE!F236-PERALTE!$Z$18)-2),IF(RASANTE!F236&lt;=PERALTE!$AB$18,-2))))),IF(AND(AH!$H$20="Derecha",RASANTE!F236&lt;=PERALTE!$AB$18),IF(RASANTE!F236&lt;=PERALTE!$Q$18,-2,IF(RASANTE!F236&lt;=PERALTE!$U$18,(10/(PERALTE!$U$18-PERALTE!$Q$18)*(RASANTE!F236-PERALTE!$Q$18)-2),IF(RASANTE!F236&lt;=PERALTE!$X$18,8,IF(RASANTE!F236&lt;=PERALTE!$AB$18,(10/(PERALTE!$X$18-PERALTE!$AB$18)*(RASANTE!F236-PERALTE!$AB$18)-2))))),IF(AND(AH!$H$24="Izquierda",RASANTE!F236&lt;=PERALTE!$AB$22),IF(RASANTE!F236&lt;=PERALTE!$S$22,-2,IF(RASANTE!F236&lt;=PERALTE!$U$22,(-6/(PERALTE!$U$22-PERALTE!$S$22)*(RASANTE!F236-PERALTE!$S$22)-2),IF(RASANTE!F236&lt;=PERALTE!$X$22,-8,IF(RASANTE!F236&lt;=PERALTE!$Z$22,(-6/(PERALTE!$X$22-PERALTE!$Z$22)*(RASANTE!F236-PERALTE!$Z$22)-2),IF(RASANTE!F236&lt;=PERALTE!$AB$22,-2))))),IF(AND(AH!$H$24="Derecha",RASANTE!F236&lt;=PERALTE!$AB$22),IF(RASANTE!F236&lt;=PERALTE!$Q$22,-2,IF(RASANTE!F236&lt;=PERALTE!$U$22,(10/(PERALTE!$U$22-PERALTE!$Q$22)*(RASANTE!F236-PERALTE!$Q$22)-2),IF(RASANTE!F236&lt;=PERALTE!$X$22,8,IF(RASANTE!F236&lt;=PERALTE!$AB$22,(10/(PERALTE!$X$22-PERALTE!$AB$22)*(RASANTE!F236-PERALTE!$AB$22)-2))))),IF(AND(AH!#REF!="Izquierda",RASANTE!F236&lt;=PERALTE!#REF!),IF(RASANTE!F236&lt;=PERALTE!#REF!,-2,IF(RASANTE!F236&lt;=PERALTE!#REF!,(-6/(PERALTE!#REF!-PERALTE!#REF!)*(RASANTE!F236-PERALTE!#REF!)-2),IF(RASANTE!F236&lt;=PERALTE!#REF!,-8,IF(RASANTE!F236&lt;=PERALTE!#REF!,(-6/(PERALTE!#REF!-PERALTE!#REF!)*(RASANTE!F236-PERALTE!#REF!)-2),IF(RASANTE!F236&lt;=PERALTE!#REF!,-2))))),IF(AND(AH!#REF!="Derecha",RASANTE!F236&lt;=PERALTE!#REF!),IF(RASANTE!F236&lt;=PERALTE!#REF!,-2,IF(RASANTE!F236&lt;=PERALTE!#REF!,(10/(PERALTE!#REF!-PERALTE!#REF!)*(RASANTE!F236-PERALTE!#REF!)-2),IF(RASANTE!F236&lt;=PERALTE!#REF!,8,IF(RASANTE!F236&lt;=PERALTE!#REF!,(10/(PERALTE!#REF!-PERALTE!#REF!)*(RASANTE!F236-PERALTE!#REF!)-2))))),IF(AND(AH!#REF!="Izquierda",RASANTE!F236&lt;=PERALTE!$AB$26),IF(RASANTE!F236&lt;=PERALTE!$S$26,-2,IF(RASANTE!F236&lt;=PERALTE!$U$26,(-6/(PERALTE!$U$26-PERALTE!$S$26)*(RASANTE!F236-PERALTE!$S$26)-2),IF(RASANTE!F236&lt;=PERALTE!$X$26,-8,IF(RASANTE!F236&lt;=PERALTE!$Z$26,(-6/(PERALTE!$X$26-PERALTE!$Z$26)*(RASANTE!F236-PERALTE!$Z$26)-2),IF(RASANTE!F236&lt;=PERALTE!$AB$26,-2))))),IF(AND(AH!#REF!="Derecha",RASANTE!F236&lt;=PERALTE!$AB$26),IF(RASANTE!F236&lt;=PERALTE!$Q$26,-2,IF(RASANTE!F236&lt;=PERALTE!$U$26,(10/(PERALTE!$U$26-PERALTE!$Q$26)*(RASANTE!F236-PERALTE!$Q$26)-2),IF(RASANTE!F236&lt;=PERALTE!$X$26,8,IF(RASANTE!F236&lt;=PERALTE!$AB$26,(10/(PERALTE!$X$26-PERALTE!$AB$26)*(RASANTE!F236-PERALTE!$AB$26)-2))))),IF(F236&lt;=PERALTE!#REF!,-2,"Abscisa fuera de la vía")))))))))))))))))))))</f>
        <v>-1.9815982113125346</v>
      </c>
      <c r="I236" s="28">
        <f>+IF(AND(AH!$H$8="Derecha",RASANTE!F236&lt;=PERALTE!$AB$6),IF(RASANTE!F236&lt;=PERALTE!$S$6,-2,IF(RASANTE!F236&lt;=PERALTE!$U$6,(-6/(PERALTE!$U$6-PERALTE!$S$6)*(RASANTE!F236-PERALTE!$S$6)-2),IF(RASANTE!F236&lt;=PERALTE!$X$6,-8,IF(RASANTE!F236&lt;=PERALTE!$Z$6,(-6/(PERALTE!$X$6-PERALTE!$Z$6)*(RASANTE!F236-PERALTE!$Z$6)-2),IF(RASANTE!F236&lt;=PERALTE!$AB$6,-2))))),IF(AND(AH!$H$8="Izquierda",RASANTE!F236&lt;=PERALTE!$AB$6),IF(RASANTE!F236&lt;=PERALTE!$Q$6,-2,IF(RASANTE!F236&lt;=PERALTE!$U$6,(10/(PERALTE!$U$6-PERALTE!$Q$6)*(RASANTE!F236-PERALTE!$Q$6)-2),IF(RASANTE!F236&lt;=PERALTE!$X$6,8,IF(RASANTE!F236&lt;=PERALTE!$AB$6,(10/(PERALTE!$X$6-PERALTE!$AB$6)*(RASANTE!F236-PERALTE!$AB$6)-2))))),IF(AND(AH!$H$10="Derecha",RASANTE!F236&lt;=PERALTE!$AB$8),IF(RASANTE!F236&lt;=PERALTE!$S$8,-2,IF(RASANTE!F236&lt;=PERALTE!$U$8,(-6/(PERALTE!$U$8-PERALTE!$S$8)*(RASANTE!F236-PERALTE!$S$8)-2),IF(RASANTE!F236&lt;=PERALTE!$X$8,-8,IF(RASANTE!F236&lt;=PERALTE!$Z$8,(-6/(PERALTE!$X$8-PERALTE!$Z$8)*(RASANTE!F236-PERALTE!$Z$8)-2),IF(RASANTE!F236&lt;=PERALTE!$AB$8,-2))))),IF(AND(AH!$H$10="Izquierda",RASANTE!F236&lt;=PERALTE!$AB$8),IF(RASANTE!F236&lt;=PERALTE!$Q$8,-2,IF(RASANTE!F236&lt;=PERALTE!$U$8,(10/(PERALTE!$U$8-PERALTE!$Q$8)*(RASANTE!F236-PERALTE!$Q$8)-2),IF(RASANTE!F236&lt;=PERALTE!$X$8,8,IF(RASANTE!F236&lt;=PERALTE!$AB$8,(10/(PERALTE!$X$8-PERALTE!$AB$8)*(RASANTE!F236-PERALTE!$AB$8)-2))))),IF(AND(AH!$H$12="Derecha",RASANTE!F236&lt;=PERALTE!$AB$10),IF(RASANTE!F236&lt;=PERALTE!$S$10,-2,IF(RASANTE!F236&lt;=PERALTE!$U$10,(-6/(PERALTE!$U$10-PERALTE!$S$10)*(RASANTE!F236-PERALTE!$S$10)-2),IF(RASANTE!F236&lt;=PERALTE!$X$10,-8,IF(RASANTE!F236&lt;=PERALTE!$Z$10,(-6/(PERALTE!$X$10-PERALTE!$Z$10)*(RASANTE!F236-PERALTE!$Z$10)-2),IF(RASANTE!F236&lt;=PERALTE!$AB$10,-2))))),IF(AND(AH!$H$12="Izquierda",RASANTE!F236&lt;=PERALTE!$AB$10),IF(RASANTE!F236&lt;=PERALTE!$Q$10,-2,IF(RASANTE!F236&lt;=PERALTE!$U$10,(10/(PERALTE!$U$10-PERALTE!$Q$10)*(RASANTE!F236-PERALTE!$Q$10)-2),IF(RASANTE!F236&lt;=PERALTE!$X$10,8,IF(RASANTE!F236&lt;=PERALTE!$AB$10,(10/(PERALTE!$X$10-PERALTE!$AB$10)*(RASANTE!F236-PERALTE!$AB$10)-2))))),IF(AND(AH!$H$14="Derecha",RASANTE!F236&lt;=PERALTE!$AB$12),IF(RASANTE!F236&lt;=PERALTE!$S$12,-2,IF(RASANTE!F236&lt;=PERALTE!$U$12,(-6/(PERALTE!$U$12-PERALTE!$S$12)*(RASANTE!F236-PERALTE!$S$12)-2),IF(RASANTE!F236&lt;=PERALTE!$X$12,-8,IF(RASANTE!F236&lt;=PERALTE!$Z$12,(-6/(PERALTE!$X$12-PERALTE!$Z$12)*(RASANTE!F236-PERALTE!$Z$12)-2),IF(RASANTE!F236&lt;=PERALTE!$AB$12,-2))))),IF(AND(AH!$H$14="Izquierda",RASANTE!F236&lt;=PERALTE!$AB$12),IF(RASANTE!F236&lt;=PERALTE!$Q$12,-2,IF(RASANTE!F236&lt;=PERALTE!$U$12,(10/(PERALTE!$U$12-PERALTE!$Q$12)*(RASANTE!F236-PERALTE!$Q$12)-2),IF(RASANTE!F236&lt;=PERALTE!$X$12,8,IF(RASANTE!F236&lt;=PERALTE!$AB$12,(10/(PERALTE!$X$12-PERALTE!$AB$12)*(RASANTE!F236-PERALTE!$AB$12)-2))))),IF(AND(AH!$H$16="Derecha",RASANTE!F236&lt;=PERALTE!$AB$14),IF(RASANTE!F236&lt;=PERALTE!$S$14,-2,IF(RASANTE!F236&lt;=PERALTE!$U$14,(-6/(PERALTE!$U$14-PERALTE!$S$14)*(RASANTE!F236-PERALTE!$S$14)-2),IF(RASANTE!F236&lt;=PERALTE!$X$14,-8,IF(RASANTE!F236&lt;=PERALTE!$Z$14,(-6/(PERALTE!$X$14-PERALTE!$Z$14)*(RASANTE!F236-PERALTE!$Z$14)-2),IF(RASANTE!F236&lt;=PERALTE!$AB$14,-2))))),IF(AND(AH!$H$16="Izquierda",RASANTE!F236&lt;=PERALTE!$AB$14),IF(RASANTE!F236&lt;=PERALTE!$Q$14,-2,IF(RASANTE!F236&lt;=PERALTE!$U$14,(10/(PERALTE!$U$14-PERALTE!$Q$14)*(RASANTE!F236-PERALTE!$Q$14)-2),IF(RASANTE!F236&lt;=PERALTE!$X$14,8,IF(RASANTE!F236&lt;=PERALTE!$AB$14,(10/(PERALTE!$X$14-PERALTE!$AB$14)*(RASANTE!F236-PERALTE!$AB$14)-2))))),IF(AND(AH!$H$18="Derecha",RASANTE!F236&lt;=PERALTE!$AB$16),IF(RASANTE!F236&lt;=PERALTE!$S$16,-2,IF(RASANTE!F236&lt;=PERALTE!$U$16,(-6/(PERALTE!$U$16-PERALTE!$S$16)*(RASANTE!F236-PERALTE!$S$16)-2),IF(RASANTE!F236&lt;=PERALTE!$X$16,-8,IF(RASANTE!F236&lt;=PERALTE!$Z$16,(-6/(PERALTE!$X$16-PERALTE!$Z$16)*(RASANTE!F236-PERALTE!$Z$16)-2),IF(RASANTE!F236&lt;=PERALTE!$AB$16,-2))))),IF(AND(AH!$H$18="Izquierda",RASANTE!F236&lt;=PERALTE!$AB$16),IF(RASANTE!F236&lt;=PERALTE!$Q$16,-2,IF(RASANTE!F236&lt;=PERALTE!$U$16,(10/(PERALTE!$U$16-PERALTE!$Q$16)*(RASANTE!F236-PERALTE!$Q$16)-2),IF(RASANTE!F236&lt;=PERALTE!$X$16,8,IF(RASANTE!F236&lt;=PERALTE!$AB$16,(10/(PERALTE!$X$16-PERALTE!$AB$16)*(RASANTE!F236-PERALTE!$AB$16)-2))))),IF(AND(AH!$H$20="Derecha",RASANTE!F236&lt;=PERALTE!$AB$18),IF(RASANTE!F236&lt;=PERALTE!$S$18,-2,IF(RASANTE!F236&lt;=PERALTE!$U$18,(-6/(PERALTE!$U$18-PERALTE!$S$18)*(RASANTE!F236-PERALTE!$S$18)-2),IF(RASANTE!F236&lt;=PERALTE!$X$18,-8,IF(RASANTE!F236&lt;=PERALTE!$Z$18,(-6/(PERALTE!$X$18-PERALTE!$Z$18)*(RASANTE!F236-PERALTE!$Z$18)-2),IF(RASANTE!F236&lt;=PERALTE!$AB$18,-2))))),IF(AND(AH!$H$20="Izquierda",RASANTE!F236&lt;=PERALTE!$AB$18),IF(RASANTE!F236&lt;=PERALTE!$Q$18,-2,IF(RASANTE!F236&lt;=PERALTE!$U$18,(10/(PERALTE!$U$18-PERALTE!$Q$18)*(RASANTE!F236-PERALTE!$Q$18)-2),IF(RASANTE!F236&lt;=PERALTE!$X$18,8,IF(RASANTE!F236&lt;=PERALTE!$AB$18,(10/(PERALTE!$X$18-PERALTE!$AB$18)*(RASANTE!F236-PERALTE!$AB$18)-2))))),IF(AND(AH!$H$24="Derecha",RASANTE!F236&lt;=PERALTE!$AB$22),IF(RASANTE!F236&lt;=PERALTE!$S$22,-2,IF(RASANTE!F236&lt;=PERALTE!$U$22,(-6/(PERALTE!$U$22-PERALTE!$S$22)*(RASANTE!F236-PERALTE!$S$22)-2),IF(RASANTE!F236&lt;=PERALTE!$X$22,-8,IF(RASANTE!F236&lt;=PERALTE!$Z$22,(-6/(PERALTE!$X$22-PERALTE!$Z$22)*(RASANTE!F236-PERALTE!$Z$22)-2),IF(RASANTE!F236&lt;=PERALTE!$AB$22,-2))))),IF(AND(AH!$H$24="Izquierda",RASANTE!F236&lt;=PERALTE!$AB$22),IF(RASANTE!F236&lt;=PERALTE!$Q$22,-2,IF(RASANTE!F236&lt;=PERALTE!$U$22,(10/(PERALTE!$U$22-PERALTE!$Q$22)*(RASANTE!F236-PERALTE!$Q$22)-2),IF(RASANTE!F236&lt;=PERALTE!$X$22,8,IF(RASANTE!F236&lt;=PERALTE!$AB$22,(10/(PERALTE!$X$22-PERALTE!$AB$22)*(RASANTE!F236-PERALTE!$AB$22)-2))))),IF(AND(AH!#REF!="Derecha",RASANTE!F236&lt;=PERALTE!#REF!),IF(RASANTE!F236&lt;=PERALTE!#REF!,-2,IF(RASANTE!F236&lt;=PERALTE!#REF!,(-6/(PERALTE!#REF!-PERALTE!#REF!)*(RASANTE!F236-PERALTE!#REF!)-2),IF(RASANTE!F236&lt;=PERALTE!#REF!,-8,IF(RASANTE!F236&lt;=PERALTE!#REF!,(-6/(PERALTE!#REF!-PERALTE!#REF!)*(RASANTE!F236-PERALTE!#REF!)-2),IF(RASANTE!F236&lt;=PERALTE!#REF!,-2))))),IF(AND(AH!#REF!="Izquierda",RASANTE!F236&lt;=PERALTE!#REF!),IF(RASANTE!F236&lt;=PERALTE!#REF!,-2,IF(RASANTE!F236&lt;=PERALTE!#REF!,(10/(PERALTE!#REF!-PERALTE!#REF!)*(RASANTE!F236-PERALTE!#REF!)-2),IF(RASANTE!F236&lt;=PERALTE!#REF!,8,IF(RASANTE!F236&lt;=PERALTE!#REF!,(10/(PERALTE!#REF!-PERALTE!#REF!)*(RASANTE!F236-PERALTE!#REF!)-2))))),IF(AND(AH!#REF!="Derecha",RASANTE!F236&lt;=PERALTE!$AB$26),IF(RASANTE!F236&lt;=PERALTE!$S$26,-2,IF(RASANTE!F236&lt;=PERALTE!$U$26,(-6/(PERALTE!$U$26-PERALTE!$S$26)*(RASANTE!F236-PERALTE!$S$26)-2),IF(RASANTE!F236&lt;=PERALTE!$X$26,-8,IF(RASANTE!F236&lt;=PERALTE!$Z$26,(-6/(PERALTE!$X$26-PERALTE!$Z$26)*(RASANTE!F236-PERALTE!$Z$26)-2),IF(RASANTE!F236&lt;=PERALTE!$AB$26,-2))))),IF(AND(AH!#REF!="Izquierda",RASANTE!F236&lt;=PERALTE!$AB$26),IF(RASANTE!F236&lt;=PERALTE!$Q$26,-2,IF(RASANTE!F236&lt;=PERALTE!$U$26,(10/(PERALTE!$U$26-PERALTE!$Q$26)*(RASANTE!F236-PERALTE!$Q$26)-2),IF(RASANTE!F236&lt;=PERALTE!$X$26,8,IF(RASANTE!F236&lt;=PERALTE!$AB$26,(10/(PERALTE!$X$26-PERALTE!$AB$26)*(RASANTE!F236-PERALTE!$AB$26)-2))))),IF(F236&lt;=PERALTE!#REF!,-2,"Abscisa fuera de la vía")))))))))))))))))))))</f>
        <v>-2</v>
      </c>
      <c r="J236" s="28">
        <f t="shared" si="11"/>
        <v>1631.9529284648982</v>
      </c>
      <c r="K236" s="28">
        <f>+IF(AND(AV!$S$6&lt;F236,F236&lt;=AV!$T$6),AV!$P$6*((AV!$S$6-RASANTE!F236)/(AV!$N$6))^2,IF(AND(AV!$T$6&lt;RASANTE!F236,F236&lt;AV!$U$6),AV!$P$6*((AV!$U$6-RASANTE!F236)/(AV!$O$6))^2,IF(AND(AV!$S$8&lt;F236,F236&lt;=AV!$T$8),AV!$P$8*((AV!$S$8-RASANTE!F236)/(AV!$N$8))^2,IF(AND(AV!$T$8&lt;RASANTE!F236,F236&lt;AV!$U$8),AV!$P$8*((AV!$U$8-RASANTE!F236)/(AV!$O$8))^2,IF(AND(AV!$S$10&lt;F236,F236&lt;=AV!$T$10),AV!$P$10*((AV!$S$10-RASANTE!F236)/(AV!$N$10))^2,IF(AND(AV!$T$10&lt;RASANTE!F236,F236&lt;AV!$U$10),AV!$P$10*((AV!$U$10-RASANTE!F236)/(AV!$O$10))^2,IF(AND(AV!$S$12&lt;F236,F236&lt;=AV!$T$12),AV!$P$12*((AV!$S$12-RASANTE!F236)/(AV!$N$12))^2,IF(AND(AV!$T$12&lt;RASANTE!F236,F236&lt;AV!$U$12),AV!$P$12*((AV!$U$12-RASANTE!F236)/(AV!$O$12))^2,IF(AND(AV!$S$14&lt;F236,F236&lt;=AV!$T$14),AV!$P$14*((AV!$S$14-RASANTE!F236)/(AV!$N$14))^2,IF(AND(AV!$T$14&lt;RASANTE!F236,F236&lt;AV!$U$14),AV!$P$14*((AV!$U$14-RASANTE!F236)/(AV!$O$14))^2,IF(AND(AV!$S$16&lt;F236,F236&lt;=AV!$T$16),AV!$P$16*((AV!$S$16-RASANTE!F236)/(AV!$N$16))^2,IF(AND(AV!$T$16&lt;RASANTE!F236,F236&lt;AV!$U$16),AV!$P$16*((AV!$U$16-RASANTE!F236)/(AV!$O$16))^2,IF(AND(AV!$S$18&lt;F236,F236&lt;=AV!$T$18),AV!$P$18*((AV!$S$18-RASANTE!F236)/(AV!$N$18))^2,IF(AND(AV!$T$18&lt;RASANTE!F236,F236&lt;AV!$U$18),AV!$P$18*((AV!$U$18-RASANTE!F236)/(AV!$O$18))^2,IF(AND(AV!$S$20&lt;F236,F236&lt;=AV!$T$20),AV!$P$20*((AV!$S$20-RASANTE!F236)/(AV!$N$20))^2,IF(AND(AV!$T$20&lt;RASANTE!F236,F236&lt;AV!$U$20),AV!$P$20*((AV!$U$20-RASANTE!F236)/(AV!$O$20))^2,IF(AND(AV!$S$22&lt;F236,F236&lt;=AV!$T$22),AV!$P$22*((AV!$S$22-RASANTE!F236)/(AV!$N$22))^2,IF(AND(AV!$T$22&lt;RASANTE!F236,F236&lt;AV!$U$22),AV!$P$22*((AV!$U$22-RASANTE!F236)/(AV!$O$22))^2,IF(AND(AV!$S$24&lt;F236,F236&lt;=AV!$T$24),AV!$P$24*((AV!$S$24-RASANTE!F236)/(AV!$N$24))^2,IF(AND(AV!$T$24&lt;RASANTE!F236,F236&lt;AV!$U$24),AV!$P$24*((AV!$U$24-RASANTE!F236)/(AV!$O$24))^2,0))))))))))))))))))))</f>
        <v>0</v>
      </c>
      <c r="L236" s="28">
        <f>+M236+H236%*PERALTE!$C$32</f>
        <v>1631.8835725275021</v>
      </c>
      <c r="M236" s="28">
        <f t="shared" si="12"/>
        <v>1631.9529284648982</v>
      </c>
      <c r="N236" s="28">
        <f>+M236+I236%*PERALTE!$C$32</f>
        <v>1631.8829284648982</v>
      </c>
      <c r="O236" s="92"/>
      <c r="P236" s="84"/>
      <c r="Q236" s="84"/>
      <c r="R236" s="84"/>
      <c r="S236" s="84"/>
      <c r="T236" s="84"/>
      <c r="U236" s="84"/>
      <c r="V236" s="84"/>
      <c r="W236" s="84"/>
      <c r="X236" s="84"/>
      <c r="Y236" s="84"/>
    </row>
    <row r="237" spans="1:25" ht="15.75" customHeight="1" x14ac:dyDescent="0.2">
      <c r="A237" s="90" t="s">
        <v>367</v>
      </c>
      <c r="B237" s="86"/>
      <c r="C237" s="86"/>
      <c r="D237" s="86"/>
      <c r="E237" s="91"/>
      <c r="F237" s="34">
        <f>PERALTE!AB16</f>
        <v>1450.0836444940339</v>
      </c>
      <c r="G237" s="88">
        <f>IF(F237&lt;=AV!$T$6,AV!$C$5,IF(RASANTE!F237&lt;=AV!$T$8,AV!$C$7,IF(RASANTE!F237&lt;=AV!$T$10,AV!$C$9,IF(RASANTE!F237&lt;=AV!$T$12,AV!$C$11,IF(RASANTE!F237&lt;=AV!$T$14,AV!$C$13,IF(RASANTE!F237&lt;=AV!$T$16,AV!$C$15, IF(RASANTE!F237&lt;=AV!$T$18,AV!$C$17,IF(RASANTE!F237&lt;=AV!$T$20,AV!$C$19,IF(RASANTE!F237&lt;=AV!$T$22,AV!$C$21,IF(RASANTE!F237&lt;=AV!$T$24,AV!$C$23,AV!$C$25))))))))))</f>
        <v>2.8</v>
      </c>
      <c r="H237" s="28">
        <f>+IF(AND(AH!$H$8="Izquierda",RASANTE!F237&lt;=PERALTE!$AB$6),IF(RASANTE!F237&lt;=PERALTE!$S$6,-2,IF(RASANTE!F237&lt;=PERALTE!$U$6,(-6/(PERALTE!$U$6-PERALTE!$S$6)*(RASANTE!F237-PERALTE!$S$6)-2),IF(RASANTE!F237&lt;=PERALTE!$X$6,-8,IF(RASANTE!F237&lt;=PERALTE!$Z$6,(-6/(PERALTE!$X$6-PERALTE!$Z$6)*(RASANTE!F237-PERALTE!$Z$6)-2),IF(RASANTE!F237&lt;=PERALTE!$AB$6,-2))))),IF(AND(AH!$H$8="Derecha",RASANTE!F237&lt;=PERALTE!$AB$6),IF(RASANTE!F237&lt;=PERALTE!$Q$6,-2,IF(RASANTE!F237&lt;=PERALTE!$U$6,(10/(PERALTE!$U$6-PERALTE!$Q$6)*(RASANTE!F237-PERALTE!$Q$6)-2),IF(RASANTE!F237&lt;=PERALTE!$X$6,8,IF(RASANTE!F237&lt;=PERALTE!$AB$6,(10/(PERALTE!$X$6-PERALTE!$AB$6)*(RASANTE!F237-PERALTE!$AB$6)-2))))),IF(AND(AH!$H$10="Izquierda",RASANTE!F237&lt;=PERALTE!$AB$8),IF(RASANTE!F237&lt;=PERALTE!$S$8,-2,IF(RASANTE!F237&lt;=PERALTE!$U$8,(-6/(PERALTE!$U$8-PERALTE!$S$8)*(RASANTE!F237-PERALTE!$S$8)-2),IF(RASANTE!F237&lt;=PERALTE!$X$8,-8,IF(RASANTE!F237&lt;=PERALTE!$Z$8,(-6/(PERALTE!$X$8-PERALTE!$Z$8)*(RASANTE!F237-PERALTE!$Z$8)-2),IF(RASANTE!F237&lt;=PERALTE!$AB$8,-2))))),IF(AND(AH!$H$10="Derecha",RASANTE!F237&lt;=PERALTE!$AB$8),IF(RASANTE!F237&lt;=PERALTE!$Q$8,-2,IF(RASANTE!F237&lt;=PERALTE!$U$8,(10/(PERALTE!$U$8-PERALTE!$Q$8)*(RASANTE!F237-PERALTE!$Q$8)-2),IF(RASANTE!F237&lt;=PERALTE!$X$8,8,IF(RASANTE!F237&lt;=PERALTE!$AB$8,(10/(PERALTE!$X$8-PERALTE!$AB$8)*(RASANTE!F237-PERALTE!$AB$8)-2))))),IF(AND(AH!$H$12="Izquierda",RASANTE!F237&lt;=PERALTE!$AB$10),IF(RASANTE!F237&lt;=PERALTE!$S$10,-2,IF(RASANTE!F237&lt;=PERALTE!$U$10,(-6/(PERALTE!$U$10-PERALTE!$S$10)*(RASANTE!F237-PERALTE!$S$10)-2),IF(RASANTE!F237&lt;=PERALTE!$X$10,-8,IF(RASANTE!F237&lt;=PERALTE!$Z$10,(-6/(PERALTE!$X$10-PERALTE!$Z$10)*(RASANTE!F237-PERALTE!$Z$10)-2),IF(RASANTE!F237&lt;=PERALTE!$AB$10,-2))))),IF(AND(AH!$H$12="Derecha",RASANTE!F237&lt;=PERALTE!$AB$10),IF(RASANTE!F237&lt;=PERALTE!$Q$10,-2,IF(RASANTE!F237&lt;=PERALTE!$U$10,(10/(PERALTE!$U$10-PERALTE!$Q$10)*(RASANTE!F237-PERALTE!$Q$10)-2),IF(RASANTE!F237&lt;=PERALTE!$X$10,8,IF(RASANTE!F237&lt;=PERALTE!$AB$10,(10/(PERALTE!$X$10-PERALTE!$AB$10)*(RASANTE!F237-PERALTE!$AB$10)-2))))),IF(AND(AH!$H$14="Izquierda",RASANTE!F237&lt;=PERALTE!$AB$12),IF(RASANTE!F237&lt;=PERALTE!$S$12,-2,IF(RASANTE!F237&lt;=PERALTE!$U$12,(-6/(PERALTE!$U$12-PERALTE!$S$12)*(RASANTE!F237-PERALTE!$S$12)-2),IF(RASANTE!F237&lt;=PERALTE!$X$12,-8,IF(RASANTE!F237&lt;=PERALTE!$Z$12,(-6/(PERALTE!$X$12-PERALTE!$Z$12)*(RASANTE!F237-PERALTE!$Z$12)-2),IF(RASANTE!F237&lt;=PERALTE!$AB$12,-2))))),IF(AND(AH!$H$14="Derecha",RASANTE!F237&lt;=PERALTE!$AB$12),IF(RASANTE!F237&lt;=PERALTE!$Q$12,-2,IF(RASANTE!F237&lt;=PERALTE!$U$12,(10/(PERALTE!$U$12-PERALTE!$Q$12)*(RASANTE!F237-PERALTE!$Q$12)-2),IF(RASANTE!F237&lt;=PERALTE!$X$12,8,IF(RASANTE!F237&lt;=PERALTE!$AB$12,(10/(PERALTE!$X$12-PERALTE!$AB$12)*(RASANTE!F237-PERALTE!$AB$12)-2))))),IF(AND(AH!$H$16="Izquierda",RASANTE!F237&lt;=PERALTE!$AB$14),IF(RASANTE!F237&lt;=PERALTE!$S$14,-2,IF(RASANTE!F237&lt;=PERALTE!$U$14,(-6/(PERALTE!$U$14-PERALTE!$S$14)*(RASANTE!F237-PERALTE!$S$14)-2),IF(RASANTE!F237&lt;=PERALTE!$X$14,-8,IF(RASANTE!F237&lt;=PERALTE!$Z$14,(-6/(PERALTE!$X$14-PERALTE!$Z$14)*(RASANTE!F237-PERALTE!$Z$14)-2),IF(RASANTE!F237&lt;=PERALTE!$AB$14,-2))))),IF(AND(AH!$H$16="Derecha",RASANTE!F237&lt;=PERALTE!$AB$14),IF(RASANTE!F237&lt;=PERALTE!$Q$14,-2,IF(RASANTE!F237&lt;=PERALTE!$U$14,(10/(PERALTE!$U$14-PERALTE!$Q$14)*(RASANTE!F237-PERALTE!$Q$14)-2),IF(RASANTE!F237&lt;=PERALTE!$X$14,8,IF(RASANTE!F237&lt;=PERALTE!$AB$14,(10/(PERALTE!$X$14-PERALTE!$AB$14)*(RASANTE!F237-PERALTE!$AB$14)-2))))),IF(AND(AH!$H$18="Izquierda",RASANTE!F237&lt;=PERALTE!$AB$16),IF(RASANTE!F237&lt;=PERALTE!$S$16,-2,IF(RASANTE!F237&lt;=PERALTE!$U$16,(-6/(PERALTE!$U$16-PERALTE!$S$16)*(RASANTE!F237-PERALTE!$S$16)-2),IF(RASANTE!F237&lt;=PERALTE!$X$16,-8,IF(RASANTE!F237&lt;=PERALTE!$Z$16,(-6/(PERALTE!$X$16-PERALTE!$Z$16)*(RASANTE!F237-PERALTE!$Z$16)-2),IF(RASANTE!F237&lt;=PERALTE!$AB$16,-2))))),IF(AND(AH!$H$18="Derecha",RASANTE!F237&lt;=PERALTE!$AB$16),IF(RASANTE!F237&lt;=PERALTE!$Q$16,-2,IF(RASANTE!F237&lt;=PERALTE!$U$16,(10/(PERALTE!$U$16-PERALTE!$Q$16)*(RASANTE!F237-PERALTE!$Q$16)-2),IF(RASANTE!F237&lt;=PERALTE!$X$16,8,IF(RASANTE!F237&lt;=PERALTE!$AB$16,(10/(PERALTE!$X$16-PERALTE!$AB$16)*(RASANTE!F237-PERALTE!$AB$16)-2))))),IF(AND(AH!$H$20="Izquierda",RASANTE!F237&lt;=PERALTE!$AB$18),IF(RASANTE!F237&lt;=PERALTE!$S$18,-2,IF(RASANTE!F237&lt;=PERALTE!$U$18,(-6/(PERALTE!$U$18-PERALTE!$S$18)*(RASANTE!F237-PERALTE!$S$18)-2),IF(RASANTE!F237&lt;=PERALTE!$X$18,-8,IF(RASANTE!F237&lt;=PERALTE!$Z$18,(-6/(PERALTE!$X$18-PERALTE!$Z$18)*(RASANTE!F237-PERALTE!$Z$18)-2),IF(RASANTE!F237&lt;=PERALTE!$AB$18,-2))))),IF(AND(AH!$H$20="Derecha",RASANTE!F237&lt;=PERALTE!$AB$18),IF(RASANTE!F237&lt;=PERALTE!$Q$18,-2,IF(RASANTE!F237&lt;=PERALTE!$U$18,(10/(PERALTE!$U$18-PERALTE!$Q$18)*(RASANTE!F237-PERALTE!$Q$18)-2),IF(RASANTE!F237&lt;=PERALTE!$X$18,8,IF(RASANTE!F237&lt;=PERALTE!$AB$18,(10/(PERALTE!$X$18-PERALTE!$AB$18)*(RASANTE!F237-PERALTE!$AB$18)-2))))),IF(AND(AH!$H$24="Izquierda",RASANTE!F237&lt;=PERALTE!$AB$22),IF(RASANTE!F237&lt;=PERALTE!$S$22,-2,IF(RASANTE!F237&lt;=PERALTE!$U$22,(-6/(PERALTE!$U$22-PERALTE!$S$22)*(RASANTE!F237-PERALTE!$S$22)-2),IF(RASANTE!F237&lt;=PERALTE!$X$22,-8,IF(RASANTE!F237&lt;=PERALTE!$Z$22,(-6/(PERALTE!$X$22-PERALTE!$Z$22)*(RASANTE!F237-PERALTE!$Z$22)-2),IF(RASANTE!F237&lt;=PERALTE!$AB$22,-2))))),IF(AND(AH!$H$24="Derecha",RASANTE!F237&lt;=PERALTE!$AB$22),IF(RASANTE!F237&lt;=PERALTE!$Q$22,-2,IF(RASANTE!F237&lt;=PERALTE!$U$22,(10/(PERALTE!$U$22-PERALTE!$Q$22)*(RASANTE!F237-PERALTE!$Q$22)-2),IF(RASANTE!F237&lt;=PERALTE!$X$22,8,IF(RASANTE!F237&lt;=PERALTE!$AB$22,(10/(PERALTE!$X$22-PERALTE!$AB$22)*(RASANTE!F237-PERALTE!$AB$22)-2))))),IF(AND(AH!#REF!="Izquierda",RASANTE!F237&lt;=PERALTE!#REF!),IF(RASANTE!F237&lt;=PERALTE!#REF!,-2,IF(RASANTE!F237&lt;=PERALTE!#REF!,(-6/(PERALTE!#REF!-PERALTE!#REF!)*(RASANTE!F237-PERALTE!#REF!)-2),IF(RASANTE!F237&lt;=PERALTE!#REF!,-8,IF(RASANTE!F237&lt;=PERALTE!#REF!,(-6/(PERALTE!#REF!-PERALTE!#REF!)*(RASANTE!F237-PERALTE!#REF!)-2),IF(RASANTE!F237&lt;=PERALTE!#REF!,-2))))),IF(AND(AH!#REF!="Derecha",RASANTE!F237&lt;=PERALTE!#REF!),IF(RASANTE!F237&lt;=PERALTE!#REF!,-2,IF(RASANTE!F237&lt;=PERALTE!#REF!,(10/(PERALTE!#REF!-PERALTE!#REF!)*(RASANTE!F237-PERALTE!#REF!)-2),IF(RASANTE!F237&lt;=PERALTE!#REF!,8,IF(RASANTE!F237&lt;=PERALTE!#REF!,(10/(PERALTE!#REF!-PERALTE!#REF!)*(RASANTE!F237-PERALTE!#REF!)-2))))),IF(AND(AH!#REF!="Izquierda",RASANTE!F237&lt;=PERALTE!$AB$26),IF(RASANTE!F237&lt;=PERALTE!$S$26,-2,IF(RASANTE!F237&lt;=PERALTE!$U$26,(-6/(PERALTE!$U$26-PERALTE!$S$26)*(RASANTE!F237-PERALTE!$S$26)-2),IF(RASANTE!F237&lt;=PERALTE!$X$26,-8,IF(RASANTE!F237&lt;=PERALTE!$Z$26,(-6/(PERALTE!$X$26-PERALTE!$Z$26)*(RASANTE!F237-PERALTE!$Z$26)-2),IF(RASANTE!F237&lt;=PERALTE!$AB$26,-2))))),IF(AND(AH!#REF!="Derecha",RASANTE!F237&lt;=PERALTE!$AB$26),IF(RASANTE!F237&lt;=PERALTE!$Q$26,-2,IF(RASANTE!F237&lt;=PERALTE!$U$26,(10/(PERALTE!$U$26-PERALTE!$Q$26)*(RASANTE!F237-PERALTE!$Q$26)-2),IF(RASANTE!F237&lt;=PERALTE!$X$26,8,IF(RASANTE!F237&lt;=PERALTE!$AB$26,(10/(PERALTE!$X$26-PERALTE!$AB$26)*(RASANTE!F237-PERALTE!$AB$26)-2))))),IF(F237&lt;=PERALTE!#REF!,-2,"Abscisa fuera de la vía")))))))))))))))))))))</f>
        <v>-2</v>
      </c>
      <c r="I237" s="28">
        <f>+IF(AND(AH!$H$8="Derecha",RASANTE!F237&lt;=PERALTE!$AB$6),IF(RASANTE!F237&lt;=PERALTE!$S$6,-2,IF(RASANTE!F237&lt;=PERALTE!$U$6,(-6/(PERALTE!$U$6-PERALTE!$S$6)*(RASANTE!F237-PERALTE!$S$6)-2),IF(RASANTE!F237&lt;=PERALTE!$X$6,-8,IF(RASANTE!F237&lt;=PERALTE!$Z$6,(-6/(PERALTE!$X$6-PERALTE!$Z$6)*(RASANTE!F237-PERALTE!$Z$6)-2),IF(RASANTE!F237&lt;=PERALTE!$AB$6,-2))))),IF(AND(AH!$H$8="Izquierda",RASANTE!F237&lt;=PERALTE!$AB$6),IF(RASANTE!F237&lt;=PERALTE!$Q$6,-2,IF(RASANTE!F237&lt;=PERALTE!$U$6,(10/(PERALTE!$U$6-PERALTE!$Q$6)*(RASANTE!F237-PERALTE!$Q$6)-2),IF(RASANTE!F237&lt;=PERALTE!$X$6,8,IF(RASANTE!F237&lt;=PERALTE!$AB$6,(10/(PERALTE!$X$6-PERALTE!$AB$6)*(RASANTE!F237-PERALTE!$AB$6)-2))))),IF(AND(AH!$H$10="Derecha",RASANTE!F237&lt;=PERALTE!$AB$8),IF(RASANTE!F237&lt;=PERALTE!$S$8,-2,IF(RASANTE!F237&lt;=PERALTE!$U$8,(-6/(PERALTE!$U$8-PERALTE!$S$8)*(RASANTE!F237-PERALTE!$S$8)-2),IF(RASANTE!F237&lt;=PERALTE!$X$8,-8,IF(RASANTE!F237&lt;=PERALTE!$Z$8,(-6/(PERALTE!$X$8-PERALTE!$Z$8)*(RASANTE!F237-PERALTE!$Z$8)-2),IF(RASANTE!F237&lt;=PERALTE!$AB$8,-2))))),IF(AND(AH!$H$10="Izquierda",RASANTE!F237&lt;=PERALTE!$AB$8),IF(RASANTE!F237&lt;=PERALTE!$Q$8,-2,IF(RASANTE!F237&lt;=PERALTE!$U$8,(10/(PERALTE!$U$8-PERALTE!$Q$8)*(RASANTE!F237-PERALTE!$Q$8)-2),IF(RASANTE!F237&lt;=PERALTE!$X$8,8,IF(RASANTE!F237&lt;=PERALTE!$AB$8,(10/(PERALTE!$X$8-PERALTE!$AB$8)*(RASANTE!F237-PERALTE!$AB$8)-2))))),IF(AND(AH!$H$12="Derecha",RASANTE!F237&lt;=PERALTE!$AB$10),IF(RASANTE!F237&lt;=PERALTE!$S$10,-2,IF(RASANTE!F237&lt;=PERALTE!$U$10,(-6/(PERALTE!$U$10-PERALTE!$S$10)*(RASANTE!F237-PERALTE!$S$10)-2),IF(RASANTE!F237&lt;=PERALTE!$X$10,-8,IF(RASANTE!F237&lt;=PERALTE!$Z$10,(-6/(PERALTE!$X$10-PERALTE!$Z$10)*(RASANTE!F237-PERALTE!$Z$10)-2),IF(RASANTE!F237&lt;=PERALTE!$AB$10,-2))))),IF(AND(AH!$H$12="Izquierda",RASANTE!F237&lt;=PERALTE!$AB$10),IF(RASANTE!F237&lt;=PERALTE!$Q$10,-2,IF(RASANTE!F237&lt;=PERALTE!$U$10,(10/(PERALTE!$U$10-PERALTE!$Q$10)*(RASANTE!F237-PERALTE!$Q$10)-2),IF(RASANTE!F237&lt;=PERALTE!$X$10,8,IF(RASANTE!F237&lt;=PERALTE!$AB$10,(10/(PERALTE!$X$10-PERALTE!$AB$10)*(RASANTE!F237-PERALTE!$AB$10)-2))))),IF(AND(AH!$H$14="Derecha",RASANTE!F237&lt;=PERALTE!$AB$12),IF(RASANTE!F237&lt;=PERALTE!$S$12,-2,IF(RASANTE!F237&lt;=PERALTE!$U$12,(-6/(PERALTE!$U$12-PERALTE!$S$12)*(RASANTE!F237-PERALTE!$S$12)-2),IF(RASANTE!F237&lt;=PERALTE!$X$12,-8,IF(RASANTE!F237&lt;=PERALTE!$Z$12,(-6/(PERALTE!$X$12-PERALTE!$Z$12)*(RASANTE!F237-PERALTE!$Z$12)-2),IF(RASANTE!F237&lt;=PERALTE!$AB$12,-2))))),IF(AND(AH!$H$14="Izquierda",RASANTE!F237&lt;=PERALTE!$AB$12),IF(RASANTE!F237&lt;=PERALTE!$Q$12,-2,IF(RASANTE!F237&lt;=PERALTE!$U$12,(10/(PERALTE!$U$12-PERALTE!$Q$12)*(RASANTE!F237-PERALTE!$Q$12)-2),IF(RASANTE!F237&lt;=PERALTE!$X$12,8,IF(RASANTE!F237&lt;=PERALTE!$AB$12,(10/(PERALTE!$X$12-PERALTE!$AB$12)*(RASANTE!F237-PERALTE!$AB$12)-2))))),IF(AND(AH!$H$16="Derecha",RASANTE!F237&lt;=PERALTE!$AB$14),IF(RASANTE!F237&lt;=PERALTE!$S$14,-2,IF(RASANTE!F237&lt;=PERALTE!$U$14,(-6/(PERALTE!$U$14-PERALTE!$S$14)*(RASANTE!F237-PERALTE!$S$14)-2),IF(RASANTE!F237&lt;=PERALTE!$X$14,-8,IF(RASANTE!F237&lt;=PERALTE!$Z$14,(-6/(PERALTE!$X$14-PERALTE!$Z$14)*(RASANTE!F237-PERALTE!$Z$14)-2),IF(RASANTE!F237&lt;=PERALTE!$AB$14,-2))))),IF(AND(AH!$H$16="Izquierda",RASANTE!F237&lt;=PERALTE!$AB$14),IF(RASANTE!F237&lt;=PERALTE!$Q$14,-2,IF(RASANTE!F237&lt;=PERALTE!$U$14,(10/(PERALTE!$U$14-PERALTE!$Q$14)*(RASANTE!F237-PERALTE!$Q$14)-2),IF(RASANTE!F237&lt;=PERALTE!$X$14,8,IF(RASANTE!F237&lt;=PERALTE!$AB$14,(10/(PERALTE!$X$14-PERALTE!$AB$14)*(RASANTE!F237-PERALTE!$AB$14)-2))))),IF(AND(AH!$H$18="Derecha",RASANTE!F237&lt;=PERALTE!$AB$16),IF(RASANTE!F237&lt;=PERALTE!$S$16,-2,IF(RASANTE!F237&lt;=PERALTE!$U$16,(-6/(PERALTE!$U$16-PERALTE!$S$16)*(RASANTE!F237-PERALTE!$S$16)-2),IF(RASANTE!F237&lt;=PERALTE!$X$16,-8,IF(RASANTE!F237&lt;=PERALTE!$Z$16,(-6/(PERALTE!$X$16-PERALTE!$Z$16)*(RASANTE!F237-PERALTE!$Z$16)-2),IF(RASANTE!F237&lt;=PERALTE!$AB$16,-2))))),IF(AND(AH!$H$18="Izquierda",RASANTE!F237&lt;=PERALTE!$AB$16),IF(RASANTE!F237&lt;=PERALTE!$Q$16,-2,IF(RASANTE!F237&lt;=PERALTE!$U$16,(10/(PERALTE!$U$16-PERALTE!$Q$16)*(RASANTE!F237-PERALTE!$Q$16)-2),IF(RASANTE!F237&lt;=PERALTE!$X$16,8,IF(RASANTE!F237&lt;=PERALTE!$AB$16,(10/(PERALTE!$X$16-PERALTE!$AB$16)*(RASANTE!F237-PERALTE!$AB$16)-2))))),IF(AND(AH!$H$20="Derecha",RASANTE!F237&lt;=PERALTE!$AB$18),IF(RASANTE!F237&lt;=PERALTE!$S$18,-2,IF(RASANTE!F237&lt;=PERALTE!$U$18,(-6/(PERALTE!$U$18-PERALTE!$S$18)*(RASANTE!F237-PERALTE!$S$18)-2),IF(RASANTE!F237&lt;=PERALTE!$X$18,-8,IF(RASANTE!F237&lt;=PERALTE!$Z$18,(-6/(PERALTE!$X$18-PERALTE!$Z$18)*(RASANTE!F237-PERALTE!$Z$18)-2),IF(RASANTE!F237&lt;=PERALTE!$AB$18,-2))))),IF(AND(AH!$H$20="Izquierda",RASANTE!F237&lt;=PERALTE!$AB$18),IF(RASANTE!F237&lt;=PERALTE!$Q$18,-2,IF(RASANTE!F237&lt;=PERALTE!$U$18,(10/(PERALTE!$U$18-PERALTE!$Q$18)*(RASANTE!F237-PERALTE!$Q$18)-2),IF(RASANTE!F237&lt;=PERALTE!$X$18,8,IF(RASANTE!F237&lt;=PERALTE!$AB$18,(10/(PERALTE!$X$18-PERALTE!$AB$18)*(RASANTE!F237-PERALTE!$AB$18)-2))))),IF(AND(AH!$H$24="Derecha",RASANTE!F237&lt;=PERALTE!$AB$22),IF(RASANTE!F237&lt;=PERALTE!$S$22,-2,IF(RASANTE!F237&lt;=PERALTE!$U$22,(-6/(PERALTE!$U$22-PERALTE!$S$22)*(RASANTE!F237-PERALTE!$S$22)-2),IF(RASANTE!F237&lt;=PERALTE!$X$22,-8,IF(RASANTE!F237&lt;=PERALTE!$Z$22,(-6/(PERALTE!$X$22-PERALTE!$Z$22)*(RASANTE!F237-PERALTE!$Z$22)-2),IF(RASANTE!F237&lt;=PERALTE!$AB$22,-2))))),IF(AND(AH!$H$24="Izquierda",RASANTE!F237&lt;=PERALTE!$AB$22),IF(RASANTE!F237&lt;=PERALTE!$Q$22,-2,IF(RASANTE!F237&lt;=PERALTE!$U$22,(10/(PERALTE!$U$22-PERALTE!$Q$22)*(RASANTE!F237-PERALTE!$Q$22)-2),IF(RASANTE!F237&lt;=PERALTE!$X$22,8,IF(RASANTE!F237&lt;=PERALTE!$AB$22,(10/(PERALTE!$X$22-PERALTE!$AB$22)*(RASANTE!F237-PERALTE!$AB$22)-2))))),IF(AND(AH!#REF!="Derecha",RASANTE!F237&lt;=PERALTE!#REF!),IF(RASANTE!F237&lt;=PERALTE!#REF!,-2,IF(RASANTE!F237&lt;=PERALTE!#REF!,(-6/(PERALTE!#REF!-PERALTE!#REF!)*(RASANTE!F237-PERALTE!#REF!)-2),IF(RASANTE!F237&lt;=PERALTE!#REF!,-8,IF(RASANTE!F237&lt;=PERALTE!#REF!,(-6/(PERALTE!#REF!-PERALTE!#REF!)*(RASANTE!F237-PERALTE!#REF!)-2),IF(RASANTE!F237&lt;=PERALTE!#REF!,-2))))),IF(AND(AH!#REF!="Izquierda",RASANTE!F237&lt;=PERALTE!#REF!),IF(RASANTE!F237&lt;=PERALTE!#REF!,-2,IF(RASANTE!F237&lt;=PERALTE!#REF!,(10/(PERALTE!#REF!-PERALTE!#REF!)*(RASANTE!F237-PERALTE!#REF!)-2),IF(RASANTE!F237&lt;=PERALTE!#REF!,8,IF(RASANTE!F237&lt;=PERALTE!#REF!,(10/(PERALTE!#REF!-PERALTE!#REF!)*(RASANTE!F237-PERALTE!#REF!)-2))))),IF(AND(AH!#REF!="Derecha",RASANTE!F237&lt;=PERALTE!$AB$26),IF(RASANTE!F237&lt;=PERALTE!$S$26,-2,IF(RASANTE!F237&lt;=PERALTE!$U$26,(-6/(PERALTE!$U$26-PERALTE!$S$26)*(RASANTE!F237-PERALTE!$S$26)-2),IF(RASANTE!F237&lt;=PERALTE!$X$26,-8,IF(RASANTE!F237&lt;=PERALTE!$Z$26,(-6/(PERALTE!$X$26-PERALTE!$Z$26)*(RASANTE!F237-PERALTE!$Z$26)-2),IF(RASANTE!F237&lt;=PERALTE!$AB$26,-2))))),IF(AND(AH!#REF!="Izquierda",RASANTE!F237&lt;=PERALTE!$AB$26),IF(RASANTE!F237&lt;=PERALTE!$Q$26,-2,IF(RASANTE!F237&lt;=PERALTE!$U$26,(10/(PERALTE!$U$26-PERALTE!$Q$26)*(RASANTE!F237-PERALTE!$Q$26)-2),IF(RASANTE!F237&lt;=PERALTE!$X$26,8,IF(RASANTE!F237&lt;=PERALTE!$AB$26,(10/(PERALTE!$X$26-PERALTE!$AB$26)*(RASANTE!F237-PERALTE!$AB$26)-2))))),IF(F237&lt;=PERALTE!#REF!,-2,"Abscisa fuera de la vía")))))))))))))))))))))</f>
        <v>-2</v>
      </c>
      <c r="J237" s="28">
        <f t="shared" si="11"/>
        <v>1631.955270510731</v>
      </c>
      <c r="K237" s="28">
        <f>+IF(AND(AV!$S$6&lt;F237,F237&lt;=AV!$T$6),AV!$P$6*((AV!$S$6-RASANTE!F237)/(AV!$N$6))^2,IF(AND(AV!$T$6&lt;RASANTE!F237,F237&lt;AV!$U$6),AV!$P$6*((AV!$U$6-RASANTE!F237)/(AV!$O$6))^2,IF(AND(AV!$S$8&lt;F237,F237&lt;=AV!$T$8),AV!$P$8*((AV!$S$8-RASANTE!F237)/(AV!$N$8))^2,IF(AND(AV!$T$8&lt;RASANTE!F237,F237&lt;AV!$U$8),AV!$P$8*((AV!$U$8-RASANTE!F237)/(AV!$O$8))^2,IF(AND(AV!$S$10&lt;F237,F237&lt;=AV!$T$10),AV!$P$10*((AV!$S$10-RASANTE!F237)/(AV!$N$10))^2,IF(AND(AV!$T$10&lt;RASANTE!F237,F237&lt;AV!$U$10),AV!$P$10*((AV!$U$10-RASANTE!F237)/(AV!$O$10))^2,IF(AND(AV!$S$12&lt;F237,F237&lt;=AV!$T$12),AV!$P$12*((AV!$S$12-RASANTE!F237)/(AV!$N$12))^2,IF(AND(AV!$T$12&lt;RASANTE!F237,F237&lt;AV!$U$12),AV!$P$12*((AV!$U$12-RASANTE!F237)/(AV!$O$12))^2,IF(AND(AV!$S$14&lt;F237,F237&lt;=AV!$T$14),AV!$P$14*((AV!$S$14-RASANTE!F237)/(AV!$N$14))^2,IF(AND(AV!$T$14&lt;RASANTE!F237,F237&lt;AV!$U$14),AV!$P$14*((AV!$U$14-RASANTE!F237)/(AV!$O$14))^2,IF(AND(AV!$S$16&lt;F237,F237&lt;=AV!$T$16),AV!$P$16*((AV!$S$16-RASANTE!F237)/(AV!$N$16))^2,IF(AND(AV!$T$16&lt;RASANTE!F237,F237&lt;AV!$U$16),AV!$P$16*((AV!$U$16-RASANTE!F237)/(AV!$O$16))^2,IF(AND(AV!$S$18&lt;F237,F237&lt;=AV!$T$18),AV!$P$18*((AV!$S$18-RASANTE!F237)/(AV!$N$18))^2,IF(AND(AV!$T$18&lt;RASANTE!F237,F237&lt;AV!$U$18),AV!$P$18*((AV!$U$18-RASANTE!F237)/(AV!$O$18))^2,IF(AND(AV!$S$20&lt;F237,F237&lt;=AV!$T$20),AV!$P$20*((AV!$S$20-RASANTE!F237)/(AV!$N$20))^2,IF(AND(AV!$T$20&lt;RASANTE!F237,F237&lt;AV!$U$20),AV!$P$20*((AV!$U$20-RASANTE!F237)/(AV!$O$20))^2,IF(AND(AV!$S$22&lt;F237,F237&lt;=AV!$T$22),AV!$P$22*((AV!$S$22-RASANTE!F237)/(AV!$N$22))^2,IF(AND(AV!$T$22&lt;RASANTE!F237,F237&lt;AV!$U$22),AV!$P$22*((AV!$U$22-RASANTE!F237)/(AV!$O$22))^2,IF(AND(AV!$S$24&lt;F237,F237&lt;=AV!$T$24),AV!$P$24*((AV!$S$24-RASANTE!F237)/(AV!$N$24))^2,IF(AND(AV!$T$24&lt;RASANTE!F237,F237&lt;AV!$U$24),AV!$P$24*((AV!$U$24-RASANTE!F237)/(AV!$O$24))^2,0))))))))))))))))))))</f>
        <v>0</v>
      </c>
      <c r="L237" s="28">
        <f>+M237+H237%*PERALTE!$C$32</f>
        <v>1631.8852705107311</v>
      </c>
      <c r="M237" s="28">
        <f t="shared" si="12"/>
        <v>1631.955270510731</v>
      </c>
      <c r="N237" s="28">
        <f>+M237+I237%*PERALTE!$C$32</f>
        <v>1631.8852705107311</v>
      </c>
      <c r="O237" s="92"/>
      <c r="P237" s="84"/>
      <c r="Q237" s="84"/>
      <c r="R237" s="84"/>
      <c r="S237" s="84"/>
      <c r="T237" s="84"/>
      <c r="U237" s="84"/>
      <c r="V237" s="84"/>
      <c r="W237" s="84"/>
      <c r="X237" s="84"/>
      <c r="Y237" s="84"/>
    </row>
    <row r="238" spans="1:25" ht="15.75" customHeight="1" x14ac:dyDescent="0.2">
      <c r="A238" s="90"/>
      <c r="B238" s="86"/>
      <c r="C238" s="86"/>
      <c r="D238" s="86"/>
      <c r="E238" s="91"/>
      <c r="F238" s="34">
        <v>1460</v>
      </c>
      <c r="G238" s="88">
        <f>IF(F238&lt;=AV!$T$6,AV!$C$5,IF(RASANTE!F238&lt;=AV!$T$8,AV!$C$7,IF(RASANTE!F238&lt;=AV!$T$10,AV!$C$9,IF(RASANTE!F238&lt;=AV!$T$12,AV!$C$11,IF(RASANTE!F238&lt;=AV!$T$14,AV!$C$13,IF(RASANTE!F238&lt;=AV!$T$16,AV!$C$15, IF(RASANTE!F238&lt;=AV!$T$18,AV!$C$17,IF(RASANTE!F238&lt;=AV!$T$20,AV!$C$19,IF(RASANTE!F238&lt;=AV!$T$22,AV!$C$21,IF(RASANTE!F238&lt;=AV!$T$24,AV!$C$23,AV!$C$25))))))))))</f>
        <v>2.8</v>
      </c>
      <c r="H238" s="28">
        <f>+IF(AND(AH!$H$8="Izquierda",RASANTE!F238&lt;=PERALTE!$AB$6),IF(RASANTE!F238&lt;=PERALTE!$S$6,-2,IF(RASANTE!F238&lt;=PERALTE!$U$6,(-6/(PERALTE!$U$6-PERALTE!$S$6)*(RASANTE!F238-PERALTE!$S$6)-2),IF(RASANTE!F238&lt;=PERALTE!$X$6,-8,IF(RASANTE!F238&lt;=PERALTE!$Z$6,(-6/(PERALTE!$X$6-PERALTE!$Z$6)*(RASANTE!F238-PERALTE!$Z$6)-2),IF(RASANTE!F238&lt;=PERALTE!$AB$6,-2))))),IF(AND(AH!$H$8="Derecha",RASANTE!F238&lt;=PERALTE!$AB$6),IF(RASANTE!F238&lt;=PERALTE!$Q$6,-2,IF(RASANTE!F238&lt;=PERALTE!$U$6,(10/(PERALTE!$U$6-PERALTE!$Q$6)*(RASANTE!F238-PERALTE!$Q$6)-2),IF(RASANTE!F238&lt;=PERALTE!$X$6,8,IF(RASANTE!F238&lt;=PERALTE!$AB$6,(10/(PERALTE!$X$6-PERALTE!$AB$6)*(RASANTE!F238-PERALTE!$AB$6)-2))))),IF(AND(AH!$H$10="Izquierda",RASANTE!F238&lt;=PERALTE!$AB$8),IF(RASANTE!F238&lt;=PERALTE!$S$8,-2,IF(RASANTE!F238&lt;=PERALTE!$U$8,(-6/(PERALTE!$U$8-PERALTE!$S$8)*(RASANTE!F238-PERALTE!$S$8)-2),IF(RASANTE!F238&lt;=PERALTE!$X$8,-8,IF(RASANTE!F238&lt;=PERALTE!$Z$8,(-6/(PERALTE!$X$8-PERALTE!$Z$8)*(RASANTE!F238-PERALTE!$Z$8)-2),IF(RASANTE!F238&lt;=PERALTE!$AB$8,-2))))),IF(AND(AH!$H$10="Derecha",RASANTE!F238&lt;=PERALTE!$AB$8),IF(RASANTE!F238&lt;=PERALTE!$Q$8,-2,IF(RASANTE!F238&lt;=PERALTE!$U$8,(10/(PERALTE!$U$8-PERALTE!$Q$8)*(RASANTE!F238-PERALTE!$Q$8)-2),IF(RASANTE!F238&lt;=PERALTE!$X$8,8,IF(RASANTE!F238&lt;=PERALTE!$AB$8,(10/(PERALTE!$X$8-PERALTE!$AB$8)*(RASANTE!F238-PERALTE!$AB$8)-2))))),IF(AND(AH!$H$12="Izquierda",RASANTE!F238&lt;=PERALTE!$AB$10),IF(RASANTE!F238&lt;=PERALTE!$S$10,-2,IF(RASANTE!F238&lt;=PERALTE!$U$10,(-6/(PERALTE!$U$10-PERALTE!$S$10)*(RASANTE!F238-PERALTE!$S$10)-2),IF(RASANTE!F238&lt;=PERALTE!$X$10,-8,IF(RASANTE!F238&lt;=PERALTE!$Z$10,(-6/(PERALTE!$X$10-PERALTE!$Z$10)*(RASANTE!F238-PERALTE!$Z$10)-2),IF(RASANTE!F238&lt;=PERALTE!$AB$10,-2))))),IF(AND(AH!$H$12="Derecha",RASANTE!F238&lt;=PERALTE!$AB$10),IF(RASANTE!F238&lt;=PERALTE!$Q$10,-2,IF(RASANTE!F238&lt;=PERALTE!$U$10,(10/(PERALTE!$U$10-PERALTE!$Q$10)*(RASANTE!F238-PERALTE!$Q$10)-2),IF(RASANTE!F238&lt;=PERALTE!$X$10,8,IF(RASANTE!F238&lt;=PERALTE!$AB$10,(10/(PERALTE!$X$10-PERALTE!$AB$10)*(RASANTE!F238-PERALTE!$AB$10)-2))))),IF(AND(AH!$H$14="Izquierda",RASANTE!F238&lt;=PERALTE!$AB$12),IF(RASANTE!F238&lt;=PERALTE!$S$12,-2,IF(RASANTE!F238&lt;=PERALTE!$U$12,(-6/(PERALTE!$U$12-PERALTE!$S$12)*(RASANTE!F238-PERALTE!$S$12)-2),IF(RASANTE!F238&lt;=PERALTE!$X$12,-8,IF(RASANTE!F238&lt;=PERALTE!$Z$12,(-6/(PERALTE!$X$12-PERALTE!$Z$12)*(RASANTE!F238-PERALTE!$Z$12)-2),IF(RASANTE!F238&lt;=PERALTE!$AB$12,-2))))),IF(AND(AH!$H$14="Derecha",RASANTE!F238&lt;=PERALTE!$AB$12),IF(RASANTE!F238&lt;=PERALTE!$Q$12,-2,IF(RASANTE!F238&lt;=PERALTE!$U$12,(10/(PERALTE!$U$12-PERALTE!$Q$12)*(RASANTE!F238-PERALTE!$Q$12)-2),IF(RASANTE!F238&lt;=PERALTE!$X$12,8,IF(RASANTE!F238&lt;=PERALTE!$AB$12,(10/(PERALTE!$X$12-PERALTE!$AB$12)*(RASANTE!F238-PERALTE!$AB$12)-2))))),IF(AND(AH!$H$16="Izquierda",RASANTE!F238&lt;=PERALTE!$AB$14),IF(RASANTE!F238&lt;=PERALTE!$S$14,-2,IF(RASANTE!F238&lt;=PERALTE!$U$14,(-6/(PERALTE!$U$14-PERALTE!$S$14)*(RASANTE!F238-PERALTE!$S$14)-2),IF(RASANTE!F238&lt;=PERALTE!$X$14,-8,IF(RASANTE!F238&lt;=PERALTE!$Z$14,(-6/(PERALTE!$X$14-PERALTE!$Z$14)*(RASANTE!F238-PERALTE!$Z$14)-2),IF(RASANTE!F238&lt;=PERALTE!$AB$14,-2))))),IF(AND(AH!$H$16="Derecha",RASANTE!F238&lt;=PERALTE!$AB$14),IF(RASANTE!F238&lt;=PERALTE!$Q$14,-2,IF(RASANTE!F238&lt;=PERALTE!$U$14,(10/(PERALTE!$U$14-PERALTE!$Q$14)*(RASANTE!F238-PERALTE!$Q$14)-2),IF(RASANTE!F238&lt;=PERALTE!$X$14,8,IF(RASANTE!F238&lt;=PERALTE!$AB$14,(10/(PERALTE!$X$14-PERALTE!$AB$14)*(RASANTE!F238-PERALTE!$AB$14)-2))))),IF(AND(AH!$H$18="Izquierda",RASANTE!F238&lt;=PERALTE!$AB$16),IF(RASANTE!F238&lt;=PERALTE!$S$16,-2,IF(RASANTE!F238&lt;=PERALTE!$U$16,(-6/(PERALTE!$U$16-PERALTE!$S$16)*(RASANTE!F238-PERALTE!$S$16)-2),IF(RASANTE!F238&lt;=PERALTE!$X$16,-8,IF(RASANTE!F238&lt;=PERALTE!$Z$16,(-6/(PERALTE!$X$16-PERALTE!$Z$16)*(RASANTE!F238-PERALTE!$Z$16)-2),IF(RASANTE!F238&lt;=PERALTE!$AB$16,-2))))),IF(AND(AH!$H$18="Derecha",RASANTE!F238&lt;=PERALTE!$AB$16),IF(RASANTE!F238&lt;=PERALTE!$Q$16,-2,IF(RASANTE!F238&lt;=PERALTE!$U$16,(10/(PERALTE!$U$16-PERALTE!$Q$16)*(RASANTE!F238-PERALTE!$Q$16)-2),IF(RASANTE!F238&lt;=PERALTE!$X$16,8,IF(RASANTE!F238&lt;=PERALTE!$AB$16,(10/(PERALTE!$X$16-PERALTE!$AB$16)*(RASANTE!F238-PERALTE!$AB$16)-2))))),IF(AND(AH!$H$20="Izquierda",RASANTE!F238&lt;=PERALTE!$AB$18),IF(RASANTE!F238&lt;=PERALTE!$S$18,-2,IF(RASANTE!F238&lt;=PERALTE!$U$18,(-6/(PERALTE!$U$18-PERALTE!$S$18)*(RASANTE!F238-PERALTE!$S$18)-2),IF(RASANTE!F238&lt;=PERALTE!$X$18,-8,IF(RASANTE!F238&lt;=PERALTE!$Z$18,(-6/(PERALTE!$X$18-PERALTE!$Z$18)*(RASANTE!F238-PERALTE!$Z$18)-2),IF(RASANTE!F238&lt;=PERALTE!$AB$18,-2))))),IF(AND(AH!$H$20="Derecha",RASANTE!F238&lt;=PERALTE!$AB$18),IF(RASANTE!F238&lt;=PERALTE!$Q$18,-2,IF(RASANTE!F238&lt;=PERALTE!$U$18,(10/(PERALTE!$U$18-PERALTE!$Q$18)*(RASANTE!F238-PERALTE!$Q$18)-2),IF(RASANTE!F238&lt;=PERALTE!$X$18,8,IF(RASANTE!F238&lt;=PERALTE!$AB$18,(10/(PERALTE!$X$18-PERALTE!$AB$18)*(RASANTE!F238-PERALTE!$AB$18)-2))))),IF(AND(AH!$H$24="Izquierda",RASANTE!F238&lt;=PERALTE!$AB$22),IF(RASANTE!F238&lt;=PERALTE!$S$22,-2,IF(RASANTE!F238&lt;=PERALTE!$U$22,(-6/(PERALTE!$U$22-PERALTE!$S$22)*(RASANTE!F238-PERALTE!$S$22)-2),IF(RASANTE!F238&lt;=PERALTE!$X$22,-8,IF(RASANTE!F238&lt;=PERALTE!$Z$22,(-6/(PERALTE!$X$22-PERALTE!$Z$22)*(RASANTE!F238-PERALTE!$Z$22)-2),IF(RASANTE!F238&lt;=PERALTE!$AB$22,-2))))),IF(AND(AH!$H$24="Derecha",RASANTE!F238&lt;=PERALTE!$AB$22),IF(RASANTE!F238&lt;=PERALTE!$Q$22,-2,IF(RASANTE!F238&lt;=PERALTE!$U$22,(10/(PERALTE!$U$22-PERALTE!$Q$22)*(RASANTE!F238-PERALTE!$Q$22)-2),IF(RASANTE!F238&lt;=PERALTE!$X$22,8,IF(RASANTE!F238&lt;=PERALTE!$AB$22,(10/(PERALTE!$X$22-PERALTE!$AB$22)*(RASANTE!F238-PERALTE!$AB$22)-2))))),IF(AND(AH!#REF!="Izquierda",RASANTE!F238&lt;=PERALTE!#REF!),IF(RASANTE!F238&lt;=PERALTE!#REF!,-2,IF(RASANTE!F238&lt;=PERALTE!#REF!,(-6/(PERALTE!#REF!-PERALTE!#REF!)*(RASANTE!F238-PERALTE!#REF!)-2),IF(RASANTE!F238&lt;=PERALTE!#REF!,-8,IF(RASANTE!F238&lt;=PERALTE!#REF!,(-6/(PERALTE!#REF!-PERALTE!#REF!)*(RASANTE!F238-PERALTE!#REF!)-2),IF(RASANTE!F238&lt;=PERALTE!#REF!,-2))))),IF(AND(AH!#REF!="Derecha",RASANTE!F238&lt;=PERALTE!#REF!),IF(RASANTE!F238&lt;=PERALTE!#REF!,-2,IF(RASANTE!F238&lt;=PERALTE!#REF!,(10/(PERALTE!#REF!-PERALTE!#REF!)*(RASANTE!F238-PERALTE!#REF!)-2),IF(RASANTE!F238&lt;=PERALTE!#REF!,8,IF(RASANTE!F238&lt;=PERALTE!#REF!,(10/(PERALTE!#REF!-PERALTE!#REF!)*(RASANTE!F238-PERALTE!#REF!)-2))))),IF(AND(AH!#REF!="Izquierda",RASANTE!F238&lt;=PERALTE!$AB$26),IF(RASANTE!F238&lt;=PERALTE!$S$26,-2,IF(RASANTE!F238&lt;=PERALTE!$U$26,(-6/(PERALTE!$U$26-PERALTE!$S$26)*(RASANTE!F238-PERALTE!$S$26)-2),IF(RASANTE!F238&lt;=PERALTE!$X$26,-8,IF(RASANTE!F238&lt;=PERALTE!$Z$26,(-6/(PERALTE!$X$26-PERALTE!$Z$26)*(RASANTE!F238-PERALTE!$Z$26)-2),IF(RASANTE!F238&lt;=PERALTE!$AB$26,-2))))),IF(AND(AH!#REF!="Derecha",RASANTE!F238&lt;=PERALTE!$AB$26),IF(RASANTE!F238&lt;=PERALTE!$Q$26,-2,IF(RASANTE!F238&lt;=PERALTE!$U$26,(10/(PERALTE!$U$26-PERALTE!$Q$26)*(RASANTE!F238-PERALTE!$Q$26)-2),IF(RASANTE!F238&lt;=PERALTE!$X$26,8,IF(RASANTE!F238&lt;=PERALTE!$AB$26,(10/(PERALTE!$X$26-PERALTE!$AB$26)*(RASANTE!F238-PERALTE!$AB$26)-2))))),IF(F238&lt;=PERALTE!#REF!,-2,"Abscisa fuera de la vía")))))))))))))))))))))</f>
        <v>-2</v>
      </c>
      <c r="I238" s="28">
        <f>+IF(AND(AH!$H$8="Derecha",RASANTE!F238&lt;=PERALTE!$AB$6),IF(RASANTE!F238&lt;=PERALTE!$S$6,-2,IF(RASANTE!F238&lt;=PERALTE!$U$6,(-6/(PERALTE!$U$6-PERALTE!$S$6)*(RASANTE!F238-PERALTE!$S$6)-2),IF(RASANTE!F238&lt;=PERALTE!$X$6,-8,IF(RASANTE!F238&lt;=PERALTE!$Z$6,(-6/(PERALTE!$X$6-PERALTE!$Z$6)*(RASANTE!F238-PERALTE!$Z$6)-2),IF(RASANTE!F238&lt;=PERALTE!$AB$6,-2))))),IF(AND(AH!$H$8="Izquierda",RASANTE!F238&lt;=PERALTE!$AB$6),IF(RASANTE!F238&lt;=PERALTE!$Q$6,-2,IF(RASANTE!F238&lt;=PERALTE!$U$6,(10/(PERALTE!$U$6-PERALTE!$Q$6)*(RASANTE!F238-PERALTE!$Q$6)-2),IF(RASANTE!F238&lt;=PERALTE!$X$6,8,IF(RASANTE!F238&lt;=PERALTE!$AB$6,(10/(PERALTE!$X$6-PERALTE!$AB$6)*(RASANTE!F238-PERALTE!$AB$6)-2))))),IF(AND(AH!$H$10="Derecha",RASANTE!F238&lt;=PERALTE!$AB$8),IF(RASANTE!F238&lt;=PERALTE!$S$8,-2,IF(RASANTE!F238&lt;=PERALTE!$U$8,(-6/(PERALTE!$U$8-PERALTE!$S$8)*(RASANTE!F238-PERALTE!$S$8)-2),IF(RASANTE!F238&lt;=PERALTE!$X$8,-8,IF(RASANTE!F238&lt;=PERALTE!$Z$8,(-6/(PERALTE!$X$8-PERALTE!$Z$8)*(RASANTE!F238-PERALTE!$Z$8)-2),IF(RASANTE!F238&lt;=PERALTE!$AB$8,-2))))),IF(AND(AH!$H$10="Izquierda",RASANTE!F238&lt;=PERALTE!$AB$8),IF(RASANTE!F238&lt;=PERALTE!$Q$8,-2,IF(RASANTE!F238&lt;=PERALTE!$U$8,(10/(PERALTE!$U$8-PERALTE!$Q$8)*(RASANTE!F238-PERALTE!$Q$8)-2),IF(RASANTE!F238&lt;=PERALTE!$X$8,8,IF(RASANTE!F238&lt;=PERALTE!$AB$8,(10/(PERALTE!$X$8-PERALTE!$AB$8)*(RASANTE!F238-PERALTE!$AB$8)-2))))),IF(AND(AH!$H$12="Derecha",RASANTE!F238&lt;=PERALTE!$AB$10),IF(RASANTE!F238&lt;=PERALTE!$S$10,-2,IF(RASANTE!F238&lt;=PERALTE!$U$10,(-6/(PERALTE!$U$10-PERALTE!$S$10)*(RASANTE!F238-PERALTE!$S$10)-2),IF(RASANTE!F238&lt;=PERALTE!$X$10,-8,IF(RASANTE!F238&lt;=PERALTE!$Z$10,(-6/(PERALTE!$X$10-PERALTE!$Z$10)*(RASANTE!F238-PERALTE!$Z$10)-2),IF(RASANTE!F238&lt;=PERALTE!$AB$10,-2))))),IF(AND(AH!$H$12="Izquierda",RASANTE!F238&lt;=PERALTE!$AB$10),IF(RASANTE!F238&lt;=PERALTE!$Q$10,-2,IF(RASANTE!F238&lt;=PERALTE!$U$10,(10/(PERALTE!$U$10-PERALTE!$Q$10)*(RASANTE!F238-PERALTE!$Q$10)-2),IF(RASANTE!F238&lt;=PERALTE!$X$10,8,IF(RASANTE!F238&lt;=PERALTE!$AB$10,(10/(PERALTE!$X$10-PERALTE!$AB$10)*(RASANTE!F238-PERALTE!$AB$10)-2))))),IF(AND(AH!$H$14="Derecha",RASANTE!F238&lt;=PERALTE!$AB$12),IF(RASANTE!F238&lt;=PERALTE!$S$12,-2,IF(RASANTE!F238&lt;=PERALTE!$U$12,(-6/(PERALTE!$U$12-PERALTE!$S$12)*(RASANTE!F238-PERALTE!$S$12)-2),IF(RASANTE!F238&lt;=PERALTE!$X$12,-8,IF(RASANTE!F238&lt;=PERALTE!$Z$12,(-6/(PERALTE!$X$12-PERALTE!$Z$12)*(RASANTE!F238-PERALTE!$Z$12)-2),IF(RASANTE!F238&lt;=PERALTE!$AB$12,-2))))),IF(AND(AH!$H$14="Izquierda",RASANTE!F238&lt;=PERALTE!$AB$12),IF(RASANTE!F238&lt;=PERALTE!$Q$12,-2,IF(RASANTE!F238&lt;=PERALTE!$U$12,(10/(PERALTE!$U$12-PERALTE!$Q$12)*(RASANTE!F238-PERALTE!$Q$12)-2),IF(RASANTE!F238&lt;=PERALTE!$X$12,8,IF(RASANTE!F238&lt;=PERALTE!$AB$12,(10/(PERALTE!$X$12-PERALTE!$AB$12)*(RASANTE!F238-PERALTE!$AB$12)-2))))),IF(AND(AH!$H$16="Derecha",RASANTE!F238&lt;=PERALTE!$AB$14),IF(RASANTE!F238&lt;=PERALTE!$S$14,-2,IF(RASANTE!F238&lt;=PERALTE!$U$14,(-6/(PERALTE!$U$14-PERALTE!$S$14)*(RASANTE!F238-PERALTE!$S$14)-2),IF(RASANTE!F238&lt;=PERALTE!$X$14,-8,IF(RASANTE!F238&lt;=PERALTE!$Z$14,(-6/(PERALTE!$X$14-PERALTE!$Z$14)*(RASANTE!F238-PERALTE!$Z$14)-2),IF(RASANTE!F238&lt;=PERALTE!$AB$14,-2))))),IF(AND(AH!$H$16="Izquierda",RASANTE!F238&lt;=PERALTE!$AB$14),IF(RASANTE!F238&lt;=PERALTE!$Q$14,-2,IF(RASANTE!F238&lt;=PERALTE!$U$14,(10/(PERALTE!$U$14-PERALTE!$Q$14)*(RASANTE!F238-PERALTE!$Q$14)-2),IF(RASANTE!F238&lt;=PERALTE!$X$14,8,IF(RASANTE!F238&lt;=PERALTE!$AB$14,(10/(PERALTE!$X$14-PERALTE!$AB$14)*(RASANTE!F238-PERALTE!$AB$14)-2))))),IF(AND(AH!$H$18="Derecha",RASANTE!F238&lt;=PERALTE!$AB$16),IF(RASANTE!F238&lt;=PERALTE!$S$16,-2,IF(RASANTE!F238&lt;=PERALTE!$U$16,(-6/(PERALTE!$U$16-PERALTE!$S$16)*(RASANTE!F238-PERALTE!$S$16)-2),IF(RASANTE!F238&lt;=PERALTE!$X$16,-8,IF(RASANTE!F238&lt;=PERALTE!$Z$16,(-6/(PERALTE!$X$16-PERALTE!$Z$16)*(RASANTE!F238-PERALTE!$Z$16)-2),IF(RASANTE!F238&lt;=PERALTE!$AB$16,-2))))),IF(AND(AH!$H$18="Izquierda",RASANTE!F238&lt;=PERALTE!$AB$16),IF(RASANTE!F238&lt;=PERALTE!$Q$16,-2,IF(RASANTE!F238&lt;=PERALTE!$U$16,(10/(PERALTE!$U$16-PERALTE!$Q$16)*(RASANTE!F238-PERALTE!$Q$16)-2),IF(RASANTE!F238&lt;=PERALTE!$X$16,8,IF(RASANTE!F238&lt;=PERALTE!$AB$16,(10/(PERALTE!$X$16-PERALTE!$AB$16)*(RASANTE!F238-PERALTE!$AB$16)-2))))),IF(AND(AH!$H$20="Derecha",RASANTE!F238&lt;=PERALTE!$AB$18),IF(RASANTE!F238&lt;=PERALTE!$S$18,-2,IF(RASANTE!F238&lt;=PERALTE!$U$18,(-6/(PERALTE!$U$18-PERALTE!$S$18)*(RASANTE!F238-PERALTE!$S$18)-2),IF(RASANTE!F238&lt;=PERALTE!$X$18,-8,IF(RASANTE!F238&lt;=PERALTE!$Z$18,(-6/(PERALTE!$X$18-PERALTE!$Z$18)*(RASANTE!F238-PERALTE!$Z$18)-2),IF(RASANTE!F238&lt;=PERALTE!$AB$18,-2))))),IF(AND(AH!$H$20="Izquierda",RASANTE!F238&lt;=PERALTE!$AB$18),IF(RASANTE!F238&lt;=PERALTE!$Q$18,-2,IF(RASANTE!F238&lt;=PERALTE!$U$18,(10/(PERALTE!$U$18-PERALTE!$Q$18)*(RASANTE!F238-PERALTE!$Q$18)-2),IF(RASANTE!F238&lt;=PERALTE!$X$18,8,IF(RASANTE!F238&lt;=PERALTE!$AB$18,(10/(PERALTE!$X$18-PERALTE!$AB$18)*(RASANTE!F238-PERALTE!$AB$18)-2))))),IF(AND(AH!$H$24="Derecha",RASANTE!F238&lt;=PERALTE!$AB$22),IF(RASANTE!F238&lt;=PERALTE!$S$22,-2,IF(RASANTE!F238&lt;=PERALTE!$U$22,(-6/(PERALTE!$U$22-PERALTE!$S$22)*(RASANTE!F238-PERALTE!$S$22)-2),IF(RASANTE!F238&lt;=PERALTE!$X$22,-8,IF(RASANTE!F238&lt;=PERALTE!$Z$22,(-6/(PERALTE!$X$22-PERALTE!$Z$22)*(RASANTE!F238-PERALTE!$Z$22)-2),IF(RASANTE!F238&lt;=PERALTE!$AB$22,-2))))),IF(AND(AH!$H$24="Izquierda",RASANTE!F238&lt;=PERALTE!$AB$22),IF(RASANTE!F238&lt;=PERALTE!$Q$22,-2,IF(RASANTE!F238&lt;=PERALTE!$U$22,(10/(PERALTE!$U$22-PERALTE!$Q$22)*(RASANTE!F238-PERALTE!$Q$22)-2),IF(RASANTE!F238&lt;=PERALTE!$X$22,8,IF(RASANTE!F238&lt;=PERALTE!$AB$22,(10/(PERALTE!$X$22-PERALTE!$AB$22)*(RASANTE!F238-PERALTE!$AB$22)-2))))),IF(AND(AH!#REF!="Derecha",RASANTE!F238&lt;=PERALTE!#REF!),IF(RASANTE!F238&lt;=PERALTE!#REF!,-2,IF(RASANTE!F238&lt;=PERALTE!#REF!,(-6/(PERALTE!#REF!-PERALTE!#REF!)*(RASANTE!F238-PERALTE!#REF!)-2),IF(RASANTE!F238&lt;=PERALTE!#REF!,-8,IF(RASANTE!F238&lt;=PERALTE!#REF!,(-6/(PERALTE!#REF!-PERALTE!#REF!)*(RASANTE!F238-PERALTE!#REF!)-2),IF(RASANTE!F238&lt;=PERALTE!#REF!,-2))))),IF(AND(AH!#REF!="Izquierda",RASANTE!F238&lt;=PERALTE!#REF!),IF(RASANTE!F238&lt;=PERALTE!#REF!,-2,IF(RASANTE!F238&lt;=PERALTE!#REF!,(10/(PERALTE!#REF!-PERALTE!#REF!)*(RASANTE!F238-PERALTE!#REF!)-2),IF(RASANTE!F238&lt;=PERALTE!#REF!,8,IF(RASANTE!F238&lt;=PERALTE!#REF!,(10/(PERALTE!#REF!-PERALTE!#REF!)*(RASANTE!F238-PERALTE!#REF!)-2))))),IF(AND(AH!#REF!="Derecha",RASANTE!F238&lt;=PERALTE!$AB$26),IF(RASANTE!F238&lt;=PERALTE!$S$26,-2,IF(RASANTE!F238&lt;=PERALTE!$U$26,(-6/(PERALTE!$U$26-PERALTE!$S$26)*(RASANTE!F238-PERALTE!$S$26)-2),IF(RASANTE!F238&lt;=PERALTE!$X$26,-8,IF(RASANTE!F238&lt;=PERALTE!$Z$26,(-6/(PERALTE!$X$26-PERALTE!$Z$26)*(RASANTE!F238-PERALTE!$Z$26)-2),IF(RASANTE!F238&lt;=PERALTE!$AB$26,-2))))),IF(AND(AH!#REF!="Izquierda",RASANTE!F238&lt;=PERALTE!$AB$26),IF(RASANTE!F238&lt;=PERALTE!$Q$26,-2,IF(RASANTE!F238&lt;=PERALTE!$U$26,(10/(PERALTE!$U$26-PERALTE!$Q$26)*(RASANTE!F238-PERALTE!$Q$26)-2),IF(RASANTE!F238&lt;=PERALTE!$X$26,8,IF(RASANTE!F238&lt;=PERALTE!$AB$26,(10/(PERALTE!$X$26-PERALTE!$AB$26)*(RASANTE!F238-PERALTE!$AB$26)-2))))),IF(F238&lt;=PERALTE!#REF!,-2,"Abscisa fuera de la vía")))))))))))))))))))))</f>
        <v>-2</v>
      </c>
      <c r="J238" s="28">
        <f t="shared" si="11"/>
        <v>1632.2329284648981</v>
      </c>
      <c r="K238" s="28">
        <f>+IF(AND(AV!$S$6&lt;F238,F238&lt;=AV!$T$6),AV!$P$6*((AV!$S$6-RASANTE!F238)/(AV!$N$6))^2,IF(AND(AV!$T$6&lt;RASANTE!F238,F238&lt;AV!$U$6),AV!$P$6*((AV!$U$6-RASANTE!F238)/(AV!$O$6))^2,IF(AND(AV!$S$8&lt;F238,F238&lt;=AV!$T$8),AV!$P$8*((AV!$S$8-RASANTE!F238)/(AV!$N$8))^2,IF(AND(AV!$T$8&lt;RASANTE!F238,F238&lt;AV!$U$8),AV!$P$8*((AV!$U$8-RASANTE!F238)/(AV!$O$8))^2,IF(AND(AV!$S$10&lt;F238,F238&lt;=AV!$T$10),AV!$P$10*((AV!$S$10-RASANTE!F238)/(AV!$N$10))^2,IF(AND(AV!$T$10&lt;RASANTE!F238,F238&lt;AV!$U$10),AV!$P$10*((AV!$U$10-RASANTE!F238)/(AV!$O$10))^2,IF(AND(AV!$S$12&lt;F238,F238&lt;=AV!$T$12),AV!$P$12*((AV!$S$12-RASANTE!F238)/(AV!$N$12))^2,IF(AND(AV!$T$12&lt;RASANTE!F238,F238&lt;AV!$U$12),AV!$P$12*((AV!$U$12-RASANTE!F238)/(AV!$O$12))^2,IF(AND(AV!$S$14&lt;F238,F238&lt;=AV!$T$14),AV!$P$14*((AV!$S$14-RASANTE!F238)/(AV!$N$14))^2,IF(AND(AV!$T$14&lt;RASANTE!F238,F238&lt;AV!$U$14),AV!$P$14*((AV!$U$14-RASANTE!F238)/(AV!$O$14))^2,IF(AND(AV!$S$16&lt;F238,F238&lt;=AV!$T$16),AV!$P$16*((AV!$S$16-RASANTE!F238)/(AV!$N$16))^2,IF(AND(AV!$T$16&lt;RASANTE!F238,F238&lt;AV!$U$16),AV!$P$16*((AV!$U$16-RASANTE!F238)/(AV!$O$16))^2,IF(AND(AV!$S$18&lt;F238,F238&lt;=AV!$T$18),AV!$P$18*((AV!$S$18-RASANTE!F238)/(AV!$N$18))^2,IF(AND(AV!$T$18&lt;RASANTE!F238,F238&lt;AV!$U$18),AV!$P$18*((AV!$U$18-RASANTE!F238)/(AV!$O$18))^2,IF(AND(AV!$S$20&lt;F238,F238&lt;=AV!$T$20),AV!$P$20*((AV!$S$20-RASANTE!F238)/(AV!$N$20))^2,IF(AND(AV!$T$20&lt;RASANTE!F238,F238&lt;AV!$U$20),AV!$P$20*((AV!$U$20-RASANTE!F238)/(AV!$O$20))^2,IF(AND(AV!$S$22&lt;F238,F238&lt;=AV!$T$22),AV!$P$22*((AV!$S$22-RASANTE!F238)/(AV!$N$22))^2,IF(AND(AV!$T$22&lt;RASANTE!F238,F238&lt;AV!$U$22),AV!$P$22*((AV!$U$22-RASANTE!F238)/(AV!$O$22))^2,IF(AND(AV!$S$24&lt;F238,F238&lt;=AV!$T$24),AV!$P$24*((AV!$S$24-RASANTE!F238)/(AV!$N$24))^2,IF(AND(AV!$T$24&lt;RASANTE!F238,F238&lt;AV!$U$24),AV!$P$24*((AV!$U$24-RASANTE!F238)/(AV!$O$24))^2,0))))))))))))))))))))</f>
        <v>0</v>
      </c>
      <c r="L238" s="28">
        <f>+M238+H238%*PERALTE!$C$32</f>
        <v>1632.1629284648982</v>
      </c>
      <c r="M238" s="28">
        <f t="shared" si="12"/>
        <v>1632.2329284648981</v>
      </c>
      <c r="N238" s="28">
        <f>+M238+I238%*PERALTE!$C$32</f>
        <v>1632.1629284648982</v>
      </c>
      <c r="O238" s="92"/>
      <c r="P238" s="84"/>
      <c r="Q238" s="84"/>
      <c r="R238" s="84"/>
      <c r="S238" s="84"/>
      <c r="T238" s="84"/>
      <c r="U238" s="84"/>
      <c r="V238" s="84"/>
      <c r="W238" s="84"/>
      <c r="X238" s="84"/>
      <c r="Y238" s="84"/>
    </row>
    <row r="239" spans="1:25" ht="15.75" customHeight="1" x14ac:dyDescent="0.2">
      <c r="A239" s="90"/>
      <c r="B239" s="86"/>
      <c r="C239" s="86"/>
      <c r="D239" s="86"/>
      <c r="E239" s="91"/>
      <c r="F239" s="34">
        <v>1470</v>
      </c>
      <c r="G239" s="88">
        <f>IF(F239&lt;=AV!$T$6,AV!$C$5,IF(RASANTE!F239&lt;=AV!$T$8,AV!$C$7,IF(RASANTE!F239&lt;=AV!$T$10,AV!$C$9,IF(RASANTE!F239&lt;=AV!$T$12,AV!$C$11,IF(RASANTE!F239&lt;=AV!$T$14,AV!$C$13,IF(RASANTE!F239&lt;=AV!$T$16,AV!$C$15, IF(RASANTE!F239&lt;=AV!$T$18,AV!$C$17,IF(RASANTE!F239&lt;=AV!$T$20,AV!$C$19,IF(RASANTE!F239&lt;=AV!$T$22,AV!$C$21,IF(RASANTE!F239&lt;=AV!$T$24,AV!$C$23,AV!$C$25))))))))))</f>
        <v>2.8</v>
      </c>
      <c r="H239" s="28">
        <f>+IF(AND(AH!$H$8="Izquierda",RASANTE!F239&lt;=PERALTE!$AB$6),IF(RASANTE!F239&lt;=PERALTE!$S$6,-2,IF(RASANTE!F239&lt;=PERALTE!$U$6,(-6/(PERALTE!$U$6-PERALTE!$S$6)*(RASANTE!F239-PERALTE!$S$6)-2),IF(RASANTE!F239&lt;=PERALTE!$X$6,-8,IF(RASANTE!F239&lt;=PERALTE!$Z$6,(-6/(PERALTE!$X$6-PERALTE!$Z$6)*(RASANTE!F239-PERALTE!$Z$6)-2),IF(RASANTE!F239&lt;=PERALTE!$AB$6,-2))))),IF(AND(AH!$H$8="Derecha",RASANTE!F239&lt;=PERALTE!$AB$6),IF(RASANTE!F239&lt;=PERALTE!$Q$6,-2,IF(RASANTE!F239&lt;=PERALTE!$U$6,(10/(PERALTE!$U$6-PERALTE!$Q$6)*(RASANTE!F239-PERALTE!$Q$6)-2),IF(RASANTE!F239&lt;=PERALTE!$X$6,8,IF(RASANTE!F239&lt;=PERALTE!$AB$6,(10/(PERALTE!$X$6-PERALTE!$AB$6)*(RASANTE!F239-PERALTE!$AB$6)-2))))),IF(AND(AH!$H$10="Izquierda",RASANTE!F239&lt;=PERALTE!$AB$8),IF(RASANTE!F239&lt;=PERALTE!$S$8,-2,IF(RASANTE!F239&lt;=PERALTE!$U$8,(-6/(PERALTE!$U$8-PERALTE!$S$8)*(RASANTE!F239-PERALTE!$S$8)-2),IF(RASANTE!F239&lt;=PERALTE!$X$8,-8,IF(RASANTE!F239&lt;=PERALTE!$Z$8,(-6/(PERALTE!$X$8-PERALTE!$Z$8)*(RASANTE!F239-PERALTE!$Z$8)-2),IF(RASANTE!F239&lt;=PERALTE!$AB$8,-2))))),IF(AND(AH!$H$10="Derecha",RASANTE!F239&lt;=PERALTE!$AB$8),IF(RASANTE!F239&lt;=PERALTE!$Q$8,-2,IF(RASANTE!F239&lt;=PERALTE!$U$8,(10/(PERALTE!$U$8-PERALTE!$Q$8)*(RASANTE!F239-PERALTE!$Q$8)-2),IF(RASANTE!F239&lt;=PERALTE!$X$8,8,IF(RASANTE!F239&lt;=PERALTE!$AB$8,(10/(PERALTE!$X$8-PERALTE!$AB$8)*(RASANTE!F239-PERALTE!$AB$8)-2))))),IF(AND(AH!$H$12="Izquierda",RASANTE!F239&lt;=PERALTE!$AB$10),IF(RASANTE!F239&lt;=PERALTE!$S$10,-2,IF(RASANTE!F239&lt;=PERALTE!$U$10,(-6/(PERALTE!$U$10-PERALTE!$S$10)*(RASANTE!F239-PERALTE!$S$10)-2),IF(RASANTE!F239&lt;=PERALTE!$X$10,-8,IF(RASANTE!F239&lt;=PERALTE!$Z$10,(-6/(PERALTE!$X$10-PERALTE!$Z$10)*(RASANTE!F239-PERALTE!$Z$10)-2),IF(RASANTE!F239&lt;=PERALTE!$AB$10,-2))))),IF(AND(AH!$H$12="Derecha",RASANTE!F239&lt;=PERALTE!$AB$10),IF(RASANTE!F239&lt;=PERALTE!$Q$10,-2,IF(RASANTE!F239&lt;=PERALTE!$U$10,(10/(PERALTE!$U$10-PERALTE!$Q$10)*(RASANTE!F239-PERALTE!$Q$10)-2),IF(RASANTE!F239&lt;=PERALTE!$X$10,8,IF(RASANTE!F239&lt;=PERALTE!$AB$10,(10/(PERALTE!$X$10-PERALTE!$AB$10)*(RASANTE!F239-PERALTE!$AB$10)-2))))),IF(AND(AH!$H$14="Izquierda",RASANTE!F239&lt;=PERALTE!$AB$12),IF(RASANTE!F239&lt;=PERALTE!$S$12,-2,IF(RASANTE!F239&lt;=PERALTE!$U$12,(-6/(PERALTE!$U$12-PERALTE!$S$12)*(RASANTE!F239-PERALTE!$S$12)-2),IF(RASANTE!F239&lt;=PERALTE!$X$12,-8,IF(RASANTE!F239&lt;=PERALTE!$Z$12,(-6/(PERALTE!$X$12-PERALTE!$Z$12)*(RASANTE!F239-PERALTE!$Z$12)-2),IF(RASANTE!F239&lt;=PERALTE!$AB$12,-2))))),IF(AND(AH!$H$14="Derecha",RASANTE!F239&lt;=PERALTE!$AB$12),IF(RASANTE!F239&lt;=PERALTE!$Q$12,-2,IF(RASANTE!F239&lt;=PERALTE!$U$12,(10/(PERALTE!$U$12-PERALTE!$Q$12)*(RASANTE!F239-PERALTE!$Q$12)-2),IF(RASANTE!F239&lt;=PERALTE!$X$12,8,IF(RASANTE!F239&lt;=PERALTE!$AB$12,(10/(PERALTE!$X$12-PERALTE!$AB$12)*(RASANTE!F239-PERALTE!$AB$12)-2))))),IF(AND(AH!$H$16="Izquierda",RASANTE!F239&lt;=PERALTE!$AB$14),IF(RASANTE!F239&lt;=PERALTE!$S$14,-2,IF(RASANTE!F239&lt;=PERALTE!$U$14,(-6/(PERALTE!$U$14-PERALTE!$S$14)*(RASANTE!F239-PERALTE!$S$14)-2),IF(RASANTE!F239&lt;=PERALTE!$X$14,-8,IF(RASANTE!F239&lt;=PERALTE!$Z$14,(-6/(PERALTE!$X$14-PERALTE!$Z$14)*(RASANTE!F239-PERALTE!$Z$14)-2),IF(RASANTE!F239&lt;=PERALTE!$AB$14,-2))))),IF(AND(AH!$H$16="Derecha",RASANTE!F239&lt;=PERALTE!$AB$14),IF(RASANTE!F239&lt;=PERALTE!$Q$14,-2,IF(RASANTE!F239&lt;=PERALTE!$U$14,(10/(PERALTE!$U$14-PERALTE!$Q$14)*(RASANTE!F239-PERALTE!$Q$14)-2),IF(RASANTE!F239&lt;=PERALTE!$X$14,8,IF(RASANTE!F239&lt;=PERALTE!$AB$14,(10/(PERALTE!$X$14-PERALTE!$AB$14)*(RASANTE!F239-PERALTE!$AB$14)-2))))),IF(AND(AH!$H$18="Izquierda",RASANTE!F239&lt;=PERALTE!$AB$16),IF(RASANTE!F239&lt;=PERALTE!$S$16,-2,IF(RASANTE!F239&lt;=PERALTE!$U$16,(-6/(PERALTE!$U$16-PERALTE!$S$16)*(RASANTE!F239-PERALTE!$S$16)-2),IF(RASANTE!F239&lt;=PERALTE!$X$16,-8,IF(RASANTE!F239&lt;=PERALTE!$Z$16,(-6/(PERALTE!$X$16-PERALTE!$Z$16)*(RASANTE!F239-PERALTE!$Z$16)-2),IF(RASANTE!F239&lt;=PERALTE!$AB$16,-2))))),IF(AND(AH!$H$18="Derecha",RASANTE!F239&lt;=PERALTE!$AB$16),IF(RASANTE!F239&lt;=PERALTE!$Q$16,-2,IF(RASANTE!F239&lt;=PERALTE!$U$16,(10/(PERALTE!$U$16-PERALTE!$Q$16)*(RASANTE!F239-PERALTE!$Q$16)-2),IF(RASANTE!F239&lt;=PERALTE!$X$16,8,IF(RASANTE!F239&lt;=PERALTE!$AB$16,(10/(PERALTE!$X$16-PERALTE!$AB$16)*(RASANTE!F239-PERALTE!$AB$16)-2))))),IF(AND(AH!$H$20="Izquierda",RASANTE!F239&lt;=PERALTE!$AB$18),IF(RASANTE!F239&lt;=PERALTE!$S$18,-2,IF(RASANTE!F239&lt;=PERALTE!$U$18,(-6/(PERALTE!$U$18-PERALTE!$S$18)*(RASANTE!F239-PERALTE!$S$18)-2),IF(RASANTE!F239&lt;=PERALTE!$X$18,-8,IF(RASANTE!F239&lt;=PERALTE!$Z$18,(-6/(PERALTE!$X$18-PERALTE!$Z$18)*(RASANTE!F239-PERALTE!$Z$18)-2),IF(RASANTE!F239&lt;=PERALTE!$AB$18,-2))))),IF(AND(AH!$H$20="Derecha",RASANTE!F239&lt;=PERALTE!$AB$18),IF(RASANTE!F239&lt;=PERALTE!$Q$18,-2,IF(RASANTE!F239&lt;=PERALTE!$U$18,(10/(PERALTE!$U$18-PERALTE!$Q$18)*(RASANTE!F239-PERALTE!$Q$18)-2),IF(RASANTE!F239&lt;=PERALTE!$X$18,8,IF(RASANTE!F239&lt;=PERALTE!$AB$18,(10/(PERALTE!$X$18-PERALTE!$AB$18)*(RASANTE!F239-PERALTE!$AB$18)-2))))),IF(AND(AH!$H$24="Izquierda",RASANTE!F239&lt;=PERALTE!$AB$22),IF(RASANTE!F239&lt;=PERALTE!$S$22,-2,IF(RASANTE!F239&lt;=PERALTE!$U$22,(-6/(PERALTE!$U$22-PERALTE!$S$22)*(RASANTE!F239-PERALTE!$S$22)-2),IF(RASANTE!F239&lt;=PERALTE!$X$22,-8,IF(RASANTE!F239&lt;=PERALTE!$Z$22,(-6/(PERALTE!$X$22-PERALTE!$Z$22)*(RASANTE!F239-PERALTE!$Z$22)-2),IF(RASANTE!F239&lt;=PERALTE!$AB$22,-2))))),IF(AND(AH!$H$24="Derecha",RASANTE!F239&lt;=PERALTE!$AB$22),IF(RASANTE!F239&lt;=PERALTE!$Q$22,-2,IF(RASANTE!F239&lt;=PERALTE!$U$22,(10/(PERALTE!$U$22-PERALTE!$Q$22)*(RASANTE!F239-PERALTE!$Q$22)-2),IF(RASANTE!F239&lt;=PERALTE!$X$22,8,IF(RASANTE!F239&lt;=PERALTE!$AB$22,(10/(PERALTE!$X$22-PERALTE!$AB$22)*(RASANTE!F239-PERALTE!$AB$22)-2))))),IF(AND(AH!#REF!="Izquierda",RASANTE!F239&lt;=PERALTE!#REF!),IF(RASANTE!F239&lt;=PERALTE!#REF!,-2,IF(RASANTE!F239&lt;=PERALTE!#REF!,(-6/(PERALTE!#REF!-PERALTE!#REF!)*(RASANTE!F239-PERALTE!#REF!)-2),IF(RASANTE!F239&lt;=PERALTE!#REF!,-8,IF(RASANTE!F239&lt;=PERALTE!#REF!,(-6/(PERALTE!#REF!-PERALTE!#REF!)*(RASANTE!F239-PERALTE!#REF!)-2),IF(RASANTE!F239&lt;=PERALTE!#REF!,-2))))),IF(AND(AH!#REF!="Derecha",RASANTE!F239&lt;=PERALTE!#REF!),IF(RASANTE!F239&lt;=PERALTE!#REF!,-2,IF(RASANTE!F239&lt;=PERALTE!#REF!,(10/(PERALTE!#REF!-PERALTE!#REF!)*(RASANTE!F239-PERALTE!#REF!)-2),IF(RASANTE!F239&lt;=PERALTE!#REF!,8,IF(RASANTE!F239&lt;=PERALTE!#REF!,(10/(PERALTE!#REF!-PERALTE!#REF!)*(RASANTE!F239-PERALTE!#REF!)-2))))),IF(AND(AH!#REF!="Izquierda",RASANTE!F239&lt;=PERALTE!$AB$26),IF(RASANTE!F239&lt;=PERALTE!$S$26,-2,IF(RASANTE!F239&lt;=PERALTE!$U$26,(-6/(PERALTE!$U$26-PERALTE!$S$26)*(RASANTE!F239-PERALTE!$S$26)-2),IF(RASANTE!F239&lt;=PERALTE!$X$26,-8,IF(RASANTE!F239&lt;=PERALTE!$Z$26,(-6/(PERALTE!$X$26-PERALTE!$Z$26)*(RASANTE!F239-PERALTE!$Z$26)-2),IF(RASANTE!F239&lt;=PERALTE!$AB$26,-2))))),IF(AND(AH!#REF!="Derecha",RASANTE!F239&lt;=PERALTE!$AB$26),IF(RASANTE!F239&lt;=PERALTE!$Q$26,-2,IF(RASANTE!F239&lt;=PERALTE!$U$26,(10/(PERALTE!$U$26-PERALTE!$Q$26)*(RASANTE!F239-PERALTE!$Q$26)-2),IF(RASANTE!F239&lt;=PERALTE!$X$26,8,IF(RASANTE!F239&lt;=PERALTE!$AB$26,(10/(PERALTE!$X$26-PERALTE!$AB$26)*(RASANTE!F239-PERALTE!$AB$26)-2))))),IF(F239&lt;=PERALTE!#REF!,-2,"Abscisa fuera de la vía")))))))))))))))))))))</f>
        <v>-2</v>
      </c>
      <c r="I239" s="28">
        <f>+IF(AND(AH!$H$8="Derecha",RASANTE!F239&lt;=PERALTE!$AB$6),IF(RASANTE!F239&lt;=PERALTE!$S$6,-2,IF(RASANTE!F239&lt;=PERALTE!$U$6,(-6/(PERALTE!$U$6-PERALTE!$S$6)*(RASANTE!F239-PERALTE!$S$6)-2),IF(RASANTE!F239&lt;=PERALTE!$X$6,-8,IF(RASANTE!F239&lt;=PERALTE!$Z$6,(-6/(PERALTE!$X$6-PERALTE!$Z$6)*(RASANTE!F239-PERALTE!$Z$6)-2),IF(RASANTE!F239&lt;=PERALTE!$AB$6,-2))))),IF(AND(AH!$H$8="Izquierda",RASANTE!F239&lt;=PERALTE!$AB$6),IF(RASANTE!F239&lt;=PERALTE!$Q$6,-2,IF(RASANTE!F239&lt;=PERALTE!$U$6,(10/(PERALTE!$U$6-PERALTE!$Q$6)*(RASANTE!F239-PERALTE!$Q$6)-2),IF(RASANTE!F239&lt;=PERALTE!$X$6,8,IF(RASANTE!F239&lt;=PERALTE!$AB$6,(10/(PERALTE!$X$6-PERALTE!$AB$6)*(RASANTE!F239-PERALTE!$AB$6)-2))))),IF(AND(AH!$H$10="Derecha",RASANTE!F239&lt;=PERALTE!$AB$8),IF(RASANTE!F239&lt;=PERALTE!$S$8,-2,IF(RASANTE!F239&lt;=PERALTE!$U$8,(-6/(PERALTE!$U$8-PERALTE!$S$8)*(RASANTE!F239-PERALTE!$S$8)-2),IF(RASANTE!F239&lt;=PERALTE!$X$8,-8,IF(RASANTE!F239&lt;=PERALTE!$Z$8,(-6/(PERALTE!$X$8-PERALTE!$Z$8)*(RASANTE!F239-PERALTE!$Z$8)-2),IF(RASANTE!F239&lt;=PERALTE!$AB$8,-2))))),IF(AND(AH!$H$10="Izquierda",RASANTE!F239&lt;=PERALTE!$AB$8),IF(RASANTE!F239&lt;=PERALTE!$Q$8,-2,IF(RASANTE!F239&lt;=PERALTE!$U$8,(10/(PERALTE!$U$8-PERALTE!$Q$8)*(RASANTE!F239-PERALTE!$Q$8)-2),IF(RASANTE!F239&lt;=PERALTE!$X$8,8,IF(RASANTE!F239&lt;=PERALTE!$AB$8,(10/(PERALTE!$X$8-PERALTE!$AB$8)*(RASANTE!F239-PERALTE!$AB$8)-2))))),IF(AND(AH!$H$12="Derecha",RASANTE!F239&lt;=PERALTE!$AB$10),IF(RASANTE!F239&lt;=PERALTE!$S$10,-2,IF(RASANTE!F239&lt;=PERALTE!$U$10,(-6/(PERALTE!$U$10-PERALTE!$S$10)*(RASANTE!F239-PERALTE!$S$10)-2),IF(RASANTE!F239&lt;=PERALTE!$X$10,-8,IF(RASANTE!F239&lt;=PERALTE!$Z$10,(-6/(PERALTE!$X$10-PERALTE!$Z$10)*(RASANTE!F239-PERALTE!$Z$10)-2),IF(RASANTE!F239&lt;=PERALTE!$AB$10,-2))))),IF(AND(AH!$H$12="Izquierda",RASANTE!F239&lt;=PERALTE!$AB$10),IF(RASANTE!F239&lt;=PERALTE!$Q$10,-2,IF(RASANTE!F239&lt;=PERALTE!$U$10,(10/(PERALTE!$U$10-PERALTE!$Q$10)*(RASANTE!F239-PERALTE!$Q$10)-2),IF(RASANTE!F239&lt;=PERALTE!$X$10,8,IF(RASANTE!F239&lt;=PERALTE!$AB$10,(10/(PERALTE!$X$10-PERALTE!$AB$10)*(RASANTE!F239-PERALTE!$AB$10)-2))))),IF(AND(AH!$H$14="Derecha",RASANTE!F239&lt;=PERALTE!$AB$12),IF(RASANTE!F239&lt;=PERALTE!$S$12,-2,IF(RASANTE!F239&lt;=PERALTE!$U$12,(-6/(PERALTE!$U$12-PERALTE!$S$12)*(RASANTE!F239-PERALTE!$S$12)-2),IF(RASANTE!F239&lt;=PERALTE!$X$12,-8,IF(RASANTE!F239&lt;=PERALTE!$Z$12,(-6/(PERALTE!$X$12-PERALTE!$Z$12)*(RASANTE!F239-PERALTE!$Z$12)-2),IF(RASANTE!F239&lt;=PERALTE!$AB$12,-2))))),IF(AND(AH!$H$14="Izquierda",RASANTE!F239&lt;=PERALTE!$AB$12),IF(RASANTE!F239&lt;=PERALTE!$Q$12,-2,IF(RASANTE!F239&lt;=PERALTE!$U$12,(10/(PERALTE!$U$12-PERALTE!$Q$12)*(RASANTE!F239-PERALTE!$Q$12)-2),IF(RASANTE!F239&lt;=PERALTE!$X$12,8,IF(RASANTE!F239&lt;=PERALTE!$AB$12,(10/(PERALTE!$X$12-PERALTE!$AB$12)*(RASANTE!F239-PERALTE!$AB$12)-2))))),IF(AND(AH!$H$16="Derecha",RASANTE!F239&lt;=PERALTE!$AB$14),IF(RASANTE!F239&lt;=PERALTE!$S$14,-2,IF(RASANTE!F239&lt;=PERALTE!$U$14,(-6/(PERALTE!$U$14-PERALTE!$S$14)*(RASANTE!F239-PERALTE!$S$14)-2),IF(RASANTE!F239&lt;=PERALTE!$X$14,-8,IF(RASANTE!F239&lt;=PERALTE!$Z$14,(-6/(PERALTE!$X$14-PERALTE!$Z$14)*(RASANTE!F239-PERALTE!$Z$14)-2),IF(RASANTE!F239&lt;=PERALTE!$AB$14,-2))))),IF(AND(AH!$H$16="Izquierda",RASANTE!F239&lt;=PERALTE!$AB$14),IF(RASANTE!F239&lt;=PERALTE!$Q$14,-2,IF(RASANTE!F239&lt;=PERALTE!$U$14,(10/(PERALTE!$U$14-PERALTE!$Q$14)*(RASANTE!F239-PERALTE!$Q$14)-2),IF(RASANTE!F239&lt;=PERALTE!$X$14,8,IF(RASANTE!F239&lt;=PERALTE!$AB$14,(10/(PERALTE!$X$14-PERALTE!$AB$14)*(RASANTE!F239-PERALTE!$AB$14)-2))))),IF(AND(AH!$H$18="Derecha",RASANTE!F239&lt;=PERALTE!$AB$16),IF(RASANTE!F239&lt;=PERALTE!$S$16,-2,IF(RASANTE!F239&lt;=PERALTE!$U$16,(-6/(PERALTE!$U$16-PERALTE!$S$16)*(RASANTE!F239-PERALTE!$S$16)-2),IF(RASANTE!F239&lt;=PERALTE!$X$16,-8,IF(RASANTE!F239&lt;=PERALTE!$Z$16,(-6/(PERALTE!$X$16-PERALTE!$Z$16)*(RASANTE!F239-PERALTE!$Z$16)-2),IF(RASANTE!F239&lt;=PERALTE!$AB$16,-2))))),IF(AND(AH!$H$18="Izquierda",RASANTE!F239&lt;=PERALTE!$AB$16),IF(RASANTE!F239&lt;=PERALTE!$Q$16,-2,IF(RASANTE!F239&lt;=PERALTE!$U$16,(10/(PERALTE!$U$16-PERALTE!$Q$16)*(RASANTE!F239-PERALTE!$Q$16)-2),IF(RASANTE!F239&lt;=PERALTE!$X$16,8,IF(RASANTE!F239&lt;=PERALTE!$AB$16,(10/(PERALTE!$X$16-PERALTE!$AB$16)*(RASANTE!F239-PERALTE!$AB$16)-2))))),IF(AND(AH!$H$20="Derecha",RASANTE!F239&lt;=PERALTE!$AB$18),IF(RASANTE!F239&lt;=PERALTE!$S$18,-2,IF(RASANTE!F239&lt;=PERALTE!$U$18,(-6/(PERALTE!$U$18-PERALTE!$S$18)*(RASANTE!F239-PERALTE!$S$18)-2),IF(RASANTE!F239&lt;=PERALTE!$X$18,-8,IF(RASANTE!F239&lt;=PERALTE!$Z$18,(-6/(PERALTE!$X$18-PERALTE!$Z$18)*(RASANTE!F239-PERALTE!$Z$18)-2),IF(RASANTE!F239&lt;=PERALTE!$AB$18,-2))))),IF(AND(AH!$H$20="Izquierda",RASANTE!F239&lt;=PERALTE!$AB$18),IF(RASANTE!F239&lt;=PERALTE!$Q$18,-2,IF(RASANTE!F239&lt;=PERALTE!$U$18,(10/(PERALTE!$U$18-PERALTE!$Q$18)*(RASANTE!F239-PERALTE!$Q$18)-2),IF(RASANTE!F239&lt;=PERALTE!$X$18,8,IF(RASANTE!F239&lt;=PERALTE!$AB$18,(10/(PERALTE!$X$18-PERALTE!$AB$18)*(RASANTE!F239-PERALTE!$AB$18)-2))))),IF(AND(AH!$H$24="Derecha",RASANTE!F239&lt;=PERALTE!$AB$22),IF(RASANTE!F239&lt;=PERALTE!$S$22,-2,IF(RASANTE!F239&lt;=PERALTE!$U$22,(-6/(PERALTE!$U$22-PERALTE!$S$22)*(RASANTE!F239-PERALTE!$S$22)-2),IF(RASANTE!F239&lt;=PERALTE!$X$22,-8,IF(RASANTE!F239&lt;=PERALTE!$Z$22,(-6/(PERALTE!$X$22-PERALTE!$Z$22)*(RASANTE!F239-PERALTE!$Z$22)-2),IF(RASANTE!F239&lt;=PERALTE!$AB$22,-2))))),IF(AND(AH!$H$24="Izquierda",RASANTE!F239&lt;=PERALTE!$AB$22),IF(RASANTE!F239&lt;=PERALTE!$Q$22,-2,IF(RASANTE!F239&lt;=PERALTE!$U$22,(10/(PERALTE!$U$22-PERALTE!$Q$22)*(RASANTE!F239-PERALTE!$Q$22)-2),IF(RASANTE!F239&lt;=PERALTE!$X$22,8,IF(RASANTE!F239&lt;=PERALTE!$AB$22,(10/(PERALTE!$X$22-PERALTE!$AB$22)*(RASANTE!F239-PERALTE!$AB$22)-2))))),IF(AND(AH!#REF!="Derecha",RASANTE!F239&lt;=PERALTE!#REF!),IF(RASANTE!F239&lt;=PERALTE!#REF!,-2,IF(RASANTE!F239&lt;=PERALTE!#REF!,(-6/(PERALTE!#REF!-PERALTE!#REF!)*(RASANTE!F239-PERALTE!#REF!)-2),IF(RASANTE!F239&lt;=PERALTE!#REF!,-8,IF(RASANTE!F239&lt;=PERALTE!#REF!,(-6/(PERALTE!#REF!-PERALTE!#REF!)*(RASANTE!F239-PERALTE!#REF!)-2),IF(RASANTE!F239&lt;=PERALTE!#REF!,-2))))),IF(AND(AH!#REF!="Izquierda",RASANTE!F239&lt;=PERALTE!#REF!),IF(RASANTE!F239&lt;=PERALTE!#REF!,-2,IF(RASANTE!F239&lt;=PERALTE!#REF!,(10/(PERALTE!#REF!-PERALTE!#REF!)*(RASANTE!F239-PERALTE!#REF!)-2),IF(RASANTE!F239&lt;=PERALTE!#REF!,8,IF(RASANTE!F239&lt;=PERALTE!#REF!,(10/(PERALTE!#REF!-PERALTE!#REF!)*(RASANTE!F239-PERALTE!#REF!)-2))))),IF(AND(AH!#REF!="Derecha",RASANTE!F239&lt;=PERALTE!$AB$26),IF(RASANTE!F239&lt;=PERALTE!$S$26,-2,IF(RASANTE!F239&lt;=PERALTE!$U$26,(-6/(PERALTE!$U$26-PERALTE!$S$26)*(RASANTE!F239-PERALTE!$S$26)-2),IF(RASANTE!F239&lt;=PERALTE!$X$26,-8,IF(RASANTE!F239&lt;=PERALTE!$Z$26,(-6/(PERALTE!$X$26-PERALTE!$Z$26)*(RASANTE!F239-PERALTE!$Z$26)-2),IF(RASANTE!F239&lt;=PERALTE!$AB$26,-2))))),IF(AND(AH!#REF!="Izquierda",RASANTE!F239&lt;=PERALTE!$AB$26),IF(RASANTE!F239&lt;=PERALTE!$Q$26,-2,IF(RASANTE!F239&lt;=PERALTE!$U$26,(10/(PERALTE!$U$26-PERALTE!$Q$26)*(RASANTE!F239-PERALTE!$Q$26)-2),IF(RASANTE!F239&lt;=PERALTE!$X$26,8,IF(RASANTE!F239&lt;=PERALTE!$AB$26,(10/(PERALTE!$X$26-PERALTE!$AB$26)*(RASANTE!F239-PERALTE!$AB$26)-2))))),IF(F239&lt;=PERALTE!#REF!,-2,"Abscisa fuera de la vía")))))))))))))))))))))</f>
        <v>-2</v>
      </c>
      <c r="J239" s="28">
        <f t="shared" si="11"/>
        <v>1632.5129284648981</v>
      </c>
      <c r="K239" s="28">
        <f>+IF(AND(AV!$S$6&lt;F239,F239&lt;=AV!$T$6),AV!$P$6*((AV!$S$6-RASANTE!F239)/(AV!$N$6))^2,IF(AND(AV!$T$6&lt;RASANTE!F239,F239&lt;AV!$U$6),AV!$P$6*((AV!$U$6-RASANTE!F239)/(AV!$O$6))^2,IF(AND(AV!$S$8&lt;F239,F239&lt;=AV!$T$8),AV!$P$8*((AV!$S$8-RASANTE!F239)/(AV!$N$8))^2,IF(AND(AV!$T$8&lt;RASANTE!F239,F239&lt;AV!$U$8),AV!$P$8*((AV!$U$8-RASANTE!F239)/(AV!$O$8))^2,IF(AND(AV!$S$10&lt;F239,F239&lt;=AV!$T$10),AV!$P$10*((AV!$S$10-RASANTE!F239)/(AV!$N$10))^2,IF(AND(AV!$T$10&lt;RASANTE!F239,F239&lt;AV!$U$10),AV!$P$10*((AV!$U$10-RASANTE!F239)/(AV!$O$10))^2,IF(AND(AV!$S$12&lt;F239,F239&lt;=AV!$T$12),AV!$P$12*((AV!$S$12-RASANTE!F239)/(AV!$N$12))^2,IF(AND(AV!$T$12&lt;RASANTE!F239,F239&lt;AV!$U$12),AV!$P$12*((AV!$U$12-RASANTE!F239)/(AV!$O$12))^2,IF(AND(AV!$S$14&lt;F239,F239&lt;=AV!$T$14),AV!$P$14*((AV!$S$14-RASANTE!F239)/(AV!$N$14))^2,IF(AND(AV!$T$14&lt;RASANTE!F239,F239&lt;AV!$U$14),AV!$P$14*((AV!$U$14-RASANTE!F239)/(AV!$O$14))^2,IF(AND(AV!$S$16&lt;F239,F239&lt;=AV!$T$16),AV!$P$16*((AV!$S$16-RASANTE!F239)/(AV!$N$16))^2,IF(AND(AV!$T$16&lt;RASANTE!F239,F239&lt;AV!$U$16),AV!$P$16*((AV!$U$16-RASANTE!F239)/(AV!$O$16))^2,IF(AND(AV!$S$18&lt;F239,F239&lt;=AV!$T$18),AV!$P$18*((AV!$S$18-RASANTE!F239)/(AV!$N$18))^2,IF(AND(AV!$T$18&lt;RASANTE!F239,F239&lt;AV!$U$18),AV!$P$18*((AV!$U$18-RASANTE!F239)/(AV!$O$18))^2,IF(AND(AV!$S$20&lt;F239,F239&lt;=AV!$T$20),AV!$P$20*((AV!$S$20-RASANTE!F239)/(AV!$N$20))^2,IF(AND(AV!$T$20&lt;RASANTE!F239,F239&lt;AV!$U$20),AV!$P$20*((AV!$U$20-RASANTE!F239)/(AV!$O$20))^2,IF(AND(AV!$S$22&lt;F239,F239&lt;=AV!$T$22),AV!$P$22*((AV!$S$22-RASANTE!F239)/(AV!$N$22))^2,IF(AND(AV!$T$22&lt;RASANTE!F239,F239&lt;AV!$U$22),AV!$P$22*((AV!$U$22-RASANTE!F239)/(AV!$O$22))^2,IF(AND(AV!$S$24&lt;F239,F239&lt;=AV!$T$24),AV!$P$24*((AV!$S$24-RASANTE!F239)/(AV!$N$24))^2,IF(AND(AV!$T$24&lt;RASANTE!F239,F239&lt;AV!$U$24),AV!$P$24*((AV!$U$24-RASANTE!F239)/(AV!$O$24))^2,0))))))))))))))))))))</f>
        <v>0</v>
      </c>
      <c r="L239" s="28">
        <f>+M239+H239%*PERALTE!$C$32</f>
        <v>1632.4429284648982</v>
      </c>
      <c r="M239" s="28">
        <f t="shared" si="12"/>
        <v>1632.5129284648981</v>
      </c>
      <c r="N239" s="28">
        <f>+M239+I239%*PERALTE!$C$32</f>
        <v>1632.4429284648982</v>
      </c>
      <c r="O239" s="92"/>
      <c r="P239" s="84"/>
      <c r="Q239" s="84"/>
      <c r="R239" s="84"/>
      <c r="S239" s="84"/>
      <c r="T239" s="84"/>
      <c r="U239" s="84"/>
      <c r="V239" s="84"/>
      <c r="W239" s="84"/>
      <c r="X239" s="84"/>
      <c r="Y239" s="84"/>
    </row>
    <row r="240" spans="1:25" ht="15.75" customHeight="1" x14ac:dyDescent="0.2">
      <c r="A240" s="90" t="s">
        <v>368</v>
      </c>
      <c r="B240" s="86"/>
      <c r="C240" s="86"/>
      <c r="D240" s="86"/>
      <c r="E240" s="91"/>
      <c r="F240" s="34">
        <f>PERALTE!Q18</f>
        <v>1473.8739025027965</v>
      </c>
      <c r="G240" s="88">
        <f>IF(F240&lt;=AV!$T$6,AV!$C$5,IF(RASANTE!F240&lt;=AV!$T$8,AV!$C$7,IF(RASANTE!F240&lt;=AV!$T$10,AV!$C$9,IF(RASANTE!F240&lt;=AV!$T$12,AV!$C$11,IF(RASANTE!F240&lt;=AV!$T$14,AV!$C$13,IF(RASANTE!F240&lt;=AV!$T$16,AV!$C$15, IF(RASANTE!F240&lt;=AV!$T$18,AV!$C$17,IF(RASANTE!F240&lt;=AV!$T$20,AV!$C$19,IF(RASANTE!F240&lt;=AV!$T$22,AV!$C$21,IF(RASANTE!F240&lt;=AV!$T$24,AV!$C$23,AV!$C$25))))))))))</f>
        <v>2.8</v>
      </c>
      <c r="H240" s="28">
        <f>+IF(AND(AH!$H$8="Izquierda",RASANTE!F240&lt;=PERALTE!$AB$6),IF(RASANTE!F240&lt;=PERALTE!$S$6,-2,IF(RASANTE!F240&lt;=PERALTE!$U$6,(-6/(PERALTE!$U$6-PERALTE!$S$6)*(RASANTE!F240-PERALTE!$S$6)-2),IF(RASANTE!F240&lt;=PERALTE!$X$6,-8,IF(RASANTE!F240&lt;=PERALTE!$Z$6,(-6/(PERALTE!$X$6-PERALTE!$Z$6)*(RASANTE!F240-PERALTE!$Z$6)-2),IF(RASANTE!F240&lt;=PERALTE!$AB$6,-2))))),IF(AND(AH!$H$8="Derecha",RASANTE!F240&lt;=PERALTE!$AB$6),IF(RASANTE!F240&lt;=PERALTE!$Q$6,-2,IF(RASANTE!F240&lt;=PERALTE!$U$6,(10/(PERALTE!$U$6-PERALTE!$Q$6)*(RASANTE!F240-PERALTE!$Q$6)-2),IF(RASANTE!F240&lt;=PERALTE!$X$6,8,IF(RASANTE!F240&lt;=PERALTE!$AB$6,(10/(PERALTE!$X$6-PERALTE!$AB$6)*(RASANTE!F240-PERALTE!$AB$6)-2))))),IF(AND(AH!$H$10="Izquierda",RASANTE!F240&lt;=PERALTE!$AB$8),IF(RASANTE!F240&lt;=PERALTE!$S$8,-2,IF(RASANTE!F240&lt;=PERALTE!$U$8,(-6/(PERALTE!$U$8-PERALTE!$S$8)*(RASANTE!F240-PERALTE!$S$8)-2),IF(RASANTE!F240&lt;=PERALTE!$X$8,-8,IF(RASANTE!F240&lt;=PERALTE!$Z$8,(-6/(PERALTE!$X$8-PERALTE!$Z$8)*(RASANTE!F240-PERALTE!$Z$8)-2),IF(RASANTE!F240&lt;=PERALTE!$AB$8,-2))))),IF(AND(AH!$H$10="Derecha",RASANTE!F240&lt;=PERALTE!$AB$8),IF(RASANTE!F240&lt;=PERALTE!$Q$8,-2,IF(RASANTE!F240&lt;=PERALTE!$U$8,(10/(PERALTE!$U$8-PERALTE!$Q$8)*(RASANTE!F240-PERALTE!$Q$8)-2),IF(RASANTE!F240&lt;=PERALTE!$X$8,8,IF(RASANTE!F240&lt;=PERALTE!$AB$8,(10/(PERALTE!$X$8-PERALTE!$AB$8)*(RASANTE!F240-PERALTE!$AB$8)-2))))),IF(AND(AH!$H$12="Izquierda",RASANTE!F240&lt;=PERALTE!$AB$10),IF(RASANTE!F240&lt;=PERALTE!$S$10,-2,IF(RASANTE!F240&lt;=PERALTE!$U$10,(-6/(PERALTE!$U$10-PERALTE!$S$10)*(RASANTE!F240-PERALTE!$S$10)-2),IF(RASANTE!F240&lt;=PERALTE!$X$10,-8,IF(RASANTE!F240&lt;=PERALTE!$Z$10,(-6/(PERALTE!$X$10-PERALTE!$Z$10)*(RASANTE!F240-PERALTE!$Z$10)-2),IF(RASANTE!F240&lt;=PERALTE!$AB$10,-2))))),IF(AND(AH!$H$12="Derecha",RASANTE!F240&lt;=PERALTE!$AB$10),IF(RASANTE!F240&lt;=PERALTE!$Q$10,-2,IF(RASANTE!F240&lt;=PERALTE!$U$10,(10/(PERALTE!$U$10-PERALTE!$Q$10)*(RASANTE!F240-PERALTE!$Q$10)-2),IF(RASANTE!F240&lt;=PERALTE!$X$10,8,IF(RASANTE!F240&lt;=PERALTE!$AB$10,(10/(PERALTE!$X$10-PERALTE!$AB$10)*(RASANTE!F240-PERALTE!$AB$10)-2))))),IF(AND(AH!$H$14="Izquierda",RASANTE!F240&lt;=PERALTE!$AB$12),IF(RASANTE!F240&lt;=PERALTE!$S$12,-2,IF(RASANTE!F240&lt;=PERALTE!$U$12,(-6/(PERALTE!$U$12-PERALTE!$S$12)*(RASANTE!F240-PERALTE!$S$12)-2),IF(RASANTE!F240&lt;=PERALTE!$X$12,-8,IF(RASANTE!F240&lt;=PERALTE!$Z$12,(-6/(PERALTE!$X$12-PERALTE!$Z$12)*(RASANTE!F240-PERALTE!$Z$12)-2),IF(RASANTE!F240&lt;=PERALTE!$AB$12,-2))))),IF(AND(AH!$H$14="Derecha",RASANTE!F240&lt;=PERALTE!$AB$12),IF(RASANTE!F240&lt;=PERALTE!$Q$12,-2,IF(RASANTE!F240&lt;=PERALTE!$U$12,(10/(PERALTE!$U$12-PERALTE!$Q$12)*(RASANTE!F240-PERALTE!$Q$12)-2),IF(RASANTE!F240&lt;=PERALTE!$X$12,8,IF(RASANTE!F240&lt;=PERALTE!$AB$12,(10/(PERALTE!$X$12-PERALTE!$AB$12)*(RASANTE!F240-PERALTE!$AB$12)-2))))),IF(AND(AH!$H$16="Izquierda",RASANTE!F240&lt;=PERALTE!$AB$14),IF(RASANTE!F240&lt;=PERALTE!$S$14,-2,IF(RASANTE!F240&lt;=PERALTE!$U$14,(-6/(PERALTE!$U$14-PERALTE!$S$14)*(RASANTE!F240-PERALTE!$S$14)-2),IF(RASANTE!F240&lt;=PERALTE!$X$14,-8,IF(RASANTE!F240&lt;=PERALTE!$Z$14,(-6/(PERALTE!$X$14-PERALTE!$Z$14)*(RASANTE!F240-PERALTE!$Z$14)-2),IF(RASANTE!F240&lt;=PERALTE!$AB$14,-2))))),IF(AND(AH!$H$16="Derecha",RASANTE!F240&lt;=PERALTE!$AB$14),IF(RASANTE!F240&lt;=PERALTE!$Q$14,-2,IF(RASANTE!F240&lt;=PERALTE!$U$14,(10/(PERALTE!$U$14-PERALTE!$Q$14)*(RASANTE!F240-PERALTE!$Q$14)-2),IF(RASANTE!F240&lt;=PERALTE!$X$14,8,IF(RASANTE!F240&lt;=PERALTE!$AB$14,(10/(PERALTE!$X$14-PERALTE!$AB$14)*(RASANTE!F240-PERALTE!$AB$14)-2))))),IF(AND(AH!$H$18="Izquierda",RASANTE!F240&lt;=PERALTE!$AB$16),IF(RASANTE!F240&lt;=PERALTE!$S$16,-2,IF(RASANTE!F240&lt;=PERALTE!$U$16,(-6/(PERALTE!$U$16-PERALTE!$S$16)*(RASANTE!F240-PERALTE!$S$16)-2),IF(RASANTE!F240&lt;=PERALTE!$X$16,-8,IF(RASANTE!F240&lt;=PERALTE!$Z$16,(-6/(PERALTE!$X$16-PERALTE!$Z$16)*(RASANTE!F240-PERALTE!$Z$16)-2),IF(RASANTE!F240&lt;=PERALTE!$AB$16,-2))))),IF(AND(AH!$H$18="Derecha",RASANTE!F240&lt;=PERALTE!$AB$16),IF(RASANTE!F240&lt;=PERALTE!$Q$16,-2,IF(RASANTE!F240&lt;=PERALTE!$U$16,(10/(PERALTE!$U$16-PERALTE!$Q$16)*(RASANTE!F240-PERALTE!$Q$16)-2),IF(RASANTE!F240&lt;=PERALTE!$X$16,8,IF(RASANTE!F240&lt;=PERALTE!$AB$16,(10/(PERALTE!$X$16-PERALTE!$AB$16)*(RASANTE!F240-PERALTE!$AB$16)-2))))),IF(AND(AH!$H$20="Izquierda",RASANTE!F240&lt;=PERALTE!$AB$18),IF(RASANTE!F240&lt;=PERALTE!$S$18,-2,IF(RASANTE!F240&lt;=PERALTE!$U$18,(-6/(PERALTE!$U$18-PERALTE!$S$18)*(RASANTE!F240-PERALTE!$S$18)-2),IF(RASANTE!F240&lt;=PERALTE!$X$18,-8,IF(RASANTE!F240&lt;=PERALTE!$Z$18,(-6/(PERALTE!$X$18-PERALTE!$Z$18)*(RASANTE!F240-PERALTE!$Z$18)-2),IF(RASANTE!F240&lt;=PERALTE!$AB$18,-2))))),IF(AND(AH!$H$20="Derecha",RASANTE!F240&lt;=PERALTE!$AB$18),IF(RASANTE!F240&lt;=PERALTE!$Q$18,-2,IF(RASANTE!F240&lt;=PERALTE!$U$18,(10/(PERALTE!$U$18-PERALTE!$Q$18)*(RASANTE!F240-PERALTE!$Q$18)-2),IF(RASANTE!F240&lt;=PERALTE!$X$18,8,IF(RASANTE!F240&lt;=PERALTE!$AB$18,(10/(PERALTE!$X$18-PERALTE!$AB$18)*(RASANTE!F240-PERALTE!$AB$18)-2))))),IF(AND(AH!$H$24="Izquierda",RASANTE!F240&lt;=PERALTE!$AB$22),IF(RASANTE!F240&lt;=PERALTE!$S$22,-2,IF(RASANTE!F240&lt;=PERALTE!$U$22,(-6/(PERALTE!$U$22-PERALTE!$S$22)*(RASANTE!F240-PERALTE!$S$22)-2),IF(RASANTE!F240&lt;=PERALTE!$X$22,-8,IF(RASANTE!F240&lt;=PERALTE!$Z$22,(-6/(PERALTE!$X$22-PERALTE!$Z$22)*(RASANTE!F240-PERALTE!$Z$22)-2),IF(RASANTE!F240&lt;=PERALTE!$AB$22,-2))))),IF(AND(AH!$H$24="Derecha",RASANTE!F240&lt;=PERALTE!$AB$22),IF(RASANTE!F240&lt;=PERALTE!$Q$22,-2,IF(RASANTE!F240&lt;=PERALTE!$U$22,(10/(PERALTE!$U$22-PERALTE!$Q$22)*(RASANTE!F240-PERALTE!$Q$22)-2),IF(RASANTE!F240&lt;=PERALTE!$X$22,8,IF(RASANTE!F240&lt;=PERALTE!$AB$22,(10/(PERALTE!$X$22-PERALTE!$AB$22)*(RASANTE!F240-PERALTE!$AB$22)-2))))),IF(AND(AH!#REF!="Izquierda",RASANTE!F240&lt;=PERALTE!#REF!),IF(RASANTE!F240&lt;=PERALTE!#REF!,-2,IF(RASANTE!F240&lt;=PERALTE!#REF!,(-6/(PERALTE!#REF!-PERALTE!#REF!)*(RASANTE!F240-PERALTE!#REF!)-2),IF(RASANTE!F240&lt;=PERALTE!#REF!,-8,IF(RASANTE!F240&lt;=PERALTE!#REF!,(-6/(PERALTE!#REF!-PERALTE!#REF!)*(RASANTE!F240-PERALTE!#REF!)-2),IF(RASANTE!F240&lt;=PERALTE!#REF!,-2))))),IF(AND(AH!#REF!="Derecha",RASANTE!F240&lt;=PERALTE!#REF!),IF(RASANTE!F240&lt;=PERALTE!#REF!,-2,IF(RASANTE!F240&lt;=PERALTE!#REF!,(10/(PERALTE!#REF!-PERALTE!#REF!)*(RASANTE!F240-PERALTE!#REF!)-2),IF(RASANTE!F240&lt;=PERALTE!#REF!,8,IF(RASANTE!F240&lt;=PERALTE!#REF!,(10/(PERALTE!#REF!-PERALTE!#REF!)*(RASANTE!F240-PERALTE!#REF!)-2))))),IF(AND(AH!#REF!="Izquierda",RASANTE!F240&lt;=PERALTE!$AB$26),IF(RASANTE!F240&lt;=PERALTE!$S$26,-2,IF(RASANTE!F240&lt;=PERALTE!$U$26,(-6/(PERALTE!$U$26-PERALTE!$S$26)*(RASANTE!F240-PERALTE!$S$26)-2),IF(RASANTE!F240&lt;=PERALTE!$X$26,-8,IF(RASANTE!F240&lt;=PERALTE!$Z$26,(-6/(PERALTE!$X$26-PERALTE!$Z$26)*(RASANTE!F240-PERALTE!$Z$26)-2),IF(RASANTE!F240&lt;=PERALTE!$AB$26,-2))))),IF(AND(AH!#REF!="Derecha",RASANTE!F240&lt;=PERALTE!$AB$26),IF(RASANTE!F240&lt;=PERALTE!$Q$26,-2,IF(RASANTE!F240&lt;=PERALTE!$U$26,(10/(PERALTE!$U$26-PERALTE!$Q$26)*(RASANTE!F240-PERALTE!$Q$26)-2),IF(RASANTE!F240&lt;=PERALTE!$X$26,8,IF(RASANTE!F240&lt;=PERALTE!$AB$26,(10/(PERALTE!$X$26-PERALTE!$AB$26)*(RASANTE!F240-PERALTE!$AB$26)-2))))),IF(F240&lt;=PERALTE!#REF!,-2,"Abscisa fuera de la vía")))))))))))))))))))))</f>
        <v>-2</v>
      </c>
      <c r="I240" s="28">
        <f>+IF(AND(AH!$H$8="Derecha",RASANTE!F240&lt;=PERALTE!$AB$6),IF(RASANTE!F240&lt;=PERALTE!$S$6,-2,IF(RASANTE!F240&lt;=PERALTE!$U$6,(-6/(PERALTE!$U$6-PERALTE!$S$6)*(RASANTE!F240-PERALTE!$S$6)-2),IF(RASANTE!F240&lt;=PERALTE!$X$6,-8,IF(RASANTE!F240&lt;=PERALTE!$Z$6,(-6/(PERALTE!$X$6-PERALTE!$Z$6)*(RASANTE!F240-PERALTE!$Z$6)-2),IF(RASANTE!F240&lt;=PERALTE!$AB$6,-2))))),IF(AND(AH!$H$8="Izquierda",RASANTE!F240&lt;=PERALTE!$AB$6),IF(RASANTE!F240&lt;=PERALTE!$Q$6,-2,IF(RASANTE!F240&lt;=PERALTE!$U$6,(10/(PERALTE!$U$6-PERALTE!$Q$6)*(RASANTE!F240-PERALTE!$Q$6)-2),IF(RASANTE!F240&lt;=PERALTE!$X$6,8,IF(RASANTE!F240&lt;=PERALTE!$AB$6,(10/(PERALTE!$X$6-PERALTE!$AB$6)*(RASANTE!F240-PERALTE!$AB$6)-2))))),IF(AND(AH!$H$10="Derecha",RASANTE!F240&lt;=PERALTE!$AB$8),IF(RASANTE!F240&lt;=PERALTE!$S$8,-2,IF(RASANTE!F240&lt;=PERALTE!$U$8,(-6/(PERALTE!$U$8-PERALTE!$S$8)*(RASANTE!F240-PERALTE!$S$8)-2),IF(RASANTE!F240&lt;=PERALTE!$X$8,-8,IF(RASANTE!F240&lt;=PERALTE!$Z$8,(-6/(PERALTE!$X$8-PERALTE!$Z$8)*(RASANTE!F240-PERALTE!$Z$8)-2),IF(RASANTE!F240&lt;=PERALTE!$AB$8,-2))))),IF(AND(AH!$H$10="Izquierda",RASANTE!F240&lt;=PERALTE!$AB$8),IF(RASANTE!F240&lt;=PERALTE!$Q$8,-2,IF(RASANTE!F240&lt;=PERALTE!$U$8,(10/(PERALTE!$U$8-PERALTE!$Q$8)*(RASANTE!F240-PERALTE!$Q$8)-2),IF(RASANTE!F240&lt;=PERALTE!$X$8,8,IF(RASANTE!F240&lt;=PERALTE!$AB$8,(10/(PERALTE!$X$8-PERALTE!$AB$8)*(RASANTE!F240-PERALTE!$AB$8)-2))))),IF(AND(AH!$H$12="Derecha",RASANTE!F240&lt;=PERALTE!$AB$10),IF(RASANTE!F240&lt;=PERALTE!$S$10,-2,IF(RASANTE!F240&lt;=PERALTE!$U$10,(-6/(PERALTE!$U$10-PERALTE!$S$10)*(RASANTE!F240-PERALTE!$S$10)-2),IF(RASANTE!F240&lt;=PERALTE!$X$10,-8,IF(RASANTE!F240&lt;=PERALTE!$Z$10,(-6/(PERALTE!$X$10-PERALTE!$Z$10)*(RASANTE!F240-PERALTE!$Z$10)-2),IF(RASANTE!F240&lt;=PERALTE!$AB$10,-2))))),IF(AND(AH!$H$12="Izquierda",RASANTE!F240&lt;=PERALTE!$AB$10),IF(RASANTE!F240&lt;=PERALTE!$Q$10,-2,IF(RASANTE!F240&lt;=PERALTE!$U$10,(10/(PERALTE!$U$10-PERALTE!$Q$10)*(RASANTE!F240-PERALTE!$Q$10)-2),IF(RASANTE!F240&lt;=PERALTE!$X$10,8,IF(RASANTE!F240&lt;=PERALTE!$AB$10,(10/(PERALTE!$X$10-PERALTE!$AB$10)*(RASANTE!F240-PERALTE!$AB$10)-2))))),IF(AND(AH!$H$14="Derecha",RASANTE!F240&lt;=PERALTE!$AB$12),IF(RASANTE!F240&lt;=PERALTE!$S$12,-2,IF(RASANTE!F240&lt;=PERALTE!$U$12,(-6/(PERALTE!$U$12-PERALTE!$S$12)*(RASANTE!F240-PERALTE!$S$12)-2),IF(RASANTE!F240&lt;=PERALTE!$X$12,-8,IF(RASANTE!F240&lt;=PERALTE!$Z$12,(-6/(PERALTE!$X$12-PERALTE!$Z$12)*(RASANTE!F240-PERALTE!$Z$12)-2),IF(RASANTE!F240&lt;=PERALTE!$AB$12,-2))))),IF(AND(AH!$H$14="Izquierda",RASANTE!F240&lt;=PERALTE!$AB$12),IF(RASANTE!F240&lt;=PERALTE!$Q$12,-2,IF(RASANTE!F240&lt;=PERALTE!$U$12,(10/(PERALTE!$U$12-PERALTE!$Q$12)*(RASANTE!F240-PERALTE!$Q$12)-2),IF(RASANTE!F240&lt;=PERALTE!$X$12,8,IF(RASANTE!F240&lt;=PERALTE!$AB$12,(10/(PERALTE!$X$12-PERALTE!$AB$12)*(RASANTE!F240-PERALTE!$AB$12)-2))))),IF(AND(AH!$H$16="Derecha",RASANTE!F240&lt;=PERALTE!$AB$14),IF(RASANTE!F240&lt;=PERALTE!$S$14,-2,IF(RASANTE!F240&lt;=PERALTE!$U$14,(-6/(PERALTE!$U$14-PERALTE!$S$14)*(RASANTE!F240-PERALTE!$S$14)-2),IF(RASANTE!F240&lt;=PERALTE!$X$14,-8,IF(RASANTE!F240&lt;=PERALTE!$Z$14,(-6/(PERALTE!$X$14-PERALTE!$Z$14)*(RASANTE!F240-PERALTE!$Z$14)-2),IF(RASANTE!F240&lt;=PERALTE!$AB$14,-2))))),IF(AND(AH!$H$16="Izquierda",RASANTE!F240&lt;=PERALTE!$AB$14),IF(RASANTE!F240&lt;=PERALTE!$Q$14,-2,IF(RASANTE!F240&lt;=PERALTE!$U$14,(10/(PERALTE!$U$14-PERALTE!$Q$14)*(RASANTE!F240-PERALTE!$Q$14)-2),IF(RASANTE!F240&lt;=PERALTE!$X$14,8,IF(RASANTE!F240&lt;=PERALTE!$AB$14,(10/(PERALTE!$X$14-PERALTE!$AB$14)*(RASANTE!F240-PERALTE!$AB$14)-2))))),IF(AND(AH!$H$18="Derecha",RASANTE!F240&lt;=PERALTE!$AB$16),IF(RASANTE!F240&lt;=PERALTE!$S$16,-2,IF(RASANTE!F240&lt;=PERALTE!$U$16,(-6/(PERALTE!$U$16-PERALTE!$S$16)*(RASANTE!F240-PERALTE!$S$16)-2),IF(RASANTE!F240&lt;=PERALTE!$X$16,-8,IF(RASANTE!F240&lt;=PERALTE!$Z$16,(-6/(PERALTE!$X$16-PERALTE!$Z$16)*(RASANTE!F240-PERALTE!$Z$16)-2),IF(RASANTE!F240&lt;=PERALTE!$AB$16,-2))))),IF(AND(AH!$H$18="Izquierda",RASANTE!F240&lt;=PERALTE!$AB$16),IF(RASANTE!F240&lt;=PERALTE!$Q$16,-2,IF(RASANTE!F240&lt;=PERALTE!$U$16,(10/(PERALTE!$U$16-PERALTE!$Q$16)*(RASANTE!F240-PERALTE!$Q$16)-2),IF(RASANTE!F240&lt;=PERALTE!$X$16,8,IF(RASANTE!F240&lt;=PERALTE!$AB$16,(10/(PERALTE!$X$16-PERALTE!$AB$16)*(RASANTE!F240-PERALTE!$AB$16)-2))))),IF(AND(AH!$H$20="Derecha",RASANTE!F240&lt;=PERALTE!$AB$18),IF(RASANTE!F240&lt;=PERALTE!$S$18,-2,IF(RASANTE!F240&lt;=PERALTE!$U$18,(-6/(PERALTE!$U$18-PERALTE!$S$18)*(RASANTE!F240-PERALTE!$S$18)-2),IF(RASANTE!F240&lt;=PERALTE!$X$18,-8,IF(RASANTE!F240&lt;=PERALTE!$Z$18,(-6/(PERALTE!$X$18-PERALTE!$Z$18)*(RASANTE!F240-PERALTE!$Z$18)-2),IF(RASANTE!F240&lt;=PERALTE!$AB$18,-2))))),IF(AND(AH!$H$20="Izquierda",RASANTE!F240&lt;=PERALTE!$AB$18),IF(RASANTE!F240&lt;=PERALTE!$Q$18,-2,IF(RASANTE!F240&lt;=PERALTE!$U$18,(10/(PERALTE!$U$18-PERALTE!$Q$18)*(RASANTE!F240-PERALTE!$Q$18)-2),IF(RASANTE!F240&lt;=PERALTE!$X$18,8,IF(RASANTE!F240&lt;=PERALTE!$AB$18,(10/(PERALTE!$X$18-PERALTE!$AB$18)*(RASANTE!F240-PERALTE!$AB$18)-2))))),IF(AND(AH!$H$24="Derecha",RASANTE!F240&lt;=PERALTE!$AB$22),IF(RASANTE!F240&lt;=PERALTE!$S$22,-2,IF(RASANTE!F240&lt;=PERALTE!$U$22,(-6/(PERALTE!$U$22-PERALTE!$S$22)*(RASANTE!F240-PERALTE!$S$22)-2),IF(RASANTE!F240&lt;=PERALTE!$X$22,-8,IF(RASANTE!F240&lt;=PERALTE!$Z$22,(-6/(PERALTE!$X$22-PERALTE!$Z$22)*(RASANTE!F240-PERALTE!$Z$22)-2),IF(RASANTE!F240&lt;=PERALTE!$AB$22,-2))))),IF(AND(AH!$H$24="Izquierda",RASANTE!F240&lt;=PERALTE!$AB$22),IF(RASANTE!F240&lt;=PERALTE!$Q$22,-2,IF(RASANTE!F240&lt;=PERALTE!$U$22,(10/(PERALTE!$U$22-PERALTE!$Q$22)*(RASANTE!F240-PERALTE!$Q$22)-2),IF(RASANTE!F240&lt;=PERALTE!$X$22,8,IF(RASANTE!F240&lt;=PERALTE!$AB$22,(10/(PERALTE!$X$22-PERALTE!$AB$22)*(RASANTE!F240-PERALTE!$AB$22)-2))))),IF(AND(AH!#REF!="Derecha",RASANTE!F240&lt;=PERALTE!#REF!),IF(RASANTE!F240&lt;=PERALTE!#REF!,-2,IF(RASANTE!F240&lt;=PERALTE!#REF!,(-6/(PERALTE!#REF!-PERALTE!#REF!)*(RASANTE!F240-PERALTE!#REF!)-2),IF(RASANTE!F240&lt;=PERALTE!#REF!,-8,IF(RASANTE!F240&lt;=PERALTE!#REF!,(-6/(PERALTE!#REF!-PERALTE!#REF!)*(RASANTE!F240-PERALTE!#REF!)-2),IF(RASANTE!F240&lt;=PERALTE!#REF!,-2))))),IF(AND(AH!#REF!="Izquierda",RASANTE!F240&lt;=PERALTE!#REF!),IF(RASANTE!F240&lt;=PERALTE!#REF!,-2,IF(RASANTE!F240&lt;=PERALTE!#REF!,(10/(PERALTE!#REF!-PERALTE!#REF!)*(RASANTE!F240-PERALTE!#REF!)-2),IF(RASANTE!F240&lt;=PERALTE!#REF!,8,IF(RASANTE!F240&lt;=PERALTE!#REF!,(10/(PERALTE!#REF!-PERALTE!#REF!)*(RASANTE!F240-PERALTE!#REF!)-2))))),IF(AND(AH!#REF!="Derecha",RASANTE!F240&lt;=PERALTE!$AB$26),IF(RASANTE!F240&lt;=PERALTE!$S$26,-2,IF(RASANTE!F240&lt;=PERALTE!$U$26,(-6/(PERALTE!$U$26-PERALTE!$S$26)*(RASANTE!F240-PERALTE!$S$26)-2),IF(RASANTE!F240&lt;=PERALTE!$X$26,-8,IF(RASANTE!F240&lt;=PERALTE!$Z$26,(-6/(PERALTE!$X$26-PERALTE!$Z$26)*(RASANTE!F240-PERALTE!$Z$26)-2),IF(RASANTE!F240&lt;=PERALTE!$AB$26,-2))))),IF(AND(AH!#REF!="Izquierda",RASANTE!F240&lt;=PERALTE!$AB$26),IF(RASANTE!F240&lt;=PERALTE!$Q$26,-2,IF(RASANTE!F240&lt;=PERALTE!$U$26,(10/(PERALTE!$U$26-PERALTE!$Q$26)*(RASANTE!F240-PERALTE!$Q$26)-2),IF(RASANTE!F240&lt;=PERALTE!$X$26,8,IF(RASANTE!F240&lt;=PERALTE!$AB$26,(10/(PERALTE!$X$26-PERALTE!$AB$26)*(RASANTE!F240-PERALTE!$AB$26)-2))))),IF(F240&lt;=PERALTE!#REF!,-2,"Abscisa fuera de la vía")))))))))))))))))))))</f>
        <v>-2</v>
      </c>
      <c r="J240" s="28">
        <f t="shared" si="11"/>
        <v>1632.6213977349764</v>
      </c>
      <c r="K240" s="28">
        <f>+IF(AND(AV!$S$6&lt;F240,F240&lt;=AV!$T$6),AV!$P$6*((AV!$S$6-RASANTE!F240)/(AV!$N$6))^2,IF(AND(AV!$T$6&lt;RASANTE!F240,F240&lt;AV!$U$6),AV!$P$6*((AV!$U$6-RASANTE!F240)/(AV!$O$6))^2,IF(AND(AV!$S$8&lt;F240,F240&lt;=AV!$T$8),AV!$P$8*((AV!$S$8-RASANTE!F240)/(AV!$N$8))^2,IF(AND(AV!$T$8&lt;RASANTE!F240,F240&lt;AV!$U$8),AV!$P$8*((AV!$U$8-RASANTE!F240)/(AV!$O$8))^2,IF(AND(AV!$S$10&lt;F240,F240&lt;=AV!$T$10),AV!$P$10*((AV!$S$10-RASANTE!F240)/(AV!$N$10))^2,IF(AND(AV!$T$10&lt;RASANTE!F240,F240&lt;AV!$U$10),AV!$P$10*((AV!$U$10-RASANTE!F240)/(AV!$O$10))^2,IF(AND(AV!$S$12&lt;F240,F240&lt;=AV!$T$12),AV!$P$12*((AV!$S$12-RASANTE!F240)/(AV!$N$12))^2,IF(AND(AV!$T$12&lt;RASANTE!F240,F240&lt;AV!$U$12),AV!$P$12*((AV!$U$12-RASANTE!F240)/(AV!$O$12))^2,IF(AND(AV!$S$14&lt;F240,F240&lt;=AV!$T$14),AV!$P$14*((AV!$S$14-RASANTE!F240)/(AV!$N$14))^2,IF(AND(AV!$T$14&lt;RASANTE!F240,F240&lt;AV!$U$14),AV!$P$14*((AV!$U$14-RASANTE!F240)/(AV!$O$14))^2,IF(AND(AV!$S$16&lt;F240,F240&lt;=AV!$T$16),AV!$P$16*((AV!$S$16-RASANTE!F240)/(AV!$N$16))^2,IF(AND(AV!$T$16&lt;RASANTE!F240,F240&lt;AV!$U$16),AV!$P$16*((AV!$U$16-RASANTE!F240)/(AV!$O$16))^2,IF(AND(AV!$S$18&lt;F240,F240&lt;=AV!$T$18),AV!$P$18*((AV!$S$18-RASANTE!F240)/(AV!$N$18))^2,IF(AND(AV!$T$18&lt;RASANTE!F240,F240&lt;AV!$U$18),AV!$P$18*((AV!$U$18-RASANTE!F240)/(AV!$O$18))^2,IF(AND(AV!$S$20&lt;F240,F240&lt;=AV!$T$20),AV!$P$20*((AV!$S$20-RASANTE!F240)/(AV!$N$20))^2,IF(AND(AV!$T$20&lt;RASANTE!F240,F240&lt;AV!$U$20),AV!$P$20*((AV!$U$20-RASANTE!F240)/(AV!$O$20))^2,IF(AND(AV!$S$22&lt;F240,F240&lt;=AV!$T$22),AV!$P$22*((AV!$S$22-RASANTE!F240)/(AV!$N$22))^2,IF(AND(AV!$T$22&lt;RASANTE!F240,F240&lt;AV!$U$22),AV!$P$22*((AV!$U$22-RASANTE!F240)/(AV!$O$22))^2,IF(AND(AV!$S$24&lt;F240,F240&lt;=AV!$T$24),AV!$P$24*((AV!$S$24-RASANTE!F240)/(AV!$N$24))^2,IF(AND(AV!$T$24&lt;RASANTE!F240,F240&lt;AV!$U$24),AV!$P$24*((AV!$U$24-RASANTE!F240)/(AV!$O$24))^2,0))))))))))))))))))))</f>
        <v>0</v>
      </c>
      <c r="L240" s="28">
        <f>+M240+H240%*PERALTE!$C$32</f>
        <v>1632.5513977349765</v>
      </c>
      <c r="M240" s="28">
        <f t="shared" si="12"/>
        <v>1632.6213977349764</v>
      </c>
      <c r="N240" s="28">
        <f>+M240+I240%*PERALTE!$C$32</f>
        <v>1632.5513977349765</v>
      </c>
      <c r="O240" s="92"/>
      <c r="P240" s="84"/>
      <c r="Q240" s="84"/>
      <c r="R240" s="84"/>
      <c r="S240" s="84"/>
      <c r="T240" s="84"/>
      <c r="U240" s="84"/>
      <c r="V240" s="84"/>
      <c r="W240" s="84"/>
      <c r="X240" s="84"/>
      <c r="Y240" s="84"/>
    </row>
    <row r="241" spans="1:25" ht="15.75" customHeight="1" x14ac:dyDescent="0.2">
      <c r="A241" s="90"/>
      <c r="B241" s="86"/>
      <c r="C241" s="86"/>
      <c r="D241" s="86"/>
      <c r="F241" s="34">
        <v>1480</v>
      </c>
      <c r="G241" s="88">
        <f>IF(F241&lt;=AV!$T$6,AV!$C$5,IF(RASANTE!F241&lt;=AV!$T$8,AV!$C$7,IF(RASANTE!F241&lt;=AV!$T$10,AV!$C$9,IF(RASANTE!F241&lt;=AV!$T$12,AV!$C$11,IF(RASANTE!F241&lt;=AV!$T$14,AV!$C$13,IF(RASANTE!F241&lt;=AV!$T$16,AV!$C$15, IF(RASANTE!F241&lt;=AV!$T$18,AV!$C$17,IF(RASANTE!F241&lt;=AV!$T$20,AV!$C$19,IF(RASANTE!F241&lt;=AV!$T$22,AV!$C$21,IF(RASANTE!F241&lt;=AV!$T$24,AV!$C$23,AV!$C$25))))))))))</f>
        <v>2.8</v>
      </c>
      <c r="H241" s="28">
        <f>+IF(AND(AH!$H$8="Izquierda",RASANTE!F241&lt;=PERALTE!$AB$6),IF(RASANTE!F241&lt;=PERALTE!$S$6,-2,IF(RASANTE!F241&lt;=PERALTE!$U$6,(-6/(PERALTE!$U$6-PERALTE!$S$6)*(RASANTE!F241-PERALTE!$S$6)-2),IF(RASANTE!F241&lt;=PERALTE!$X$6,-8,IF(RASANTE!F241&lt;=PERALTE!$Z$6,(-6/(PERALTE!$X$6-PERALTE!$Z$6)*(RASANTE!F241-PERALTE!$Z$6)-2),IF(RASANTE!F241&lt;=PERALTE!$AB$6,-2))))),IF(AND(AH!$H$8="Derecha",RASANTE!F241&lt;=PERALTE!$AB$6),IF(RASANTE!F241&lt;=PERALTE!$Q$6,-2,IF(RASANTE!F241&lt;=PERALTE!$U$6,(10/(PERALTE!$U$6-PERALTE!$Q$6)*(RASANTE!F241-PERALTE!$Q$6)-2),IF(RASANTE!F241&lt;=PERALTE!$X$6,8,IF(RASANTE!F241&lt;=PERALTE!$AB$6,(10/(PERALTE!$X$6-PERALTE!$AB$6)*(RASANTE!F241-PERALTE!$AB$6)-2))))),IF(AND(AH!$H$10="Izquierda",RASANTE!F241&lt;=PERALTE!$AB$8),IF(RASANTE!F241&lt;=PERALTE!$S$8,-2,IF(RASANTE!F241&lt;=PERALTE!$U$8,(-6/(PERALTE!$U$8-PERALTE!$S$8)*(RASANTE!F241-PERALTE!$S$8)-2),IF(RASANTE!F241&lt;=PERALTE!$X$8,-8,IF(RASANTE!F241&lt;=PERALTE!$Z$8,(-6/(PERALTE!$X$8-PERALTE!$Z$8)*(RASANTE!F241-PERALTE!$Z$8)-2),IF(RASANTE!F241&lt;=PERALTE!$AB$8,-2))))),IF(AND(AH!$H$10="Derecha",RASANTE!F241&lt;=PERALTE!$AB$8),IF(RASANTE!F241&lt;=PERALTE!$Q$8,-2,IF(RASANTE!F241&lt;=PERALTE!$U$8,(10/(PERALTE!$U$8-PERALTE!$Q$8)*(RASANTE!F241-PERALTE!$Q$8)-2),IF(RASANTE!F241&lt;=PERALTE!$X$8,8,IF(RASANTE!F241&lt;=PERALTE!$AB$8,(10/(PERALTE!$X$8-PERALTE!$AB$8)*(RASANTE!F241-PERALTE!$AB$8)-2))))),IF(AND(AH!$H$12="Izquierda",RASANTE!F241&lt;=PERALTE!$AB$10),IF(RASANTE!F241&lt;=PERALTE!$S$10,-2,IF(RASANTE!F241&lt;=PERALTE!$U$10,(-6/(PERALTE!$U$10-PERALTE!$S$10)*(RASANTE!F241-PERALTE!$S$10)-2),IF(RASANTE!F241&lt;=PERALTE!$X$10,-8,IF(RASANTE!F241&lt;=PERALTE!$Z$10,(-6/(PERALTE!$X$10-PERALTE!$Z$10)*(RASANTE!F241-PERALTE!$Z$10)-2),IF(RASANTE!F241&lt;=PERALTE!$AB$10,-2))))),IF(AND(AH!$H$12="Derecha",RASANTE!F241&lt;=PERALTE!$AB$10),IF(RASANTE!F241&lt;=PERALTE!$Q$10,-2,IF(RASANTE!F241&lt;=PERALTE!$U$10,(10/(PERALTE!$U$10-PERALTE!$Q$10)*(RASANTE!F241-PERALTE!$Q$10)-2),IF(RASANTE!F241&lt;=PERALTE!$X$10,8,IF(RASANTE!F241&lt;=PERALTE!$AB$10,(10/(PERALTE!$X$10-PERALTE!$AB$10)*(RASANTE!F241-PERALTE!$AB$10)-2))))),IF(AND(AH!$H$14="Izquierda",RASANTE!F241&lt;=PERALTE!$AB$12),IF(RASANTE!F241&lt;=PERALTE!$S$12,-2,IF(RASANTE!F241&lt;=PERALTE!$U$12,(-6/(PERALTE!$U$12-PERALTE!$S$12)*(RASANTE!F241-PERALTE!$S$12)-2),IF(RASANTE!F241&lt;=PERALTE!$X$12,-8,IF(RASANTE!F241&lt;=PERALTE!$Z$12,(-6/(PERALTE!$X$12-PERALTE!$Z$12)*(RASANTE!F241-PERALTE!$Z$12)-2),IF(RASANTE!F241&lt;=PERALTE!$AB$12,-2))))),IF(AND(AH!$H$14="Derecha",RASANTE!F241&lt;=PERALTE!$AB$12),IF(RASANTE!F241&lt;=PERALTE!$Q$12,-2,IF(RASANTE!F241&lt;=PERALTE!$U$12,(10/(PERALTE!$U$12-PERALTE!$Q$12)*(RASANTE!F241-PERALTE!$Q$12)-2),IF(RASANTE!F241&lt;=PERALTE!$X$12,8,IF(RASANTE!F241&lt;=PERALTE!$AB$12,(10/(PERALTE!$X$12-PERALTE!$AB$12)*(RASANTE!F241-PERALTE!$AB$12)-2))))),IF(AND(AH!$H$16="Izquierda",RASANTE!F241&lt;=PERALTE!$AB$14),IF(RASANTE!F241&lt;=PERALTE!$S$14,-2,IF(RASANTE!F241&lt;=PERALTE!$U$14,(-6/(PERALTE!$U$14-PERALTE!$S$14)*(RASANTE!F241-PERALTE!$S$14)-2),IF(RASANTE!F241&lt;=PERALTE!$X$14,-8,IF(RASANTE!F241&lt;=PERALTE!$Z$14,(-6/(PERALTE!$X$14-PERALTE!$Z$14)*(RASANTE!F241-PERALTE!$Z$14)-2),IF(RASANTE!F241&lt;=PERALTE!$AB$14,-2))))),IF(AND(AH!$H$16="Derecha",RASANTE!F241&lt;=PERALTE!$AB$14),IF(RASANTE!F241&lt;=PERALTE!$Q$14,-2,IF(RASANTE!F241&lt;=PERALTE!$U$14,(10/(PERALTE!$U$14-PERALTE!$Q$14)*(RASANTE!F241-PERALTE!$Q$14)-2),IF(RASANTE!F241&lt;=PERALTE!$X$14,8,IF(RASANTE!F241&lt;=PERALTE!$AB$14,(10/(PERALTE!$X$14-PERALTE!$AB$14)*(RASANTE!F241-PERALTE!$AB$14)-2))))),IF(AND(AH!$H$18="Izquierda",RASANTE!F241&lt;=PERALTE!$AB$16),IF(RASANTE!F241&lt;=PERALTE!$S$16,-2,IF(RASANTE!F241&lt;=PERALTE!$U$16,(-6/(PERALTE!$U$16-PERALTE!$S$16)*(RASANTE!F241-PERALTE!$S$16)-2),IF(RASANTE!F241&lt;=PERALTE!$X$16,-8,IF(RASANTE!F241&lt;=PERALTE!$Z$16,(-6/(PERALTE!$X$16-PERALTE!$Z$16)*(RASANTE!F241-PERALTE!$Z$16)-2),IF(RASANTE!F241&lt;=PERALTE!$AB$16,-2))))),IF(AND(AH!$H$18="Derecha",RASANTE!F241&lt;=PERALTE!$AB$16),IF(RASANTE!F241&lt;=PERALTE!$Q$16,-2,IF(RASANTE!F241&lt;=PERALTE!$U$16,(10/(PERALTE!$U$16-PERALTE!$Q$16)*(RASANTE!F241-PERALTE!$Q$16)-2),IF(RASANTE!F241&lt;=PERALTE!$X$16,8,IF(RASANTE!F241&lt;=PERALTE!$AB$16,(10/(PERALTE!$X$16-PERALTE!$AB$16)*(RASANTE!F241-PERALTE!$AB$16)-2))))),IF(AND(AH!$H$20="Izquierda",RASANTE!F241&lt;=PERALTE!$AB$18),IF(RASANTE!F241&lt;=PERALTE!$S$18,-2,IF(RASANTE!F241&lt;=PERALTE!$U$18,(-6/(PERALTE!$U$18-PERALTE!$S$18)*(RASANTE!F241-PERALTE!$S$18)-2),IF(RASANTE!F241&lt;=PERALTE!$X$18,-8,IF(RASANTE!F241&lt;=PERALTE!$Z$18,(-6/(PERALTE!$X$18-PERALTE!$Z$18)*(RASANTE!F241-PERALTE!$Z$18)-2),IF(RASANTE!F241&lt;=PERALTE!$AB$18,-2))))),IF(AND(AH!$H$20="Derecha",RASANTE!F241&lt;=PERALTE!$AB$18),IF(RASANTE!F241&lt;=PERALTE!$Q$18,-2,IF(RASANTE!F241&lt;=PERALTE!$U$18,(10/(PERALTE!$U$18-PERALTE!$Q$18)*(RASANTE!F241-PERALTE!$Q$18)-2),IF(RASANTE!F241&lt;=PERALTE!$X$18,8,IF(RASANTE!F241&lt;=PERALTE!$AB$18,(10/(PERALTE!$X$18-PERALTE!$AB$18)*(RASANTE!F241-PERALTE!$AB$18)-2))))),IF(AND(AH!$H$24="Izquierda",RASANTE!F241&lt;=PERALTE!$AB$22),IF(RASANTE!F241&lt;=PERALTE!$S$22,-2,IF(RASANTE!F241&lt;=PERALTE!$U$22,(-6/(PERALTE!$U$22-PERALTE!$S$22)*(RASANTE!F241-PERALTE!$S$22)-2),IF(RASANTE!F241&lt;=PERALTE!$X$22,-8,IF(RASANTE!F241&lt;=PERALTE!$Z$22,(-6/(PERALTE!$X$22-PERALTE!$Z$22)*(RASANTE!F241-PERALTE!$Z$22)-2),IF(RASANTE!F241&lt;=PERALTE!$AB$22,-2))))),IF(AND(AH!$H$24="Derecha",RASANTE!F241&lt;=PERALTE!$AB$22),IF(RASANTE!F241&lt;=PERALTE!$Q$22,-2,IF(RASANTE!F241&lt;=PERALTE!$U$22,(10/(PERALTE!$U$22-PERALTE!$Q$22)*(RASANTE!F241-PERALTE!$Q$22)-2),IF(RASANTE!F241&lt;=PERALTE!$X$22,8,IF(RASANTE!F241&lt;=PERALTE!$AB$22,(10/(PERALTE!$X$22-PERALTE!$AB$22)*(RASANTE!F241-PERALTE!$AB$22)-2))))),IF(AND(AH!#REF!="Izquierda",RASANTE!F241&lt;=PERALTE!#REF!),IF(RASANTE!F241&lt;=PERALTE!#REF!,-2,IF(RASANTE!F241&lt;=PERALTE!#REF!,(-6/(PERALTE!#REF!-PERALTE!#REF!)*(RASANTE!F241-PERALTE!#REF!)-2),IF(RASANTE!F241&lt;=PERALTE!#REF!,-8,IF(RASANTE!F241&lt;=PERALTE!#REF!,(-6/(PERALTE!#REF!-PERALTE!#REF!)*(RASANTE!F241-PERALTE!#REF!)-2),IF(RASANTE!F241&lt;=PERALTE!#REF!,-2))))),IF(AND(AH!#REF!="Derecha",RASANTE!F241&lt;=PERALTE!#REF!),IF(RASANTE!F241&lt;=PERALTE!#REF!,-2,IF(RASANTE!F241&lt;=PERALTE!#REF!,(10/(PERALTE!#REF!-PERALTE!#REF!)*(RASANTE!F241-PERALTE!#REF!)-2),IF(RASANTE!F241&lt;=PERALTE!#REF!,8,IF(RASANTE!F241&lt;=PERALTE!#REF!,(10/(PERALTE!#REF!-PERALTE!#REF!)*(RASANTE!F241-PERALTE!#REF!)-2))))),IF(AND(AH!#REF!="Izquierda",RASANTE!F241&lt;=PERALTE!$AB$26),IF(RASANTE!F241&lt;=PERALTE!$S$26,-2,IF(RASANTE!F241&lt;=PERALTE!$U$26,(-6/(PERALTE!$U$26-PERALTE!$S$26)*(RASANTE!F241-PERALTE!$S$26)-2),IF(RASANTE!F241&lt;=PERALTE!$X$26,-8,IF(RASANTE!F241&lt;=PERALTE!$Z$26,(-6/(PERALTE!$X$26-PERALTE!$Z$26)*(RASANTE!F241-PERALTE!$Z$26)-2),IF(RASANTE!F241&lt;=PERALTE!$AB$26,-2))))),IF(AND(AH!#REF!="Derecha",RASANTE!F241&lt;=PERALTE!$AB$26),IF(RASANTE!F241&lt;=PERALTE!$Q$26,-2,IF(RASANTE!F241&lt;=PERALTE!$U$26,(10/(PERALTE!$U$26-PERALTE!$Q$26)*(RASANTE!F241-PERALTE!$Q$26)-2),IF(RASANTE!F241&lt;=PERALTE!$X$26,8,IF(RASANTE!F241&lt;=PERALTE!$AB$26,(10/(PERALTE!$X$26-PERALTE!$AB$26)*(RASANTE!F241-PERALTE!$AB$26)-2))))),IF(F241&lt;=PERALTE!#REF!,-2,"Abscisa fuera de la vía")))))))))))))))))))))</f>
        <v>-0.65225855061521454</v>
      </c>
      <c r="I241" s="28">
        <f>+IF(AND(AH!$H$8="Derecha",RASANTE!F241&lt;=PERALTE!$AB$6),IF(RASANTE!F241&lt;=PERALTE!$S$6,-2,IF(RASANTE!F241&lt;=PERALTE!$U$6,(-6/(PERALTE!$U$6-PERALTE!$S$6)*(RASANTE!F241-PERALTE!$S$6)-2),IF(RASANTE!F241&lt;=PERALTE!$X$6,-8,IF(RASANTE!F241&lt;=PERALTE!$Z$6,(-6/(PERALTE!$X$6-PERALTE!$Z$6)*(RASANTE!F241-PERALTE!$Z$6)-2),IF(RASANTE!F241&lt;=PERALTE!$AB$6,-2))))),IF(AND(AH!$H$8="Izquierda",RASANTE!F241&lt;=PERALTE!$AB$6),IF(RASANTE!F241&lt;=PERALTE!$Q$6,-2,IF(RASANTE!F241&lt;=PERALTE!$U$6,(10/(PERALTE!$U$6-PERALTE!$Q$6)*(RASANTE!F241-PERALTE!$Q$6)-2),IF(RASANTE!F241&lt;=PERALTE!$X$6,8,IF(RASANTE!F241&lt;=PERALTE!$AB$6,(10/(PERALTE!$X$6-PERALTE!$AB$6)*(RASANTE!F241-PERALTE!$AB$6)-2))))),IF(AND(AH!$H$10="Derecha",RASANTE!F241&lt;=PERALTE!$AB$8),IF(RASANTE!F241&lt;=PERALTE!$S$8,-2,IF(RASANTE!F241&lt;=PERALTE!$U$8,(-6/(PERALTE!$U$8-PERALTE!$S$8)*(RASANTE!F241-PERALTE!$S$8)-2),IF(RASANTE!F241&lt;=PERALTE!$X$8,-8,IF(RASANTE!F241&lt;=PERALTE!$Z$8,(-6/(PERALTE!$X$8-PERALTE!$Z$8)*(RASANTE!F241-PERALTE!$Z$8)-2),IF(RASANTE!F241&lt;=PERALTE!$AB$8,-2))))),IF(AND(AH!$H$10="Izquierda",RASANTE!F241&lt;=PERALTE!$AB$8),IF(RASANTE!F241&lt;=PERALTE!$Q$8,-2,IF(RASANTE!F241&lt;=PERALTE!$U$8,(10/(PERALTE!$U$8-PERALTE!$Q$8)*(RASANTE!F241-PERALTE!$Q$8)-2),IF(RASANTE!F241&lt;=PERALTE!$X$8,8,IF(RASANTE!F241&lt;=PERALTE!$AB$8,(10/(PERALTE!$X$8-PERALTE!$AB$8)*(RASANTE!F241-PERALTE!$AB$8)-2))))),IF(AND(AH!$H$12="Derecha",RASANTE!F241&lt;=PERALTE!$AB$10),IF(RASANTE!F241&lt;=PERALTE!$S$10,-2,IF(RASANTE!F241&lt;=PERALTE!$U$10,(-6/(PERALTE!$U$10-PERALTE!$S$10)*(RASANTE!F241-PERALTE!$S$10)-2),IF(RASANTE!F241&lt;=PERALTE!$X$10,-8,IF(RASANTE!F241&lt;=PERALTE!$Z$10,(-6/(PERALTE!$X$10-PERALTE!$Z$10)*(RASANTE!F241-PERALTE!$Z$10)-2),IF(RASANTE!F241&lt;=PERALTE!$AB$10,-2))))),IF(AND(AH!$H$12="Izquierda",RASANTE!F241&lt;=PERALTE!$AB$10),IF(RASANTE!F241&lt;=PERALTE!$Q$10,-2,IF(RASANTE!F241&lt;=PERALTE!$U$10,(10/(PERALTE!$U$10-PERALTE!$Q$10)*(RASANTE!F241-PERALTE!$Q$10)-2),IF(RASANTE!F241&lt;=PERALTE!$X$10,8,IF(RASANTE!F241&lt;=PERALTE!$AB$10,(10/(PERALTE!$X$10-PERALTE!$AB$10)*(RASANTE!F241-PERALTE!$AB$10)-2))))),IF(AND(AH!$H$14="Derecha",RASANTE!F241&lt;=PERALTE!$AB$12),IF(RASANTE!F241&lt;=PERALTE!$S$12,-2,IF(RASANTE!F241&lt;=PERALTE!$U$12,(-6/(PERALTE!$U$12-PERALTE!$S$12)*(RASANTE!F241-PERALTE!$S$12)-2),IF(RASANTE!F241&lt;=PERALTE!$X$12,-8,IF(RASANTE!F241&lt;=PERALTE!$Z$12,(-6/(PERALTE!$X$12-PERALTE!$Z$12)*(RASANTE!F241-PERALTE!$Z$12)-2),IF(RASANTE!F241&lt;=PERALTE!$AB$12,-2))))),IF(AND(AH!$H$14="Izquierda",RASANTE!F241&lt;=PERALTE!$AB$12),IF(RASANTE!F241&lt;=PERALTE!$Q$12,-2,IF(RASANTE!F241&lt;=PERALTE!$U$12,(10/(PERALTE!$U$12-PERALTE!$Q$12)*(RASANTE!F241-PERALTE!$Q$12)-2),IF(RASANTE!F241&lt;=PERALTE!$X$12,8,IF(RASANTE!F241&lt;=PERALTE!$AB$12,(10/(PERALTE!$X$12-PERALTE!$AB$12)*(RASANTE!F241-PERALTE!$AB$12)-2))))),IF(AND(AH!$H$16="Derecha",RASANTE!F241&lt;=PERALTE!$AB$14),IF(RASANTE!F241&lt;=PERALTE!$S$14,-2,IF(RASANTE!F241&lt;=PERALTE!$U$14,(-6/(PERALTE!$U$14-PERALTE!$S$14)*(RASANTE!F241-PERALTE!$S$14)-2),IF(RASANTE!F241&lt;=PERALTE!$X$14,-8,IF(RASANTE!F241&lt;=PERALTE!$Z$14,(-6/(PERALTE!$X$14-PERALTE!$Z$14)*(RASANTE!F241-PERALTE!$Z$14)-2),IF(RASANTE!F241&lt;=PERALTE!$AB$14,-2))))),IF(AND(AH!$H$16="Izquierda",RASANTE!F241&lt;=PERALTE!$AB$14),IF(RASANTE!F241&lt;=PERALTE!$Q$14,-2,IF(RASANTE!F241&lt;=PERALTE!$U$14,(10/(PERALTE!$U$14-PERALTE!$Q$14)*(RASANTE!F241-PERALTE!$Q$14)-2),IF(RASANTE!F241&lt;=PERALTE!$X$14,8,IF(RASANTE!F241&lt;=PERALTE!$AB$14,(10/(PERALTE!$X$14-PERALTE!$AB$14)*(RASANTE!F241-PERALTE!$AB$14)-2))))),IF(AND(AH!$H$18="Derecha",RASANTE!F241&lt;=PERALTE!$AB$16),IF(RASANTE!F241&lt;=PERALTE!$S$16,-2,IF(RASANTE!F241&lt;=PERALTE!$U$16,(-6/(PERALTE!$U$16-PERALTE!$S$16)*(RASANTE!F241-PERALTE!$S$16)-2),IF(RASANTE!F241&lt;=PERALTE!$X$16,-8,IF(RASANTE!F241&lt;=PERALTE!$Z$16,(-6/(PERALTE!$X$16-PERALTE!$Z$16)*(RASANTE!F241-PERALTE!$Z$16)-2),IF(RASANTE!F241&lt;=PERALTE!$AB$16,-2))))),IF(AND(AH!$H$18="Izquierda",RASANTE!F241&lt;=PERALTE!$AB$16),IF(RASANTE!F241&lt;=PERALTE!$Q$16,-2,IF(RASANTE!F241&lt;=PERALTE!$U$16,(10/(PERALTE!$U$16-PERALTE!$Q$16)*(RASANTE!F241-PERALTE!$Q$16)-2),IF(RASANTE!F241&lt;=PERALTE!$X$16,8,IF(RASANTE!F241&lt;=PERALTE!$AB$16,(10/(PERALTE!$X$16-PERALTE!$AB$16)*(RASANTE!F241-PERALTE!$AB$16)-2))))),IF(AND(AH!$H$20="Derecha",RASANTE!F241&lt;=PERALTE!$AB$18),IF(RASANTE!F241&lt;=PERALTE!$S$18,-2,IF(RASANTE!F241&lt;=PERALTE!$U$18,(-6/(PERALTE!$U$18-PERALTE!$S$18)*(RASANTE!F241-PERALTE!$S$18)-2),IF(RASANTE!F241&lt;=PERALTE!$X$18,-8,IF(RASANTE!F241&lt;=PERALTE!$Z$18,(-6/(PERALTE!$X$18-PERALTE!$Z$18)*(RASANTE!F241-PERALTE!$Z$18)-2),IF(RASANTE!F241&lt;=PERALTE!$AB$18,-2))))),IF(AND(AH!$H$20="Izquierda",RASANTE!F241&lt;=PERALTE!$AB$18),IF(RASANTE!F241&lt;=PERALTE!$Q$18,-2,IF(RASANTE!F241&lt;=PERALTE!$U$18,(10/(PERALTE!$U$18-PERALTE!$Q$18)*(RASANTE!F241-PERALTE!$Q$18)-2),IF(RASANTE!F241&lt;=PERALTE!$X$18,8,IF(RASANTE!F241&lt;=PERALTE!$AB$18,(10/(PERALTE!$X$18-PERALTE!$AB$18)*(RASANTE!F241-PERALTE!$AB$18)-2))))),IF(AND(AH!$H$24="Derecha",RASANTE!F241&lt;=PERALTE!$AB$22),IF(RASANTE!F241&lt;=PERALTE!$S$22,-2,IF(RASANTE!F241&lt;=PERALTE!$U$22,(-6/(PERALTE!$U$22-PERALTE!$S$22)*(RASANTE!F241-PERALTE!$S$22)-2),IF(RASANTE!F241&lt;=PERALTE!$X$22,-8,IF(RASANTE!F241&lt;=PERALTE!$Z$22,(-6/(PERALTE!$X$22-PERALTE!$Z$22)*(RASANTE!F241-PERALTE!$Z$22)-2),IF(RASANTE!F241&lt;=PERALTE!$AB$22,-2))))),IF(AND(AH!$H$24="Izquierda",RASANTE!F241&lt;=PERALTE!$AB$22),IF(RASANTE!F241&lt;=PERALTE!$Q$22,-2,IF(RASANTE!F241&lt;=PERALTE!$U$22,(10/(PERALTE!$U$22-PERALTE!$Q$22)*(RASANTE!F241-PERALTE!$Q$22)-2),IF(RASANTE!F241&lt;=PERALTE!$X$22,8,IF(RASANTE!F241&lt;=PERALTE!$AB$22,(10/(PERALTE!$X$22-PERALTE!$AB$22)*(RASANTE!F241-PERALTE!$AB$22)-2))))),IF(AND(AH!#REF!="Derecha",RASANTE!F241&lt;=PERALTE!#REF!),IF(RASANTE!F241&lt;=PERALTE!#REF!,-2,IF(RASANTE!F241&lt;=PERALTE!#REF!,(-6/(PERALTE!#REF!-PERALTE!#REF!)*(RASANTE!F241-PERALTE!#REF!)-2),IF(RASANTE!F241&lt;=PERALTE!#REF!,-8,IF(RASANTE!F241&lt;=PERALTE!#REF!,(-6/(PERALTE!#REF!-PERALTE!#REF!)*(RASANTE!F241-PERALTE!#REF!)-2),IF(RASANTE!F241&lt;=PERALTE!#REF!,-2))))),IF(AND(AH!#REF!="Izquierda",RASANTE!F241&lt;=PERALTE!#REF!),IF(RASANTE!F241&lt;=PERALTE!#REF!,-2,IF(RASANTE!F241&lt;=PERALTE!#REF!,(10/(PERALTE!#REF!-PERALTE!#REF!)*(RASANTE!F241-PERALTE!#REF!)-2),IF(RASANTE!F241&lt;=PERALTE!#REF!,8,IF(RASANTE!F241&lt;=PERALTE!#REF!,(10/(PERALTE!#REF!-PERALTE!#REF!)*(RASANTE!F241-PERALTE!#REF!)-2))))),IF(AND(AH!#REF!="Derecha",RASANTE!F241&lt;=PERALTE!$AB$26),IF(RASANTE!F241&lt;=PERALTE!$S$26,-2,IF(RASANTE!F241&lt;=PERALTE!$U$26,(-6/(PERALTE!$U$26-PERALTE!$S$26)*(RASANTE!F241-PERALTE!$S$26)-2),IF(RASANTE!F241&lt;=PERALTE!$X$26,-8,IF(RASANTE!F241&lt;=PERALTE!$Z$26,(-6/(PERALTE!$X$26-PERALTE!$Z$26)*(RASANTE!F241-PERALTE!$Z$26)-2),IF(RASANTE!F241&lt;=PERALTE!$AB$26,-2))))),IF(AND(AH!#REF!="Izquierda",RASANTE!F241&lt;=PERALTE!$AB$26),IF(RASANTE!F241&lt;=PERALTE!$Q$26,-2,IF(RASANTE!F241&lt;=PERALTE!$U$26,(10/(PERALTE!$U$26-PERALTE!$Q$26)*(RASANTE!F241-PERALTE!$Q$26)-2),IF(RASANTE!F241&lt;=PERALTE!$X$26,8,IF(RASANTE!F241&lt;=PERALTE!$AB$26,(10/(PERALTE!$X$26-PERALTE!$AB$26)*(RASANTE!F241-PERALTE!$AB$26)-2))))),IF(F241&lt;=PERALTE!#REF!,-2,"Abscisa fuera de la vía")))))))))))))))))))))</f>
        <v>-2</v>
      </c>
      <c r="J241" s="28">
        <f t="shared" si="11"/>
        <v>1632.7929284648981</v>
      </c>
      <c r="K241" s="28">
        <f>+IF(AND(AV!$S$6&lt;F241,F241&lt;=AV!$T$6),AV!$P$6*((AV!$S$6-RASANTE!F241)/(AV!$N$6))^2,IF(AND(AV!$T$6&lt;RASANTE!F241,F241&lt;AV!$U$6),AV!$P$6*((AV!$U$6-RASANTE!F241)/(AV!$O$6))^2,IF(AND(AV!$S$8&lt;F241,F241&lt;=AV!$T$8),AV!$P$8*((AV!$S$8-RASANTE!F241)/(AV!$N$8))^2,IF(AND(AV!$T$8&lt;RASANTE!F241,F241&lt;AV!$U$8),AV!$P$8*((AV!$U$8-RASANTE!F241)/(AV!$O$8))^2,IF(AND(AV!$S$10&lt;F241,F241&lt;=AV!$T$10),AV!$P$10*((AV!$S$10-RASANTE!F241)/(AV!$N$10))^2,IF(AND(AV!$T$10&lt;RASANTE!F241,F241&lt;AV!$U$10),AV!$P$10*((AV!$U$10-RASANTE!F241)/(AV!$O$10))^2,IF(AND(AV!$S$12&lt;F241,F241&lt;=AV!$T$12),AV!$P$12*((AV!$S$12-RASANTE!F241)/(AV!$N$12))^2,IF(AND(AV!$T$12&lt;RASANTE!F241,F241&lt;AV!$U$12),AV!$P$12*((AV!$U$12-RASANTE!F241)/(AV!$O$12))^2,IF(AND(AV!$S$14&lt;F241,F241&lt;=AV!$T$14),AV!$P$14*((AV!$S$14-RASANTE!F241)/(AV!$N$14))^2,IF(AND(AV!$T$14&lt;RASANTE!F241,F241&lt;AV!$U$14),AV!$P$14*((AV!$U$14-RASANTE!F241)/(AV!$O$14))^2,IF(AND(AV!$S$16&lt;F241,F241&lt;=AV!$T$16),AV!$P$16*((AV!$S$16-RASANTE!F241)/(AV!$N$16))^2,IF(AND(AV!$T$16&lt;RASANTE!F241,F241&lt;AV!$U$16),AV!$P$16*((AV!$U$16-RASANTE!F241)/(AV!$O$16))^2,IF(AND(AV!$S$18&lt;F241,F241&lt;=AV!$T$18),AV!$P$18*((AV!$S$18-RASANTE!F241)/(AV!$N$18))^2,IF(AND(AV!$T$18&lt;RASANTE!F241,F241&lt;AV!$U$18),AV!$P$18*((AV!$U$18-RASANTE!F241)/(AV!$O$18))^2,IF(AND(AV!$S$20&lt;F241,F241&lt;=AV!$T$20),AV!$P$20*((AV!$S$20-RASANTE!F241)/(AV!$N$20))^2,IF(AND(AV!$T$20&lt;RASANTE!F241,F241&lt;AV!$U$20),AV!$P$20*((AV!$U$20-RASANTE!F241)/(AV!$O$20))^2,IF(AND(AV!$S$22&lt;F241,F241&lt;=AV!$T$22),AV!$P$22*((AV!$S$22-RASANTE!F241)/(AV!$N$22))^2,IF(AND(AV!$T$22&lt;RASANTE!F241,F241&lt;AV!$U$22),AV!$P$22*((AV!$U$22-RASANTE!F241)/(AV!$O$22))^2,IF(AND(AV!$S$24&lt;F241,F241&lt;=AV!$T$24),AV!$P$24*((AV!$S$24-RASANTE!F241)/(AV!$N$24))^2,IF(AND(AV!$T$24&lt;RASANTE!F241,F241&lt;AV!$U$24),AV!$P$24*((AV!$U$24-RASANTE!F241)/(AV!$O$24))^2,0))))))))))))))))))))</f>
        <v>0</v>
      </c>
      <c r="L241" s="28">
        <f>+M241+H241%*PERALTE!$C$32</f>
        <v>1632.7700994156266</v>
      </c>
      <c r="M241" s="28">
        <f t="shared" si="12"/>
        <v>1632.7929284648981</v>
      </c>
      <c r="N241" s="28">
        <f>+M241+I241%*PERALTE!$C$32</f>
        <v>1632.7229284648981</v>
      </c>
      <c r="O241" s="92"/>
      <c r="P241" s="84"/>
      <c r="Q241" s="84"/>
      <c r="R241" s="84"/>
      <c r="S241" s="84"/>
      <c r="T241" s="84"/>
      <c r="U241" s="84"/>
      <c r="V241" s="84"/>
      <c r="W241" s="84"/>
      <c r="X241" s="84"/>
      <c r="Y241" s="84"/>
    </row>
    <row r="242" spans="1:25" ht="15.75" customHeight="1" x14ac:dyDescent="0.2">
      <c r="A242" s="90" t="s">
        <v>369</v>
      </c>
      <c r="E242" s="324"/>
      <c r="F242" s="34">
        <f>PERALTE!R18</f>
        <v>1482.9648115937055</v>
      </c>
      <c r="G242" s="88">
        <f>IF(F242&lt;=AV!$T$6,AV!$C$5,IF(RASANTE!F242&lt;=AV!$T$8,AV!$C$7,IF(RASANTE!F242&lt;=AV!$T$10,AV!$C$9,IF(RASANTE!F242&lt;=AV!$T$12,AV!$C$11,IF(RASANTE!F242&lt;=AV!$T$14,AV!$C$13,IF(RASANTE!F242&lt;=AV!$T$16,AV!$C$15, IF(RASANTE!F242&lt;=AV!$T$18,AV!$C$17,IF(RASANTE!F242&lt;=AV!$T$20,AV!$C$19,IF(RASANTE!F242&lt;=AV!$T$22,AV!$C$21,IF(RASANTE!F242&lt;=AV!$T$24,AV!$C$23,AV!$C$25))))))))))</f>
        <v>2.8</v>
      </c>
      <c r="H242" s="28">
        <f>+IF(AND(AH!$H$8="Izquierda",RASANTE!F242&lt;=PERALTE!$AB$6),IF(RASANTE!F242&lt;=PERALTE!$S$6,-2,IF(RASANTE!F242&lt;=PERALTE!$U$6,(-6/(PERALTE!$U$6-PERALTE!$S$6)*(RASANTE!F242-PERALTE!$S$6)-2),IF(RASANTE!F242&lt;=PERALTE!$X$6,-8,IF(RASANTE!F242&lt;=PERALTE!$Z$6,(-6/(PERALTE!$X$6-PERALTE!$Z$6)*(RASANTE!F242-PERALTE!$Z$6)-2),IF(RASANTE!F242&lt;=PERALTE!$AB$6,-2))))),IF(AND(AH!$H$8="Derecha",RASANTE!F242&lt;=PERALTE!$AB$6),IF(RASANTE!F242&lt;=PERALTE!$Q$6,-2,IF(RASANTE!F242&lt;=PERALTE!$U$6,(10/(PERALTE!$U$6-PERALTE!$Q$6)*(RASANTE!F242-PERALTE!$Q$6)-2),IF(RASANTE!F242&lt;=PERALTE!$X$6,8,IF(RASANTE!F242&lt;=PERALTE!$AB$6,(10/(PERALTE!$X$6-PERALTE!$AB$6)*(RASANTE!F242-PERALTE!$AB$6)-2))))),IF(AND(AH!$H$10="Izquierda",RASANTE!F242&lt;=PERALTE!$AB$8),IF(RASANTE!F242&lt;=PERALTE!$S$8,-2,IF(RASANTE!F242&lt;=PERALTE!$U$8,(-6/(PERALTE!$U$8-PERALTE!$S$8)*(RASANTE!F242-PERALTE!$S$8)-2),IF(RASANTE!F242&lt;=PERALTE!$X$8,-8,IF(RASANTE!F242&lt;=PERALTE!$Z$8,(-6/(PERALTE!$X$8-PERALTE!$Z$8)*(RASANTE!F242-PERALTE!$Z$8)-2),IF(RASANTE!F242&lt;=PERALTE!$AB$8,-2))))),IF(AND(AH!$H$10="Derecha",RASANTE!F242&lt;=PERALTE!$AB$8),IF(RASANTE!F242&lt;=PERALTE!$Q$8,-2,IF(RASANTE!F242&lt;=PERALTE!$U$8,(10/(PERALTE!$U$8-PERALTE!$Q$8)*(RASANTE!F242-PERALTE!$Q$8)-2),IF(RASANTE!F242&lt;=PERALTE!$X$8,8,IF(RASANTE!F242&lt;=PERALTE!$AB$8,(10/(PERALTE!$X$8-PERALTE!$AB$8)*(RASANTE!F242-PERALTE!$AB$8)-2))))),IF(AND(AH!$H$12="Izquierda",RASANTE!F242&lt;=PERALTE!$AB$10),IF(RASANTE!F242&lt;=PERALTE!$S$10,-2,IF(RASANTE!F242&lt;=PERALTE!$U$10,(-6/(PERALTE!$U$10-PERALTE!$S$10)*(RASANTE!F242-PERALTE!$S$10)-2),IF(RASANTE!F242&lt;=PERALTE!$X$10,-8,IF(RASANTE!F242&lt;=PERALTE!$Z$10,(-6/(PERALTE!$X$10-PERALTE!$Z$10)*(RASANTE!F242-PERALTE!$Z$10)-2),IF(RASANTE!F242&lt;=PERALTE!$AB$10,-2))))),IF(AND(AH!$H$12="Derecha",RASANTE!F242&lt;=PERALTE!$AB$10),IF(RASANTE!F242&lt;=PERALTE!$Q$10,-2,IF(RASANTE!F242&lt;=PERALTE!$U$10,(10/(PERALTE!$U$10-PERALTE!$Q$10)*(RASANTE!F242-PERALTE!$Q$10)-2),IF(RASANTE!F242&lt;=PERALTE!$X$10,8,IF(RASANTE!F242&lt;=PERALTE!$AB$10,(10/(PERALTE!$X$10-PERALTE!$AB$10)*(RASANTE!F242-PERALTE!$AB$10)-2))))),IF(AND(AH!$H$14="Izquierda",RASANTE!F242&lt;=PERALTE!$AB$12),IF(RASANTE!F242&lt;=PERALTE!$S$12,-2,IF(RASANTE!F242&lt;=PERALTE!$U$12,(-6/(PERALTE!$U$12-PERALTE!$S$12)*(RASANTE!F242-PERALTE!$S$12)-2),IF(RASANTE!F242&lt;=PERALTE!$X$12,-8,IF(RASANTE!F242&lt;=PERALTE!$Z$12,(-6/(PERALTE!$X$12-PERALTE!$Z$12)*(RASANTE!F242-PERALTE!$Z$12)-2),IF(RASANTE!F242&lt;=PERALTE!$AB$12,-2))))),IF(AND(AH!$H$14="Derecha",RASANTE!F242&lt;=PERALTE!$AB$12),IF(RASANTE!F242&lt;=PERALTE!$Q$12,-2,IF(RASANTE!F242&lt;=PERALTE!$U$12,(10/(PERALTE!$U$12-PERALTE!$Q$12)*(RASANTE!F242-PERALTE!$Q$12)-2),IF(RASANTE!F242&lt;=PERALTE!$X$12,8,IF(RASANTE!F242&lt;=PERALTE!$AB$12,(10/(PERALTE!$X$12-PERALTE!$AB$12)*(RASANTE!F242-PERALTE!$AB$12)-2))))),IF(AND(AH!$H$16="Izquierda",RASANTE!F242&lt;=PERALTE!$AB$14),IF(RASANTE!F242&lt;=PERALTE!$S$14,-2,IF(RASANTE!F242&lt;=PERALTE!$U$14,(-6/(PERALTE!$U$14-PERALTE!$S$14)*(RASANTE!F242-PERALTE!$S$14)-2),IF(RASANTE!F242&lt;=PERALTE!$X$14,-8,IF(RASANTE!F242&lt;=PERALTE!$Z$14,(-6/(PERALTE!$X$14-PERALTE!$Z$14)*(RASANTE!F242-PERALTE!$Z$14)-2),IF(RASANTE!F242&lt;=PERALTE!$AB$14,-2))))),IF(AND(AH!$H$16="Derecha",RASANTE!F242&lt;=PERALTE!$AB$14),IF(RASANTE!F242&lt;=PERALTE!$Q$14,-2,IF(RASANTE!F242&lt;=PERALTE!$U$14,(10/(PERALTE!$U$14-PERALTE!$Q$14)*(RASANTE!F242-PERALTE!$Q$14)-2),IF(RASANTE!F242&lt;=PERALTE!$X$14,8,IF(RASANTE!F242&lt;=PERALTE!$AB$14,(10/(PERALTE!$X$14-PERALTE!$AB$14)*(RASANTE!F242-PERALTE!$AB$14)-2))))),IF(AND(AH!$H$18="Izquierda",RASANTE!F242&lt;=PERALTE!$AB$16),IF(RASANTE!F242&lt;=PERALTE!$S$16,-2,IF(RASANTE!F242&lt;=PERALTE!$U$16,(-6/(PERALTE!$U$16-PERALTE!$S$16)*(RASANTE!F242-PERALTE!$S$16)-2),IF(RASANTE!F242&lt;=PERALTE!$X$16,-8,IF(RASANTE!F242&lt;=PERALTE!$Z$16,(-6/(PERALTE!$X$16-PERALTE!$Z$16)*(RASANTE!F242-PERALTE!$Z$16)-2),IF(RASANTE!F242&lt;=PERALTE!$AB$16,-2))))),IF(AND(AH!$H$18="Derecha",RASANTE!F242&lt;=PERALTE!$AB$16),IF(RASANTE!F242&lt;=PERALTE!$Q$16,-2,IF(RASANTE!F242&lt;=PERALTE!$U$16,(10/(PERALTE!$U$16-PERALTE!$Q$16)*(RASANTE!F242-PERALTE!$Q$16)-2),IF(RASANTE!F242&lt;=PERALTE!$X$16,8,IF(RASANTE!F242&lt;=PERALTE!$AB$16,(10/(PERALTE!$X$16-PERALTE!$AB$16)*(RASANTE!F242-PERALTE!$AB$16)-2))))),IF(AND(AH!$H$20="Izquierda",RASANTE!F242&lt;=PERALTE!$AB$18),IF(RASANTE!F242&lt;=PERALTE!$S$18,-2,IF(RASANTE!F242&lt;=PERALTE!$U$18,(-6/(PERALTE!$U$18-PERALTE!$S$18)*(RASANTE!F242-PERALTE!$S$18)-2),IF(RASANTE!F242&lt;=PERALTE!$X$18,-8,IF(RASANTE!F242&lt;=PERALTE!$Z$18,(-6/(PERALTE!$X$18-PERALTE!$Z$18)*(RASANTE!F242-PERALTE!$Z$18)-2),IF(RASANTE!F242&lt;=PERALTE!$AB$18,-2))))),IF(AND(AH!$H$20="Derecha",RASANTE!F242&lt;=PERALTE!$AB$18),IF(RASANTE!F242&lt;=PERALTE!$Q$18,-2,IF(RASANTE!F242&lt;=PERALTE!$U$18,(10/(PERALTE!$U$18-PERALTE!$Q$18)*(RASANTE!F242-PERALTE!$Q$18)-2),IF(RASANTE!F242&lt;=PERALTE!$X$18,8,IF(RASANTE!F242&lt;=PERALTE!$AB$18,(10/(PERALTE!$X$18-PERALTE!$AB$18)*(RASANTE!F242-PERALTE!$AB$18)-2))))),IF(AND(AH!$H$24="Izquierda",RASANTE!F242&lt;=PERALTE!$AB$22),IF(RASANTE!F242&lt;=PERALTE!$S$22,-2,IF(RASANTE!F242&lt;=PERALTE!$U$22,(-6/(PERALTE!$U$22-PERALTE!$S$22)*(RASANTE!F242-PERALTE!$S$22)-2),IF(RASANTE!F242&lt;=PERALTE!$X$22,-8,IF(RASANTE!F242&lt;=PERALTE!$Z$22,(-6/(PERALTE!$X$22-PERALTE!$Z$22)*(RASANTE!F242-PERALTE!$Z$22)-2),IF(RASANTE!F242&lt;=PERALTE!$AB$22,-2))))),IF(AND(AH!$H$24="Derecha",RASANTE!F242&lt;=PERALTE!$AB$22),IF(RASANTE!F242&lt;=PERALTE!$Q$22,-2,IF(RASANTE!F242&lt;=PERALTE!$U$22,(10/(PERALTE!$U$22-PERALTE!$Q$22)*(RASANTE!F242-PERALTE!$Q$22)-2),IF(RASANTE!F242&lt;=PERALTE!$X$22,8,IF(RASANTE!F242&lt;=PERALTE!$AB$22,(10/(PERALTE!$X$22-PERALTE!$AB$22)*(RASANTE!F242-PERALTE!$AB$22)-2))))),IF(AND(AH!#REF!="Izquierda",RASANTE!F242&lt;=PERALTE!#REF!),IF(RASANTE!F242&lt;=PERALTE!#REF!,-2,IF(RASANTE!F242&lt;=PERALTE!#REF!,(-6/(PERALTE!#REF!-PERALTE!#REF!)*(RASANTE!F242-PERALTE!#REF!)-2),IF(RASANTE!F242&lt;=PERALTE!#REF!,-8,IF(RASANTE!F242&lt;=PERALTE!#REF!,(-6/(PERALTE!#REF!-PERALTE!#REF!)*(RASANTE!F242-PERALTE!#REF!)-2),IF(RASANTE!F242&lt;=PERALTE!#REF!,-2))))),IF(AND(AH!#REF!="Derecha",RASANTE!F242&lt;=PERALTE!#REF!),IF(RASANTE!F242&lt;=PERALTE!#REF!,-2,IF(RASANTE!F242&lt;=PERALTE!#REF!,(10/(PERALTE!#REF!-PERALTE!#REF!)*(RASANTE!F242-PERALTE!#REF!)-2),IF(RASANTE!F242&lt;=PERALTE!#REF!,8,IF(RASANTE!F242&lt;=PERALTE!#REF!,(10/(PERALTE!#REF!-PERALTE!#REF!)*(RASANTE!F242-PERALTE!#REF!)-2))))),IF(AND(AH!#REF!="Izquierda",RASANTE!F242&lt;=PERALTE!$AB$26),IF(RASANTE!F242&lt;=PERALTE!$S$26,-2,IF(RASANTE!F242&lt;=PERALTE!$U$26,(-6/(PERALTE!$U$26-PERALTE!$S$26)*(RASANTE!F242-PERALTE!$S$26)-2),IF(RASANTE!F242&lt;=PERALTE!$X$26,-8,IF(RASANTE!F242&lt;=PERALTE!$Z$26,(-6/(PERALTE!$X$26-PERALTE!$Z$26)*(RASANTE!F242-PERALTE!$Z$26)-2),IF(RASANTE!F242&lt;=PERALTE!$AB$26,-2))))),IF(AND(AH!#REF!="Derecha",RASANTE!F242&lt;=PERALTE!$AB$26),IF(RASANTE!F242&lt;=PERALTE!$Q$26,-2,IF(RASANTE!F242&lt;=PERALTE!$U$26,(10/(PERALTE!$U$26-PERALTE!$Q$26)*(RASANTE!F242-PERALTE!$Q$26)-2),IF(RASANTE!F242&lt;=PERALTE!$X$26,8,IF(RASANTE!F242&lt;=PERALTE!$AB$26,(10/(PERALTE!$X$26-PERALTE!$AB$26)*(RASANTE!F242-PERALTE!$AB$26)-2))))),IF(F242&lt;=PERALTE!#REF!,-2,"Abscisa fuera de la vía")))))))))))))))))))))</f>
        <v>-1.021405182655144E-14</v>
      </c>
      <c r="I242" s="28">
        <f>+IF(AND(AH!$H$8="Derecha",RASANTE!F242&lt;=PERALTE!$AB$6),IF(RASANTE!F242&lt;=PERALTE!$S$6,-2,IF(RASANTE!F242&lt;=PERALTE!$U$6,(-6/(PERALTE!$U$6-PERALTE!$S$6)*(RASANTE!F242-PERALTE!$S$6)-2),IF(RASANTE!F242&lt;=PERALTE!$X$6,-8,IF(RASANTE!F242&lt;=PERALTE!$Z$6,(-6/(PERALTE!$X$6-PERALTE!$Z$6)*(RASANTE!F242-PERALTE!$Z$6)-2),IF(RASANTE!F242&lt;=PERALTE!$AB$6,-2))))),IF(AND(AH!$H$8="Izquierda",RASANTE!F242&lt;=PERALTE!$AB$6),IF(RASANTE!F242&lt;=PERALTE!$Q$6,-2,IF(RASANTE!F242&lt;=PERALTE!$U$6,(10/(PERALTE!$U$6-PERALTE!$Q$6)*(RASANTE!F242-PERALTE!$Q$6)-2),IF(RASANTE!F242&lt;=PERALTE!$X$6,8,IF(RASANTE!F242&lt;=PERALTE!$AB$6,(10/(PERALTE!$X$6-PERALTE!$AB$6)*(RASANTE!F242-PERALTE!$AB$6)-2))))),IF(AND(AH!$H$10="Derecha",RASANTE!F242&lt;=PERALTE!$AB$8),IF(RASANTE!F242&lt;=PERALTE!$S$8,-2,IF(RASANTE!F242&lt;=PERALTE!$U$8,(-6/(PERALTE!$U$8-PERALTE!$S$8)*(RASANTE!F242-PERALTE!$S$8)-2),IF(RASANTE!F242&lt;=PERALTE!$X$8,-8,IF(RASANTE!F242&lt;=PERALTE!$Z$8,(-6/(PERALTE!$X$8-PERALTE!$Z$8)*(RASANTE!F242-PERALTE!$Z$8)-2),IF(RASANTE!F242&lt;=PERALTE!$AB$8,-2))))),IF(AND(AH!$H$10="Izquierda",RASANTE!F242&lt;=PERALTE!$AB$8),IF(RASANTE!F242&lt;=PERALTE!$Q$8,-2,IF(RASANTE!F242&lt;=PERALTE!$U$8,(10/(PERALTE!$U$8-PERALTE!$Q$8)*(RASANTE!F242-PERALTE!$Q$8)-2),IF(RASANTE!F242&lt;=PERALTE!$X$8,8,IF(RASANTE!F242&lt;=PERALTE!$AB$8,(10/(PERALTE!$X$8-PERALTE!$AB$8)*(RASANTE!F242-PERALTE!$AB$8)-2))))),IF(AND(AH!$H$12="Derecha",RASANTE!F242&lt;=PERALTE!$AB$10),IF(RASANTE!F242&lt;=PERALTE!$S$10,-2,IF(RASANTE!F242&lt;=PERALTE!$U$10,(-6/(PERALTE!$U$10-PERALTE!$S$10)*(RASANTE!F242-PERALTE!$S$10)-2),IF(RASANTE!F242&lt;=PERALTE!$X$10,-8,IF(RASANTE!F242&lt;=PERALTE!$Z$10,(-6/(PERALTE!$X$10-PERALTE!$Z$10)*(RASANTE!F242-PERALTE!$Z$10)-2),IF(RASANTE!F242&lt;=PERALTE!$AB$10,-2))))),IF(AND(AH!$H$12="Izquierda",RASANTE!F242&lt;=PERALTE!$AB$10),IF(RASANTE!F242&lt;=PERALTE!$Q$10,-2,IF(RASANTE!F242&lt;=PERALTE!$U$10,(10/(PERALTE!$U$10-PERALTE!$Q$10)*(RASANTE!F242-PERALTE!$Q$10)-2),IF(RASANTE!F242&lt;=PERALTE!$X$10,8,IF(RASANTE!F242&lt;=PERALTE!$AB$10,(10/(PERALTE!$X$10-PERALTE!$AB$10)*(RASANTE!F242-PERALTE!$AB$10)-2))))),IF(AND(AH!$H$14="Derecha",RASANTE!F242&lt;=PERALTE!$AB$12),IF(RASANTE!F242&lt;=PERALTE!$S$12,-2,IF(RASANTE!F242&lt;=PERALTE!$U$12,(-6/(PERALTE!$U$12-PERALTE!$S$12)*(RASANTE!F242-PERALTE!$S$12)-2),IF(RASANTE!F242&lt;=PERALTE!$X$12,-8,IF(RASANTE!F242&lt;=PERALTE!$Z$12,(-6/(PERALTE!$X$12-PERALTE!$Z$12)*(RASANTE!F242-PERALTE!$Z$12)-2),IF(RASANTE!F242&lt;=PERALTE!$AB$12,-2))))),IF(AND(AH!$H$14="Izquierda",RASANTE!F242&lt;=PERALTE!$AB$12),IF(RASANTE!F242&lt;=PERALTE!$Q$12,-2,IF(RASANTE!F242&lt;=PERALTE!$U$12,(10/(PERALTE!$U$12-PERALTE!$Q$12)*(RASANTE!F242-PERALTE!$Q$12)-2),IF(RASANTE!F242&lt;=PERALTE!$X$12,8,IF(RASANTE!F242&lt;=PERALTE!$AB$12,(10/(PERALTE!$X$12-PERALTE!$AB$12)*(RASANTE!F242-PERALTE!$AB$12)-2))))),IF(AND(AH!$H$16="Derecha",RASANTE!F242&lt;=PERALTE!$AB$14),IF(RASANTE!F242&lt;=PERALTE!$S$14,-2,IF(RASANTE!F242&lt;=PERALTE!$U$14,(-6/(PERALTE!$U$14-PERALTE!$S$14)*(RASANTE!F242-PERALTE!$S$14)-2),IF(RASANTE!F242&lt;=PERALTE!$X$14,-8,IF(RASANTE!F242&lt;=PERALTE!$Z$14,(-6/(PERALTE!$X$14-PERALTE!$Z$14)*(RASANTE!F242-PERALTE!$Z$14)-2),IF(RASANTE!F242&lt;=PERALTE!$AB$14,-2))))),IF(AND(AH!$H$16="Izquierda",RASANTE!F242&lt;=PERALTE!$AB$14),IF(RASANTE!F242&lt;=PERALTE!$Q$14,-2,IF(RASANTE!F242&lt;=PERALTE!$U$14,(10/(PERALTE!$U$14-PERALTE!$Q$14)*(RASANTE!F242-PERALTE!$Q$14)-2),IF(RASANTE!F242&lt;=PERALTE!$X$14,8,IF(RASANTE!F242&lt;=PERALTE!$AB$14,(10/(PERALTE!$X$14-PERALTE!$AB$14)*(RASANTE!F242-PERALTE!$AB$14)-2))))),IF(AND(AH!$H$18="Derecha",RASANTE!F242&lt;=PERALTE!$AB$16),IF(RASANTE!F242&lt;=PERALTE!$S$16,-2,IF(RASANTE!F242&lt;=PERALTE!$U$16,(-6/(PERALTE!$U$16-PERALTE!$S$16)*(RASANTE!F242-PERALTE!$S$16)-2),IF(RASANTE!F242&lt;=PERALTE!$X$16,-8,IF(RASANTE!F242&lt;=PERALTE!$Z$16,(-6/(PERALTE!$X$16-PERALTE!$Z$16)*(RASANTE!F242-PERALTE!$Z$16)-2),IF(RASANTE!F242&lt;=PERALTE!$AB$16,-2))))),IF(AND(AH!$H$18="Izquierda",RASANTE!F242&lt;=PERALTE!$AB$16),IF(RASANTE!F242&lt;=PERALTE!$Q$16,-2,IF(RASANTE!F242&lt;=PERALTE!$U$16,(10/(PERALTE!$U$16-PERALTE!$Q$16)*(RASANTE!F242-PERALTE!$Q$16)-2),IF(RASANTE!F242&lt;=PERALTE!$X$16,8,IF(RASANTE!F242&lt;=PERALTE!$AB$16,(10/(PERALTE!$X$16-PERALTE!$AB$16)*(RASANTE!F242-PERALTE!$AB$16)-2))))),IF(AND(AH!$H$20="Derecha",RASANTE!F242&lt;=PERALTE!$AB$18),IF(RASANTE!F242&lt;=PERALTE!$S$18,-2,IF(RASANTE!F242&lt;=PERALTE!$U$18,(-6/(PERALTE!$U$18-PERALTE!$S$18)*(RASANTE!F242-PERALTE!$S$18)-2),IF(RASANTE!F242&lt;=PERALTE!$X$18,-8,IF(RASANTE!F242&lt;=PERALTE!$Z$18,(-6/(PERALTE!$X$18-PERALTE!$Z$18)*(RASANTE!F242-PERALTE!$Z$18)-2),IF(RASANTE!F242&lt;=PERALTE!$AB$18,-2))))),IF(AND(AH!$H$20="Izquierda",RASANTE!F242&lt;=PERALTE!$AB$18),IF(RASANTE!F242&lt;=PERALTE!$Q$18,-2,IF(RASANTE!F242&lt;=PERALTE!$U$18,(10/(PERALTE!$U$18-PERALTE!$Q$18)*(RASANTE!F242-PERALTE!$Q$18)-2),IF(RASANTE!F242&lt;=PERALTE!$X$18,8,IF(RASANTE!F242&lt;=PERALTE!$AB$18,(10/(PERALTE!$X$18-PERALTE!$AB$18)*(RASANTE!F242-PERALTE!$AB$18)-2))))),IF(AND(AH!$H$24="Derecha",RASANTE!F242&lt;=PERALTE!$AB$22),IF(RASANTE!F242&lt;=PERALTE!$S$22,-2,IF(RASANTE!F242&lt;=PERALTE!$U$22,(-6/(PERALTE!$U$22-PERALTE!$S$22)*(RASANTE!F242-PERALTE!$S$22)-2),IF(RASANTE!F242&lt;=PERALTE!$X$22,-8,IF(RASANTE!F242&lt;=PERALTE!$Z$22,(-6/(PERALTE!$X$22-PERALTE!$Z$22)*(RASANTE!F242-PERALTE!$Z$22)-2),IF(RASANTE!F242&lt;=PERALTE!$AB$22,-2))))),IF(AND(AH!$H$24="Izquierda",RASANTE!F242&lt;=PERALTE!$AB$22),IF(RASANTE!F242&lt;=PERALTE!$Q$22,-2,IF(RASANTE!F242&lt;=PERALTE!$U$22,(10/(PERALTE!$U$22-PERALTE!$Q$22)*(RASANTE!F242-PERALTE!$Q$22)-2),IF(RASANTE!F242&lt;=PERALTE!$X$22,8,IF(RASANTE!F242&lt;=PERALTE!$AB$22,(10/(PERALTE!$X$22-PERALTE!$AB$22)*(RASANTE!F242-PERALTE!$AB$22)-2))))),IF(AND(AH!#REF!="Derecha",RASANTE!F242&lt;=PERALTE!#REF!),IF(RASANTE!F242&lt;=PERALTE!#REF!,-2,IF(RASANTE!F242&lt;=PERALTE!#REF!,(-6/(PERALTE!#REF!-PERALTE!#REF!)*(RASANTE!F242-PERALTE!#REF!)-2),IF(RASANTE!F242&lt;=PERALTE!#REF!,-8,IF(RASANTE!F242&lt;=PERALTE!#REF!,(-6/(PERALTE!#REF!-PERALTE!#REF!)*(RASANTE!F242-PERALTE!#REF!)-2),IF(RASANTE!F242&lt;=PERALTE!#REF!,-2))))),IF(AND(AH!#REF!="Izquierda",RASANTE!F242&lt;=PERALTE!#REF!),IF(RASANTE!F242&lt;=PERALTE!#REF!,-2,IF(RASANTE!F242&lt;=PERALTE!#REF!,(10/(PERALTE!#REF!-PERALTE!#REF!)*(RASANTE!F242-PERALTE!#REF!)-2),IF(RASANTE!F242&lt;=PERALTE!#REF!,8,IF(RASANTE!F242&lt;=PERALTE!#REF!,(10/(PERALTE!#REF!-PERALTE!#REF!)*(RASANTE!F242-PERALTE!#REF!)-2))))),IF(AND(AH!#REF!="Derecha",RASANTE!F242&lt;=PERALTE!$AB$26),IF(RASANTE!F242&lt;=PERALTE!$S$26,-2,IF(RASANTE!F242&lt;=PERALTE!$U$26,(-6/(PERALTE!$U$26-PERALTE!$S$26)*(RASANTE!F242-PERALTE!$S$26)-2),IF(RASANTE!F242&lt;=PERALTE!$X$26,-8,IF(RASANTE!F242&lt;=PERALTE!$Z$26,(-6/(PERALTE!$X$26-PERALTE!$Z$26)*(RASANTE!F242-PERALTE!$Z$26)-2),IF(RASANTE!F242&lt;=PERALTE!$AB$26,-2))))),IF(AND(AH!#REF!="Izquierda",RASANTE!F242&lt;=PERALTE!$AB$26),IF(RASANTE!F242&lt;=PERALTE!$Q$26,-2,IF(RASANTE!F242&lt;=PERALTE!$U$26,(10/(PERALTE!$U$26-PERALTE!$Q$26)*(RASANTE!F242-PERALTE!$Q$26)-2),IF(RASANTE!F242&lt;=PERALTE!$X$26,8,IF(RASANTE!F242&lt;=PERALTE!$AB$26,(10/(PERALTE!$X$26-PERALTE!$AB$26)*(RASANTE!F242-PERALTE!$AB$26)-2))))),IF(F242&lt;=PERALTE!#REF!,-2,"Abscisa fuera de la vía")))))))))))))))))))))</f>
        <v>-2</v>
      </c>
      <c r="J242" s="28">
        <f t="shared" si="11"/>
        <v>1632.8759431895219</v>
      </c>
      <c r="K242" s="28">
        <f>+IF(AND(AV!$S$6&lt;F242,F242&lt;=AV!$T$6),AV!$P$6*((AV!$S$6-RASANTE!F242)/(AV!$N$6))^2,IF(AND(AV!$T$6&lt;RASANTE!F242,F242&lt;AV!$U$6),AV!$P$6*((AV!$U$6-RASANTE!F242)/(AV!$O$6))^2,IF(AND(AV!$S$8&lt;F242,F242&lt;=AV!$T$8),AV!$P$8*((AV!$S$8-RASANTE!F242)/(AV!$N$8))^2,IF(AND(AV!$T$8&lt;RASANTE!F242,F242&lt;AV!$U$8),AV!$P$8*((AV!$U$8-RASANTE!F242)/(AV!$O$8))^2,IF(AND(AV!$S$10&lt;F242,F242&lt;=AV!$T$10),AV!$P$10*((AV!$S$10-RASANTE!F242)/(AV!$N$10))^2,IF(AND(AV!$T$10&lt;RASANTE!F242,F242&lt;AV!$U$10),AV!$P$10*((AV!$U$10-RASANTE!F242)/(AV!$O$10))^2,IF(AND(AV!$S$12&lt;F242,F242&lt;=AV!$T$12),AV!$P$12*((AV!$S$12-RASANTE!F242)/(AV!$N$12))^2,IF(AND(AV!$T$12&lt;RASANTE!F242,F242&lt;AV!$U$12),AV!$P$12*((AV!$U$12-RASANTE!F242)/(AV!$O$12))^2,IF(AND(AV!$S$14&lt;F242,F242&lt;=AV!$T$14),AV!$P$14*((AV!$S$14-RASANTE!F242)/(AV!$N$14))^2,IF(AND(AV!$T$14&lt;RASANTE!F242,F242&lt;AV!$U$14),AV!$P$14*((AV!$U$14-RASANTE!F242)/(AV!$O$14))^2,IF(AND(AV!$S$16&lt;F242,F242&lt;=AV!$T$16),AV!$P$16*((AV!$S$16-RASANTE!F242)/(AV!$N$16))^2,IF(AND(AV!$T$16&lt;RASANTE!F242,F242&lt;AV!$U$16),AV!$P$16*((AV!$U$16-RASANTE!F242)/(AV!$O$16))^2,IF(AND(AV!$S$18&lt;F242,F242&lt;=AV!$T$18),AV!$P$18*((AV!$S$18-RASANTE!F242)/(AV!$N$18))^2,IF(AND(AV!$T$18&lt;RASANTE!F242,F242&lt;AV!$U$18),AV!$P$18*((AV!$U$18-RASANTE!F242)/(AV!$O$18))^2,IF(AND(AV!$S$20&lt;F242,F242&lt;=AV!$T$20),AV!$P$20*((AV!$S$20-RASANTE!F242)/(AV!$N$20))^2,IF(AND(AV!$T$20&lt;RASANTE!F242,F242&lt;AV!$U$20),AV!$P$20*((AV!$U$20-RASANTE!F242)/(AV!$O$20))^2,IF(AND(AV!$S$22&lt;F242,F242&lt;=AV!$T$22),AV!$P$22*((AV!$S$22-RASANTE!F242)/(AV!$N$22))^2,IF(AND(AV!$T$22&lt;RASANTE!F242,F242&lt;AV!$U$22),AV!$P$22*((AV!$U$22-RASANTE!F242)/(AV!$O$22))^2,IF(AND(AV!$S$24&lt;F242,F242&lt;=AV!$T$24),AV!$P$24*((AV!$S$24-RASANTE!F242)/(AV!$N$24))^2,IF(AND(AV!$T$24&lt;RASANTE!F242,F242&lt;AV!$U$24),AV!$P$24*((AV!$U$24-RASANTE!F242)/(AV!$O$24))^2,0))))))))))))))))))))</f>
        <v>0</v>
      </c>
      <c r="L242" s="28">
        <f>+M242+H242%*PERALTE!$C$32</f>
        <v>1632.8759431895219</v>
      </c>
      <c r="M242" s="28">
        <f t="shared" si="12"/>
        <v>1632.8759431895219</v>
      </c>
      <c r="N242" s="28">
        <f>+M242+I242%*PERALTE!$C$32</f>
        <v>1632.8059431895219</v>
      </c>
      <c r="O242" s="92"/>
      <c r="P242" s="84"/>
      <c r="Q242" s="84"/>
      <c r="R242" s="84"/>
      <c r="S242" s="84"/>
      <c r="T242" s="84"/>
      <c r="U242" s="84"/>
      <c r="V242" s="84"/>
      <c r="W242" s="84"/>
      <c r="X242" s="84"/>
      <c r="Y242" s="84"/>
    </row>
    <row r="243" spans="1:25" ht="15.75" customHeight="1" x14ac:dyDescent="0.2">
      <c r="A243" s="90"/>
      <c r="F243" s="34">
        <v>1490</v>
      </c>
      <c r="G243" s="88">
        <f>IF(F243&lt;=AV!$T$6,AV!$C$5,IF(RASANTE!F243&lt;=AV!$T$8,AV!$C$7,IF(RASANTE!F243&lt;=AV!$T$10,AV!$C$9,IF(RASANTE!F243&lt;=AV!$T$12,AV!$C$11,IF(RASANTE!F243&lt;=AV!$T$14,AV!$C$13,IF(RASANTE!F243&lt;=AV!$T$16,AV!$C$15, IF(RASANTE!F243&lt;=AV!$T$18,AV!$C$17,IF(RASANTE!F243&lt;=AV!$T$20,AV!$C$19,IF(RASANTE!F243&lt;=AV!$T$22,AV!$C$21,IF(RASANTE!F243&lt;=AV!$T$24,AV!$C$23,AV!$C$25))))))))))</f>
        <v>2.8</v>
      </c>
      <c r="H243" s="28">
        <f>+IF(AND(AH!$H$8="Izquierda",RASANTE!F243&lt;=PERALTE!$AB$6),IF(RASANTE!F243&lt;=PERALTE!$S$6,-2,IF(RASANTE!F243&lt;=PERALTE!$U$6,(-6/(PERALTE!$U$6-PERALTE!$S$6)*(RASANTE!F243-PERALTE!$S$6)-2),IF(RASANTE!F243&lt;=PERALTE!$X$6,-8,IF(RASANTE!F243&lt;=PERALTE!$Z$6,(-6/(PERALTE!$X$6-PERALTE!$Z$6)*(RASANTE!F243-PERALTE!$Z$6)-2),IF(RASANTE!F243&lt;=PERALTE!$AB$6,-2))))),IF(AND(AH!$H$8="Derecha",RASANTE!F243&lt;=PERALTE!$AB$6),IF(RASANTE!F243&lt;=PERALTE!$Q$6,-2,IF(RASANTE!F243&lt;=PERALTE!$U$6,(10/(PERALTE!$U$6-PERALTE!$Q$6)*(RASANTE!F243-PERALTE!$Q$6)-2),IF(RASANTE!F243&lt;=PERALTE!$X$6,8,IF(RASANTE!F243&lt;=PERALTE!$AB$6,(10/(PERALTE!$X$6-PERALTE!$AB$6)*(RASANTE!F243-PERALTE!$AB$6)-2))))),IF(AND(AH!$H$10="Izquierda",RASANTE!F243&lt;=PERALTE!$AB$8),IF(RASANTE!F243&lt;=PERALTE!$S$8,-2,IF(RASANTE!F243&lt;=PERALTE!$U$8,(-6/(PERALTE!$U$8-PERALTE!$S$8)*(RASANTE!F243-PERALTE!$S$8)-2),IF(RASANTE!F243&lt;=PERALTE!$X$8,-8,IF(RASANTE!F243&lt;=PERALTE!$Z$8,(-6/(PERALTE!$X$8-PERALTE!$Z$8)*(RASANTE!F243-PERALTE!$Z$8)-2),IF(RASANTE!F243&lt;=PERALTE!$AB$8,-2))))),IF(AND(AH!$H$10="Derecha",RASANTE!F243&lt;=PERALTE!$AB$8),IF(RASANTE!F243&lt;=PERALTE!$Q$8,-2,IF(RASANTE!F243&lt;=PERALTE!$U$8,(10/(PERALTE!$U$8-PERALTE!$Q$8)*(RASANTE!F243-PERALTE!$Q$8)-2),IF(RASANTE!F243&lt;=PERALTE!$X$8,8,IF(RASANTE!F243&lt;=PERALTE!$AB$8,(10/(PERALTE!$X$8-PERALTE!$AB$8)*(RASANTE!F243-PERALTE!$AB$8)-2))))),IF(AND(AH!$H$12="Izquierda",RASANTE!F243&lt;=PERALTE!$AB$10),IF(RASANTE!F243&lt;=PERALTE!$S$10,-2,IF(RASANTE!F243&lt;=PERALTE!$U$10,(-6/(PERALTE!$U$10-PERALTE!$S$10)*(RASANTE!F243-PERALTE!$S$10)-2),IF(RASANTE!F243&lt;=PERALTE!$X$10,-8,IF(RASANTE!F243&lt;=PERALTE!$Z$10,(-6/(PERALTE!$X$10-PERALTE!$Z$10)*(RASANTE!F243-PERALTE!$Z$10)-2),IF(RASANTE!F243&lt;=PERALTE!$AB$10,-2))))),IF(AND(AH!$H$12="Derecha",RASANTE!F243&lt;=PERALTE!$AB$10),IF(RASANTE!F243&lt;=PERALTE!$Q$10,-2,IF(RASANTE!F243&lt;=PERALTE!$U$10,(10/(PERALTE!$U$10-PERALTE!$Q$10)*(RASANTE!F243-PERALTE!$Q$10)-2),IF(RASANTE!F243&lt;=PERALTE!$X$10,8,IF(RASANTE!F243&lt;=PERALTE!$AB$10,(10/(PERALTE!$X$10-PERALTE!$AB$10)*(RASANTE!F243-PERALTE!$AB$10)-2))))),IF(AND(AH!$H$14="Izquierda",RASANTE!F243&lt;=PERALTE!$AB$12),IF(RASANTE!F243&lt;=PERALTE!$S$12,-2,IF(RASANTE!F243&lt;=PERALTE!$U$12,(-6/(PERALTE!$U$12-PERALTE!$S$12)*(RASANTE!F243-PERALTE!$S$12)-2),IF(RASANTE!F243&lt;=PERALTE!$X$12,-8,IF(RASANTE!F243&lt;=PERALTE!$Z$12,(-6/(PERALTE!$X$12-PERALTE!$Z$12)*(RASANTE!F243-PERALTE!$Z$12)-2),IF(RASANTE!F243&lt;=PERALTE!$AB$12,-2))))),IF(AND(AH!$H$14="Derecha",RASANTE!F243&lt;=PERALTE!$AB$12),IF(RASANTE!F243&lt;=PERALTE!$Q$12,-2,IF(RASANTE!F243&lt;=PERALTE!$U$12,(10/(PERALTE!$U$12-PERALTE!$Q$12)*(RASANTE!F243-PERALTE!$Q$12)-2),IF(RASANTE!F243&lt;=PERALTE!$X$12,8,IF(RASANTE!F243&lt;=PERALTE!$AB$12,(10/(PERALTE!$X$12-PERALTE!$AB$12)*(RASANTE!F243-PERALTE!$AB$12)-2))))),IF(AND(AH!$H$16="Izquierda",RASANTE!F243&lt;=PERALTE!$AB$14),IF(RASANTE!F243&lt;=PERALTE!$S$14,-2,IF(RASANTE!F243&lt;=PERALTE!$U$14,(-6/(PERALTE!$U$14-PERALTE!$S$14)*(RASANTE!F243-PERALTE!$S$14)-2),IF(RASANTE!F243&lt;=PERALTE!$X$14,-8,IF(RASANTE!F243&lt;=PERALTE!$Z$14,(-6/(PERALTE!$X$14-PERALTE!$Z$14)*(RASANTE!F243-PERALTE!$Z$14)-2),IF(RASANTE!F243&lt;=PERALTE!$AB$14,-2))))),IF(AND(AH!$H$16="Derecha",RASANTE!F243&lt;=PERALTE!$AB$14),IF(RASANTE!F243&lt;=PERALTE!$Q$14,-2,IF(RASANTE!F243&lt;=PERALTE!$U$14,(10/(PERALTE!$U$14-PERALTE!$Q$14)*(RASANTE!F243-PERALTE!$Q$14)-2),IF(RASANTE!F243&lt;=PERALTE!$X$14,8,IF(RASANTE!F243&lt;=PERALTE!$AB$14,(10/(PERALTE!$X$14-PERALTE!$AB$14)*(RASANTE!F243-PERALTE!$AB$14)-2))))),IF(AND(AH!$H$18="Izquierda",RASANTE!F243&lt;=PERALTE!$AB$16),IF(RASANTE!F243&lt;=PERALTE!$S$16,-2,IF(RASANTE!F243&lt;=PERALTE!$U$16,(-6/(PERALTE!$U$16-PERALTE!$S$16)*(RASANTE!F243-PERALTE!$S$16)-2),IF(RASANTE!F243&lt;=PERALTE!$X$16,-8,IF(RASANTE!F243&lt;=PERALTE!$Z$16,(-6/(PERALTE!$X$16-PERALTE!$Z$16)*(RASANTE!F243-PERALTE!$Z$16)-2),IF(RASANTE!F243&lt;=PERALTE!$AB$16,-2))))),IF(AND(AH!$H$18="Derecha",RASANTE!F243&lt;=PERALTE!$AB$16),IF(RASANTE!F243&lt;=PERALTE!$Q$16,-2,IF(RASANTE!F243&lt;=PERALTE!$U$16,(10/(PERALTE!$U$16-PERALTE!$Q$16)*(RASANTE!F243-PERALTE!$Q$16)-2),IF(RASANTE!F243&lt;=PERALTE!$X$16,8,IF(RASANTE!F243&lt;=PERALTE!$AB$16,(10/(PERALTE!$X$16-PERALTE!$AB$16)*(RASANTE!F243-PERALTE!$AB$16)-2))))),IF(AND(AH!$H$20="Izquierda",RASANTE!F243&lt;=PERALTE!$AB$18),IF(RASANTE!F243&lt;=PERALTE!$S$18,-2,IF(RASANTE!F243&lt;=PERALTE!$U$18,(-6/(PERALTE!$U$18-PERALTE!$S$18)*(RASANTE!F243-PERALTE!$S$18)-2),IF(RASANTE!F243&lt;=PERALTE!$X$18,-8,IF(RASANTE!F243&lt;=PERALTE!$Z$18,(-6/(PERALTE!$X$18-PERALTE!$Z$18)*(RASANTE!F243-PERALTE!$Z$18)-2),IF(RASANTE!F243&lt;=PERALTE!$AB$18,-2))))),IF(AND(AH!$H$20="Derecha",RASANTE!F243&lt;=PERALTE!$AB$18),IF(RASANTE!F243&lt;=PERALTE!$Q$18,-2,IF(RASANTE!F243&lt;=PERALTE!$U$18,(10/(PERALTE!$U$18-PERALTE!$Q$18)*(RASANTE!F243-PERALTE!$Q$18)-2),IF(RASANTE!F243&lt;=PERALTE!$X$18,8,IF(RASANTE!F243&lt;=PERALTE!$AB$18,(10/(PERALTE!$X$18-PERALTE!$AB$18)*(RASANTE!F243-PERALTE!$AB$18)-2))))),IF(AND(AH!$H$24="Izquierda",RASANTE!F243&lt;=PERALTE!$AB$22),IF(RASANTE!F243&lt;=PERALTE!$S$22,-2,IF(RASANTE!F243&lt;=PERALTE!$U$22,(-6/(PERALTE!$U$22-PERALTE!$S$22)*(RASANTE!F243-PERALTE!$S$22)-2),IF(RASANTE!F243&lt;=PERALTE!$X$22,-8,IF(RASANTE!F243&lt;=PERALTE!$Z$22,(-6/(PERALTE!$X$22-PERALTE!$Z$22)*(RASANTE!F243-PERALTE!$Z$22)-2),IF(RASANTE!F243&lt;=PERALTE!$AB$22,-2))))),IF(AND(AH!$H$24="Derecha",RASANTE!F243&lt;=PERALTE!$AB$22),IF(RASANTE!F243&lt;=PERALTE!$Q$22,-2,IF(RASANTE!F243&lt;=PERALTE!$U$22,(10/(PERALTE!$U$22-PERALTE!$Q$22)*(RASANTE!F243-PERALTE!$Q$22)-2),IF(RASANTE!F243&lt;=PERALTE!$X$22,8,IF(RASANTE!F243&lt;=PERALTE!$AB$22,(10/(PERALTE!$X$22-PERALTE!$AB$22)*(RASANTE!F243-PERALTE!$AB$22)-2))))),IF(AND(AH!#REF!="Izquierda",RASANTE!F243&lt;=PERALTE!#REF!),IF(RASANTE!F243&lt;=PERALTE!#REF!,-2,IF(RASANTE!F243&lt;=PERALTE!#REF!,(-6/(PERALTE!#REF!-PERALTE!#REF!)*(RASANTE!F243-PERALTE!#REF!)-2),IF(RASANTE!F243&lt;=PERALTE!#REF!,-8,IF(RASANTE!F243&lt;=PERALTE!#REF!,(-6/(PERALTE!#REF!-PERALTE!#REF!)*(RASANTE!F243-PERALTE!#REF!)-2),IF(RASANTE!F243&lt;=PERALTE!#REF!,-2))))),IF(AND(AH!#REF!="Derecha",RASANTE!F243&lt;=PERALTE!#REF!),IF(RASANTE!F243&lt;=PERALTE!#REF!,-2,IF(RASANTE!F243&lt;=PERALTE!#REF!,(10/(PERALTE!#REF!-PERALTE!#REF!)*(RASANTE!F243-PERALTE!#REF!)-2),IF(RASANTE!F243&lt;=PERALTE!#REF!,8,IF(RASANTE!F243&lt;=PERALTE!#REF!,(10/(PERALTE!#REF!-PERALTE!#REF!)*(RASANTE!F243-PERALTE!#REF!)-2))))),IF(AND(AH!#REF!="Izquierda",RASANTE!F243&lt;=PERALTE!$AB$26),IF(RASANTE!F243&lt;=PERALTE!$S$26,-2,IF(RASANTE!F243&lt;=PERALTE!$U$26,(-6/(PERALTE!$U$26-PERALTE!$S$26)*(RASANTE!F243-PERALTE!$S$26)-2),IF(RASANTE!F243&lt;=PERALTE!$X$26,-8,IF(RASANTE!F243&lt;=PERALTE!$Z$26,(-6/(PERALTE!$X$26-PERALTE!$Z$26)*(RASANTE!F243-PERALTE!$Z$26)-2),IF(RASANTE!F243&lt;=PERALTE!$AB$26,-2))))),IF(AND(AH!#REF!="Derecha",RASANTE!F243&lt;=PERALTE!$AB$26),IF(RASANTE!F243&lt;=PERALTE!$Q$26,-2,IF(RASANTE!F243&lt;=PERALTE!$U$26,(10/(PERALTE!$U$26-PERALTE!$Q$26)*(RASANTE!F243-PERALTE!$Q$26)-2),IF(RASANTE!F243&lt;=PERALTE!$X$26,8,IF(RASANTE!F243&lt;=PERALTE!$AB$26,(10/(PERALTE!$X$26-PERALTE!$AB$26)*(RASANTE!F243-PERALTE!$AB$26)-2))))),IF(F243&lt;=PERALTE!#REF!,-2,"Abscisa fuera de la vía")))))))))))))))))))))</f>
        <v>1.5477414493847945</v>
      </c>
      <c r="I243" s="28">
        <f>+IF(AND(AH!$H$8="Derecha",RASANTE!F243&lt;=PERALTE!$AB$6),IF(RASANTE!F243&lt;=PERALTE!$S$6,-2,IF(RASANTE!F243&lt;=PERALTE!$U$6,(-6/(PERALTE!$U$6-PERALTE!$S$6)*(RASANTE!F243-PERALTE!$S$6)-2),IF(RASANTE!F243&lt;=PERALTE!$X$6,-8,IF(RASANTE!F243&lt;=PERALTE!$Z$6,(-6/(PERALTE!$X$6-PERALTE!$Z$6)*(RASANTE!F243-PERALTE!$Z$6)-2),IF(RASANTE!F243&lt;=PERALTE!$AB$6,-2))))),IF(AND(AH!$H$8="Izquierda",RASANTE!F243&lt;=PERALTE!$AB$6),IF(RASANTE!F243&lt;=PERALTE!$Q$6,-2,IF(RASANTE!F243&lt;=PERALTE!$U$6,(10/(PERALTE!$U$6-PERALTE!$Q$6)*(RASANTE!F243-PERALTE!$Q$6)-2),IF(RASANTE!F243&lt;=PERALTE!$X$6,8,IF(RASANTE!F243&lt;=PERALTE!$AB$6,(10/(PERALTE!$X$6-PERALTE!$AB$6)*(RASANTE!F243-PERALTE!$AB$6)-2))))),IF(AND(AH!$H$10="Derecha",RASANTE!F243&lt;=PERALTE!$AB$8),IF(RASANTE!F243&lt;=PERALTE!$S$8,-2,IF(RASANTE!F243&lt;=PERALTE!$U$8,(-6/(PERALTE!$U$8-PERALTE!$S$8)*(RASANTE!F243-PERALTE!$S$8)-2),IF(RASANTE!F243&lt;=PERALTE!$X$8,-8,IF(RASANTE!F243&lt;=PERALTE!$Z$8,(-6/(PERALTE!$X$8-PERALTE!$Z$8)*(RASANTE!F243-PERALTE!$Z$8)-2),IF(RASANTE!F243&lt;=PERALTE!$AB$8,-2))))),IF(AND(AH!$H$10="Izquierda",RASANTE!F243&lt;=PERALTE!$AB$8),IF(RASANTE!F243&lt;=PERALTE!$Q$8,-2,IF(RASANTE!F243&lt;=PERALTE!$U$8,(10/(PERALTE!$U$8-PERALTE!$Q$8)*(RASANTE!F243-PERALTE!$Q$8)-2),IF(RASANTE!F243&lt;=PERALTE!$X$8,8,IF(RASANTE!F243&lt;=PERALTE!$AB$8,(10/(PERALTE!$X$8-PERALTE!$AB$8)*(RASANTE!F243-PERALTE!$AB$8)-2))))),IF(AND(AH!$H$12="Derecha",RASANTE!F243&lt;=PERALTE!$AB$10),IF(RASANTE!F243&lt;=PERALTE!$S$10,-2,IF(RASANTE!F243&lt;=PERALTE!$U$10,(-6/(PERALTE!$U$10-PERALTE!$S$10)*(RASANTE!F243-PERALTE!$S$10)-2),IF(RASANTE!F243&lt;=PERALTE!$X$10,-8,IF(RASANTE!F243&lt;=PERALTE!$Z$10,(-6/(PERALTE!$X$10-PERALTE!$Z$10)*(RASANTE!F243-PERALTE!$Z$10)-2),IF(RASANTE!F243&lt;=PERALTE!$AB$10,-2))))),IF(AND(AH!$H$12="Izquierda",RASANTE!F243&lt;=PERALTE!$AB$10),IF(RASANTE!F243&lt;=PERALTE!$Q$10,-2,IF(RASANTE!F243&lt;=PERALTE!$U$10,(10/(PERALTE!$U$10-PERALTE!$Q$10)*(RASANTE!F243-PERALTE!$Q$10)-2),IF(RASANTE!F243&lt;=PERALTE!$X$10,8,IF(RASANTE!F243&lt;=PERALTE!$AB$10,(10/(PERALTE!$X$10-PERALTE!$AB$10)*(RASANTE!F243-PERALTE!$AB$10)-2))))),IF(AND(AH!$H$14="Derecha",RASANTE!F243&lt;=PERALTE!$AB$12),IF(RASANTE!F243&lt;=PERALTE!$S$12,-2,IF(RASANTE!F243&lt;=PERALTE!$U$12,(-6/(PERALTE!$U$12-PERALTE!$S$12)*(RASANTE!F243-PERALTE!$S$12)-2),IF(RASANTE!F243&lt;=PERALTE!$X$12,-8,IF(RASANTE!F243&lt;=PERALTE!$Z$12,(-6/(PERALTE!$X$12-PERALTE!$Z$12)*(RASANTE!F243-PERALTE!$Z$12)-2),IF(RASANTE!F243&lt;=PERALTE!$AB$12,-2))))),IF(AND(AH!$H$14="Izquierda",RASANTE!F243&lt;=PERALTE!$AB$12),IF(RASANTE!F243&lt;=PERALTE!$Q$12,-2,IF(RASANTE!F243&lt;=PERALTE!$U$12,(10/(PERALTE!$U$12-PERALTE!$Q$12)*(RASANTE!F243-PERALTE!$Q$12)-2),IF(RASANTE!F243&lt;=PERALTE!$X$12,8,IF(RASANTE!F243&lt;=PERALTE!$AB$12,(10/(PERALTE!$X$12-PERALTE!$AB$12)*(RASANTE!F243-PERALTE!$AB$12)-2))))),IF(AND(AH!$H$16="Derecha",RASANTE!F243&lt;=PERALTE!$AB$14),IF(RASANTE!F243&lt;=PERALTE!$S$14,-2,IF(RASANTE!F243&lt;=PERALTE!$U$14,(-6/(PERALTE!$U$14-PERALTE!$S$14)*(RASANTE!F243-PERALTE!$S$14)-2),IF(RASANTE!F243&lt;=PERALTE!$X$14,-8,IF(RASANTE!F243&lt;=PERALTE!$Z$14,(-6/(PERALTE!$X$14-PERALTE!$Z$14)*(RASANTE!F243-PERALTE!$Z$14)-2),IF(RASANTE!F243&lt;=PERALTE!$AB$14,-2))))),IF(AND(AH!$H$16="Izquierda",RASANTE!F243&lt;=PERALTE!$AB$14),IF(RASANTE!F243&lt;=PERALTE!$Q$14,-2,IF(RASANTE!F243&lt;=PERALTE!$U$14,(10/(PERALTE!$U$14-PERALTE!$Q$14)*(RASANTE!F243-PERALTE!$Q$14)-2),IF(RASANTE!F243&lt;=PERALTE!$X$14,8,IF(RASANTE!F243&lt;=PERALTE!$AB$14,(10/(PERALTE!$X$14-PERALTE!$AB$14)*(RASANTE!F243-PERALTE!$AB$14)-2))))),IF(AND(AH!$H$18="Derecha",RASANTE!F243&lt;=PERALTE!$AB$16),IF(RASANTE!F243&lt;=PERALTE!$S$16,-2,IF(RASANTE!F243&lt;=PERALTE!$U$16,(-6/(PERALTE!$U$16-PERALTE!$S$16)*(RASANTE!F243-PERALTE!$S$16)-2),IF(RASANTE!F243&lt;=PERALTE!$X$16,-8,IF(RASANTE!F243&lt;=PERALTE!$Z$16,(-6/(PERALTE!$X$16-PERALTE!$Z$16)*(RASANTE!F243-PERALTE!$Z$16)-2),IF(RASANTE!F243&lt;=PERALTE!$AB$16,-2))))),IF(AND(AH!$H$18="Izquierda",RASANTE!F243&lt;=PERALTE!$AB$16),IF(RASANTE!F243&lt;=PERALTE!$Q$16,-2,IF(RASANTE!F243&lt;=PERALTE!$U$16,(10/(PERALTE!$U$16-PERALTE!$Q$16)*(RASANTE!F243-PERALTE!$Q$16)-2),IF(RASANTE!F243&lt;=PERALTE!$X$16,8,IF(RASANTE!F243&lt;=PERALTE!$AB$16,(10/(PERALTE!$X$16-PERALTE!$AB$16)*(RASANTE!F243-PERALTE!$AB$16)-2))))),IF(AND(AH!$H$20="Derecha",RASANTE!F243&lt;=PERALTE!$AB$18),IF(RASANTE!F243&lt;=PERALTE!$S$18,-2,IF(RASANTE!F243&lt;=PERALTE!$U$18,(-6/(PERALTE!$U$18-PERALTE!$S$18)*(RASANTE!F243-PERALTE!$S$18)-2),IF(RASANTE!F243&lt;=PERALTE!$X$18,-8,IF(RASANTE!F243&lt;=PERALTE!$Z$18,(-6/(PERALTE!$X$18-PERALTE!$Z$18)*(RASANTE!F243-PERALTE!$Z$18)-2),IF(RASANTE!F243&lt;=PERALTE!$AB$18,-2))))),IF(AND(AH!$H$20="Izquierda",RASANTE!F243&lt;=PERALTE!$AB$18),IF(RASANTE!F243&lt;=PERALTE!$Q$18,-2,IF(RASANTE!F243&lt;=PERALTE!$U$18,(10/(PERALTE!$U$18-PERALTE!$Q$18)*(RASANTE!F243-PERALTE!$Q$18)-2),IF(RASANTE!F243&lt;=PERALTE!$X$18,8,IF(RASANTE!F243&lt;=PERALTE!$AB$18,(10/(PERALTE!$X$18-PERALTE!$AB$18)*(RASANTE!F243-PERALTE!$AB$18)-2))))),IF(AND(AH!$H$24="Derecha",RASANTE!F243&lt;=PERALTE!$AB$22),IF(RASANTE!F243&lt;=PERALTE!$S$22,-2,IF(RASANTE!F243&lt;=PERALTE!$U$22,(-6/(PERALTE!$U$22-PERALTE!$S$22)*(RASANTE!F243-PERALTE!$S$22)-2),IF(RASANTE!F243&lt;=PERALTE!$X$22,-8,IF(RASANTE!F243&lt;=PERALTE!$Z$22,(-6/(PERALTE!$X$22-PERALTE!$Z$22)*(RASANTE!F243-PERALTE!$Z$22)-2),IF(RASANTE!F243&lt;=PERALTE!$AB$22,-2))))),IF(AND(AH!$H$24="Izquierda",RASANTE!F243&lt;=PERALTE!$AB$22),IF(RASANTE!F243&lt;=PERALTE!$Q$22,-2,IF(RASANTE!F243&lt;=PERALTE!$U$22,(10/(PERALTE!$U$22-PERALTE!$Q$22)*(RASANTE!F243-PERALTE!$Q$22)-2),IF(RASANTE!F243&lt;=PERALTE!$X$22,8,IF(RASANTE!F243&lt;=PERALTE!$AB$22,(10/(PERALTE!$X$22-PERALTE!$AB$22)*(RASANTE!F243-PERALTE!$AB$22)-2))))),IF(AND(AH!#REF!="Derecha",RASANTE!F243&lt;=PERALTE!#REF!),IF(RASANTE!F243&lt;=PERALTE!#REF!,-2,IF(RASANTE!F243&lt;=PERALTE!#REF!,(-6/(PERALTE!#REF!-PERALTE!#REF!)*(RASANTE!F243-PERALTE!#REF!)-2),IF(RASANTE!F243&lt;=PERALTE!#REF!,-8,IF(RASANTE!F243&lt;=PERALTE!#REF!,(-6/(PERALTE!#REF!-PERALTE!#REF!)*(RASANTE!F243-PERALTE!#REF!)-2),IF(RASANTE!F243&lt;=PERALTE!#REF!,-2))))),IF(AND(AH!#REF!="Izquierda",RASANTE!F243&lt;=PERALTE!#REF!),IF(RASANTE!F243&lt;=PERALTE!#REF!,-2,IF(RASANTE!F243&lt;=PERALTE!#REF!,(10/(PERALTE!#REF!-PERALTE!#REF!)*(RASANTE!F243-PERALTE!#REF!)-2),IF(RASANTE!F243&lt;=PERALTE!#REF!,8,IF(RASANTE!F243&lt;=PERALTE!#REF!,(10/(PERALTE!#REF!-PERALTE!#REF!)*(RASANTE!F243-PERALTE!#REF!)-2))))),IF(AND(AH!#REF!="Derecha",RASANTE!F243&lt;=PERALTE!$AB$26),IF(RASANTE!F243&lt;=PERALTE!$S$26,-2,IF(RASANTE!F243&lt;=PERALTE!$U$26,(-6/(PERALTE!$U$26-PERALTE!$S$26)*(RASANTE!F243-PERALTE!$S$26)-2),IF(RASANTE!F243&lt;=PERALTE!$X$26,-8,IF(RASANTE!F243&lt;=PERALTE!$Z$26,(-6/(PERALTE!$X$26-PERALTE!$Z$26)*(RASANTE!F243-PERALTE!$Z$26)-2),IF(RASANTE!F243&lt;=PERALTE!$AB$26,-2))))),IF(AND(AH!#REF!="Izquierda",RASANTE!F243&lt;=PERALTE!$AB$26),IF(RASANTE!F243&lt;=PERALTE!$Q$26,-2,IF(RASANTE!F243&lt;=PERALTE!$U$26,(10/(PERALTE!$U$26-PERALTE!$Q$26)*(RASANTE!F243-PERALTE!$Q$26)-2),IF(RASANTE!F243&lt;=PERALTE!$X$26,8,IF(RASANTE!F243&lt;=PERALTE!$AB$26,(10/(PERALTE!$X$26-PERALTE!$AB$26)*(RASANTE!F243-PERALTE!$AB$26)-2))))),IF(F243&lt;=PERALTE!#REF!,-2,"Abscisa fuera de la vía")))))))))))))))))))))</f>
        <v>-2</v>
      </c>
      <c r="J243" s="28">
        <f t="shared" si="11"/>
        <v>1633.072928464898</v>
      </c>
      <c r="K243" s="28">
        <f>+IF(AND(AV!$S$6&lt;F243,F243&lt;=AV!$T$6),AV!$P$6*((AV!$S$6-RASANTE!F243)/(AV!$N$6))^2,IF(AND(AV!$T$6&lt;RASANTE!F243,F243&lt;AV!$U$6),AV!$P$6*((AV!$U$6-RASANTE!F243)/(AV!$O$6))^2,IF(AND(AV!$S$8&lt;F243,F243&lt;=AV!$T$8),AV!$P$8*((AV!$S$8-RASANTE!F243)/(AV!$N$8))^2,IF(AND(AV!$T$8&lt;RASANTE!F243,F243&lt;AV!$U$8),AV!$P$8*((AV!$U$8-RASANTE!F243)/(AV!$O$8))^2,IF(AND(AV!$S$10&lt;F243,F243&lt;=AV!$T$10),AV!$P$10*((AV!$S$10-RASANTE!F243)/(AV!$N$10))^2,IF(AND(AV!$T$10&lt;RASANTE!F243,F243&lt;AV!$U$10),AV!$P$10*((AV!$U$10-RASANTE!F243)/(AV!$O$10))^2,IF(AND(AV!$S$12&lt;F243,F243&lt;=AV!$T$12),AV!$P$12*((AV!$S$12-RASANTE!F243)/(AV!$N$12))^2,IF(AND(AV!$T$12&lt;RASANTE!F243,F243&lt;AV!$U$12),AV!$P$12*((AV!$U$12-RASANTE!F243)/(AV!$O$12))^2,IF(AND(AV!$S$14&lt;F243,F243&lt;=AV!$T$14),AV!$P$14*((AV!$S$14-RASANTE!F243)/(AV!$N$14))^2,IF(AND(AV!$T$14&lt;RASANTE!F243,F243&lt;AV!$U$14),AV!$P$14*((AV!$U$14-RASANTE!F243)/(AV!$O$14))^2,IF(AND(AV!$S$16&lt;F243,F243&lt;=AV!$T$16),AV!$P$16*((AV!$S$16-RASANTE!F243)/(AV!$N$16))^2,IF(AND(AV!$T$16&lt;RASANTE!F243,F243&lt;AV!$U$16),AV!$P$16*((AV!$U$16-RASANTE!F243)/(AV!$O$16))^2,IF(AND(AV!$S$18&lt;F243,F243&lt;=AV!$T$18),AV!$P$18*((AV!$S$18-RASANTE!F243)/(AV!$N$18))^2,IF(AND(AV!$T$18&lt;RASANTE!F243,F243&lt;AV!$U$18),AV!$P$18*((AV!$U$18-RASANTE!F243)/(AV!$O$18))^2,IF(AND(AV!$S$20&lt;F243,F243&lt;=AV!$T$20),AV!$P$20*((AV!$S$20-RASANTE!F243)/(AV!$N$20))^2,IF(AND(AV!$T$20&lt;RASANTE!F243,F243&lt;AV!$U$20),AV!$P$20*((AV!$U$20-RASANTE!F243)/(AV!$O$20))^2,IF(AND(AV!$S$22&lt;F243,F243&lt;=AV!$T$22),AV!$P$22*((AV!$S$22-RASANTE!F243)/(AV!$N$22))^2,IF(AND(AV!$T$22&lt;RASANTE!F243,F243&lt;AV!$U$22),AV!$P$22*((AV!$U$22-RASANTE!F243)/(AV!$O$22))^2,IF(AND(AV!$S$24&lt;F243,F243&lt;=AV!$T$24),AV!$P$24*((AV!$S$24-RASANTE!F243)/(AV!$N$24))^2,IF(AND(AV!$T$24&lt;RASANTE!F243,F243&lt;AV!$U$24),AV!$P$24*((AV!$U$24-RASANTE!F243)/(AV!$O$24))^2,0))))))))))))))))))))</f>
        <v>0</v>
      </c>
      <c r="L243" s="28">
        <f>+M243+H243%*PERALTE!$C$32</f>
        <v>1633.1270994156266</v>
      </c>
      <c r="M243" s="28">
        <f t="shared" si="12"/>
        <v>1633.072928464898</v>
      </c>
      <c r="N243" s="28">
        <f>+M243+I243%*PERALTE!$C$32</f>
        <v>1633.0029284648981</v>
      </c>
      <c r="O243" s="92"/>
      <c r="P243" s="84"/>
      <c r="Q243" s="84"/>
      <c r="R243" s="84"/>
      <c r="S243" s="84"/>
      <c r="T243" s="84"/>
      <c r="U243" s="84"/>
      <c r="V243" s="84"/>
      <c r="W243" s="84"/>
      <c r="X243" s="84"/>
      <c r="Y243" s="84"/>
    </row>
    <row r="244" spans="1:25" ht="15.75" customHeight="1" x14ac:dyDescent="0.2">
      <c r="A244" s="90" t="s">
        <v>370</v>
      </c>
      <c r="F244" s="34">
        <f>PERALTE!S18</f>
        <v>1492.0557206846145</v>
      </c>
      <c r="G244" s="88">
        <f>IF(F244&lt;=AV!$T$6,AV!$C$5,IF(RASANTE!F244&lt;=AV!$T$8,AV!$C$7,IF(RASANTE!F244&lt;=AV!$T$10,AV!$C$9,IF(RASANTE!F244&lt;=AV!$T$12,AV!$C$11,IF(RASANTE!F244&lt;=AV!$T$14,AV!$C$13,IF(RASANTE!F244&lt;=AV!$T$16,AV!$C$15, IF(RASANTE!F244&lt;=AV!$T$18,AV!$C$17,IF(RASANTE!F244&lt;=AV!$T$20,AV!$C$19,IF(RASANTE!F244&lt;=AV!$T$22,AV!$C$21,IF(RASANTE!F244&lt;=AV!$T$24,AV!$C$23,AV!$C$25))))))))))</f>
        <v>2.8</v>
      </c>
      <c r="H244" s="28">
        <f>+IF(AND(AH!$H$8="Izquierda",RASANTE!F244&lt;=PERALTE!$AB$6),IF(RASANTE!F244&lt;=PERALTE!$S$6,-2,IF(RASANTE!F244&lt;=PERALTE!$U$6,(-6/(PERALTE!$U$6-PERALTE!$S$6)*(RASANTE!F244-PERALTE!$S$6)-2),IF(RASANTE!F244&lt;=PERALTE!$X$6,-8,IF(RASANTE!F244&lt;=PERALTE!$Z$6,(-6/(PERALTE!$X$6-PERALTE!$Z$6)*(RASANTE!F244-PERALTE!$Z$6)-2),IF(RASANTE!F244&lt;=PERALTE!$AB$6,-2))))),IF(AND(AH!$H$8="Derecha",RASANTE!F244&lt;=PERALTE!$AB$6),IF(RASANTE!F244&lt;=PERALTE!$Q$6,-2,IF(RASANTE!F244&lt;=PERALTE!$U$6,(10/(PERALTE!$U$6-PERALTE!$Q$6)*(RASANTE!F244-PERALTE!$Q$6)-2),IF(RASANTE!F244&lt;=PERALTE!$X$6,8,IF(RASANTE!F244&lt;=PERALTE!$AB$6,(10/(PERALTE!$X$6-PERALTE!$AB$6)*(RASANTE!F244-PERALTE!$AB$6)-2))))),IF(AND(AH!$H$10="Izquierda",RASANTE!F244&lt;=PERALTE!$AB$8),IF(RASANTE!F244&lt;=PERALTE!$S$8,-2,IF(RASANTE!F244&lt;=PERALTE!$U$8,(-6/(PERALTE!$U$8-PERALTE!$S$8)*(RASANTE!F244-PERALTE!$S$8)-2),IF(RASANTE!F244&lt;=PERALTE!$X$8,-8,IF(RASANTE!F244&lt;=PERALTE!$Z$8,(-6/(PERALTE!$X$8-PERALTE!$Z$8)*(RASANTE!F244-PERALTE!$Z$8)-2),IF(RASANTE!F244&lt;=PERALTE!$AB$8,-2))))),IF(AND(AH!$H$10="Derecha",RASANTE!F244&lt;=PERALTE!$AB$8),IF(RASANTE!F244&lt;=PERALTE!$Q$8,-2,IF(RASANTE!F244&lt;=PERALTE!$U$8,(10/(PERALTE!$U$8-PERALTE!$Q$8)*(RASANTE!F244-PERALTE!$Q$8)-2),IF(RASANTE!F244&lt;=PERALTE!$X$8,8,IF(RASANTE!F244&lt;=PERALTE!$AB$8,(10/(PERALTE!$X$8-PERALTE!$AB$8)*(RASANTE!F244-PERALTE!$AB$8)-2))))),IF(AND(AH!$H$12="Izquierda",RASANTE!F244&lt;=PERALTE!$AB$10),IF(RASANTE!F244&lt;=PERALTE!$S$10,-2,IF(RASANTE!F244&lt;=PERALTE!$U$10,(-6/(PERALTE!$U$10-PERALTE!$S$10)*(RASANTE!F244-PERALTE!$S$10)-2),IF(RASANTE!F244&lt;=PERALTE!$X$10,-8,IF(RASANTE!F244&lt;=PERALTE!$Z$10,(-6/(PERALTE!$X$10-PERALTE!$Z$10)*(RASANTE!F244-PERALTE!$Z$10)-2),IF(RASANTE!F244&lt;=PERALTE!$AB$10,-2))))),IF(AND(AH!$H$12="Derecha",RASANTE!F244&lt;=PERALTE!$AB$10),IF(RASANTE!F244&lt;=PERALTE!$Q$10,-2,IF(RASANTE!F244&lt;=PERALTE!$U$10,(10/(PERALTE!$U$10-PERALTE!$Q$10)*(RASANTE!F244-PERALTE!$Q$10)-2),IF(RASANTE!F244&lt;=PERALTE!$X$10,8,IF(RASANTE!F244&lt;=PERALTE!$AB$10,(10/(PERALTE!$X$10-PERALTE!$AB$10)*(RASANTE!F244-PERALTE!$AB$10)-2))))),IF(AND(AH!$H$14="Izquierda",RASANTE!F244&lt;=PERALTE!$AB$12),IF(RASANTE!F244&lt;=PERALTE!$S$12,-2,IF(RASANTE!F244&lt;=PERALTE!$U$12,(-6/(PERALTE!$U$12-PERALTE!$S$12)*(RASANTE!F244-PERALTE!$S$12)-2),IF(RASANTE!F244&lt;=PERALTE!$X$12,-8,IF(RASANTE!F244&lt;=PERALTE!$Z$12,(-6/(PERALTE!$X$12-PERALTE!$Z$12)*(RASANTE!F244-PERALTE!$Z$12)-2),IF(RASANTE!F244&lt;=PERALTE!$AB$12,-2))))),IF(AND(AH!$H$14="Derecha",RASANTE!F244&lt;=PERALTE!$AB$12),IF(RASANTE!F244&lt;=PERALTE!$Q$12,-2,IF(RASANTE!F244&lt;=PERALTE!$U$12,(10/(PERALTE!$U$12-PERALTE!$Q$12)*(RASANTE!F244-PERALTE!$Q$12)-2),IF(RASANTE!F244&lt;=PERALTE!$X$12,8,IF(RASANTE!F244&lt;=PERALTE!$AB$12,(10/(PERALTE!$X$12-PERALTE!$AB$12)*(RASANTE!F244-PERALTE!$AB$12)-2))))),IF(AND(AH!$H$16="Izquierda",RASANTE!F244&lt;=PERALTE!$AB$14),IF(RASANTE!F244&lt;=PERALTE!$S$14,-2,IF(RASANTE!F244&lt;=PERALTE!$U$14,(-6/(PERALTE!$U$14-PERALTE!$S$14)*(RASANTE!F244-PERALTE!$S$14)-2),IF(RASANTE!F244&lt;=PERALTE!$X$14,-8,IF(RASANTE!F244&lt;=PERALTE!$Z$14,(-6/(PERALTE!$X$14-PERALTE!$Z$14)*(RASANTE!F244-PERALTE!$Z$14)-2),IF(RASANTE!F244&lt;=PERALTE!$AB$14,-2))))),IF(AND(AH!$H$16="Derecha",RASANTE!F244&lt;=PERALTE!$AB$14),IF(RASANTE!F244&lt;=PERALTE!$Q$14,-2,IF(RASANTE!F244&lt;=PERALTE!$U$14,(10/(PERALTE!$U$14-PERALTE!$Q$14)*(RASANTE!F244-PERALTE!$Q$14)-2),IF(RASANTE!F244&lt;=PERALTE!$X$14,8,IF(RASANTE!F244&lt;=PERALTE!$AB$14,(10/(PERALTE!$X$14-PERALTE!$AB$14)*(RASANTE!F244-PERALTE!$AB$14)-2))))),IF(AND(AH!$H$18="Izquierda",RASANTE!F244&lt;=PERALTE!$AB$16),IF(RASANTE!F244&lt;=PERALTE!$S$16,-2,IF(RASANTE!F244&lt;=PERALTE!$U$16,(-6/(PERALTE!$U$16-PERALTE!$S$16)*(RASANTE!F244-PERALTE!$S$16)-2),IF(RASANTE!F244&lt;=PERALTE!$X$16,-8,IF(RASANTE!F244&lt;=PERALTE!$Z$16,(-6/(PERALTE!$X$16-PERALTE!$Z$16)*(RASANTE!F244-PERALTE!$Z$16)-2),IF(RASANTE!F244&lt;=PERALTE!$AB$16,-2))))),IF(AND(AH!$H$18="Derecha",RASANTE!F244&lt;=PERALTE!$AB$16),IF(RASANTE!F244&lt;=PERALTE!$Q$16,-2,IF(RASANTE!F244&lt;=PERALTE!$U$16,(10/(PERALTE!$U$16-PERALTE!$Q$16)*(RASANTE!F244-PERALTE!$Q$16)-2),IF(RASANTE!F244&lt;=PERALTE!$X$16,8,IF(RASANTE!F244&lt;=PERALTE!$AB$16,(10/(PERALTE!$X$16-PERALTE!$AB$16)*(RASANTE!F244-PERALTE!$AB$16)-2))))),IF(AND(AH!$H$20="Izquierda",RASANTE!F244&lt;=PERALTE!$AB$18),IF(RASANTE!F244&lt;=PERALTE!$S$18,-2,IF(RASANTE!F244&lt;=PERALTE!$U$18,(-6/(PERALTE!$U$18-PERALTE!$S$18)*(RASANTE!F244-PERALTE!$S$18)-2),IF(RASANTE!F244&lt;=PERALTE!$X$18,-8,IF(RASANTE!F244&lt;=PERALTE!$Z$18,(-6/(PERALTE!$X$18-PERALTE!$Z$18)*(RASANTE!F244-PERALTE!$Z$18)-2),IF(RASANTE!F244&lt;=PERALTE!$AB$18,-2))))),IF(AND(AH!$H$20="Derecha",RASANTE!F244&lt;=PERALTE!$AB$18),IF(RASANTE!F244&lt;=PERALTE!$Q$18,-2,IF(RASANTE!F244&lt;=PERALTE!$U$18,(10/(PERALTE!$U$18-PERALTE!$Q$18)*(RASANTE!F244-PERALTE!$Q$18)-2),IF(RASANTE!F244&lt;=PERALTE!$X$18,8,IF(RASANTE!F244&lt;=PERALTE!$AB$18,(10/(PERALTE!$X$18-PERALTE!$AB$18)*(RASANTE!F244-PERALTE!$AB$18)-2))))),IF(AND(AH!$H$24="Izquierda",RASANTE!F244&lt;=PERALTE!$AB$22),IF(RASANTE!F244&lt;=PERALTE!$S$22,-2,IF(RASANTE!F244&lt;=PERALTE!$U$22,(-6/(PERALTE!$U$22-PERALTE!$S$22)*(RASANTE!F244-PERALTE!$S$22)-2),IF(RASANTE!F244&lt;=PERALTE!$X$22,-8,IF(RASANTE!F244&lt;=PERALTE!$Z$22,(-6/(PERALTE!$X$22-PERALTE!$Z$22)*(RASANTE!F244-PERALTE!$Z$22)-2),IF(RASANTE!F244&lt;=PERALTE!$AB$22,-2))))),IF(AND(AH!$H$24="Derecha",RASANTE!F244&lt;=PERALTE!$AB$22),IF(RASANTE!F244&lt;=PERALTE!$Q$22,-2,IF(RASANTE!F244&lt;=PERALTE!$U$22,(10/(PERALTE!$U$22-PERALTE!$Q$22)*(RASANTE!F244-PERALTE!$Q$22)-2),IF(RASANTE!F244&lt;=PERALTE!$X$22,8,IF(RASANTE!F244&lt;=PERALTE!$AB$22,(10/(PERALTE!$X$22-PERALTE!$AB$22)*(RASANTE!F244-PERALTE!$AB$22)-2))))),IF(AND(AH!#REF!="Izquierda",RASANTE!F244&lt;=PERALTE!#REF!),IF(RASANTE!F244&lt;=PERALTE!#REF!,-2,IF(RASANTE!F244&lt;=PERALTE!#REF!,(-6/(PERALTE!#REF!-PERALTE!#REF!)*(RASANTE!F244-PERALTE!#REF!)-2),IF(RASANTE!F244&lt;=PERALTE!#REF!,-8,IF(RASANTE!F244&lt;=PERALTE!#REF!,(-6/(PERALTE!#REF!-PERALTE!#REF!)*(RASANTE!F244-PERALTE!#REF!)-2),IF(RASANTE!F244&lt;=PERALTE!#REF!,-2))))),IF(AND(AH!#REF!="Derecha",RASANTE!F244&lt;=PERALTE!#REF!),IF(RASANTE!F244&lt;=PERALTE!#REF!,-2,IF(RASANTE!F244&lt;=PERALTE!#REF!,(10/(PERALTE!#REF!-PERALTE!#REF!)*(RASANTE!F244-PERALTE!#REF!)-2),IF(RASANTE!F244&lt;=PERALTE!#REF!,8,IF(RASANTE!F244&lt;=PERALTE!#REF!,(10/(PERALTE!#REF!-PERALTE!#REF!)*(RASANTE!F244-PERALTE!#REF!)-2))))),IF(AND(AH!#REF!="Izquierda",RASANTE!F244&lt;=PERALTE!$AB$26),IF(RASANTE!F244&lt;=PERALTE!$S$26,-2,IF(RASANTE!F244&lt;=PERALTE!$U$26,(-6/(PERALTE!$U$26-PERALTE!$S$26)*(RASANTE!F244-PERALTE!$S$26)-2),IF(RASANTE!F244&lt;=PERALTE!$X$26,-8,IF(RASANTE!F244&lt;=PERALTE!$Z$26,(-6/(PERALTE!$X$26-PERALTE!$Z$26)*(RASANTE!F244-PERALTE!$Z$26)-2),IF(RASANTE!F244&lt;=PERALTE!$AB$26,-2))))),IF(AND(AH!#REF!="Derecha",RASANTE!F244&lt;=PERALTE!$AB$26),IF(RASANTE!F244&lt;=PERALTE!$Q$26,-2,IF(RASANTE!F244&lt;=PERALTE!$U$26,(10/(PERALTE!$U$26-PERALTE!$Q$26)*(RASANTE!F244-PERALTE!$Q$26)-2),IF(RASANTE!F244&lt;=PERALTE!$X$26,8,IF(RASANTE!F244&lt;=PERALTE!$AB$26,(10/(PERALTE!$X$26-PERALTE!$AB$26)*(RASANTE!F244-PERALTE!$AB$26)-2))))),IF(F244&lt;=PERALTE!#REF!,-2,"Abscisa fuera de la vía")))))))))))))))))))))</f>
        <v>1.9999999999999796</v>
      </c>
      <c r="I244" s="28">
        <f>+IF(AND(AH!$H$8="Derecha",RASANTE!F244&lt;=PERALTE!$AB$6),IF(RASANTE!F244&lt;=PERALTE!$S$6,-2,IF(RASANTE!F244&lt;=PERALTE!$U$6,(-6/(PERALTE!$U$6-PERALTE!$S$6)*(RASANTE!F244-PERALTE!$S$6)-2),IF(RASANTE!F244&lt;=PERALTE!$X$6,-8,IF(RASANTE!F244&lt;=PERALTE!$Z$6,(-6/(PERALTE!$X$6-PERALTE!$Z$6)*(RASANTE!F244-PERALTE!$Z$6)-2),IF(RASANTE!F244&lt;=PERALTE!$AB$6,-2))))),IF(AND(AH!$H$8="Izquierda",RASANTE!F244&lt;=PERALTE!$AB$6),IF(RASANTE!F244&lt;=PERALTE!$Q$6,-2,IF(RASANTE!F244&lt;=PERALTE!$U$6,(10/(PERALTE!$U$6-PERALTE!$Q$6)*(RASANTE!F244-PERALTE!$Q$6)-2),IF(RASANTE!F244&lt;=PERALTE!$X$6,8,IF(RASANTE!F244&lt;=PERALTE!$AB$6,(10/(PERALTE!$X$6-PERALTE!$AB$6)*(RASANTE!F244-PERALTE!$AB$6)-2))))),IF(AND(AH!$H$10="Derecha",RASANTE!F244&lt;=PERALTE!$AB$8),IF(RASANTE!F244&lt;=PERALTE!$S$8,-2,IF(RASANTE!F244&lt;=PERALTE!$U$8,(-6/(PERALTE!$U$8-PERALTE!$S$8)*(RASANTE!F244-PERALTE!$S$8)-2),IF(RASANTE!F244&lt;=PERALTE!$X$8,-8,IF(RASANTE!F244&lt;=PERALTE!$Z$8,(-6/(PERALTE!$X$8-PERALTE!$Z$8)*(RASANTE!F244-PERALTE!$Z$8)-2),IF(RASANTE!F244&lt;=PERALTE!$AB$8,-2))))),IF(AND(AH!$H$10="Izquierda",RASANTE!F244&lt;=PERALTE!$AB$8),IF(RASANTE!F244&lt;=PERALTE!$Q$8,-2,IF(RASANTE!F244&lt;=PERALTE!$U$8,(10/(PERALTE!$U$8-PERALTE!$Q$8)*(RASANTE!F244-PERALTE!$Q$8)-2),IF(RASANTE!F244&lt;=PERALTE!$X$8,8,IF(RASANTE!F244&lt;=PERALTE!$AB$8,(10/(PERALTE!$X$8-PERALTE!$AB$8)*(RASANTE!F244-PERALTE!$AB$8)-2))))),IF(AND(AH!$H$12="Derecha",RASANTE!F244&lt;=PERALTE!$AB$10),IF(RASANTE!F244&lt;=PERALTE!$S$10,-2,IF(RASANTE!F244&lt;=PERALTE!$U$10,(-6/(PERALTE!$U$10-PERALTE!$S$10)*(RASANTE!F244-PERALTE!$S$10)-2),IF(RASANTE!F244&lt;=PERALTE!$X$10,-8,IF(RASANTE!F244&lt;=PERALTE!$Z$10,(-6/(PERALTE!$X$10-PERALTE!$Z$10)*(RASANTE!F244-PERALTE!$Z$10)-2),IF(RASANTE!F244&lt;=PERALTE!$AB$10,-2))))),IF(AND(AH!$H$12="Izquierda",RASANTE!F244&lt;=PERALTE!$AB$10),IF(RASANTE!F244&lt;=PERALTE!$Q$10,-2,IF(RASANTE!F244&lt;=PERALTE!$U$10,(10/(PERALTE!$U$10-PERALTE!$Q$10)*(RASANTE!F244-PERALTE!$Q$10)-2),IF(RASANTE!F244&lt;=PERALTE!$X$10,8,IF(RASANTE!F244&lt;=PERALTE!$AB$10,(10/(PERALTE!$X$10-PERALTE!$AB$10)*(RASANTE!F244-PERALTE!$AB$10)-2))))),IF(AND(AH!$H$14="Derecha",RASANTE!F244&lt;=PERALTE!$AB$12),IF(RASANTE!F244&lt;=PERALTE!$S$12,-2,IF(RASANTE!F244&lt;=PERALTE!$U$12,(-6/(PERALTE!$U$12-PERALTE!$S$12)*(RASANTE!F244-PERALTE!$S$12)-2),IF(RASANTE!F244&lt;=PERALTE!$X$12,-8,IF(RASANTE!F244&lt;=PERALTE!$Z$12,(-6/(PERALTE!$X$12-PERALTE!$Z$12)*(RASANTE!F244-PERALTE!$Z$12)-2),IF(RASANTE!F244&lt;=PERALTE!$AB$12,-2))))),IF(AND(AH!$H$14="Izquierda",RASANTE!F244&lt;=PERALTE!$AB$12),IF(RASANTE!F244&lt;=PERALTE!$Q$12,-2,IF(RASANTE!F244&lt;=PERALTE!$U$12,(10/(PERALTE!$U$12-PERALTE!$Q$12)*(RASANTE!F244-PERALTE!$Q$12)-2),IF(RASANTE!F244&lt;=PERALTE!$X$12,8,IF(RASANTE!F244&lt;=PERALTE!$AB$12,(10/(PERALTE!$X$12-PERALTE!$AB$12)*(RASANTE!F244-PERALTE!$AB$12)-2))))),IF(AND(AH!$H$16="Derecha",RASANTE!F244&lt;=PERALTE!$AB$14),IF(RASANTE!F244&lt;=PERALTE!$S$14,-2,IF(RASANTE!F244&lt;=PERALTE!$U$14,(-6/(PERALTE!$U$14-PERALTE!$S$14)*(RASANTE!F244-PERALTE!$S$14)-2),IF(RASANTE!F244&lt;=PERALTE!$X$14,-8,IF(RASANTE!F244&lt;=PERALTE!$Z$14,(-6/(PERALTE!$X$14-PERALTE!$Z$14)*(RASANTE!F244-PERALTE!$Z$14)-2),IF(RASANTE!F244&lt;=PERALTE!$AB$14,-2))))),IF(AND(AH!$H$16="Izquierda",RASANTE!F244&lt;=PERALTE!$AB$14),IF(RASANTE!F244&lt;=PERALTE!$Q$14,-2,IF(RASANTE!F244&lt;=PERALTE!$U$14,(10/(PERALTE!$U$14-PERALTE!$Q$14)*(RASANTE!F244-PERALTE!$Q$14)-2),IF(RASANTE!F244&lt;=PERALTE!$X$14,8,IF(RASANTE!F244&lt;=PERALTE!$AB$14,(10/(PERALTE!$X$14-PERALTE!$AB$14)*(RASANTE!F244-PERALTE!$AB$14)-2))))),IF(AND(AH!$H$18="Derecha",RASANTE!F244&lt;=PERALTE!$AB$16),IF(RASANTE!F244&lt;=PERALTE!$S$16,-2,IF(RASANTE!F244&lt;=PERALTE!$U$16,(-6/(PERALTE!$U$16-PERALTE!$S$16)*(RASANTE!F244-PERALTE!$S$16)-2),IF(RASANTE!F244&lt;=PERALTE!$X$16,-8,IF(RASANTE!F244&lt;=PERALTE!$Z$16,(-6/(PERALTE!$X$16-PERALTE!$Z$16)*(RASANTE!F244-PERALTE!$Z$16)-2),IF(RASANTE!F244&lt;=PERALTE!$AB$16,-2))))),IF(AND(AH!$H$18="Izquierda",RASANTE!F244&lt;=PERALTE!$AB$16),IF(RASANTE!F244&lt;=PERALTE!$Q$16,-2,IF(RASANTE!F244&lt;=PERALTE!$U$16,(10/(PERALTE!$U$16-PERALTE!$Q$16)*(RASANTE!F244-PERALTE!$Q$16)-2),IF(RASANTE!F244&lt;=PERALTE!$X$16,8,IF(RASANTE!F244&lt;=PERALTE!$AB$16,(10/(PERALTE!$X$16-PERALTE!$AB$16)*(RASANTE!F244-PERALTE!$AB$16)-2))))),IF(AND(AH!$H$20="Derecha",RASANTE!F244&lt;=PERALTE!$AB$18),IF(RASANTE!F244&lt;=PERALTE!$S$18,-2,IF(RASANTE!F244&lt;=PERALTE!$U$18,(-6/(PERALTE!$U$18-PERALTE!$S$18)*(RASANTE!F244-PERALTE!$S$18)-2),IF(RASANTE!F244&lt;=PERALTE!$X$18,-8,IF(RASANTE!F244&lt;=PERALTE!$Z$18,(-6/(PERALTE!$X$18-PERALTE!$Z$18)*(RASANTE!F244-PERALTE!$Z$18)-2),IF(RASANTE!F244&lt;=PERALTE!$AB$18,-2))))),IF(AND(AH!$H$20="Izquierda",RASANTE!F244&lt;=PERALTE!$AB$18),IF(RASANTE!F244&lt;=PERALTE!$Q$18,-2,IF(RASANTE!F244&lt;=PERALTE!$U$18,(10/(PERALTE!$U$18-PERALTE!$Q$18)*(RASANTE!F244-PERALTE!$Q$18)-2),IF(RASANTE!F244&lt;=PERALTE!$X$18,8,IF(RASANTE!F244&lt;=PERALTE!$AB$18,(10/(PERALTE!$X$18-PERALTE!$AB$18)*(RASANTE!F244-PERALTE!$AB$18)-2))))),IF(AND(AH!$H$24="Derecha",RASANTE!F244&lt;=PERALTE!$AB$22),IF(RASANTE!F244&lt;=PERALTE!$S$22,-2,IF(RASANTE!F244&lt;=PERALTE!$U$22,(-6/(PERALTE!$U$22-PERALTE!$S$22)*(RASANTE!F244-PERALTE!$S$22)-2),IF(RASANTE!F244&lt;=PERALTE!$X$22,-8,IF(RASANTE!F244&lt;=PERALTE!$Z$22,(-6/(PERALTE!$X$22-PERALTE!$Z$22)*(RASANTE!F244-PERALTE!$Z$22)-2),IF(RASANTE!F244&lt;=PERALTE!$AB$22,-2))))),IF(AND(AH!$H$24="Izquierda",RASANTE!F244&lt;=PERALTE!$AB$22),IF(RASANTE!F244&lt;=PERALTE!$Q$22,-2,IF(RASANTE!F244&lt;=PERALTE!$U$22,(10/(PERALTE!$U$22-PERALTE!$Q$22)*(RASANTE!F244-PERALTE!$Q$22)-2),IF(RASANTE!F244&lt;=PERALTE!$X$22,8,IF(RASANTE!F244&lt;=PERALTE!$AB$22,(10/(PERALTE!$X$22-PERALTE!$AB$22)*(RASANTE!F244-PERALTE!$AB$22)-2))))),IF(AND(AH!#REF!="Derecha",RASANTE!F244&lt;=PERALTE!#REF!),IF(RASANTE!F244&lt;=PERALTE!#REF!,-2,IF(RASANTE!F244&lt;=PERALTE!#REF!,(-6/(PERALTE!#REF!-PERALTE!#REF!)*(RASANTE!F244-PERALTE!#REF!)-2),IF(RASANTE!F244&lt;=PERALTE!#REF!,-8,IF(RASANTE!F244&lt;=PERALTE!#REF!,(-6/(PERALTE!#REF!-PERALTE!#REF!)*(RASANTE!F244-PERALTE!#REF!)-2),IF(RASANTE!F244&lt;=PERALTE!#REF!,-2))))),IF(AND(AH!#REF!="Izquierda",RASANTE!F244&lt;=PERALTE!#REF!),IF(RASANTE!F244&lt;=PERALTE!#REF!,-2,IF(RASANTE!F244&lt;=PERALTE!#REF!,(10/(PERALTE!#REF!-PERALTE!#REF!)*(RASANTE!F244-PERALTE!#REF!)-2),IF(RASANTE!F244&lt;=PERALTE!#REF!,8,IF(RASANTE!F244&lt;=PERALTE!#REF!,(10/(PERALTE!#REF!-PERALTE!#REF!)*(RASANTE!F244-PERALTE!#REF!)-2))))),IF(AND(AH!#REF!="Derecha",RASANTE!F244&lt;=PERALTE!$AB$26),IF(RASANTE!F244&lt;=PERALTE!$S$26,-2,IF(RASANTE!F244&lt;=PERALTE!$U$26,(-6/(PERALTE!$U$26-PERALTE!$S$26)*(RASANTE!F244-PERALTE!$S$26)-2),IF(RASANTE!F244&lt;=PERALTE!$X$26,-8,IF(RASANTE!F244&lt;=PERALTE!$Z$26,(-6/(PERALTE!$X$26-PERALTE!$Z$26)*(RASANTE!F244-PERALTE!$Z$26)-2),IF(RASANTE!F244&lt;=PERALTE!$AB$26,-2))))),IF(AND(AH!#REF!="Izquierda",RASANTE!F244&lt;=PERALTE!$AB$26),IF(RASANTE!F244&lt;=PERALTE!$Q$26,-2,IF(RASANTE!F244&lt;=PERALTE!$U$26,(10/(PERALTE!$U$26-PERALTE!$Q$26)*(RASANTE!F244-PERALTE!$Q$26)-2),IF(RASANTE!F244&lt;=PERALTE!$X$26,8,IF(RASANTE!F244&lt;=PERALTE!$AB$26,(10/(PERALTE!$X$26-PERALTE!$AB$26)*(RASANTE!F244-PERALTE!$AB$26)-2))))),IF(F244&lt;=PERALTE!#REF!,-2,"Abscisa fuera de la vía")))))))))))))))))))))</f>
        <v>-2</v>
      </c>
      <c r="J244" s="28">
        <f t="shared" si="11"/>
        <v>1633.1304886440673</v>
      </c>
      <c r="K244" s="28">
        <f>+IF(AND(AV!$S$6&lt;F244,F244&lt;=AV!$T$6),AV!$P$6*((AV!$S$6-RASANTE!F244)/(AV!$N$6))^2,IF(AND(AV!$T$6&lt;RASANTE!F244,F244&lt;AV!$U$6),AV!$P$6*((AV!$U$6-RASANTE!F244)/(AV!$O$6))^2,IF(AND(AV!$S$8&lt;F244,F244&lt;=AV!$T$8),AV!$P$8*((AV!$S$8-RASANTE!F244)/(AV!$N$8))^2,IF(AND(AV!$T$8&lt;RASANTE!F244,F244&lt;AV!$U$8),AV!$P$8*((AV!$U$8-RASANTE!F244)/(AV!$O$8))^2,IF(AND(AV!$S$10&lt;F244,F244&lt;=AV!$T$10),AV!$P$10*((AV!$S$10-RASANTE!F244)/(AV!$N$10))^2,IF(AND(AV!$T$10&lt;RASANTE!F244,F244&lt;AV!$U$10),AV!$P$10*((AV!$U$10-RASANTE!F244)/(AV!$O$10))^2,IF(AND(AV!$S$12&lt;F244,F244&lt;=AV!$T$12),AV!$P$12*((AV!$S$12-RASANTE!F244)/(AV!$N$12))^2,IF(AND(AV!$T$12&lt;RASANTE!F244,F244&lt;AV!$U$12),AV!$P$12*((AV!$U$12-RASANTE!F244)/(AV!$O$12))^2,IF(AND(AV!$S$14&lt;F244,F244&lt;=AV!$T$14),AV!$P$14*((AV!$S$14-RASANTE!F244)/(AV!$N$14))^2,IF(AND(AV!$T$14&lt;RASANTE!F244,F244&lt;AV!$U$14),AV!$P$14*((AV!$U$14-RASANTE!F244)/(AV!$O$14))^2,IF(AND(AV!$S$16&lt;F244,F244&lt;=AV!$T$16),AV!$P$16*((AV!$S$16-RASANTE!F244)/(AV!$N$16))^2,IF(AND(AV!$T$16&lt;RASANTE!F244,F244&lt;AV!$U$16),AV!$P$16*((AV!$U$16-RASANTE!F244)/(AV!$O$16))^2,IF(AND(AV!$S$18&lt;F244,F244&lt;=AV!$T$18),AV!$P$18*((AV!$S$18-RASANTE!F244)/(AV!$N$18))^2,IF(AND(AV!$T$18&lt;RASANTE!F244,F244&lt;AV!$U$18),AV!$P$18*((AV!$U$18-RASANTE!F244)/(AV!$O$18))^2,IF(AND(AV!$S$20&lt;F244,F244&lt;=AV!$T$20),AV!$P$20*((AV!$S$20-RASANTE!F244)/(AV!$N$20))^2,IF(AND(AV!$T$20&lt;RASANTE!F244,F244&lt;AV!$U$20),AV!$P$20*((AV!$U$20-RASANTE!F244)/(AV!$O$20))^2,IF(AND(AV!$S$22&lt;F244,F244&lt;=AV!$T$22),AV!$P$22*((AV!$S$22-RASANTE!F244)/(AV!$N$22))^2,IF(AND(AV!$T$22&lt;RASANTE!F244,F244&lt;AV!$U$22),AV!$P$22*((AV!$U$22-RASANTE!F244)/(AV!$O$22))^2,IF(AND(AV!$S$24&lt;F244,F244&lt;=AV!$T$24),AV!$P$24*((AV!$S$24-RASANTE!F244)/(AV!$N$24))^2,IF(AND(AV!$T$24&lt;RASANTE!F244,F244&lt;AV!$U$24),AV!$P$24*((AV!$U$24-RASANTE!F244)/(AV!$O$24))^2,0))))))))))))))))))))</f>
        <v>0</v>
      </c>
      <c r="L244" s="28">
        <f>+M244+H244%*PERALTE!$C$32</f>
        <v>1633.2004886440673</v>
      </c>
      <c r="M244" s="28">
        <f t="shared" si="12"/>
        <v>1633.1304886440673</v>
      </c>
      <c r="N244" s="28">
        <f>+M244+I244%*PERALTE!$C$32</f>
        <v>1633.0604886440674</v>
      </c>
      <c r="O244" s="92"/>
      <c r="P244" s="84"/>
      <c r="Q244" s="84"/>
      <c r="R244" s="84"/>
      <c r="S244" s="84"/>
      <c r="T244" s="84"/>
      <c r="U244" s="84"/>
      <c r="V244" s="84"/>
      <c r="W244" s="84"/>
      <c r="X244" s="84"/>
      <c r="Y244" s="84"/>
    </row>
    <row r="245" spans="1:25" ht="15.75" customHeight="1" x14ac:dyDescent="0.2">
      <c r="A245" s="90"/>
      <c r="F245" s="34">
        <v>1500</v>
      </c>
      <c r="G245" s="88">
        <f>IF(F245&lt;=AV!$T$6,AV!$C$5,IF(RASANTE!F245&lt;=AV!$T$8,AV!$C$7,IF(RASANTE!F245&lt;=AV!$T$10,AV!$C$9,IF(RASANTE!F245&lt;=AV!$T$12,AV!$C$11,IF(RASANTE!F245&lt;=AV!$T$14,AV!$C$13,IF(RASANTE!F245&lt;=AV!$T$16,AV!$C$15, IF(RASANTE!F245&lt;=AV!$T$18,AV!$C$17,IF(RASANTE!F245&lt;=AV!$T$20,AV!$C$19,IF(RASANTE!F245&lt;=AV!$T$22,AV!$C$21,IF(RASANTE!F245&lt;=AV!$T$24,AV!$C$23,AV!$C$25))))))))))</f>
        <v>2.8</v>
      </c>
      <c r="H245" s="28">
        <f>+IF(AND(AH!$H$8="Izquierda",RASANTE!F245&lt;=PERALTE!$AB$6),IF(RASANTE!F245&lt;=PERALTE!$S$6,-2,IF(RASANTE!F245&lt;=PERALTE!$U$6,(-6/(PERALTE!$U$6-PERALTE!$S$6)*(RASANTE!F245-PERALTE!$S$6)-2),IF(RASANTE!F245&lt;=PERALTE!$X$6,-8,IF(RASANTE!F245&lt;=PERALTE!$Z$6,(-6/(PERALTE!$X$6-PERALTE!$Z$6)*(RASANTE!F245-PERALTE!$Z$6)-2),IF(RASANTE!F245&lt;=PERALTE!$AB$6,-2))))),IF(AND(AH!$H$8="Derecha",RASANTE!F245&lt;=PERALTE!$AB$6),IF(RASANTE!F245&lt;=PERALTE!$Q$6,-2,IF(RASANTE!F245&lt;=PERALTE!$U$6,(10/(PERALTE!$U$6-PERALTE!$Q$6)*(RASANTE!F245-PERALTE!$Q$6)-2),IF(RASANTE!F245&lt;=PERALTE!$X$6,8,IF(RASANTE!F245&lt;=PERALTE!$AB$6,(10/(PERALTE!$X$6-PERALTE!$AB$6)*(RASANTE!F245-PERALTE!$AB$6)-2))))),IF(AND(AH!$H$10="Izquierda",RASANTE!F245&lt;=PERALTE!$AB$8),IF(RASANTE!F245&lt;=PERALTE!$S$8,-2,IF(RASANTE!F245&lt;=PERALTE!$U$8,(-6/(PERALTE!$U$8-PERALTE!$S$8)*(RASANTE!F245-PERALTE!$S$8)-2),IF(RASANTE!F245&lt;=PERALTE!$X$8,-8,IF(RASANTE!F245&lt;=PERALTE!$Z$8,(-6/(PERALTE!$X$8-PERALTE!$Z$8)*(RASANTE!F245-PERALTE!$Z$8)-2),IF(RASANTE!F245&lt;=PERALTE!$AB$8,-2))))),IF(AND(AH!$H$10="Derecha",RASANTE!F245&lt;=PERALTE!$AB$8),IF(RASANTE!F245&lt;=PERALTE!$Q$8,-2,IF(RASANTE!F245&lt;=PERALTE!$U$8,(10/(PERALTE!$U$8-PERALTE!$Q$8)*(RASANTE!F245-PERALTE!$Q$8)-2),IF(RASANTE!F245&lt;=PERALTE!$X$8,8,IF(RASANTE!F245&lt;=PERALTE!$AB$8,(10/(PERALTE!$X$8-PERALTE!$AB$8)*(RASANTE!F245-PERALTE!$AB$8)-2))))),IF(AND(AH!$H$12="Izquierda",RASANTE!F245&lt;=PERALTE!$AB$10),IF(RASANTE!F245&lt;=PERALTE!$S$10,-2,IF(RASANTE!F245&lt;=PERALTE!$U$10,(-6/(PERALTE!$U$10-PERALTE!$S$10)*(RASANTE!F245-PERALTE!$S$10)-2),IF(RASANTE!F245&lt;=PERALTE!$X$10,-8,IF(RASANTE!F245&lt;=PERALTE!$Z$10,(-6/(PERALTE!$X$10-PERALTE!$Z$10)*(RASANTE!F245-PERALTE!$Z$10)-2),IF(RASANTE!F245&lt;=PERALTE!$AB$10,-2))))),IF(AND(AH!$H$12="Derecha",RASANTE!F245&lt;=PERALTE!$AB$10),IF(RASANTE!F245&lt;=PERALTE!$Q$10,-2,IF(RASANTE!F245&lt;=PERALTE!$U$10,(10/(PERALTE!$U$10-PERALTE!$Q$10)*(RASANTE!F245-PERALTE!$Q$10)-2),IF(RASANTE!F245&lt;=PERALTE!$X$10,8,IF(RASANTE!F245&lt;=PERALTE!$AB$10,(10/(PERALTE!$X$10-PERALTE!$AB$10)*(RASANTE!F245-PERALTE!$AB$10)-2))))),IF(AND(AH!$H$14="Izquierda",RASANTE!F245&lt;=PERALTE!$AB$12),IF(RASANTE!F245&lt;=PERALTE!$S$12,-2,IF(RASANTE!F245&lt;=PERALTE!$U$12,(-6/(PERALTE!$U$12-PERALTE!$S$12)*(RASANTE!F245-PERALTE!$S$12)-2),IF(RASANTE!F245&lt;=PERALTE!$X$12,-8,IF(RASANTE!F245&lt;=PERALTE!$Z$12,(-6/(PERALTE!$X$12-PERALTE!$Z$12)*(RASANTE!F245-PERALTE!$Z$12)-2),IF(RASANTE!F245&lt;=PERALTE!$AB$12,-2))))),IF(AND(AH!$H$14="Derecha",RASANTE!F245&lt;=PERALTE!$AB$12),IF(RASANTE!F245&lt;=PERALTE!$Q$12,-2,IF(RASANTE!F245&lt;=PERALTE!$U$12,(10/(PERALTE!$U$12-PERALTE!$Q$12)*(RASANTE!F245-PERALTE!$Q$12)-2),IF(RASANTE!F245&lt;=PERALTE!$X$12,8,IF(RASANTE!F245&lt;=PERALTE!$AB$12,(10/(PERALTE!$X$12-PERALTE!$AB$12)*(RASANTE!F245-PERALTE!$AB$12)-2))))),IF(AND(AH!$H$16="Izquierda",RASANTE!F245&lt;=PERALTE!$AB$14),IF(RASANTE!F245&lt;=PERALTE!$S$14,-2,IF(RASANTE!F245&lt;=PERALTE!$U$14,(-6/(PERALTE!$U$14-PERALTE!$S$14)*(RASANTE!F245-PERALTE!$S$14)-2),IF(RASANTE!F245&lt;=PERALTE!$X$14,-8,IF(RASANTE!F245&lt;=PERALTE!$Z$14,(-6/(PERALTE!$X$14-PERALTE!$Z$14)*(RASANTE!F245-PERALTE!$Z$14)-2),IF(RASANTE!F245&lt;=PERALTE!$AB$14,-2))))),IF(AND(AH!$H$16="Derecha",RASANTE!F245&lt;=PERALTE!$AB$14),IF(RASANTE!F245&lt;=PERALTE!$Q$14,-2,IF(RASANTE!F245&lt;=PERALTE!$U$14,(10/(PERALTE!$U$14-PERALTE!$Q$14)*(RASANTE!F245-PERALTE!$Q$14)-2),IF(RASANTE!F245&lt;=PERALTE!$X$14,8,IF(RASANTE!F245&lt;=PERALTE!$AB$14,(10/(PERALTE!$X$14-PERALTE!$AB$14)*(RASANTE!F245-PERALTE!$AB$14)-2))))),IF(AND(AH!$H$18="Izquierda",RASANTE!F245&lt;=PERALTE!$AB$16),IF(RASANTE!F245&lt;=PERALTE!$S$16,-2,IF(RASANTE!F245&lt;=PERALTE!$U$16,(-6/(PERALTE!$U$16-PERALTE!$S$16)*(RASANTE!F245-PERALTE!$S$16)-2),IF(RASANTE!F245&lt;=PERALTE!$X$16,-8,IF(RASANTE!F245&lt;=PERALTE!$Z$16,(-6/(PERALTE!$X$16-PERALTE!$Z$16)*(RASANTE!F245-PERALTE!$Z$16)-2),IF(RASANTE!F245&lt;=PERALTE!$AB$16,-2))))),IF(AND(AH!$H$18="Derecha",RASANTE!F245&lt;=PERALTE!$AB$16),IF(RASANTE!F245&lt;=PERALTE!$Q$16,-2,IF(RASANTE!F245&lt;=PERALTE!$U$16,(10/(PERALTE!$U$16-PERALTE!$Q$16)*(RASANTE!F245-PERALTE!$Q$16)-2),IF(RASANTE!F245&lt;=PERALTE!$X$16,8,IF(RASANTE!F245&lt;=PERALTE!$AB$16,(10/(PERALTE!$X$16-PERALTE!$AB$16)*(RASANTE!F245-PERALTE!$AB$16)-2))))),IF(AND(AH!$H$20="Izquierda",RASANTE!F245&lt;=PERALTE!$AB$18),IF(RASANTE!F245&lt;=PERALTE!$S$18,-2,IF(RASANTE!F245&lt;=PERALTE!$U$18,(-6/(PERALTE!$U$18-PERALTE!$S$18)*(RASANTE!F245-PERALTE!$S$18)-2),IF(RASANTE!F245&lt;=PERALTE!$X$18,-8,IF(RASANTE!F245&lt;=PERALTE!$Z$18,(-6/(PERALTE!$X$18-PERALTE!$Z$18)*(RASANTE!F245-PERALTE!$Z$18)-2),IF(RASANTE!F245&lt;=PERALTE!$AB$18,-2))))),IF(AND(AH!$H$20="Derecha",RASANTE!F245&lt;=PERALTE!$AB$18),IF(RASANTE!F245&lt;=PERALTE!$Q$18,-2,IF(RASANTE!F245&lt;=PERALTE!$U$18,(10/(PERALTE!$U$18-PERALTE!$Q$18)*(RASANTE!F245-PERALTE!$Q$18)-2),IF(RASANTE!F245&lt;=PERALTE!$X$18,8,IF(RASANTE!F245&lt;=PERALTE!$AB$18,(10/(PERALTE!$X$18-PERALTE!$AB$18)*(RASANTE!F245-PERALTE!$AB$18)-2))))),IF(AND(AH!$H$24="Izquierda",RASANTE!F245&lt;=PERALTE!$AB$22),IF(RASANTE!F245&lt;=PERALTE!$S$22,-2,IF(RASANTE!F245&lt;=PERALTE!$U$22,(-6/(PERALTE!$U$22-PERALTE!$S$22)*(RASANTE!F245-PERALTE!$S$22)-2),IF(RASANTE!F245&lt;=PERALTE!$X$22,-8,IF(RASANTE!F245&lt;=PERALTE!$Z$22,(-6/(PERALTE!$X$22-PERALTE!$Z$22)*(RASANTE!F245-PERALTE!$Z$22)-2),IF(RASANTE!F245&lt;=PERALTE!$AB$22,-2))))),IF(AND(AH!$H$24="Derecha",RASANTE!F245&lt;=PERALTE!$AB$22),IF(RASANTE!F245&lt;=PERALTE!$Q$22,-2,IF(RASANTE!F245&lt;=PERALTE!$U$22,(10/(PERALTE!$U$22-PERALTE!$Q$22)*(RASANTE!F245-PERALTE!$Q$22)-2),IF(RASANTE!F245&lt;=PERALTE!$X$22,8,IF(RASANTE!F245&lt;=PERALTE!$AB$22,(10/(PERALTE!$X$22-PERALTE!$AB$22)*(RASANTE!F245-PERALTE!$AB$22)-2))))),IF(AND(AH!#REF!="Izquierda",RASANTE!F245&lt;=PERALTE!#REF!),IF(RASANTE!F245&lt;=PERALTE!#REF!,-2,IF(RASANTE!F245&lt;=PERALTE!#REF!,(-6/(PERALTE!#REF!-PERALTE!#REF!)*(RASANTE!F245-PERALTE!#REF!)-2),IF(RASANTE!F245&lt;=PERALTE!#REF!,-8,IF(RASANTE!F245&lt;=PERALTE!#REF!,(-6/(PERALTE!#REF!-PERALTE!#REF!)*(RASANTE!F245-PERALTE!#REF!)-2),IF(RASANTE!F245&lt;=PERALTE!#REF!,-2))))),IF(AND(AH!#REF!="Derecha",RASANTE!F245&lt;=PERALTE!#REF!),IF(RASANTE!F245&lt;=PERALTE!#REF!,-2,IF(RASANTE!F245&lt;=PERALTE!#REF!,(10/(PERALTE!#REF!-PERALTE!#REF!)*(RASANTE!F245-PERALTE!#REF!)-2),IF(RASANTE!F245&lt;=PERALTE!#REF!,8,IF(RASANTE!F245&lt;=PERALTE!#REF!,(10/(PERALTE!#REF!-PERALTE!#REF!)*(RASANTE!F245-PERALTE!#REF!)-2))))),IF(AND(AH!#REF!="Izquierda",RASANTE!F245&lt;=PERALTE!$AB$26),IF(RASANTE!F245&lt;=PERALTE!$S$26,-2,IF(RASANTE!F245&lt;=PERALTE!$U$26,(-6/(PERALTE!$U$26-PERALTE!$S$26)*(RASANTE!F245-PERALTE!$S$26)-2),IF(RASANTE!F245&lt;=PERALTE!$X$26,-8,IF(RASANTE!F245&lt;=PERALTE!$Z$26,(-6/(PERALTE!$X$26-PERALTE!$Z$26)*(RASANTE!F245-PERALTE!$Z$26)-2),IF(RASANTE!F245&lt;=PERALTE!$AB$26,-2))))),IF(AND(AH!#REF!="Derecha",RASANTE!F245&lt;=PERALTE!$AB$26),IF(RASANTE!F245&lt;=PERALTE!$Q$26,-2,IF(RASANTE!F245&lt;=PERALTE!$U$26,(10/(PERALTE!$U$26-PERALTE!$Q$26)*(RASANTE!F245-PERALTE!$Q$26)-2),IF(RASANTE!F245&lt;=PERALTE!$X$26,8,IF(RASANTE!F245&lt;=PERALTE!$AB$26,(10/(PERALTE!$X$26-PERALTE!$AB$26)*(RASANTE!F245-PERALTE!$AB$26)-2))))),IF(F245&lt;=PERALTE!#REF!,-2,"Abscisa fuera de la vía")))))))))))))))))))))</f>
        <v>3.7477414493848036</v>
      </c>
      <c r="I245" s="28">
        <f>+IF(AND(AH!$H$8="Derecha",RASANTE!F245&lt;=PERALTE!$AB$6),IF(RASANTE!F245&lt;=PERALTE!$S$6,-2,IF(RASANTE!F245&lt;=PERALTE!$U$6,(-6/(PERALTE!$U$6-PERALTE!$S$6)*(RASANTE!F245-PERALTE!$S$6)-2),IF(RASANTE!F245&lt;=PERALTE!$X$6,-8,IF(RASANTE!F245&lt;=PERALTE!$Z$6,(-6/(PERALTE!$X$6-PERALTE!$Z$6)*(RASANTE!F245-PERALTE!$Z$6)-2),IF(RASANTE!F245&lt;=PERALTE!$AB$6,-2))))),IF(AND(AH!$H$8="Izquierda",RASANTE!F245&lt;=PERALTE!$AB$6),IF(RASANTE!F245&lt;=PERALTE!$Q$6,-2,IF(RASANTE!F245&lt;=PERALTE!$U$6,(10/(PERALTE!$U$6-PERALTE!$Q$6)*(RASANTE!F245-PERALTE!$Q$6)-2),IF(RASANTE!F245&lt;=PERALTE!$X$6,8,IF(RASANTE!F245&lt;=PERALTE!$AB$6,(10/(PERALTE!$X$6-PERALTE!$AB$6)*(RASANTE!F245-PERALTE!$AB$6)-2))))),IF(AND(AH!$H$10="Derecha",RASANTE!F245&lt;=PERALTE!$AB$8),IF(RASANTE!F245&lt;=PERALTE!$S$8,-2,IF(RASANTE!F245&lt;=PERALTE!$U$8,(-6/(PERALTE!$U$8-PERALTE!$S$8)*(RASANTE!F245-PERALTE!$S$8)-2),IF(RASANTE!F245&lt;=PERALTE!$X$8,-8,IF(RASANTE!F245&lt;=PERALTE!$Z$8,(-6/(PERALTE!$X$8-PERALTE!$Z$8)*(RASANTE!F245-PERALTE!$Z$8)-2),IF(RASANTE!F245&lt;=PERALTE!$AB$8,-2))))),IF(AND(AH!$H$10="Izquierda",RASANTE!F245&lt;=PERALTE!$AB$8),IF(RASANTE!F245&lt;=PERALTE!$Q$8,-2,IF(RASANTE!F245&lt;=PERALTE!$U$8,(10/(PERALTE!$U$8-PERALTE!$Q$8)*(RASANTE!F245-PERALTE!$Q$8)-2),IF(RASANTE!F245&lt;=PERALTE!$X$8,8,IF(RASANTE!F245&lt;=PERALTE!$AB$8,(10/(PERALTE!$X$8-PERALTE!$AB$8)*(RASANTE!F245-PERALTE!$AB$8)-2))))),IF(AND(AH!$H$12="Derecha",RASANTE!F245&lt;=PERALTE!$AB$10),IF(RASANTE!F245&lt;=PERALTE!$S$10,-2,IF(RASANTE!F245&lt;=PERALTE!$U$10,(-6/(PERALTE!$U$10-PERALTE!$S$10)*(RASANTE!F245-PERALTE!$S$10)-2),IF(RASANTE!F245&lt;=PERALTE!$X$10,-8,IF(RASANTE!F245&lt;=PERALTE!$Z$10,(-6/(PERALTE!$X$10-PERALTE!$Z$10)*(RASANTE!F245-PERALTE!$Z$10)-2),IF(RASANTE!F245&lt;=PERALTE!$AB$10,-2))))),IF(AND(AH!$H$12="Izquierda",RASANTE!F245&lt;=PERALTE!$AB$10),IF(RASANTE!F245&lt;=PERALTE!$Q$10,-2,IF(RASANTE!F245&lt;=PERALTE!$U$10,(10/(PERALTE!$U$10-PERALTE!$Q$10)*(RASANTE!F245-PERALTE!$Q$10)-2),IF(RASANTE!F245&lt;=PERALTE!$X$10,8,IF(RASANTE!F245&lt;=PERALTE!$AB$10,(10/(PERALTE!$X$10-PERALTE!$AB$10)*(RASANTE!F245-PERALTE!$AB$10)-2))))),IF(AND(AH!$H$14="Derecha",RASANTE!F245&lt;=PERALTE!$AB$12),IF(RASANTE!F245&lt;=PERALTE!$S$12,-2,IF(RASANTE!F245&lt;=PERALTE!$U$12,(-6/(PERALTE!$U$12-PERALTE!$S$12)*(RASANTE!F245-PERALTE!$S$12)-2),IF(RASANTE!F245&lt;=PERALTE!$X$12,-8,IF(RASANTE!F245&lt;=PERALTE!$Z$12,(-6/(PERALTE!$X$12-PERALTE!$Z$12)*(RASANTE!F245-PERALTE!$Z$12)-2),IF(RASANTE!F245&lt;=PERALTE!$AB$12,-2))))),IF(AND(AH!$H$14="Izquierda",RASANTE!F245&lt;=PERALTE!$AB$12),IF(RASANTE!F245&lt;=PERALTE!$Q$12,-2,IF(RASANTE!F245&lt;=PERALTE!$U$12,(10/(PERALTE!$U$12-PERALTE!$Q$12)*(RASANTE!F245-PERALTE!$Q$12)-2),IF(RASANTE!F245&lt;=PERALTE!$X$12,8,IF(RASANTE!F245&lt;=PERALTE!$AB$12,(10/(PERALTE!$X$12-PERALTE!$AB$12)*(RASANTE!F245-PERALTE!$AB$12)-2))))),IF(AND(AH!$H$16="Derecha",RASANTE!F245&lt;=PERALTE!$AB$14),IF(RASANTE!F245&lt;=PERALTE!$S$14,-2,IF(RASANTE!F245&lt;=PERALTE!$U$14,(-6/(PERALTE!$U$14-PERALTE!$S$14)*(RASANTE!F245-PERALTE!$S$14)-2),IF(RASANTE!F245&lt;=PERALTE!$X$14,-8,IF(RASANTE!F245&lt;=PERALTE!$Z$14,(-6/(PERALTE!$X$14-PERALTE!$Z$14)*(RASANTE!F245-PERALTE!$Z$14)-2),IF(RASANTE!F245&lt;=PERALTE!$AB$14,-2))))),IF(AND(AH!$H$16="Izquierda",RASANTE!F245&lt;=PERALTE!$AB$14),IF(RASANTE!F245&lt;=PERALTE!$Q$14,-2,IF(RASANTE!F245&lt;=PERALTE!$U$14,(10/(PERALTE!$U$14-PERALTE!$Q$14)*(RASANTE!F245-PERALTE!$Q$14)-2),IF(RASANTE!F245&lt;=PERALTE!$X$14,8,IF(RASANTE!F245&lt;=PERALTE!$AB$14,(10/(PERALTE!$X$14-PERALTE!$AB$14)*(RASANTE!F245-PERALTE!$AB$14)-2))))),IF(AND(AH!$H$18="Derecha",RASANTE!F245&lt;=PERALTE!$AB$16),IF(RASANTE!F245&lt;=PERALTE!$S$16,-2,IF(RASANTE!F245&lt;=PERALTE!$U$16,(-6/(PERALTE!$U$16-PERALTE!$S$16)*(RASANTE!F245-PERALTE!$S$16)-2),IF(RASANTE!F245&lt;=PERALTE!$X$16,-8,IF(RASANTE!F245&lt;=PERALTE!$Z$16,(-6/(PERALTE!$X$16-PERALTE!$Z$16)*(RASANTE!F245-PERALTE!$Z$16)-2),IF(RASANTE!F245&lt;=PERALTE!$AB$16,-2))))),IF(AND(AH!$H$18="Izquierda",RASANTE!F245&lt;=PERALTE!$AB$16),IF(RASANTE!F245&lt;=PERALTE!$Q$16,-2,IF(RASANTE!F245&lt;=PERALTE!$U$16,(10/(PERALTE!$U$16-PERALTE!$Q$16)*(RASANTE!F245-PERALTE!$Q$16)-2),IF(RASANTE!F245&lt;=PERALTE!$X$16,8,IF(RASANTE!F245&lt;=PERALTE!$AB$16,(10/(PERALTE!$X$16-PERALTE!$AB$16)*(RASANTE!F245-PERALTE!$AB$16)-2))))),IF(AND(AH!$H$20="Derecha",RASANTE!F245&lt;=PERALTE!$AB$18),IF(RASANTE!F245&lt;=PERALTE!$S$18,-2,IF(RASANTE!F245&lt;=PERALTE!$U$18,(-6/(PERALTE!$U$18-PERALTE!$S$18)*(RASANTE!F245-PERALTE!$S$18)-2),IF(RASANTE!F245&lt;=PERALTE!$X$18,-8,IF(RASANTE!F245&lt;=PERALTE!$Z$18,(-6/(PERALTE!$X$18-PERALTE!$Z$18)*(RASANTE!F245-PERALTE!$Z$18)-2),IF(RASANTE!F245&lt;=PERALTE!$AB$18,-2))))),IF(AND(AH!$H$20="Izquierda",RASANTE!F245&lt;=PERALTE!$AB$18),IF(RASANTE!F245&lt;=PERALTE!$Q$18,-2,IF(RASANTE!F245&lt;=PERALTE!$U$18,(10/(PERALTE!$U$18-PERALTE!$Q$18)*(RASANTE!F245-PERALTE!$Q$18)-2),IF(RASANTE!F245&lt;=PERALTE!$X$18,8,IF(RASANTE!F245&lt;=PERALTE!$AB$18,(10/(PERALTE!$X$18-PERALTE!$AB$18)*(RASANTE!F245-PERALTE!$AB$18)-2))))),IF(AND(AH!$H$24="Derecha",RASANTE!F245&lt;=PERALTE!$AB$22),IF(RASANTE!F245&lt;=PERALTE!$S$22,-2,IF(RASANTE!F245&lt;=PERALTE!$U$22,(-6/(PERALTE!$U$22-PERALTE!$S$22)*(RASANTE!F245-PERALTE!$S$22)-2),IF(RASANTE!F245&lt;=PERALTE!$X$22,-8,IF(RASANTE!F245&lt;=PERALTE!$Z$22,(-6/(PERALTE!$X$22-PERALTE!$Z$22)*(RASANTE!F245-PERALTE!$Z$22)-2),IF(RASANTE!F245&lt;=PERALTE!$AB$22,-2))))),IF(AND(AH!$H$24="Izquierda",RASANTE!F245&lt;=PERALTE!$AB$22),IF(RASANTE!F245&lt;=PERALTE!$Q$22,-2,IF(RASANTE!F245&lt;=PERALTE!$U$22,(10/(PERALTE!$U$22-PERALTE!$Q$22)*(RASANTE!F245-PERALTE!$Q$22)-2),IF(RASANTE!F245&lt;=PERALTE!$X$22,8,IF(RASANTE!F245&lt;=PERALTE!$AB$22,(10/(PERALTE!$X$22-PERALTE!$AB$22)*(RASANTE!F245-PERALTE!$AB$22)-2))))),IF(AND(AH!#REF!="Derecha",RASANTE!F245&lt;=PERALTE!#REF!),IF(RASANTE!F245&lt;=PERALTE!#REF!,-2,IF(RASANTE!F245&lt;=PERALTE!#REF!,(-6/(PERALTE!#REF!-PERALTE!#REF!)*(RASANTE!F245-PERALTE!#REF!)-2),IF(RASANTE!F245&lt;=PERALTE!#REF!,-8,IF(RASANTE!F245&lt;=PERALTE!#REF!,(-6/(PERALTE!#REF!-PERALTE!#REF!)*(RASANTE!F245-PERALTE!#REF!)-2),IF(RASANTE!F245&lt;=PERALTE!#REF!,-2))))),IF(AND(AH!#REF!="Izquierda",RASANTE!F245&lt;=PERALTE!#REF!),IF(RASANTE!F245&lt;=PERALTE!#REF!,-2,IF(RASANTE!F245&lt;=PERALTE!#REF!,(10/(PERALTE!#REF!-PERALTE!#REF!)*(RASANTE!F245-PERALTE!#REF!)-2),IF(RASANTE!F245&lt;=PERALTE!#REF!,8,IF(RASANTE!F245&lt;=PERALTE!#REF!,(10/(PERALTE!#REF!-PERALTE!#REF!)*(RASANTE!F245-PERALTE!#REF!)-2))))),IF(AND(AH!#REF!="Derecha",RASANTE!F245&lt;=PERALTE!$AB$26),IF(RASANTE!F245&lt;=PERALTE!$S$26,-2,IF(RASANTE!F245&lt;=PERALTE!$U$26,(-6/(PERALTE!$U$26-PERALTE!$S$26)*(RASANTE!F245-PERALTE!$S$26)-2),IF(RASANTE!F245&lt;=PERALTE!$X$26,-8,IF(RASANTE!F245&lt;=PERALTE!$Z$26,(-6/(PERALTE!$X$26-PERALTE!$Z$26)*(RASANTE!F245-PERALTE!$Z$26)-2),IF(RASANTE!F245&lt;=PERALTE!$AB$26,-2))))),IF(AND(AH!#REF!="Izquierda",RASANTE!F245&lt;=PERALTE!$AB$26),IF(RASANTE!F245&lt;=PERALTE!$Q$26,-2,IF(RASANTE!F245&lt;=PERALTE!$U$26,(10/(PERALTE!$U$26-PERALTE!$Q$26)*(RASANTE!F245-PERALTE!$Q$26)-2),IF(RASANTE!F245&lt;=PERALTE!$X$26,8,IF(RASANTE!F245&lt;=PERALTE!$AB$26,(10/(PERALTE!$X$26-PERALTE!$AB$26)*(RASANTE!F245-PERALTE!$AB$26)-2))))),IF(F245&lt;=PERALTE!#REF!,-2,"Abscisa fuera de la vía")))))))))))))))))))))</f>
        <v>-3.7477414493848178</v>
      </c>
      <c r="J245" s="28">
        <f t="shared" si="11"/>
        <v>1633.352928464898</v>
      </c>
      <c r="K245" s="28">
        <f>+IF(AND(AV!$S$6&lt;F245,F245&lt;=AV!$T$6),AV!$P$6*((AV!$S$6-RASANTE!F245)/(AV!$N$6))^2,IF(AND(AV!$T$6&lt;RASANTE!F245,F245&lt;AV!$U$6),AV!$P$6*((AV!$U$6-RASANTE!F245)/(AV!$O$6))^2,IF(AND(AV!$S$8&lt;F245,F245&lt;=AV!$T$8),AV!$P$8*((AV!$S$8-RASANTE!F245)/(AV!$N$8))^2,IF(AND(AV!$T$8&lt;RASANTE!F245,F245&lt;AV!$U$8),AV!$P$8*((AV!$U$8-RASANTE!F245)/(AV!$O$8))^2,IF(AND(AV!$S$10&lt;F245,F245&lt;=AV!$T$10),AV!$P$10*((AV!$S$10-RASANTE!F245)/(AV!$N$10))^2,IF(AND(AV!$T$10&lt;RASANTE!F245,F245&lt;AV!$U$10),AV!$P$10*((AV!$U$10-RASANTE!F245)/(AV!$O$10))^2,IF(AND(AV!$S$12&lt;F245,F245&lt;=AV!$T$12),AV!$P$12*((AV!$S$12-RASANTE!F245)/(AV!$N$12))^2,IF(AND(AV!$T$12&lt;RASANTE!F245,F245&lt;AV!$U$12),AV!$P$12*((AV!$U$12-RASANTE!F245)/(AV!$O$12))^2,IF(AND(AV!$S$14&lt;F245,F245&lt;=AV!$T$14),AV!$P$14*((AV!$S$14-RASANTE!F245)/(AV!$N$14))^2,IF(AND(AV!$T$14&lt;RASANTE!F245,F245&lt;AV!$U$14),AV!$P$14*((AV!$U$14-RASANTE!F245)/(AV!$O$14))^2,IF(AND(AV!$S$16&lt;F245,F245&lt;=AV!$T$16),AV!$P$16*((AV!$S$16-RASANTE!F245)/(AV!$N$16))^2,IF(AND(AV!$T$16&lt;RASANTE!F245,F245&lt;AV!$U$16),AV!$P$16*((AV!$U$16-RASANTE!F245)/(AV!$O$16))^2,IF(AND(AV!$S$18&lt;F245,F245&lt;=AV!$T$18),AV!$P$18*((AV!$S$18-RASANTE!F245)/(AV!$N$18))^2,IF(AND(AV!$T$18&lt;RASANTE!F245,F245&lt;AV!$U$18),AV!$P$18*((AV!$U$18-RASANTE!F245)/(AV!$O$18))^2,IF(AND(AV!$S$20&lt;F245,F245&lt;=AV!$T$20),AV!$P$20*((AV!$S$20-RASANTE!F245)/(AV!$N$20))^2,IF(AND(AV!$T$20&lt;RASANTE!F245,F245&lt;AV!$U$20),AV!$P$20*((AV!$U$20-RASANTE!F245)/(AV!$O$20))^2,IF(AND(AV!$S$22&lt;F245,F245&lt;=AV!$T$22),AV!$P$22*((AV!$S$22-RASANTE!F245)/(AV!$N$22))^2,IF(AND(AV!$T$22&lt;RASANTE!F245,F245&lt;AV!$U$22),AV!$P$22*((AV!$U$22-RASANTE!F245)/(AV!$O$22))^2,IF(AND(AV!$S$24&lt;F245,F245&lt;=AV!$T$24),AV!$P$24*((AV!$S$24-RASANTE!F245)/(AV!$N$24))^2,IF(AND(AV!$T$24&lt;RASANTE!F245,F245&lt;AV!$U$24),AV!$P$24*((AV!$U$24-RASANTE!F245)/(AV!$O$24))^2,0))))))))))))))))))))</f>
        <v>0</v>
      </c>
      <c r="L245" s="28">
        <f>+M245+H245%*PERALTE!$C$32</f>
        <v>1633.4840994156266</v>
      </c>
      <c r="M245" s="28">
        <f t="shared" si="12"/>
        <v>1633.352928464898</v>
      </c>
      <c r="N245" s="28">
        <f>+M245+I245%*PERALTE!$C$32</f>
        <v>1633.2217575141694</v>
      </c>
      <c r="O245" s="92"/>
      <c r="P245" s="84"/>
      <c r="Q245" s="84"/>
      <c r="R245" s="84"/>
      <c r="S245" s="84"/>
      <c r="T245" s="84"/>
      <c r="U245" s="84"/>
      <c r="V245" s="84"/>
      <c r="W245" s="84"/>
      <c r="X245" s="84"/>
      <c r="Y245" s="84"/>
    </row>
    <row r="246" spans="1:25" ht="15.75" customHeight="1" x14ac:dyDescent="0.2">
      <c r="A246" s="90" t="s">
        <v>371</v>
      </c>
      <c r="F246" s="34">
        <f>PERALTE!T18</f>
        <v>1501.1466297755237</v>
      </c>
      <c r="G246" s="88">
        <f>IF(F246&lt;=AV!$T$6,AV!$C$5,IF(RASANTE!F246&lt;=AV!$T$8,AV!$C$7,IF(RASANTE!F246&lt;=AV!$T$10,AV!$C$9,IF(RASANTE!F246&lt;=AV!$T$12,AV!$C$11,IF(RASANTE!F246&lt;=AV!$T$14,AV!$C$13,IF(RASANTE!F246&lt;=AV!$T$16,AV!$C$15, IF(RASANTE!F246&lt;=AV!$T$18,AV!$C$17,IF(RASANTE!F246&lt;=AV!$T$20,AV!$C$19,IF(RASANTE!F246&lt;=AV!$T$22,AV!$C$21,IF(RASANTE!F246&lt;=AV!$T$24,AV!$C$23,AV!$C$25))))))))))</f>
        <v>2.8</v>
      </c>
      <c r="H246" s="28">
        <f>+IF(AND(AH!$H$8="Izquierda",RASANTE!F246&lt;=PERALTE!$AB$6),IF(RASANTE!F246&lt;=PERALTE!$S$6,-2,IF(RASANTE!F246&lt;=PERALTE!$U$6,(-6/(PERALTE!$U$6-PERALTE!$S$6)*(RASANTE!F246-PERALTE!$S$6)-2),IF(RASANTE!F246&lt;=PERALTE!$X$6,-8,IF(RASANTE!F246&lt;=PERALTE!$Z$6,(-6/(PERALTE!$X$6-PERALTE!$Z$6)*(RASANTE!F246-PERALTE!$Z$6)-2),IF(RASANTE!F246&lt;=PERALTE!$AB$6,-2))))),IF(AND(AH!$H$8="Derecha",RASANTE!F246&lt;=PERALTE!$AB$6),IF(RASANTE!F246&lt;=PERALTE!$Q$6,-2,IF(RASANTE!F246&lt;=PERALTE!$U$6,(10/(PERALTE!$U$6-PERALTE!$Q$6)*(RASANTE!F246-PERALTE!$Q$6)-2),IF(RASANTE!F246&lt;=PERALTE!$X$6,8,IF(RASANTE!F246&lt;=PERALTE!$AB$6,(10/(PERALTE!$X$6-PERALTE!$AB$6)*(RASANTE!F246-PERALTE!$AB$6)-2))))),IF(AND(AH!$H$10="Izquierda",RASANTE!F246&lt;=PERALTE!$AB$8),IF(RASANTE!F246&lt;=PERALTE!$S$8,-2,IF(RASANTE!F246&lt;=PERALTE!$U$8,(-6/(PERALTE!$U$8-PERALTE!$S$8)*(RASANTE!F246-PERALTE!$S$8)-2),IF(RASANTE!F246&lt;=PERALTE!$X$8,-8,IF(RASANTE!F246&lt;=PERALTE!$Z$8,(-6/(PERALTE!$X$8-PERALTE!$Z$8)*(RASANTE!F246-PERALTE!$Z$8)-2),IF(RASANTE!F246&lt;=PERALTE!$AB$8,-2))))),IF(AND(AH!$H$10="Derecha",RASANTE!F246&lt;=PERALTE!$AB$8),IF(RASANTE!F246&lt;=PERALTE!$Q$8,-2,IF(RASANTE!F246&lt;=PERALTE!$U$8,(10/(PERALTE!$U$8-PERALTE!$Q$8)*(RASANTE!F246-PERALTE!$Q$8)-2),IF(RASANTE!F246&lt;=PERALTE!$X$8,8,IF(RASANTE!F246&lt;=PERALTE!$AB$8,(10/(PERALTE!$X$8-PERALTE!$AB$8)*(RASANTE!F246-PERALTE!$AB$8)-2))))),IF(AND(AH!$H$12="Izquierda",RASANTE!F246&lt;=PERALTE!$AB$10),IF(RASANTE!F246&lt;=PERALTE!$S$10,-2,IF(RASANTE!F246&lt;=PERALTE!$U$10,(-6/(PERALTE!$U$10-PERALTE!$S$10)*(RASANTE!F246-PERALTE!$S$10)-2),IF(RASANTE!F246&lt;=PERALTE!$X$10,-8,IF(RASANTE!F246&lt;=PERALTE!$Z$10,(-6/(PERALTE!$X$10-PERALTE!$Z$10)*(RASANTE!F246-PERALTE!$Z$10)-2),IF(RASANTE!F246&lt;=PERALTE!$AB$10,-2))))),IF(AND(AH!$H$12="Derecha",RASANTE!F246&lt;=PERALTE!$AB$10),IF(RASANTE!F246&lt;=PERALTE!$Q$10,-2,IF(RASANTE!F246&lt;=PERALTE!$U$10,(10/(PERALTE!$U$10-PERALTE!$Q$10)*(RASANTE!F246-PERALTE!$Q$10)-2),IF(RASANTE!F246&lt;=PERALTE!$X$10,8,IF(RASANTE!F246&lt;=PERALTE!$AB$10,(10/(PERALTE!$X$10-PERALTE!$AB$10)*(RASANTE!F246-PERALTE!$AB$10)-2))))),IF(AND(AH!$H$14="Izquierda",RASANTE!F246&lt;=PERALTE!$AB$12),IF(RASANTE!F246&lt;=PERALTE!$S$12,-2,IF(RASANTE!F246&lt;=PERALTE!$U$12,(-6/(PERALTE!$U$12-PERALTE!$S$12)*(RASANTE!F246-PERALTE!$S$12)-2),IF(RASANTE!F246&lt;=PERALTE!$X$12,-8,IF(RASANTE!F246&lt;=PERALTE!$Z$12,(-6/(PERALTE!$X$12-PERALTE!$Z$12)*(RASANTE!F246-PERALTE!$Z$12)-2),IF(RASANTE!F246&lt;=PERALTE!$AB$12,-2))))),IF(AND(AH!$H$14="Derecha",RASANTE!F246&lt;=PERALTE!$AB$12),IF(RASANTE!F246&lt;=PERALTE!$Q$12,-2,IF(RASANTE!F246&lt;=PERALTE!$U$12,(10/(PERALTE!$U$12-PERALTE!$Q$12)*(RASANTE!F246-PERALTE!$Q$12)-2),IF(RASANTE!F246&lt;=PERALTE!$X$12,8,IF(RASANTE!F246&lt;=PERALTE!$AB$12,(10/(PERALTE!$X$12-PERALTE!$AB$12)*(RASANTE!F246-PERALTE!$AB$12)-2))))),IF(AND(AH!$H$16="Izquierda",RASANTE!F246&lt;=PERALTE!$AB$14),IF(RASANTE!F246&lt;=PERALTE!$S$14,-2,IF(RASANTE!F246&lt;=PERALTE!$U$14,(-6/(PERALTE!$U$14-PERALTE!$S$14)*(RASANTE!F246-PERALTE!$S$14)-2),IF(RASANTE!F246&lt;=PERALTE!$X$14,-8,IF(RASANTE!F246&lt;=PERALTE!$Z$14,(-6/(PERALTE!$X$14-PERALTE!$Z$14)*(RASANTE!F246-PERALTE!$Z$14)-2),IF(RASANTE!F246&lt;=PERALTE!$AB$14,-2))))),IF(AND(AH!$H$16="Derecha",RASANTE!F246&lt;=PERALTE!$AB$14),IF(RASANTE!F246&lt;=PERALTE!$Q$14,-2,IF(RASANTE!F246&lt;=PERALTE!$U$14,(10/(PERALTE!$U$14-PERALTE!$Q$14)*(RASANTE!F246-PERALTE!$Q$14)-2),IF(RASANTE!F246&lt;=PERALTE!$X$14,8,IF(RASANTE!F246&lt;=PERALTE!$AB$14,(10/(PERALTE!$X$14-PERALTE!$AB$14)*(RASANTE!F246-PERALTE!$AB$14)-2))))),IF(AND(AH!$H$18="Izquierda",RASANTE!F246&lt;=PERALTE!$AB$16),IF(RASANTE!F246&lt;=PERALTE!$S$16,-2,IF(RASANTE!F246&lt;=PERALTE!$U$16,(-6/(PERALTE!$U$16-PERALTE!$S$16)*(RASANTE!F246-PERALTE!$S$16)-2),IF(RASANTE!F246&lt;=PERALTE!$X$16,-8,IF(RASANTE!F246&lt;=PERALTE!$Z$16,(-6/(PERALTE!$X$16-PERALTE!$Z$16)*(RASANTE!F246-PERALTE!$Z$16)-2),IF(RASANTE!F246&lt;=PERALTE!$AB$16,-2))))),IF(AND(AH!$H$18="Derecha",RASANTE!F246&lt;=PERALTE!$AB$16),IF(RASANTE!F246&lt;=PERALTE!$Q$16,-2,IF(RASANTE!F246&lt;=PERALTE!$U$16,(10/(PERALTE!$U$16-PERALTE!$Q$16)*(RASANTE!F246-PERALTE!$Q$16)-2),IF(RASANTE!F246&lt;=PERALTE!$X$16,8,IF(RASANTE!F246&lt;=PERALTE!$AB$16,(10/(PERALTE!$X$16-PERALTE!$AB$16)*(RASANTE!F246-PERALTE!$AB$16)-2))))),IF(AND(AH!$H$20="Izquierda",RASANTE!F246&lt;=PERALTE!$AB$18),IF(RASANTE!F246&lt;=PERALTE!$S$18,-2,IF(RASANTE!F246&lt;=PERALTE!$U$18,(-6/(PERALTE!$U$18-PERALTE!$S$18)*(RASANTE!F246-PERALTE!$S$18)-2),IF(RASANTE!F246&lt;=PERALTE!$X$18,-8,IF(RASANTE!F246&lt;=PERALTE!$Z$18,(-6/(PERALTE!$X$18-PERALTE!$Z$18)*(RASANTE!F246-PERALTE!$Z$18)-2),IF(RASANTE!F246&lt;=PERALTE!$AB$18,-2))))),IF(AND(AH!$H$20="Derecha",RASANTE!F246&lt;=PERALTE!$AB$18),IF(RASANTE!F246&lt;=PERALTE!$Q$18,-2,IF(RASANTE!F246&lt;=PERALTE!$U$18,(10/(PERALTE!$U$18-PERALTE!$Q$18)*(RASANTE!F246-PERALTE!$Q$18)-2),IF(RASANTE!F246&lt;=PERALTE!$X$18,8,IF(RASANTE!F246&lt;=PERALTE!$AB$18,(10/(PERALTE!$X$18-PERALTE!$AB$18)*(RASANTE!F246-PERALTE!$AB$18)-2))))),IF(AND(AH!$H$24="Izquierda",RASANTE!F246&lt;=PERALTE!$AB$22),IF(RASANTE!F246&lt;=PERALTE!$S$22,-2,IF(RASANTE!F246&lt;=PERALTE!$U$22,(-6/(PERALTE!$U$22-PERALTE!$S$22)*(RASANTE!F246-PERALTE!$S$22)-2),IF(RASANTE!F246&lt;=PERALTE!$X$22,-8,IF(RASANTE!F246&lt;=PERALTE!$Z$22,(-6/(PERALTE!$X$22-PERALTE!$Z$22)*(RASANTE!F246-PERALTE!$Z$22)-2),IF(RASANTE!F246&lt;=PERALTE!$AB$22,-2))))),IF(AND(AH!$H$24="Derecha",RASANTE!F246&lt;=PERALTE!$AB$22),IF(RASANTE!F246&lt;=PERALTE!$Q$22,-2,IF(RASANTE!F246&lt;=PERALTE!$U$22,(10/(PERALTE!$U$22-PERALTE!$Q$22)*(RASANTE!F246-PERALTE!$Q$22)-2),IF(RASANTE!F246&lt;=PERALTE!$X$22,8,IF(RASANTE!F246&lt;=PERALTE!$AB$22,(10/(PERALTE!$X$22-PERALTE!$AB$22)*(RASANTE!F246-PERALTE!$AB$22)-2))))),IF(AND(AH!#REF!="Izquierda",RASANTE!F246&lt;=PERALTE!#REF!),IF(RASANTE!F246&lt;=PERALTE!#REF!,-2,IF(RASANTE!F246&lt;=PERALTE!#REF!,(-6/(PERALTE!#REF!-PERALTE!#REF!)*(RASANTE!F246-PERALTE!#REF!)-2),IF(RASANTE!F246&lt;=PERALTE!#REF!,-8,IF(RASANTE!F246&lt;=PERALTE!#REF!,(-6/(PERALTE!#REF!-PERALTE!#REF!)*(RASANTE!F246-PERALTE!#REF!)-2),IF(RASANTE!F246&lt;=PERALTE!#REF!,-2))))),IF(AND(AH!#REF!="Derecha",RASANTE!F246&lt;=PERALTE!#REF!),IF(RASANTE!F246&lt;=PERALTE!#REF!,-2,IF(RASANTE!F246&lt;=PERALTE!#REF!,(10/(PERALTE!#REF!-PERALTE!#REF!)*(RASANTE!F246-PERALTE!#REF!)-2),IF(RASANTE!F246&lt;=PERALTE!#REF!,8,IF(RASANTE!F246&lt;=PERALTE!#REF!,(10/(PERALTE!#REF!-PERALTE!#REF!)*(RASANTE!F246-PERALTE!#REF!)-2))))),IF(AND(AH!#REF!="Izquierda",RASANTE!F246&lt;=PERALTE!$AB$26),IF(RASANTE!F246&lt;=PERALTE!$S$26,-2,IF(RASANTE!F246&lt;=PERALTE!$U$26,(-6/(PERALTE!$U$26-PERALTE!$S$26)*(RASANTE!F246-PERALTE!$S$26)-2),IF(RASANTE!F246&lt;=PERALTE!$X$26,-8,IF(RASANTE!F246&lt;=PERALTE!$Z$26,(-6/(PERALTE!$X$26-PERALTE!$Z$26)*(RASANTE!F246-PERALTE!$Z$26)-2),IF(RASANTE!F246&lt;=PERALTE!$AB$26,-2))))),IF(AND(AH!#REF!="Derecha",RASANTE!F246&lt;=PERALTE!$AB$26),IF(RASANTE!F246&lt;=PERALTE!$Q$26,-2,IF(RASANTE!F246&lt;=PERALTE!$U$26,(10/(PERALTE!$U$26-PERALTE!$Q$26)*(RASANTE!F246-PERALTE!$Q$26)-2),IF(RASANTE!F246&lt;=PERALTE!$X$26,8,IF(RASANTE!F246&lt;=PERALTE!$AB$26,(10/(PERALTE!$X$26-PERALTE!$AB$26)*(RASANTE!F246-PERALTE!$AB$26)-2))))),IF(F246&lt;=PERALTE!#REF!,-2,"Abscisa fuera de la vía")))))))))))))))))))))</f>
        <v>4.0000000000000195</v>
      </c>
      <c r="I246" s="28">
        <f>+IF(AND(AH!$H$8="Derecha",RASANTE!F246&lt;=PERALTE!$AB$6),IF(RASANTE!F246&lt;=PERALTE!$S$6,-2,IF(RASANTE!F246&lt;=PERALTE!$U$6,(-6/(PERALTE!$U$6-PERALTE!$S$6)*(RASANTE!F246-PERALTE!$S$6)-2),IF(RASANTE!F246&lt;=PERALTE!$X$6,-8,IF(RASANTE!F246&lt;=PERALTE!$Z$6,(-6/(PERALTE!$X$6-PERALTE!$Z$6)*(RASANTE!F246-PERALTE!$Z$6)-2),IF(RASANTE!F246&lt;=PERALTE!$AB$6,-2))))),IF(AND(AH!$H$8="Izquierda",RASANTE!F246&lt;=PERALTE!$AB$6),IF(RASANTE!F246&lt;=PERALTE!$Q$6,-2,IF(RASANTE!F246&lt;=PERALTE!$U$6,(10/(PERALTE!$U$6-PERALTE!$Q$6)*(RASANTE!F246-PERALTE!$Q$6)-2),IF(RASANTE!F246&lt;=PERALTE!$X$6,8,IF(RASANTE!F246&lt;=PERALTE!$AB$6,(10/(PERALTE!$X$6-PERALTE!$AB$6)*(RASANTE!F246-PERALTE!$AB$6)-2))))),IF(AND(AH!$H$10="Derecha",RASANTE!F246&lt;=PERALTE!$AB$8),IF(RASANTE!F246&lt;=PERALTE!$S$8,-2,IF(RASANTE!F246&lt;=PERALTE!$U$8,(-6/(PERALTE!$U$8-PERALTE!$S$8)*(RASANTE!F246-PERALTE!$S$8)-2),IF(RASANTE!F246&lt;=PERALTE!$X$8,-8,IF(RASANTE!F246&lt;=PERALTE!$Z$8,(-6/(PERALTE!$X$8-PERALTE!$Z$8)*(RASANTE!F246-PERALTE!$Z$8)-2),IF(RASANTE!F246&lt;=PERALTE!$AB$8,-2))))),IF(AND(AH!$H$10="Izquierda",RASANTE!F246&lt;=PERALTE!$AB$8),IF(RASANTE!F246&lt;=PERALTE!$Q$8,-2,IF(RASANTE!F246&lt;=PERALTE!$U$8,(10/(PERALTE!$U$8-PERALTE!$Q$8)*(RASANTE!F246-PERALTE!$Q$8)-2),IF(RASANTE!F246&lt;=PERALTE!$X$8,8,IF(RASANTE!F246&lt;=PERALTE!$AB$8,(10/(PERALTE!$X$8-PERALTE!$AB$8)*(RASANTE!F246-PERALTE!$AB$8)-2))))),IF(AND(AH!$H$12="Derecha",RASANTE!F246&lt;=PERALTE!$AB$10),IF(RASANTE!F246&lt;=PERALTE!$S$10,-2,IF(RASANTE!F246&lt;=PERALTE!$U$10,(-6/(PERALTE!$U$10-PERALTE!$S$10)*(RASANTE!F246-PERALTE!$S$10)-2),IF(RASANTE!F246&lt;=PERALTE!$X$10,-8,IF(RASANTE!F246&lt;=PERALTE!$Z$10,(-6/(PERALTE!$X$10-PERALTE!$Z$10)*(RASANTE!F246-PERALTE!$Z$10)-2),IF(RASANTE!F246&lt;=PERALTE!$AB$10,-2))))),IF(AND(AH!$H$12="Izquierda",RASANTE!F246&lt;=PERALTE!$AB$10),IF(RASANTE!F246&lt;=PERALTE!$Q$10,-2,IF(RASANTE!F246&lt;=PERALTE!$U$10,(10/(PERALTE!$U$10-PERALTE!$Q$10)*(RASANTE!F246-PERALTE!$Q$10)-2),IF(RASANTE!F246&lt;=PERALTE!$X$10,8,IF(RASANTE!F246&lt;=PERALTE!$AB$10,(10/(PERALTE!$X$10-PERALTE!$AB$10)*(RASANTE!F246-PERALTE!$AB$10)-2))))),IF(AND(AH!$H$14="Derecha",RASANTE!F246&lt;=PERALTE!$AB$12),IF(RASANTE!F246&lt;=PERALTE!$S$12,-2,IF(RASANTE!F246&lt;=PERALTE!$U$12,(-6/(PERALTE!$U$12-PERALTE!$S$12)*(RASANTE!F246-PERALTE!$S$12)-2),IF(RASANTE!F246&lt;=PERALTE!$X$12,-8,IF(RASANTE!F246&lt;=PERALTE!$Z$12,(-6/(PERALTE!$X$12-PERALTE!$Z$12)*(RASANTE!F246-PERALTE!$Z$12)-2),IF(RASANTE!F246&lt;=PERALTE!$AB$12,-2))))),IF(AND(AH!$H$14="Izquierda",RASANTE!F246&lt;=PERALTE!$AB$12),IF(RASANTE!F246&lt;=PERALTE!$Q$12,-2,IF(RASANTE!F246&lt;=PERALTE!$U$12,(10/(PERALTE!$U$12-PERALTE!$Q$12)*(RASANTE!F246-PERALTE!$Q$12)-2),IF(RASANTE!F246&lt;=PERALTE!$X$12,8,IF(RASANTE!F246&lt;=PERALTE!$AB$12,(10/(PERALTE!$X$12-PERALTE!$AB$12)*(RASANTE!F246-PERALTE!$AB$12)-2))))),IF(AND(AH!$H$16="Derecha",RASANTE!F246&lt;=PERALTE!$AB$14),IF(RASANTE!F246&lt;=PERALTE!$S$14,-2,IF(RASANTE!F246&lt;=PERALTE!$U$14,(-6/(PERALTE!$U$14-PERALTE!$S$14)*(RASANTE!F246-PERALTE!$S$14)-2),IF(RASANTE!F246&lt;=PERALTE!$X$14,-8,IF(RASANTE!F246&lt;=PERALTE!$Z$14,(-6/(PERALTE!$X$14-PERALTE!$Z$14)*(RASANTE!F246-PERALTE!$Z$14)-2),IF(RASANTE!F246&lt;=PERALTE!$AB$14,-2))))),IF(AND(AH!$H$16="Izquierda",RASANTE!F246&lt;=PERALTE!$AB$14),IF(RASANTE!F246&lt;=PERALTE!$Q$14,-2,IF(RASANTE!F246&lt;=PERALTE!$U$14,(10/(PERALTE!$U$14-PERALTE!$Q$14)*(RASANTE!F246-PERALTE!$Q$14)-2),IF(RASANTE!F246&lt;=PERALTE!$X$14,8,IF(RASANTE!F246&lt;=PERALTE!$AB$14,(10/(PERALTE!$X$14-PERALTE!$AB$14)*(RASANTE!F246-PERALTE!$AB$14)-2))))),IF(AND(AH!$H$18="Derecha",RASANTE!F246&lt;=PERALTE!$AB$16),IF(RASANTE!F246&lt;=PERALTE!$S$16,-2,IF(RASANTE!F246&lt;=PERALTE!$U$16,(-6/(PERALTE!$U$16-PERALTE!$S$16)*(RASANTE!F246-PERALTE!$S$16)-2),IF(RASANTE!F246&lt;=PERALTE!$X$16,-8,IF(RASANTE!F246&lt;=PERALTE!$Z$16,(-6/(PERALTE!$X$16-PERALTE!$Z$16)*(RASANTE!F246-PERALTE!$Z$16)-2),IF(RASANTE!F246&lt;=PERALTE!$AB$16,-2))))),IF(AND(AH!$H$18="Izquierda",RASANTE!F246&lt;=PERALTE!$AB$16),IF(RASANTE!F246&lt;=PERALTE!$Q$16,-2,IF(RASANTE!F246&lt;=PERALTE!$U$16,(10/(PERALTE!$U$16-PERALTE!$Q$16)*(RASANTE!F246-PERALTE!$Q$16)-2),IF(RASANTE!F246&lt;=PERALTE!$X$16,8,IF(RASANTE!F246&lt;=PERALTE!$AB$16,(10/(PERALTE!$X$16-PERALTE!$AB$16)*(RASANTE!F246-PERALTE!$AB$16)-2))))),IF(AND(AH!$H$20="Derecha",RASANTE!F246&lt;=PERALTE!$AB$18),IF(RASANTE!F246&lt;=PERALTE!$S$18,-2,IF(RASANTE!F246&lt;=PERALTE!$U$18,(-6/(PERALTE!$U$18-PERALTE!$S$18)*(RASANTE!F246-PERALTE!$S$18)-2),IF(RASANTE!F246&lt;=PERALTE!$X$18,-8,IF(RASANTE!F246&lt;=PERALTE!$Z$18,(-6/(PERALTE!$X$18-PERALTE!$Z$18)*(RASANTE!F246-PERALTE!$Z$18)-2),IF(RASANTE!F246&lt;=PERALTE!$AB$18,-2))))),IF(AND(AH!$H$20="Izquierda",RASANTE!F246&lt;=PERALTE!$AB$18),IF(RASANTE!F246&lt;=PERALTE!$Q$18,-2,IF(RASANTE!F246&lt;=PERALTE!$U$18,(10/(PERALTE!$U$18-PERALTE!$Q$18)*(RASANTE!F246-PERALTE!$Q$18)-2),IF(RASANTE!F246&lt;=PERALTE!$X$18,8,IF(RASANTE!F246&lt;=PERALTE!$AB$18,(10/(PERALTE!$X$18-PERALTE!$AB$18)*(RASANTE!F246-PERALTE!$AB$18)-2))))),IF(AND(AH!$H$24="Derecha",RASANTE!F246&lt;=PERALTE!$AB$22),IF(RASANTE!F246&lt;=PERALTE!$S$22,-2,IF(RASANTE!F246&lt;=PERALTE!$U$22,(-6/(PERALTE!$U$22-PERALTE!$S$22)*(RASANTE!F246-PERALTE!$S$22)-2),IF(RASANTE!F246&lt;=PERALTE!$X$22,-8,IF(RASANTE!F246&lt;=PERALTE!$Z$22,(-6/(PERALTE!$X$22-PERALTE!$Z$22)*(RASANTE!F246-PERALTE!$Z$22)-2),IF(RASANTE!F246&lt;=PERALTE!$AB$22,-2))))),IF(AND(AH!$H$24="Izquierda",RASANTE!F246&lt;=PERALTE!$AB$22),IF(RASANTE!F246&lt;=PERALTE!$Q$22,-2,IF(RASANTE!F246&lt;=PERALTE!$U$22,(10/(PERALTE!$U$22-PERALTE!$Q$22)*(RASANTE!F246-PERALTE!$Q$22)-2),IF(RASANTE!F246&lt;=PERALTE!$X$22,8,IF(RASANTE!F246&lt;=PERALTE!$AB$22,(10/(PERALTE!$X$22-PERALTE!$AB$22)*(RASANTE!F246-PERALTE!$AB$22)-2))))),IF(AND(AH!#REF!="Derecha",RASANTE!F246&lt;=PERALTE!#REF!),IF(RASANTE!F246&lt;=PERALTE!#REF!,-2,IF(RASANTE!F246&lt;=PERALTE!#REF!,(-6/(PERALTE!#REF!-PERALTE!#REF!)*(RASANTE!F246-PERALTE!#REF!)-2),IF(RASANTE!F246&lt;=PERALTE!#REF!,-8,IF(RASANTE!F246&lt;=PERALTE!#REF!,(-6/(PERALTE!#REF!-PERALTE!#REF!)*(RASANTE!F246-PERALTE!#REF!)-2),IF(RASANTE!F246&lt;=PERALTE!#REF!,-2))))),IF(AND(AH!#REF!="Izquierda",RASANTE!F246&lt;=PERALTE!#REF!),IF(RASANTE!F246&lt;=PERALTE!#REF!,-2,IF(RASANTE!F246&lt;=PERALTE!#REF!,(10/(PERALTE!#REF!-PERALTE!#REF!)*(RASANTE!F246-PERALTE!#REF!)-2),IF(RASANTE!F246&lt;=PERALTE!#REF!,8,IF(RASANTE!F246&lt;=PERALTE!#REF!,(10/(PERALTE!#REF!-PERALTE!#REF!)*(RASANTE!F246-PERALTE!#REF!)-2))))),IF(AND(AH!#REF!="Derecha",RASANTE!F246&lt;=PERALTE!$AB$26),IF(RASANTE!F246&lt;=PERALTE!$S$26,-2,IF(RASANTE!F246&lt;=PERALTE!$U$26,(-6/(PERALTE!$U$26-PERALTE!$S$26)*(RASANTE!F246-PERALTE!$S$26)-2),IF(RASANTE!F246&lt;=PERALTE!$X$26,-8,IF(RASANTE!F246&lt;=PERALTE!$Z$26,(-6/(PERALTE!$X$26-PERALTE!$Z$26)*(RASANTE!F246-PERALTE!$Z$26)-2),IF(RASANTE!F246&lt;=PERALTE!$AB$26,-2))))),IF(AND(AH!#REF!="Izquierda",RASANTE!F246&lt;=PERALTE!$AB$26),IF(RASANTE!F246&lt;=PERALTE!$Q$26,-2,IF(RASANTE!F246&lt;=PERALTE!$U$26,(10/(PERALTE!$U$26-PERALTE!$Q$26)*(RASANTE!F246-PERALTE!$Q$26)-2),IF(RASANTE!F246&lt;=PERALTE!$X$26,8,IF(RASANTE!F246&lt;=PERALTE!$AB$26,(10/(PERALTE!$X$26-PERALTE!$AB$26)*(RASANTE!F246-PERALTE!$AB$26)-2))))),IF(F246&lt;=PERALTE!#REF!,-2,"Abscisa fuera de la vía")))))))))))))))))))))</f>
        <v>-4.0000000000000338</v>
      </c>
      <c r="J246" s="28">
        <f t="shared" si="11"/>
        <v>1633.3850340986128</v>
      </c>
      <c r="K246" s="28">
        <f>+IF(AND(AV!$S$6&lt;F246,F246&lt;=AV!$T$6),AV!$P$6*((AV!$S$6-RASANTE!F246)/(AV!$N$6))^2,IF(AND(AV!$T$6&lt;RASANTE!F246,F246&lt;AV!$U$6),AV!$P$6*((AV!$U$6-RASANTE!F246)/(AV!$O$6))^2,IF(AND(AV!$S$8&lt;F246,F246&lt;=AV!$T$8),AV!$P$8*((AV!$S$8-RASANTE!F246)/(AV!$N$8))^2,IF(AND(AV!$T$8&lt;RASANTE!F246,F246&lt;AV!$U$8),AV!$P$8*((AV!$U$8-RASANTE!F246)/(AV!$O$8))^2,IF(AND(AV!$S$10&lt;F246,F246&lt;=AV!$T$10),AV!$P$10*((AV!$S$10-RASANTE!F246)/(AV!$N$10))^2,IF(AND(AV!$T$10&lt;RASANTE!F246,F246&lt;AV!$U$10),AV!$P$10*((AV!$U$10-RASANTE!F246)/(AV!$O$10))^2,IF(AND(AV!$S$12&lt;F246,F246&lt;=AV!$T$12),AV!$P$12*((AV!$S$12-RASANTE!F246)/(AV!$N$12))^2,IF(AND(AV!$T$12&lt;RASANTE!F246,F246&lt;AV!$U$12),AV!$P$12*((AV!$U$12-RASANTE!F246)/(AV!$O$12))^2,IF(AND(AV!$S$14&lt;F246,F246&lt;=AV!$T$14),AV!$P$14*((AV!$S$14-RASANTE!F246)/(AV!$N$14))^2,IF(AND(AV!$T$14&lt;RASANTE!F246,F246&lt;AV!$U$14),AV!$P$14*((AV!$U$14-RASANTE!F246)/(AV!$O$14))^2,IF(AND(AV!$S$16&lt;F246,F246&lt;=AV!$T$16),AV!$P$16*((AV!$S$16-RASANTE!F246)/(AV!$N$16))^2,IF(AND(AV!$T$16&lt;RASANTE!F246,F246&lt;AV!$U$16),AV!$P$16*((AV!$U$16-RASANTE!F246)/(AV!$O$16))^2,IF(AND(AV!$S$18&lt;F246,F246&lt;=AV!$T$18),AV!$P$18*((AV!$S$18-RASANTE!F246)/(AV!$N$18))^2,IF(AND(AV!$T$18&lt;RASANTE!F246,F246&lt;AV!$U$18),AV!$P$18*((AV!$U$18-RASANTE!F246)/(AV!$O$18))^2,IF(AND(AV!$S$20&lt;F246,F246&lt;=AV!$T$20),AV!$P$20*((AV!$S$20-RASANTE!F246)/(AV!$N$20))^2,IF(AND(AV!$T$20&lt;RASANTE!F246,F246&lt;AV!$U$20),AV!$P$20*((AV!$U$20-RASANTE!F246)/(AV!$O$20))^2,IF(AND(AV!$S$22&lt;F246,F246&lt;=AV!$T$22),AV!$P$22*((AV!$S$22-RASANTE!F246)/(AV!$N$22))^2,IF(AND(AV!$T$22&lt;RASANTE!F246,F246&lt;AV!$U$22),AV!$P$22*((AV!$U$22-RASANTE!F246)/(AV!$O$22))^2,IF(AND(AV!$S$24&lt;F246,F246&lt;=AV!$T$24),AV!$P$24*((AV!$S$24-RASANTE!F246)/(AV!$N$24))^2,IF(AND(AV!$T$24&lt;RASANTE!F246,F246&lt;AV!$U$24),AV!$P$24*((AV!$U$24-RASANTE!F246)/(AV!$O$24))^2,0))))))))))))))))))))</f>
        <v>0</v>
      </c>
      <c r="L246" s="28">
        <f>+M246+H246%*PERALTE!$C$32</f>
        <v>1633.5250340986129</v>
      </c>
      <c r="M246" s="28">
        <f t="shared" si="12"/>
        <v>1633.3850340986128</v>
      </c>
      <c r="N246" s="28">
        <f>+M246+I246%*PERALTE!$C$32</f>
        <v>1633.2450340986127</v>
      </c>
      <c r="O246" s="92"/>
      <c r="P246" s="84"/>
      <c r="Q246" s="84"/>
      <c r="R246" s="84"/>
      <c r="S246" s="84"/>
      <c r="T246" s="84"/>
      <c r="U246" s="84"/>
      <c r="V246" s="84"/>
      <c r="W246" s="84"/>
      <c r="X246" s="84"/>
      <c r="Y246" s="84"/>
    </row>
    <row r="247" spans="1:25" ht="15.75" customHeight="1" x14ac:dyDescent="0.2">
      <c r="A247" s="90"/>
      <c r="B247" s="86"/>
      <c r="C247" s="86"/>
      <c r="D247" s="86"/>
      <c r="F247" s="34">
        <v>1510</v>
      </c>
      <c r="G247" s="88">
        <f>IF(F247&lt;=AV!$T$6,AV!$C$5,IF(RASANTE!F247&lt;=AV!$T$8,AV!$C$7,IF(RASANTE!F247&lt;=AV!$T$10,AV!$C$9,IF(RASANTE!F247&lt;=AV!$T$12,AV!$C$11,IF(RASANTE!F247&lt;=AV!$T$14,AV!$C$13,IF(RASANTE!F247&lt;=AV!$T$16,AV!$C$15, IF(RASANTE!F247&lt;=AV!$T$18,AV!$C$17,IF(RASANTE!F247&lt;=AV!$T$20,AV!$C$19,IF(RASANTE!F247&lt;=AV!$T$22,AV!$C$21,IF(RASANTE!F247&lt;=AV!$T$24,AV!$C$23,AV!$C$25))))))))))</f>
        <v>2.8</v>
      </c>
      <c r="H247" s="28">
        <f>+IF(AND(AH!$H$8="Izquierda",RASANTE!F247&lt;=PERALTE!$AB$6),IF(RASANTE!F247&lt;=PERALTE!$S$6,-2,IF(RASANTE!F247&lt;=PERALTE!$U$6,(-6/(PERALTE!$U$6-PERALTE!$S$6)*(RASANTE!F247-PERALTE!$S$6)-2),IF(RASANTE!F247&lt;=PERALTE!$X$6,-8,IF(RASANTE!F247&lt;=PERALTE!$Z$6,(-6/(PERALTE!$X$6-PERALTE!$Z$6)*(RASANTE!F247-PERALTE!$Z$6)-2),IF(RASANTE!F247&lt;=PERALTE!$AB$6,-2))))),IF(AND(AH!$H$8="Derecha",RASANTE!F247&lt;=PERALTE!$AB$6),IF(RASANTE!F247&lt;=PERALTE!$Q$6,-2,IF(RASANTE!F247&lt;=PERALTE!$U$6,(10/(PERALTE!$U$6-PERALTE!$Q$6)*(RASANTE!F247-PERALTE!$Q$6)-2),IF(RASANTE!F247&lt;=PERALTE!$X$6,8,IF(RASANTE!F247&lt;=PERALTE!$AB$6,(10/(PERALTE!$X$6-PERALTE!$AB$6)*(RASANTE!F247-PERALTE!$AB$6)-2))))),IF(AND(AH!$H$10="Izquierda",RASANTE!F247&lt;=PERALTE!$AB$8),IF(RASANTE!F247&lt;=PERALTE!$S$8,-2,IF(RASANTE!F247&lt;=PERALTE!$U$8,(-6/(PERALTE!$U$8-PERALTE!$S$8)*(RASANTE!F247-PERALTE!$S$8)-2),IF(RASANTE!F247&lt;=PERALTE!$X$8,-8,IF(RASANTE!F247&lt;=PERALTE!$Z$8,(-6/(PERALTE!$X$8-PERALTE!$Z$8)*(RASANTE!F247-PERALTE!$Z$8)-2),IF(RASANTE!F247&lt;=PERALTE!$AB$8,-2))))),IF(AND(AH!$H$10="Derecha",RASANTE!F247&lt;=PERALTE!$AB$8),IF(RASANTE!F247&lt;=PERALTE!$Q$8,-2,IF(RASANTE!F247&lt;=PERALTE!$U$8,(10/(PERALTE!$U$8-PERALTE!$Q$8)*(RASANTE!F247-PERALTE!$Q$8)-2),IF(RASANTE!F247&lt;=PERALTE!$X$8,8,IF(RASANTE!F247&lt;=PERALTE!$AB$8,(10/(PERALTE!$X$8-PERALTE!$AB$8)*(RASANTE!F247-PERALTE!$AB$8)-2))))),IF(AND(AH!$H$12="Izquierda",RASANTE!F247&lt;=PERALTE!$AB$10),IF(RASANTE!F247&lt;=PERALTE!$S$10,-2,IF(RASANTE!F247&lt;=PERALTE!$U$10,(-6/(PERALTE!$U$10-PERALTE!$S$10)*(RASANTE!F247-PERALTE!$S$10)-2),IF(RASANTE!F247&lt;=PERALTE!$X$10,-8,IF(RASANTE!F247&lt;=PERALTE!$Z$10,(-6/(PERALTE!$X$10-PERALTE!$Z$10)*(RASANTE!F247-PERALTE!$Z$10)-2),IF(RASANTE!F247&lt;=PERALTE!$AB$10,-2))))),IF(AND(AH!$H$12="Derecha",RASANTE!F247&lt;=PERALTE!$AB$10),IF(RASANTE!F247&lt;=PERALTE!$Q$10,-2,IF(RASANTE!F247&lt;=PERALTE!$U$10,(10/(PERALTE!$U$10-PERALTE!$Q$10)*(RASANTE!F247-PERALTE!$Q$10)-2),IF(RASANTE!F247&lt;=PERALTE!$X$10,8,IF(RASANTE!F247&lt;=PERALTE!$AB$10,(10/(PERALTE!$X$10-PERALTE!$AB$10)*(RASANTE!F247-PERALTE!$AB$10)-2))))),IF(AND(AH!$H$14="Izquierda",RASANTE!F247&lt;=PERALTE!$AB$12),IF(RASANTE!F247&lt;=PERALTE!$S$12,-2,IF(RASANTE!F247&lt;=PERALTE!$U$12,(-6/(PERALTE!$U$12-PERALTE!$S$12)*(RASANTE!F247-PERALTE!$S$12)-2),IF(RASANTE!F247&lt;=PERALTE!$X$12,-8,IF(RASANTE!F247&lt;=PERALTE!$Z$12,(-6/(PERALTE!$X$12-PERALTE!$Z$12)*(RASANTE!F247-PERALTE!$Z$12)-2),IF(RASANTE!F247&lt;=PERALTE!$AB$12,-2))))),IF(AND(AH!$H$14="Derecha",RASANTE!F247&lt;=PERALTE!$AB$12),IF(RASANTE!F247&lt;=PERALTE!$Q$12,-2,IF(RASANTE!F247&lt;=PERALTE!$U$12,(10/(PERALTE!$U$12-PERALTE!$Q$12)*(RASANTE!F247-PERALTE!$Q$12)-2),IF(RASANTE!F247&lt;=PERALTE!$X$12,8,IF(RASANTE!F247&lt;=PERALTE!$AB$12,(10/(PERALTE!$X$12-PERALTE!$AB$12)*(RASANTE!F247-PERALTE!$AB$12)-2))))),IF(AND(AH!$H$16="Izquierda",RASANTE!F247&lt;=PERALTE!$AB$14),IF(RASANTE!F247&lt;=PERALTE!$S$14,-2,IF(RASANTE!F247&lt;=PERALTE!$U$14,(-6/(PERALTE!$U$14-PERALTE!$S$14)*(RASANTE!F247-PERALTE!$S$14)-2),IF(RASANTE!F247&lt;=PERALTE!$X$14,-8,IF(RASANTE!F247&lt;=PERALTE!$Z$14,(-6/(PERALTE!$X$14-PERALTE!$Z$14)*(RASANTE!F247-PERALTE!$Z$14)-2),IF(RASANTE!F247&lt;=PERALTE!$AB$14,-2))))),IF(AND(AH!$H$16="Derecha",RASANTE!F247&lt;=PERALTE!$AB$14),IF(RASANTE!F247&lt;=PERALTE!$Q$14,-2,IF(RASANTE!F247&lt;=PERALTE!$U$14,(10/(PERALTE!$U$14-PERALTE!$Q$14)*(RASANTE!F247-PERALTE!$Q$14)-2),IF(RASANTE!F247&lt;=PERALTE!$X$14,8,IF(RASANTE!F247&lt;=PERALTE!$AB$14,(10/(PERALTE!$X$14-PERALTE!$AB$14)*(RASANTE!F247-PERALTE!$AB$14)-2))))),IF(AND(AH!$H$18="Izquierda",RASANTE!F247&lt;=PERALTE!$AB$16),IF(RASANTE!F247&lt;=PERALTE!$S$16,-2,IF(RASANTE!F247&lt;=PERALTE!$U$16,(-6/(PERALTE!$U$16-PERALTE!$S$16)*(RASANTE!F247-PERALTE!$S$16)-2),IF(RASANTE!F247&lt;=PERALTE!$X$16,-8,IF(RASANTE!F247&lt;=PERALTE!$Z$16,(-6/(PERALTE!$X$16-PERALTE!$Z$16)*(RASANTE!F247-PERALTE!$Z$16)-2),IF(RASANTE!F247&lt;=PERALTE!$AB$16,-2))))),IF(AND(AH!$H$18="Derecha",RASANTE!F247&lt;=PERALTE!$AB$16),IF(RASANTE!F247&lt;=PERALTE!$Q$16,-2,IF(RASANTE!F247&lt;=PERALTE!$U$16,(10/(PERALTE!$U$16-PERALTE!$Q$16)*(RASANTE!F247-PERALTE!$Q$16)-2),IF(RASANTE!F247&lt;=PERALTE!$X$16,8,IF(RASANTE!F247&lt;=PERALTE!$AB$16,(10/(PERALTE!$X$16-PERALTE!$AB$16)*(RASANTE!F247-PERALTE!$AB$16)-2))))),IF(AND(AH!$H$20="Izquierda",RASANTE!F247&lt;=PERALTE!$AB$18),IF(RASANTE!F247&lt;=PERALTE!$S$18,-2,IF(RASANTE!F247&lt;=PERALTE!$U$18,(-6/(PERALTE!$U$18-PERALTE!$S$18)*(RASANTE!F247-PERALTE!$S$18)-2),IF(RASANTE!F247&lt;=PERALTE!$X$18,-8,IF(RASANTE!F247&lt;=PERALTE!$Z$18,(-6/(PERALTE!$X$18-PERALTE!$Z$18)*(RASANTE!F247-PERALTE!$Z$18)-2),IF(RASANTE!F247&lt;=PERALTE!$AB$18,-2))))),IF(AND(AH!$H$20="Derecha",RASANTE!F247&lt;=PERALTE!$AB$18),IF(RASANTE!F247&lt;=PERALTE!$Q$18,-2,IF(RASANTE!F247&lt;=PERALTE!$U$18,(10/(PERALTE!$U$18-PERALTE!$Q$18)*(RASANTE!F247-PERALTE!$Q$18)-2),IF(RASANTE!F247&lt;=PERALTE!$X$18,8,IF(RASANTE!F247&lt;=PERALTE!$AB$18,(10/(PERALTE!$X$18-PERALTE!$AB$18)*(RASANTE!F247-PERALTE!$AB$18)-2))))),IF(AND(AH!$H$24="Izquierda",RASANTE!F247&lt;=PERALTE!$AB$22),IF(RASANTE!F247&lt;=PERALTE!$S$22,-2,IF(RASANTE!F247&lt;=PERALTE!$U$22,(-6/(PERALTE!$U$22-PERALTE!$S$22)*(RASANTE!F247-PERALTE!$S$22)-2),IF(RASANTE!F247&lt;=PERALTE!$X$22,-8,IF(RASANTE!F247&lt;=PERALTE!$Z$22,(-6/(PERALTE!$X$22-PERALTE!$Z$22)*(RASANTE!F247-PERALTE!$Z$22)-2),IF(RASANTE!F247&lt;=PERALTE!$AB$22,-2))))),IF(AND(AH!$H$24="Derecha",RASANTE!F247&lt;=PERALTE!$AB$22),IF(RASANTE!F247&lt;=PERALTE!$Q$22,-2,IF(RASANTE!F247&lt;=PERALTE!$U$22,(10/(PERALTE!$U$22-PERALTE!$Q$22)*(RASANTE!F247-PERALTE!$Q$22)-2),IF(RASANTE!F247&lt;=PERALTE!$X$22,8,IF(RASANTE!F247&lt;=PERALTE!$AB$22,(10/(PERALTE!$X$22-PERALTE!$AB$22)*(RASANTE!F247-PERALTE!$AB$22)-2))))),IF(AND(AH!#REF!="Izquierda",RASANTE!F247&lt;=PERALTE!#REF!),IF(RASANTE!F247&lt;=PERALTE!#REF!,-2,IF(RASANTE!F247&lt;=PERALTE!#REF!,(-6/(PERALTE!#REF!-PERALTE!#REF!)*(RASANTE!F247-PERALTE!#REF!)-2),IF(RASANTE!F247&lt;=PERALTE!#REF!,-8,IF(RASANTE!F247&lt;=PERALTE!#REF!,(-6/(PERALTE!#REF!-PERALTE!#REF!)*(RASANTE!F247-PERALTE!#REF!)-2),IF(RASANTE!F247&lt;=PERALTE!#REF!,-2))))),IF(AND(AH!#REF!="Derecha",RASANTE!F247&lt;=PERALTE!#REF!),IF(RASANTE!F247&lt;=PERALTE!#REF!,-2,IF(RASANTE!F247&lt;=PERALTE!#REF!,(10/(PERALTE!#REF!-PERALTE!#REF!)*(RASANTE!F247-PERALTE!#REF!)-2),IF(RASANTE!F247&lt;=PERALTE!#REF!,8,IF(RASANTE!F247&lt;=PERALTE!#REF!,(10/(PERALTE!#REF!-PERALTE!#REF!)*(RASANTE!F247-PERALTE!#REF!)-2))))),IF(AND(AH!#REF!="Izquierda",RASANTE!F247&lt;=PERALTE!$AB$26),IF(RASANTE!F247&lt;=PERALTE!$S$26,-2,IF(RASANTE!F247&lt;=PERALTE!$U$26,(-6/(PERALTE!$U$26-PERALTE!$S$26)*(RASANTE!F247-PERALTE!$S$26)-2),IF(RASANTE!F247&lt;=PERALTE!$X$26,-8,IF(RASANTE!F247&lt;=PERALTE!$Z$26,(-6/(PERALTE!$X$26-PERALTE!$Z$26)*(RASANTE!F247-PERALTE!$Z$26)-2),IF(RASANTE!F247&lt;=PERALTE!$AB$26,-2))))),IF(AND(AH!#REF!="Derecha",RASANTE!F247&lt;=PERALTE!$AB$26),IF(RASANTE!F247&lt;=PERALTE!$Q$26,-2,IF(RASANTE!F247&lt;=PERALTE!$U$26,(10/(PERALTE!$U$26-PERALTE!$Q$26)*(RASANTE!F247-PERALTE!$Q$26)-2),IF(RASANTE!F247&lt;=PERALTE!$X$26,8,IF(RASANTE!F247&lt;=PERALTE!$AB$26,(10/(PERALTE!$X$26-PERALTE!$AB$26)*(RASANTE!F247-PERALTE!$AB$26)-2))))),IF(F247&lt;=PERALTE!#REF!,-2,"Abscisa fuera de la vía")))))))))))))))))))))</f>
        <v>5.9477414493848118</v>
      </c>
      <c r="I247" s="28">
        <f>+IF(AND(AH!$H$8="Derecha",RASANTE!F247&lt;=PERALTE!$AB$6),IF(RASANTE!F247&lt;=PERALTE!$S$6,-2,IF(RASANTE!F247&lt;=PERALTE!$U$6,(-6/(PERALTE!$U$6-PERALTE!$S$6)*(RASANTE!F247-PERALTE!$S$6)-2),IF(RASANTE!F247&lt;=PERALTE!$X$6,-8,IF(RASANTE!F247&lt;=PERALTE!$Z$6,(-6/(PERALTE!$X$6-PERALTE!$Z$6)*(RASANTE!F247-PERALTE!$Z$6)-2),IF(RASANTE!F247&lt;=PERALTE!$AB$6,-2))))),IF(AND(AH!$H$8="Izquierda",RASANTE!F247&lt;=PERALTE!$AB$6),IF(RASANTE!F247&lt;=PERALTE!$Q$6,-2,IF(RASANTE!F247&lt;=PERALTE!$U$6,(10/(PERALTE!$U$6-PERALTE!$Q$6)*(RASANTE!F247-PERALTE!$Q$6)-2),IF(RASANTE!F247&lt;=PERALTE!$X$6,8,IF(RASANTE!F247&lt;=PERALTE!$AB$6,(10/(PERALTE!$X$6-PERALTE!$AB$6)*(RASANTE!F247-PERALTE!$AB$6)-2))))),IF(AND(AH!$H$10="Derecha",RASANTE!F247&lt;=PERALTE!$AB$8),IF(RASANTE!F247&lt;=PERALTE!$S$8,-2,IF(RASANTE!F247&lt;=PERALTE!$U$8,(-6/(PERALTE!$U$8-PERALTE!$S$8)*(RASANTE!F247-PERALTE!$S$8)-2),IF(RASANTE!F247&lt;=PERALTE!$X$8,-8,IF(RASANTE!F247&lt;=PERALTE!$Z$8,(-6/(PERALTE!$X$8-PERALTE!$Z$8)*(RASANTE!F247-PERALTE!$Z$8)-2),IF(RASANTE!F247&lt;=PERALTE!$AB$8,-2))))),IF(AND(AH!$H$10="Izquierda",RASANTE!F247&lt;=PERALTE!$AB$8),IF(RASANTE!F247&lt;=PERALTE!$Q$8,-2,IF(RASANTE!F247&lt;=PERALTE!$U$8,(10/(PERALTE!$U$8-PERALTE!$Q$8)*(RASANTE!F247-PERALTE!$Q$8)-2),IF(RASANTE!F247&lt;=PERALTE!$X$8,8,IF(RASANTE!F247&lt;=PERALTE!$AB$8,(10/(PERALTE!$X$8-PERALTE!$AB$8)*(RASANTE!F247-PERALTE!$AB$8)-2))))),IF(AND(AH!$H$12="Derecha",RASANTE!F247&lt;=PERALTE!$AB$10),IF(RASANTE!F247&lt;=PERALTE!$S$10,-2,IF(RASANTE!F247&lt;=PERALTE!$U$10,(-6/(PERALTE!$U$10-PERALTE!$S$10)*(RASANTE!F247-PERALTE!$S$10)-2),IF(RASANTE!F247&lt;=PERALTE!$X$10,-8,IF(RASANTE!F247&lt;=PERALTE!$Z$10,(-6/(PERALTE!$X$10-PERALTE!$Z$10)*(RASANTE!F247-PERALTE!$Z$10)-2),IF(RASANTE!F247&lt;=PERALTE!$AB$10,-2))))),IF(AND(AH!$H$12="Izquierda",RASANTE!F247&lt;=PERALTE!$AB$10),IF(RASANTE!F247&lt;=PERALTE!$Q$10,-2,IF(RASANTE!F247&lt;=PERALTE!$U$10,(10/(PERALTE!$U$10-PERALTE!$Q$10)*(RASANTE!F247-PERALTE!$Q$10)-2),IF(RASANTE!F247&lt;=PERALTE!$X$10,8,IF(RASANTE!F247&lt;=PERALTE!$AB$10,(10/(PERALTE!$X$10-PERALTE!$AB$10)*(RASANTE!F247-PERALTE!$AB$10)-2))))),IF(AND(AH!$H$14="Derecha",RASANTE!F247&lt;=PERALTE!$AB$12),IF(RASANTE!F247&lt;=PERALTE!$S$12,-2,IF(RASANTE!F247&lt;=PERALTE!$U$12,(-6/(PERALTE!$U$12-PERALTE!$S$12)*(RASANTE!F247-PERALTE!$S$12)-2),IF(RASANTE!F247&lt;=PERALTE!$X$12,-8,IF(RASANTE!F247&lt;=PERALTE!$Z$12,(-6/(PERALTE!$X$12-PERALTE!$Z$12)*(RASANTE!F247-PERALTE!$Z$12)-2),IF(RASANTE!F247&lt;=PERALTE!$AB$12,-2))))),IF(AND(AH!$H$14="Izquierda",RASANTE!F247&lt;=PERALTE!$AB$12),IF(RASANTE!F247&lt;=PERALTE!$Q$12,-2,IF(RASANTE!F247&lt;=PERALTE!$U$12,(10/(PERALTE!$U$12-PERALTE!$Q$12)*(RASANTE!F247-PERALTE!$Q$12)-2),IF(RASANTE!F247&lt;=PERALTE!$X$12,8,IF(RASANTE!F247&lt;=PERALTE!$AB$12,(10/(PERALTE!$X$12-PERALTE!$AB$12)*(RASANTE!F247-PERALTE!$AB$12)-2))))),IF(AND(AH!$H$16="Derecha",RASANTE!F247&lt;=PERALTE!$AB$14),IF(RASANTE!F247&lt;=PERALTE!$S$14,-2,IF(RASANTE!F247&lt;=PERALTE!$U$14,(-6/(PERALTE!$U$14-PERALTE!$S$14)*(RASANTE!F247-PERALTE!$S$14)-2),IF(RASANTE!F247&lt;=PERALTE!$X$14,-8,IF(RASANTE!F247&lt;=PERALTE!$Z$14,(-6/(PERALTE!$X$14-PERALTE!$Z$14)*(RASANTE!F247-PERALTE!$Z$14)-2),IF(RASANTE!F247&lt;=PERALTE!$AB$14,-2))))),IF(AND(AH!$H$16="Izquierda",RASANTE!F247&lt;=PERALTE!$AB$14),IF(RASANTE!F247&lt;=PERALTE!$Q$14,-2,IF(RASANTE!F247&lt;=PERALTE!$U$14,(10/(PERALTE!$U$14-PERALTE!$Q$14)*(RASANTE!F247-PERALTE!$Q$14)-2),IF(RASANTE!F247&lt;=PERALTE!$X$14,8,IF(RASANTE!F247&lt;=PERALTE!$AB$14,(10/(PERALTE!$X$14-PERALTE!$AB$14)*(RASANTE!F247-PERALTE!$AB$14)-2))))),IF(AND(AH!$H$18="Derecha",RASANTE!F247&lt;=PERALTE!$AB$16),IF(RASANTE!F247&lt;=PERALTE!$S$16,-2,IF(RASANTE!F247&lt;=PERALTE!$U$16,(-6/(PERALTE!$U$16-PERALTE!$S$16)*(RASANTE!F247-PERALTE!$S$16)-2),IF(RASANTE!F247&lt;=PERALTE!$X$16,-8,IF(RASANTE!F247&lt;=PERALTE!$Z$16,(-6/(PERALTE!$X$16-PERALTE!$Z$16)*(RASANTE!F247-PERALTE!$Z$16)-2),IF(RASANTE!F247&lt;=PERALTE!$AB$16,-2))))),IF(AND(AH!$H$18="Izquierda",RASANTE!F247&lt;=PERALTE!$AB$16),IF(RASANTE!F247&lt;=PERALTE!$Q$16,-2,IF(RASANTE!F247&lt;=PERALTE!$U$16,(10/(PERALTE!$U$16-PERALTE!$Q$16)*(RASANTE!F247-PERALTE!$Q$16)-2),IF(RASANTE!F247&lt;=PERALTE!$X$16,8,IF(RASANTE!F247&lt;=PERALTE!$AB$16,(10/(PERALTE!$X$16-PERALTE!$AB$16)*(RASANTE!F247-PERALTE!$AB$16)-2))))),IF(AND(AH!$H$20="Derecha",RASANTE!F247&lt;=PERALTE!$AB$18),IF(RASANTE!F247&lt;=PERALTE!$S$18,-2,IF(RASANTE!F247&lt;=PERALTE!$U$18,(-6/(PERALTE!$U$18-PERALTE!$S$18)*(RASANTE!F247-PERALTE!$S$18)-2),IF(RASANTE!F247&lt;=PERALTE!$X$18,-8,IF(RASANTE!F247&lt;=PERALTE!$Z$18,(-6/(PERALTE!$X$18-PERALTE!$Z$18)*(RASANTE!F247-PERALTE!$Z$18)-2),IF(RASANTE!F247&lt;=PERALTE!$AB$18,-2))))),IF(AND(AH!$H$20="Izquierda",RASANTE!F247&lt;=PERALTE!$AB$18),IF(RASANTE!F247&lt;=PERALTE!$Q$18,-2,IF(RASANTE!F247&lt;=PERALTE!$U$18,(10/(PERALTE!$U$18-PERALTE!$Q$18)*(RASANTE!F247-PERALTE!$Q$18)-2),IF(RASANTE!F247&lt;=PERALTE!$X$18,8,IF(RASANTE!F247&lt;=PERALTE!$AB$18,(10/(PERALTE!$X$18-PERALTE!$AB$18)*(RASANTE!F247-PERALTE!$AB$18)-2))))),IF(AND(AH!$H$24="Derecha",RASANTE!F247&lt;=PERALTE!$AB$22),IF(RASANTE!F247&lt;=PERALTE!$S$22,-2,IF(RASANTE!F247&lt;=PERALTE!$U$22,(-6/(PERALTE!$U$22-PERALTE!$S$22)*(RASANTE!F247-PERALTE!$S$22)-2),IF(RASANTE!F247&lt;=PERALTE!$X$22,-8,IF(RASANTE!F247&lt;=PERALTE!$Z$22,(-6/(PERALTE!$X$22-PERALTE!$Z$22)*(RASANTE!F247-PERALTE!$Z$22)-2),IF(RASANTE!F247&lt;=PERALTE!$AB$22,-2))))),IF(AND(AH!$H$24="Izquierda",RASANTE!F247&lt;=PERALTE!$AB$22),IF(RASANTE!F247&lt;=PERALTE!$Q$22,-2,IF(RASANTE!F247&lt;=PERALTE!$U$22,(10/(PERALTE!$U$22-PERALTE!$Q$22)*(RASANTE!F247-PERALTE!$Q$22)-2),IF(RASANTE!F247&lt;=PERALTE!$X$22,8,IF(RASANTE!F247&lt;=PERALTE!$AB$22,(10/(PERALTE!$X$22-PERALTE!$AB$22)*(RASANTE!F247-PERALTE!$AB$22)-2))))),IF(AND(AH!#REF!="Derecha",RASANTE!F247&lt;=PERALTE!#REF!),IF(RASANTE!F247&lt;=PERALTE!#REF!,-2,IF(RASANTE!F247&lt;=PERALTE!#REF!,(-6/(PERALTE!#REF!-PERALTE!#REF!)*(RASANTE!F247-PERALTE!#REF!)-2),IF(RASANTE!F247&lt;=PERALTE!#REF!,-8,IF(RASANTE!F247&lt;=PERALTE!#REF!,(-6/(PERALTE!#REF!-PERALTE!#REF!)*(RASANTE!F247-PERALTE!#REF!)-2),IF(RASANTE!F247&lt;=PERALTE!#REF!,-2))))),IF(AND(AH!#REF!="Izquierda",RASANTE!F247&lt;=PERALTE!#REF!),IF(RASANTE!F247&lt;=PERALTE!#REF!,-2,IF(RASANTE!F247&lt;=PERALTE!#REF!,(10/(PERALTE!#REF!-PERALTE!#REF!)*(RASANTE!F247-PERALTE!#REF!)-2),IF(RASANTE!F247&lt;=PERALTE!#REF!,8,IF(RASANTE!F247&lt;=PERALTE!#REF!,(10/(PERALTE!#REF!-PERALTE!#REF!)*(RASANTE!F247-PERALTE!#REF!)-2))))),IF(AND(AH!#REF!="Derecha",RASANTE!F247&lt;=PERALTE!$AB$26),IF(RASANTE!F247&lt;=PERALTE!$S$26,-2,IF(RASANTE!F247&lt;=PERALTE!$U$26,(-6/(PERALTE!$U$26-PERALTE!$S$26)*(RASANTE!F247-PERALTE!$S$26)-2),IF(RASANTE!F247&lt;=PERALTE!$X$26,-8,IF(RASANTE!F247&lt;=PERALTE!$Z$26,(-6/(PERALTE!$X$26-PERALTE!$Z$26)*(RASANTE!F247-PERALTE!$Z$26)-2),IF(RASANTE!F247&lt;=PERALTE!$AB$26,-2))))),IF(AND(AH!#REF!="Izquierda",RASANTE!F247&lt;=PERALTE!$AB$26),IF(RASANTE!F247&lt;=PERALTE!$Q$26,-2,IF(RASANTE!F247&lt;=PERALTE!$U$26,(10/(PERALTE!$U$26-PERALTE!$Q$26)*(RASANTE!F247-PERALTE!$Q$26)-2),IF(RASANTE!F247&lt;=PERALTE!$X$26,8,IF(RASANTE!F247&lt;=PERALTE!$AB$26,(10/(PERALTE!$X$26-PERALTE!$AB$26)*(RASANTE!F247-PERALTE!$AB$26)-2))))),IF(F247&lt;=PERALTE!#REF!,-2,"Abscisa fuera de la vía")))))))))))))))))))))</f>
        <v>-5.9477414493848197</v>
      </c>
      <c r="J247" s="28">
        <f t="shared" si="11"/>
        <v>1633.6329284648982</v>
      </c>
      <c r="K247" s="28">
        <f>+IF(AND(AV!$S$6&lt;F247,F247&lt;=AV!$T$6),AV!$P$6*((AV!$S$6-RASANTE!F247)/(AV!$N$6))^2,IF(AND(AV!$T$6&lt;RASANTE!F247,F247&lt;AV!$U$6),AV!$P$6*((AV!$U$6-RASANTE!F247)/(AV!$O$6))^2,IF(AND(AV!$S$8&lt;F247,F247&lt;=AV!$T$8),AV!$P$8*((AV!$S$8-RASANTE!F247)/(AV!$N$8))^2,IF(AND(AV!$T$8&lt;RASANTE!F247,F247&lt;AV!$U$8),AV!$P$8*((AV!$U$8-RASANTE!F247)/(AV!$O$8))^2,IF(AND(AV!$S$10&lt;F247,F247&lt;=AV!$T$10),AV!$P$10*((AV!$S$10-RASANTE!F247)/(AV!$N$10))^2,IF(AND(AV!$T$10&lt;RASANTE!F247,F247&lt;AV!$U$10),AV!$P$10*((AV!$U$10-RASANTE!F247)/(AV!$O$10))^2,IF(AND(AV!$S$12&lt;F247,F247&lt;=AV!$T$12),AV!$P$12*((AV!$S$12-RASANTE!F247)/(AV!$N$12))^2,IF(AND(AV!$T$12&lt;RASANTE!F247,F247&lt;AV!$U$12),AV!$P$12*((AV!$U$12-RASANTE!F247)/(AV!$O$12))^2,IF(AND(AV!$S$14&lt;F247,F247&lt;=AV!$T$14),AV!$P$14*((AV!$S$14-RASANTE!F247)/(AV!$N$14))^2,IF(AND(AV!$T$14&lt;RASANTE!F247,F247&lt;AV!$U$14),AV!$P$14*((AV!$U$14-RASANTE!F247)/(AV!$O$14))^2,IF(AND(AV!$S$16&lt;F247,F247&lt;=AV!$T$16),AV!$P$16*((AV!$S$16-RASANTE!F247)/(AV!$N$16))^2,IF(AND(AV!$T$16&lt;RASANTE!F247,F247&lt;AV!$U$16),AV!$P$16*((AV!$U$16-RASANTE!F247)/(AV!$O$16))^2,IF(AND(AV!$S$18&lt;F247,F247&lt;=AV!$T$18),AV!$P$18*((AV!$S$18-RASANTE!F247)/(AV!$N$18))^2,IF(AND(AV!$T$18&lt;RASANTE!F247,F247&lt;AV!$U$18),AV!$P$18*((AV!$U$18-RASANTE!F247)/(AV!$O$18))^2,IF(AND(AV!$S$20&lt;F247,F247&lt;=AV!$T$20),AV!$P$20*((AV!$S$20-RASANTE!F247)/(AV!$N$20))^2,IF(AND(AV!$T$20&lt;RASANTE!F247,F247&lt;AV!$U$20),AV!$P$20*((AV!$U$20-RASANTE!F247)/(AV!$O$20))^2,IF(AND(AV!$S$22&lt;F247,F247&lt;=AV!$T$22),AV!$P$22*((AV!$S$22-RASANTE!F247)/(AV!$N$22))^2,IF(AND(AV!$T$22&lt;RASANTE!F247,F247&lt;AV!$U$22),AV!$P$22*((AV!$U$22-RASANTE!F247)/(AV!$O$22))^2,IF(AND(AV!$S$24&lt;F247,F247&lt;=AV!$T$24),AV!$P$24*((AV!$S$24-RASANTE!F247)/(AV!$N$24))^2,IF(AND(AV!$T$24&lt;RASANTE!F247,F247&lt;AV!$U$24),AV!$P$24*((AV!$U$24-RASANTE!F247)/(AV!$O$24))^2,0))))))))))))))))))))</f>
        <v>0</v>
      </c>
      <c r="L247" s="28">
        <f>+M247+H247%*PERALTE!$C$32</f>
        <v>1633.8410994156268</v>
      </c>
      <c r="M247" s="28">
        <f t="shared" si="12"/>
        <v>1633.6329284648982</v>
      </c>
      <c r="N247" s="28">
        <f>+M247+I247%*PERALTE!$C$32</f>
        <v>1633.4247575141696</v>
      </c>
      <c r="O247" s="92"/>
      <c r="P247" s="84"/>
      <c r="Q247" s="84"/>
      <c r="R247" s="84"/>
      <c r="S247" s="84"/>
      <c r="T247" s="84"/>
      <c r="U247" s="84"/>
      <c r="V247" s="84"/>
      <c r="W247" s="84"/>
      <c r="X247" s="84"/>
      <c r="Y247" s="84"/>
    </row>
    <row r="248" spans="1:25" ht="15.75" customHeight="1" x14ac:dyDescent="0.2">
      <c r="A248" s="90" t="s">
        <v>372</v>
      </c>
      <c r="B248" s="97"/>
      <c r="C248" s="97"/>
      <c r="D248" s="97"/>
      <c r="F248" s="34">
        <f>PERALTE!U18</f>
        <v>1519.3284479573417</v>
      </c>
      <c r="G248" s="88">
        <f>IF(F248&lt;=AV!$T$6,AV!$C$5,IF(RASANTE!F248&lt;=AV!$T$8,AV!$C$7,IF(RASANTE!F248&lt;=AV!$T$10,AV!$C$9,IF(RASANTE!F248&lt;=AV!$T$12,AV!$C$11,IF(RASANTE!F248&lt;=AV!$T$14,AV!$C$13,IF(RASANTE!F248&lt;=AV!$T$16,AV!$C$15, IF(RASANTE!F248&lt;=AV!$T$18,AV!$C$17,IF(RASANTE!F248&lt;=AV!$T$20,AV!$C$19,IF(RASANTE!F248&lt;=AV!$T$22,AV!$C$21,IF(RASANTE!F248&lt;=AV!$T$24,AV!$C$23,AV!$C$25))))))))))</f>
        <v>2.8</v>
      </c>
      <c r="H248" s="28">
        <f>+IF(AND(AH!$H$8="Izquierda",RASANTE!F248&lt;=PERALTE!$AB$6),IF(RASANTE!F248&lt;=PERALTE!$S$6,-2,IF(RASANTE!F248&lt;=PERALTE!$U$6,(-6/(PERALTE!$U$6-PERALTE!$S$6)*(RASANTE!F248-PERALTE!$S$6)-2),IF(RASANTE!F248&lt;=PERALTE!$X$6,-8,IF(RASANTE!F248&lt;=PERALTE!$Z$6,(-6/(PERALTE!$X$6-PERALTE!$Z$6)*(RASANTE!F248-PERALTE!$Z$6)-2),IF(RASANTE!F248&lt;=PERALTE!$AB$6,-2))))),IF(AND(AH!$H$8="Derecha",RASANTE!F248&lt;=PERALTE!$AB$6),IF(RASANTE!F248&lt;=PERALTE!$Q$6,-2,IF(RASANTE!F248&lt;=PERALTE!$U$6,(10/(PERALTE!$U$6-PERALTE!$Q$6)*(RASANTE!F248-PERALTE!$Q$6)-2),IF(RASANTE!F248&lt;=PERALTE!$X$6,8,IF(RASANTE!F248&lt;=PERALTE!$AB$6,(10/(PERALTE!$X$6-PERALTE!$AB$6)*(RASANTE!F248-PERALTE!$AB$6)-2))))),IF(AND(AH!$H$10="Izquierda",RASANTE!F248&lt;=PERALTE!$AB$8),IF(RASANTE!F248&lt;=PERALTE!$S$8,-2,IF(RASANTE!F248&lt;=PERALTE!$U$8,(-6/(PERALTE!$U$8-PERALTE!$S$8)*(RASANTE!F248-PERALTE!$S$8)-2),IF(RASANTE!F248&lt;=PERALTE!$X$8,-8,IF(RASANTE!F248&lt;=PERALTE!$Z$8,(-6/(PERALTE!$X$8-PERALTE!$Z$8)*(RASANTE!F248-PERALTE!$Z$8)-2),IF(RASANTE!F248&lt;=PERALTE!$AB$8,-2))))),IF(AND(AH!$H$10="Derecha",RASANTE!F248&lt;=PERALTE!$AB$8),IF(RASANTE!F248&lt;=PERALTE!$Q$8,-2,IF(RASANTE!F248&lt;=PERALTE!$U$8,(10/(PERALTE!$U$8-PERALTE!$Q$8)*(RASANTE!F248-PERALTE!$Q$8)-2),IF(RASANTE!F248&lt;=PERALTE!$X$8,8,IF(RASANTE!F248&lt;=PERALTE!$AB$8,(10/(PERALTE!$X$8-PERALTE!$AB$8)*(RASANTE!F248-PERALTE!$AB$8)-2))))),IF(AND(AH!$H$12="Izquierda",RASANTE!F248&lt;=PERALTE!$AB$10),IF(RASANTE!F248&lt;=PERALTE!$S$10,-2,IF(RASANTE!F248&lt;=PERALTE!$U$10,(-6/(PERALTE!$U$10-PERALTE!$S$10)*(RASANTE!F248-PERALTE!$S$10)-2),IF(RASANTE!F248&lt;=PERALTE!$X$10,-8,IF(RASANTE!F248&lt;=PERALTE!$Z$10,(-6/(PERALTE!$X$10-PERALTE!$Z$10)*(RASANTE!F248-PERALTE!$Z$10)-2),IF(RASANTE!F248&lt;=PERALTE!$AB$10,-2))))),IF(AND(AH!$H$12="Derecha",RASANTE!F248&lt;=PERALTE!$AB$10),IF(RASANTE!F248&lt;=PERALTE!$Q$10,-2,IF(RASANTE!F248&lt;=PERALTE!$U$10,(10/(PERALTE!$U$10-PERALTE!$Q$10)*(RASANTE!F248-PERALTE!$Q$10)-2),IF(RASANTE!F248&lt;=PERALTE!$X$10,8,IF(RASANTE!F248&lt;=PERALTE!$AB$10,(10/(PERALTE!$X$10-PERALTE!$AB$10)*(RASANTE!F248-PERALTE!$AB$10)-2))))),IF(AND(AH!$H$14="Izquierda",RASANTE!F248&lt;=PERALTE!$AB$12),IF(RASANTE!F248&lt;=PERALTE!$S$12,-2,IF(RASANTE!F248&lt;=PERALTE!$U$12,(-6/(PERALTE!$U$12-PERALTE!$S$12)*(RASANTE!F248-PERALTE!$S$12)-2),IF(RASANTE!F248&lt;=PERALTE!$X$12,-8,IF(RASANTE!F248&lt;=PERALTE!$Z$12,(-6/(PERALTE!$X$12-PERALTE!$Z$12)*(RASANTE!F248-PERALTE!$Z$12)-2),IF(RASANTE!F248&lt;=PERALTE!$AB$12,-2))))),IF(AND(AH!$H$14="Derecha",RASANTE!F248&lt;=PERALTE!$AB$12),IF(RASANTE!F248&lt;=PERALTE!$Q$12,-2,IF(RASANTE!F248&lt;=PERALTE!$U$12,(10/(PERALTE!$U$12-PERALTE!$Q$12)*(RASANTE!F248-PERALTE!$Q$12)-2),IF(RASANTE!F248&lt;=PERALTE!$X$12,8,IF(RASANTE!F248&lt;=PERALTE!$AB$12,(10/(PERALTE!$X$12-PERALTE!$AB$12)*(RASANTE!F248-PERALTE!$AB$12)-2))))),IF(AND(AH!$H$16="Izquierda",RASANTE!F248&lt;=PERALTE!$AB$14),IF(RASANTE!F248&lt;=PERALTE!$S$14,-2,IF(RASANTE!F248&lt;=PERALTE!$U$14,(-6/(PERALTE!$U$14-PERALTE!$S$14)*(RASANTE!F248-PERALTE!$S$14)-2),IF(RASANTE!F248&lt;=PERALTE!$X$14,-8,IF(RASANTE!F248&lt;=PERALTE!$Z$14,(-6/(PERALTE!$X$14-PERALTE!$Z$14)*(RASANTE!F248-PERALTE!$Z$14)-2),IF(RASANTE!F248&lt;=PERALTE!$AB$14,-2))))),IF(AND(AH!$H$16="Derecha",RASANTE!F248&lt;=PERALTE!$AB$14),IF(RASANTE!F248&lt;=PERALTE!$Q$14,-2,IF(RASANTE!F248&lt;=PERALTE!$U$14,(10/(PERALTE!$U$14-PERALTE!$Q$14)*(RASANTE!F248-PERALTE!$Q$14)-2),IF(RASANTE!F248&lt;=PERALTE!$X$14,8,IF(RASANTE!F248&lt;=PERALTE!$AB$14,(10/(PERALTE!$X$14-PERALTE!$AB$14)*(RASANTE!F248-PERALTE!$AB$14)-2))))),IF(AND(AH!$H$18="Izquierda",RASANTE!F248&lt;=PERALTE!$AB$16),IF(RASANTE!F248&lt;=PERALTE!$S$16,-2,IF(RASANTE!F248&lt;=PERALTE!$U$16,(-6/(PERALTE!$U$16-PERALTE!$S$16)*(RASANTE!F248-PERALTE!$S$16)-2),IF(RASANTE!F248&lt;=PERALTE!$X$16,-8,IF(RASANTE!F248&lt;=PERALTE!$Z$16,(-6/(PERALTE!$X$16-PERALTE!$Z$16)*(RASANTE!F248-PERALTE!$Z$16)-2),IF(RASANTE!F248&lt;=PERALTE!$AB$16,-2))))),IF(AND(AH!$H$18="Derecha",RASANTE!F248&lt;=PERALTE!$AB$16),IF(RASANTE!F248&lt;=PERALTE!$Q$16,-2,IF(RASANTE!F248&lt;=PERALTE!$U$16,(10/(PERALTE!$U$16-PERALTE!$Q$16)*(RASANTE!F248-PERALTE!$Q$16)-2),IF(RASANTE!F248&lt;=PERALTE!$X$16,8,IF(RASANTE!F248&lt;=PERALTE!$AB$16,(10/(PERALTE!$X$16-PERALTE!$AB$16)*(RASANTE!F248-PERALTE!$AB$16)-2))))),IF(AND(AH!$H$20="Izquierda",RASANTE!F248&lt;=PERALTE!$AB$18),IF(RASANTE!F248&lt;=PERALTE!$S$18,-2,IF(RASANTE!F248&lt;=PERALTE!$U$18,(-6/(PERALTE!$U$18-PERALTE!$S$18)*(RASANTE!F248-PERALTE!$S$18)-2),IF(RASANTE!F248&lt;=PERALTE!$X$18,-8,IF(RASANTE!F248&lt;=PERALTE!$Z$18,(-6/(PERALTE!$X$18-PERALTE!$Z$18)*(RASANTE!F248-PERALTE!$Z$18)-2),IF(RASANTE!F248&lt;=PERALTE!$AB$18,-2))))),IF(AND(AH!$H$20="Derecha",RASANTE!F248&lt;=PERALTE!$AB$18),IF(RASANTE!F248&lt;=PERALTE!$Q$18,-2,IF(RASANTE!F248&lt;=PERALTE!$U$18,(10/(PERALTE!$U$18-PERALTE!$Q$18)*(RASANTE!F248-PERALTE!$Q$18)-2),IF(RASANTE!F248&lt;=PERALTE!$X$18,8,IF(RASANTE!F248&lt;=PERALTE!$AB$18,(10/(PERALTE!$X$18-PERALTE!$AB$18)*(RASANTE!F248-PERALTE!$AB$18)-2))))),IF(AND(AH!$H$24="Izquierda",RASANTE!F248&lt;=PERALTE!$AB$22),IF(RASANTE!F248&lt;=PERALTE!$S$22,-2,IF(RASANTE!F248&lt;=PERALTE!$U$22,(-6/(PERALTE!$U$22-PERALTE!$S$22)*(RASANTE!F248-PERALTE!$S$22)-2),IF(RASANTE!F248&lt;=PERALTE!$X$22,-8,IF(RASANTE!F248&lt;=PERALTE!$Z$22,(-6/(PERALTE!$X$22-PERALTE!$Z$22)*(RASANTE!F248-PERALTE!$Z$22)-2),IF(RASANTE!F248&lt;=PERALTE!$AB$22,-2))))),IF(AND(AH!$H$24="Derecha",RASANTE!F248&lt;=PERALTE!$AB$22),IF(RASANTE!F248&lt;=PERALTE!$Q$22,-2,IF(RASANTE!F248&lt;=PERALTE!$U$22,(10/(PERALTE!$U$22-PERALTE!$Q$22)*(RASANTE!F248-PERALTE!$Q$22)-2),IF(RASANTE!F248&lt;=PERALTE!$X$22,8,IF(RASANTE!F248&lt;=PERALTE!$AB$22,(10/(PERALTE!$X$22-PERALTE!$AB$22)*(RASANTE!F248-PERALTE!$AB$22)-2))))),IF(AND(AH!#REF!="Izquierda",RASANTE!F248&lt;=PERALTE!#REF!),IF(RASANTE!F248&lt;=PERALTE!#REF!,-2,IF(RASANTE!F248&lt;=PERALTE!#REF!,(-6/(PERALTE!#REF!-PERALTE!#REF!)*(RASANTE!F248-PERALTE!#REF!)-2),IF(RASANTE!F248&lt;=PERALTE!#REF!,-8,IF(RASANTE!F248&lt;=PERALTE!#REF!,(-6/(PERALTE!#REF!-PERALTE!#REF!)*(RASANTE!F248-PERALTE!#REF!)-2),IF(RASANTE!F248&lt;=PERALTE!#REF!,-2))))),IF(AND(AH!#REF!="Derecha",RASANTE!F248&lt;=PERALTE!#REF!),IF(RASANTE!F248&lt;=PERALTE!#REF!,-2,IF(RASANTE!F248&lt;=PERALTE!#REF!,(10/(PERALTE!#REF!-PERALTE!#REF!)*(RASANTE!F248-PERALTE!#REF!)-2),IF(RASANTE!F248&lt;=PERALTE!#REF!,8,IF(RASANTE!F248&lt;=PERALTE!#REF!,(10/(PERALTE!#REF!-PERALTE!#REF!)*(RASANTE!F248-PERALTE!#REF!)-2))))),IF(AND(AH!#REF!="Izquierda",RASANTE!F248&lt;=PERALTE!$AB$26),IF(RASANTE!F248&lt;=PERALTE!$S$26,-2,IF(RASANTE!F248&lt;=PERALTE!$U$26,(-6/(PERALTE!$U$26-PERALTE!$S$26)*(RASANTE!F248-PERALTE!$S$26)-2),IF(RASANTE!F248&lt;=PERALTE!$X$26,-8,IF(RASANTE!F248&lt;=PERALTE!$Z$26,(-6/(PERALTE!$X$26-PERALTE!$Z$26)*(RASANTE!F248-PERALTE!$Z$26)-2),IF(RASANTE!F248&lt;=PERALTE!$AB$26,-2))))),IF(AND(AH!#REF!="Derecha",RASANTE!F248&lt;=PERALTE!$AB$26),IF(RASANTE!F248&lt;=PERALTE!$Q$26,-2,IF(RASANTE!F248&lt;=PERALTE!$U$26,(10/(PERALTE!$U$26-PERALTE!$Q$26)*(RASANTE!F248-PERALTE!$Q$26)-2),IF(RASANTE!F248&lt;=PERALTE!$X$26,8,IF(RASANTE!F248&lt;=PERALTE!$AB$26,(10/(PERALTE!$X$26-PERALTE!$AB$26)*(RASANTE!F248-PERALTE!$AB$26)-2))))),IF(F248&lt;=PERALTE!#REF!,-2,"Abscisa fuera de la vía")))))))))))))))))))))</f>
        <v>8</v>
      </c>
      <c r="I248" s="28">
        <f>+IF(AND(AH!$H$8="Derecha",RASANTE!F248&lt;=PERALTE!$AB$6),IF(RASANTE!F248&lt;=PERALTE!$S$6,-2,IF(RASANTE!F248&lt;=PERALTE!$U$6,(-6/(PERALTE!$U$6-PERALTE!$S$6)*(RASANTE!F248-PERALTE!$S$6)-2),IF(RASANTE!F248&lt;=PERALTE!$X$6,-8,IF(RASANTE!F248&lt;=PERALTE!$Z$6,(-6/(PERALTE!$X$6-PERALTE!$Z$6)*(RASANTE!F248-PERALTE!$Z$6)-2),IF(RASANTE!F248&lt;=PERALTE!$AB$6,-2))))),IF(AND(AH!$H$8="Izquierda",RASANTE!F248&lt;=PERALTE!$AB$6),IF(RASANTE!F248&lt;=PERALTE!$Q$6,-2,IF(RASANTE!F248&lt;=PERALTE!$U$6,(10/(PERALTE!$U$6-PERALTE!$Q$6)*(RASANTE!F248-PERALTE!$Q$6)-2),IF(RASANTE!F248&lt;=PERALTE!$X$6,8,IF(RASANTE!F248&lt;=PERALTE!$AB$6,(10/(PERALTE!$X$6-PERALTE!$AB$6)*(RASANTE!F248-PERALTE!$AB$6)-2))))),IF(AND(AH!$H$10="Derecha",RASANTE!F248&lt;=PERALTE!$AB$8),IF(RASANTE!F248&lt;=PERALTE!$S$8,-2,IF(RASANTE!F248&lt;=PERALTE!$U$8,(-6/(PERALTE!$U$8-PERALTE!$S$8)*(RASANTE!F248-PERALTE!$S$8)-2),IF(RASANTE!F248&lt;=PERALTE!$X$8,-8,IF(RASANTE!F248&lt;=PERALTE!$Z$8,(-6/(PERALTE!$X$8-PERALTE!$Z$8)*(RASANTE!F248-PERALTE!$Z$8)-2),IF(RASANTE!F248&lt;=PERALTE!$AB$8,-2))))),IF(AND(AH!$H$10="Izquierda",RASANTE!F248&lt;=PERALTE!$AB$8),IF(RASANTE!F248&lt;=PERALTE!$Q$8,-2,IF(RASANTE!F248&lt;=PERALTE!$U$8,(10/(PERALTE!$U$8-PERALTE!$Q$8)*(RASANTE!F248-PERALTE!$Q$8)-2),IF(RASANTE!F248&lt;=PERALTE!$X$8,8,IF(RASANTE!F248&lt;=PERALTE!$AB$8,(10/(PERALTE!$X$8-PERALTE!$AB$8)*(RASANTE!F248-PERALTE!$AB$8)-2))))),IF(AND(AH!$H$12="Derecha",RASANTE!F248&lt;=PERALTE!$AB$10),IF(RASANTE!F248&lt;=PERALTE!$S$10,-2,IF(RASANTE!F248&lt;=PERALTE!$U$10,(-6/(PERALTE!$U$10-PERALTE!$S$10)*(RASANTE!F248-PERALTE!$S$10)-2),IF(RASANTE!F248&lt;=PERALTE!$X$10,-8,IF(RASANTE!F248&lt;=PERALTE!$Z$10,(-6/(PERALTE!$X$10-PERALTE!$Z$10)*(RASANTE!F248-PERALTE!$Z$10)-2),IF(RASANTE!F248&lt;=PERALTE!$AB$10,-2))))),IF(AND(AH!$H$12="Izquierda",RASANTE!F248&lt;=PERALTE!$AB$10),IF(RASANTE!F248&lt;=PERALTE!$Q$10,-2,IF(RASANTE!F248&lt;=PERALTE!$U$10,(10/(PERALTE!$U$10-PERALTE!$Q$10)*(RASANTE!F248-PERALTE!$Q$10)-2),IF(RASANTE!F248&lt;=PERALTE!$X$10,8,IF(RASANTE!F248&lt;=PERALTE!$AB$10,(10/(PERALTE!$X$10-PERALTE!$AB$10)*(RASANTE!F248-PERALTE!$AB$10)-2))))),IF(AND(AH!$H$14="Derecha",RASANTE!F248&lt;=PERALTE!$AB$12),IF(RASANTE!F248&lt;=PERALTE!$S$12,-2,IF(RASANTE!F248&lt;=PERALTE!$U$12,(-6/(PERALTE!$U$12-PERALTE!$S$12)*(RASANTE!F248-PERALTE!$S$12)-2),IF(RASANTE!F248&lt;=PERALTE!$X$12,-8,IF(RASANTE!F248&lt;=PERALTE!$Z$12,(-6/(PERALTE!$X$12-PERALTE!$Z$12)*(RASANTE!F248-PERALTE!$Z$12)-2),IF(RASANTE!F248&lt;=PERALTE!$AB$12,-2))))),IF(AND(AH!$H$14="Izquierda",RASANTE!F248&lt;=PERALTE!$AB$12),IF(RASANTE!F248&lt;=PERALTE!$Q$12,-2,IF(RASANTE!F248&lt;=PERALTE!$U$12,(10/(PERALTE!$U$12-PERALTE!$Q$12)*(RASANTE!F248-PERALTE!$Q$12)-2),IF(RASANTE!F248&lt;=PERALTE!$X$12,8,IF(RASANTE!F248&lt;=PERALTE!$AB$12,(10/(PERALTE!$X$12-PERALTE!$AB$12)*(RASANTE!F248-PERALTE!$AB$12)-2))))),IF(AND(AH!$H$16="Derecha",RASANTE!F248&lt;=PERALTE!$AB$14),IF(RASANTE!F248&lt;=PERALTE!$S$14,-2,IF(RASANTE!F248&lt;=PERALTE!$U$14,(-6/(PERALTE!$U$14-PERALTE!$S$14)*(RASANTE!F248-PERALTE!$S$14)-2),IF(RASANTE!F248&lt;=PERALTE!$X$14,-8,IF(RASANTE!F248&lt;=PERALTE!$Z$14,(-6/(PERALTE!$X$14-PERALTE!$Z$14)*(RASANTE!F248-PERALTE!$Z$14)-2),IF(RASANTE!F248&lt;=PERALTE!$AB$14,-2))))),IF(AND(AH!$H$16="Izquierda",RASANTE!F248&lt;=PERALTE!$AB$14),IF(RASANTE!F248&lt;=PERALTE!$Q$14,-2,IF(RASANTE!F248&lt;=PERALTE!$U$14,(10/(PERALTE!$U$14-PERALTE!$Q$14)*(RASANTE!F248-PERALTE!$Q$14)-2),IF(RASANTE!F248&lt;=PERALTE!$X$14,8,IF(RASANTE!F248&lt;=PERALTE!$AB$14,(10/(PERALTE!$X$14-PERALTE!$AB$14)*(RASANTE!F248-PERALTE!$AB$14)-2))))),IF(AND(AH!$H$18="Derecha",RASANTE!F248&lt;=PERALTE!$AB$16),IF(RASANTE!F248&lt;=PERALTE!$S$16,-2,IF(RASANTE!F248&lt;=PERALTE!$U$16,(-6/(PERALTE!$U$16-PERALTE!$S$16)*(RASANTE!F248-PERALTE!$S$16)-2),IF(RASANTE!F248&lt;=PERALTE!$X$16,-8,IF(RASANTE!F248&lt;=PERALTE!$Z$16,(-6/(PERALTE!$X$16-PERALTE!$Z$16)*(RASANTE!F248-PERALTE!$Z$16)-2),IF(RASANTE!F248&lt;=PERALTE!$AB$16,-2))))),IF(AND(AH!$H$18="Izquierda",RASANTE!F248&lt;=PERALTE!$AB$16),IF(RASANTE!F248&lt;=PERALTE!$Q$16,-2,IF(RASANTE!F248&lt;=PERALTE!$U$16,(10/(PERALTE!$U$16-PERALTE!$Q$16)*(RASANTE!F248-PERALTE!$Q$16)-2),IF(RASANTE!F248&lt;=PERALTE!$X$16,8,IF(RASANTE!F248&lt;=PERALTE!$AB$16,(10/(PERALTE!$X$16-PERALTE!$AB$16)*(RASANTE!F248-PERALTE!$AB$16)-2))))),IF(AND(AH!$H$20="Derecha",RASANTE!F248&lt;=PERALTE!$AB$18),IF(RASANTE!F248&lt;=PERALTE!$S$18,-2,IF(RASANTE!F248&lt;=PERALTE!$U$18,(-6/(PERALTE!$U$18-PERALTE!$S$18)*(RASANTE!F248-PERALTE!$S$18)-2),IF(RASANTE!F248&lt;=PERALTE!$X$18,-8,IF(RASANTE!F248&lt;=PERALTE!$Z$18,(-6/(PERALTE!$X$18-PERALTE!$Z$18)*(RASANTE!F248-PERALTE!$Z$18)-2),IF(RASANTE!F248&lt;=PERALTE!$AB$18,-2))))),IF(AND(AH!$H$20="Izquierda",RASANTE!F248&lt;=PERALTE!$AB$18),IF(RASANTE!F248&lt;=PERALTE!$Q$18,-2,IF(RASANTE!F248&lt;=PERALTE!$U$18,(10/(PERALTE!$U$18-PERALTE!$Q$18)*(RASANTE!F248-PERALTE!$Q$18)-2),IF(RASANTE!F248&lt;=PERALTE!$X$18,8,IF(RASANTE!F248&lt;=PERALTE!$AB$18,(10/(PERALTE!$X$18-PERALTE!$AB$18)*(RASANTE!F248-PERALTE!$AB$18)-2))))),IF(AND(AH!$H$24="Derecha",RASANTE!F248&lt;=PERALTE!$AB$22),IF(RASANTE!F248&lt;=PERALTE!$S$22,-2,IF(RASANTE!F248&lt;=PERALTE!$U$22,(-6/(PERALTE!$U$22-PERALTE!$S$22)*(RASANTE!F248-PERALTE!$S$22)-2),IF(RASANTE!F248&lt;=PERALTE!$X$22,-8,IF(RASANTE!F248&lt;=PERALTE!$Z$22,(-6/(PERALTE!$X$22-PERALTE!$Z$22)*(RASANTE!F248-PERALTE!$Z$22)-2),IF(RASANTE!F248&lt;=PERALTE!$AB$22,-2))))),IF(AND(AH!$H$24="Izquierda",RASANTE!F248&lt;=PERALTE!$AB$22),IF(RASANTE!F248&lt;=PERALTE!$Q$22,-2,IF(RASANTE!F248&lt;=PERALTE!$U$22,(10/(PERALTE!$U$22-PERALTE!$Q$22)*(RASANTE!F248-PERALTE!$Q$22)-2),IF(RASANTE!F248&lt;=PERALTE!$X$22,8,IF(RASANTE!F248&lt;=PERALTE!$AB$22,(10/(PERALTE!$X$22-PERALTE!$AB$22)*(RASANTE!F248-PERALTE!$AB$22)-2))))),IF(AND(AH!#REF!="Derecha",RASANTE!F248&lt;=PERALTE!#REF!),IF(RASANTE!F248&lt;=PERALTE!#REF!,-2,IF(RASANTE!F248&lt;=PERALTE!#REF!,(-6/(PERALTE!#REF!-PERALTE!#REF!)*(RASANTE!F248-PERALTE!#REF!)-2),IF(RASANTE!F248&lt;=PERALTE!#REF!,-8,IF(RASANTE!F248&lt;=PERALTE!#REF!,(-6/(PERALTE!#REF!-PERALTE!#REF!)*(RASANTE!F248-PERALTE!#REF!)-2),IF(RASANTE!F248&lt;=PERALTE!#REF!,-2))))),IF(AND(AH!#REF!="Izquierda",RASANTE!F248&lt;=PERALTE!#REF!),IF(RASANTE!F248&lt;=PERALTE!#REF!,-2,IF(RASANTE!F248&lt;=PERALTE!#REF!,(10/(PERALTE!#REF!-PERALTE!#REF!)*(RASANTE!F248-PERALTE!#REF!)-2),IF(RASANTE!F248&lt;=PERALTE!#REF!,8,IF(RASANTE!F248&lt;=PERALTE!#REF!,(10/(PERALTE!#REF!-PERALTE!#REF!)*(RASANTE!F248-PERALTE!#REF!)-2))))),IF(AND(AH!#REF!="Derecha",RASANTE!F248&lt;=PERALTE!$AB$26),IF(RASANTE!F248&lt;=PERALTE!$S$26,-2,IF(RASANTE!F248&lt;=PERALTE!$U$26,(-6/(PERALTE!$U$26-PERALTE!$S$26)*(RASANTE!F248-PERALTE!$S$26)-2),IF(RASANTE!F248&lt;=PERALTE!$X$26,-8,IF(RASANTE!F248&lt;=PERALTE!$Z$26,(-6/(PERALTE!$X$26-PERALTE!$Z$26)*(RASANTE!F248-PERALTE!$Z$26)-2),IF(RASANTE!F248&lt;=PERALTE!$AB$26,-2))))),IF(AND(AH!#REF!="Izquierda",RASANTE!F248&lt;=PERALTE!$AB$26),IF(RASANTE!F248&lt;=PERALTE!$Q$26,-2,IF(RASANTE!F248&lt;=PERALTE!$U$26,(10/(PERALTE!$U$26-PERALTE!$Q$26)*(RASANTE!F248-PERALTE!$Q$26)-2),IF(RASANTE!F248&lt;=PERALTE!$X$26,8,IF(RASANTE!F248&lt;=PERALTE!$AB$26,(10/(PERALTE!$X$26-PERALTE!$AB$26)*(RASANTE!F248-PERALTE!$AB$26)-2))))),IF(F248&lt;=PERALTE!#REF!,-2,"Abscisa fuera de la vía")))))))))))))))))))))</f>
        <v>-8</v>
      </c>
      <c r="J248" s="28">
        <f t="shared" si="11"/>
        <v>1633.8941250077037</v>
      </c>
      <c r="K248" s="28">
        <f>+IF(AND(AV!$S$6&lt;F248,F248&lt;=AV!$T$6),AV!$P$6*((AV!$S$6-RASANTE!F248)/(AV!$N$6))^2,IF(AND(AV!$T$6&lt;RASANTE!F248,F248&lt;AV!$U$6),AV!$P$6*((AV!$U$6-RASANTE!F248)/(AV!$O$6))^2,IF(AND(AV!$S$8&lt;F248,F248&lt;=AV!$T$8),AV!$P$8*((AV!$S$8-RASANTE!F248)/(AV!$N$8))^2,IF(AND(AV!$T$8&lt;RASANTE!F248,F248&lt;AV!$U$8),AV!$P$8*((AV!$U$8-RASANTE!F248)/(AV!$O$8))^2,IF(AND(AV!$S$10&lt;F248,F248&lt;=AV!$T$10),AV!$P$10*((AV!$S$10-RASANTE!F248)/(AV!$N$10))^2,IF(AND(AV!$T$10&lt;RASANTE!F248,F248&lt;AV!$U$10),AV!$P$10*((AV!$U$10-RASANTE!F248)/(AV!$O$10))^2,IF(AND(AV!$S$12&lt;F248,F248&lt;=AV!$T$12),AV!$P$12*((AV!$S$12-RASANTE!F248)/(AV!$N$12))^2,IF(AND(AV!$T$12&lt;RASANTE!F248,F248&lt;AV!$U$12),AV!$P$12*((AV!$U$12-RASANTE!F248)/(AV!$O$12))^2,IF(AND(AV!$S$14&lt;F248,F248&lt;=AV!$T$14),AV!$P$14*((AV!$S$14-RASANTE!F248)/(AV!$N$14))^2,IF(AND(AV!$T$14&lt;RASANTE!F248,F248&lt;AV!$U$14),AV!$P$14*((AV!$U$14-RASANTE!F248)/(AV!$O$14))^2,IF(AND(AV!$S$16&lt;F248,F248&lt;=AV!$T$16),AV!$P$16*((AV!$S$16-RASANTE!F248)/(AV!$N$16))^2,IF(AND(AV!$T$16&lt;RASANTE!F248,F248&lt;AV!$U$16),AV!$P$16*((AV!$U$16-RASANTE!F248)/(AV!$O$16))^2,IF(AND(AV!$S$18&lt;F248,F248&lt;=AV!$T$18),AV!$P$18*((AV!$S$18-RASANTE!F248)/(AV!$N$18))^2,IF(AND(AV!$T$18&lt;RASANTE!F248,F248&lt;AV!$U$18),AV!$P$18*((AV!$U$18-RASANTE!F248)/(AV!$O$18))^2,IF(AND(AV!$S$20&lt;F248,F248&lt;=AV!$T$20),AV!$P$20*((AV!$S$20-RASANTE!F248)/(AV!$N$20))^2,IF(AND(AV!$T$20&lt;RASANTE!F248,F248&lt;AV!$U$20),AV!$P$20*((AV!$U$20-RASANTE!F248)/(AV!$O$20))^2,IF(AND(AV!$S$22&lt;F248,F248&lt;=AV!$T$22),AV!$P$22*((AV!$S$22-RASANTE!F248)/(AV!$N$22))^2,IF(AND(AV!$T$22&lt;RASANTE!F248,F248&lt;AV!$U$22),AV!$P$22*((AV!$U$22-RASANTE!F248)/(AV!$O$22))^2,IF(AND(AV!$S$24&lt;F248,F248&lt;=AV!$T$24),AV!$P$24*((AV!$S$24-RASANTE!F248)/(AV!$N$24))^2,IF(AND(AV!$T$24&lt;RASANTE!F248,F248&lt;AV!$U$24),AV!$P$24*((AV!$U$24-RASANTE!F248)/(AV!$O$24))^2,0))))))))))))))))))))</f>
        <v>0</v>
      </c>
      <c r="L248" s="28">
        <f>+M248+H248%*PERALTE!$C$32</f>
        <v>1634.1741250077037</v>
      </c>
      <c r="M248" s="28">
        <f t="shared" si="12"/>
        <v>1633.8941250077037</v>
      </c>
      <c r="N248" s="28">
        <f>+M248+I248%*PERALTE!$C$32</f>
        <v>1633.6141250077037</v>
      </c>
      <c r="O248" s="92"/>
      <c r="P248" s="84"/>
      <c r="Q248" s="84"/>
      <c r="R248" s="84"/>
      <c r="S248" s="84"/>
      <c r="T248" s="84"/>
      <c r="U248" s="84"/>
      <c r="V248" s="84"/>
      <c r="W248" s="84"/>
      <c r="X248" s="84"/>
      <c r="Y248" s="84"/>
    </row>
    <row r="249" spans="1:25" ht="15.75" customHeight="1" x14ac:dyDescent="0.2">
      <c r="A249" s="139" t="s">
        <v>228</v>
      </c>
      <c r="B249" s="372" t="s">
        <v>229</v>
      </c>
      <c r="C249" s="373"/>
      <c r="D249" s="374"/>
      <c r="E249" s="91"/>
      <c r="F249" s="34">
        <f>PERALTE!V18</f>
        <v>1519.328447957342</v>
      </c>
      <c r="G249" s="88">
        <f>IF(F249&lt;=AV!$T$6,AV!$C$5,IF(RASANTE!F249&lt;=AV!$T$8,AV!$C$7,IF(RASANTE!F249&lt;=AV!$T$10,AV!$C$9,IF(RASANTE!F249&lt;=AV!$T$12,AV!$C$11,IF(RASANTE!F249&lt;=AV!$T$14,AV!$C$13,IF(RASANTE!F249&lt;=AV!$T$16,AV!$C$15, IF(RASANTE!F249&lt;=AV!$T$18,AV!$C$17,IF(RASANTE!F249&lt;=AV!$T$20,AV!$C$19,IF(RASANTE!F249&lt;=AV!$T$22,AV!$C$21,IF(RASANTE!F249&lt;=AV!$T$24,AV!$C$23,AV!$C$25))))))))))</f>
        <v>2.8</v>
      </c>
      <c r="H249" s="28">
        <f>+IF(AND(AH!$H$8="Izquierda",RASANTE!F249&lt;=PERALTE!$AB$6),IF(RASANTE!F249&lt;=PERALTE!$S$6,-2,IF(RASANTE!F249&lt;=PERALTE!$U$6,(-6/(PERALTE!$U$6-PERALTE!$S$6)*(RASANTE!F249-PERALTE!$S$6)-2),IF(RASANTE!F249&lt;=PERALTE!$X$6,-8,IF(RASANTE!F249&lt;=PERALTE!$Z$6,(-6/(PERALTE!$X$6-PERALTE!$Z$6)*(RASANTE!F249-PERALTE!$Z$6)-2),IF(RASANTE!F249&lt;=PERALTE!$AB$6,-2))))),IF(AND(AH!$H$8="Derecha",RASANTE!F249&lt;=PERALTE!$AB$6),IF(RASANTE!F249&lt;=PERALTE!$Q$6,-2,IF(RASANTE!F249&lt;=PERALTE!$U$6,(10/(PERALTE!$U$6-PERALTE!$Q$6)*(RASANTE!F249-PERALTE!$Q$6)-2),IF(RASANTE!F249&lt;=PERALTE!$X$6,8,IF(RASANTE!F249&lt;=PERALTE!$AB$6,(10/(PERALTE!$X$6-PERALTE!$AB$6)*(RASANTE!F249-PERALTE!$AB$6)-2))))),IF(AND(AH!$H$10="Izquierda",RASANTE!F249&lt;=PERALTE!$AB$8),IF(RASANTE!F249&lt;=PERALTE!$S$8,-2,IF(RASANTE!F249&lt;=PERALTE!$U$8,(-6/(PERALTE!$U$8-PERALTE!$S$8)*(RASANTE!F249-PERALTE!$S$8)-2),IF(RASANTE!F249&lt;=PERALTE!$X$8,-8,IF(RASANTE!F249&lt;=PERALTE!$Z$8,(-6/(PERALTE!$X$8-PERALTE!$Z$8)*(RASANTE!F249-PERALTE!$Z$8)-2),IF(RASANTE!F249&lt;=PERALTE!$AB$8,-2))))),IF(AND(AH!$H$10="Derecha",RASANTE!F249&lt;=PERALTE!$AB$8),IF(RASANTE!F249&lt;=PERALTE!$Q$8,-2,IF(RASANTE!F249&lt;=PERALTE!$U$8,(10/(PERALTE!$U$8-PERALTE!$Q$8)*(RASANTE!F249-PERALTE!$Q$8)-2),IF(RASANTE!F249&lt;=PERALTE!$X$8,8,IF(RASANTE!F249&lt;=PERALTE!$AB$8,(10/(PERALTE!$X$8-PERALTE!$AB$8)*(RASANTE!F249-PERALTE!$AB$8)-2))))),IF(AND(AH!$H$12="Izquierda",RASANTE!F249&lt;=PERALTE!$AB$10),IF(RASANTE!F249&lt;=PERALTE!$S$10,-2,IF(RASANTE!F249&lt;=PERALTE!$U$10,(-6/(PERALTE!$U$10-PERALTE!$S$10)*(RASANTE!F249-PERALTE!$S$10)-2),IF(RASANTE!F249&lt;=PERALTE!$X$10,-8,IF(RASANTE!F249&lt;=PERALTE!$Z$10,(-6/(PERALTE!$X$10-PERALTE!$Z$10)*(RASANTE!F249-PERALTE!$Z$10)-2),IF(RASANTE!F249&lt;=PERALTE!$AB$10,-2))))),IF(AND(AH!$H$12="Derecha",RASANTE!F249&lt;=PERALTE!$AB$10),IF(RASANTE!F249&lt;=PERALTE!$Q$10,-2,IF(RASANTE!F249&lt;=PERALTE!$U$10,(10/(PERALTE!$U$10-PERALTE!$Q$10)*(RASANTE!F249-PERALTE!$Q$10)-2),IF(RASANTE!F249&lt;=PERALTE!$X$10,8,IF(RASANTE!F249&lt;=PERALTE!$AB$10,(10/(PERALTE!$X$10-PERALTE!$AB$10)*(RASANTE!F249-PERALTE!$AB$10)-2))))),IF(AND(AH!$H$14="Izquierda",RASANTE!F249&lt;=PERALTE!$AB$12),IF(RASANTE!F249&lt;=PERALTE!$S$12,-2,IF(RASANTE!F249&lt;=PERALTE!$U$12,(-6/(PERALTE!$U$12-PERALTE!$S$12)*(RASANTE!F249-PERALTE!$S$12)-2),IF(RASANTE!F249&lt;=PERALTE!$X$12,-8,IF(RASANTE!F249&lt;=PERALTE!$Z$12,(-6/(PERALTE!$X$12-PERALTE!$Z$12)*(RASANTE!F249-PERALTE!$Z$12)-2),IF(RASANTE!F249&lt;=PERALTE!$AB$12,-2))))),IF(AND(AH!$H$14="Derecha",RASANTE!F249&lt;=PERALTE!$AB$12),IF(RASANTE!F249&lt;=PERALTE!$Q$12,-2,IF(RASANTE!F249&lt;=PERALTE!$U$12,(10/(PERALTE!$U$12-PERALTE!$Q$12)*(RASANTE!F249-PERALTE!$Q$12)-2),IF(RASANTE!F249&lt;=PERALTE!$X$12,8,IF(RASANTE!F249&lt;=PERALTE!$AB$12,(10/(PERALTE!$X$12-PERALTE!$AB$12)*(RASANTE!F249-PERALTE!$AB$12)-2))))),IF(AND(AH!$H$16="Izquierda",RASANTE!F249&lt;=PERALTE!$AB$14),IF(RASANTE!F249&lt;=PERALTE!$S$14,-2,IF(RASANTE!F249&lt;=PERALTE!$U$14,(-6/(PERALTE!$U$14-PERALTE!$S$14)*(RASANTE!F249-PERALTE!$S$14)-2),IF(RASANTE!F249&lt;=PERALTE!$X$14,-8,IF(RASANTE!F249&lt;=PERALTE!$Z$14,(-6/(PERALTE!$X$14-PERALTE!$Z$14)*(RASANTE!F249-PERALTE!$Z$14)-2),IF(RASANTE!F249&lt;=PERALTE!$AB$14,-2))))),IF(AND(AH!$H$16="Derecha",RASANTE!F249&lt;=PERALTE!$AB$14),IF(RASANTE!F249&lt;=PERALTE!$Q$14,-2,IF(RASANTE!F249&lt;=PERALTE!$U$14,(10/(PERALTE!$U$14-PERALTE!$Q$14)*(RASANTE!F249-PERALTE!$Q$14)-2),IF(RASANTE!F249&lt;=PERALTE!$X$14,8,IF(RASANTE!F249&lt;=PERALTE!$AB$14,(10/(PERALTE!$X$14-PERALTE!$AB$14)*(RASANTE!F249-PERALTE!$AB$14)-2))))),IF(AND(AH!$H$18="Izquierda",RASANTE!F249&lt;=PERALTE!$AB$16),IF(RASANTE!F249&lt;=PERALTE!$S$16,-2,IF(RASANTE!F249&lt;=PERALTE!$U$16,(-6/(PERALTE!$U$16-PERALTE!$S$16)*(RASANTE!F249-PERALTE!$S$16)-2),IF(RASANTE!F249&lt;=PERALTE!$X$16,-8,IF(RASANTE!F249&lt;=PERALTE!$Z$16,(-6/(PERALTE!$X$16-PERALTE!$Z$16)*(RASANTE!F249-PERALTE!$Z$16)-2),IF(RASANTE!F249&lt;=PERALTE!$AB$16,-2))))),IF(AND(AH!$H$18="Derecha",RASANTE!F249&lt;=PERALTE!$AB$16),IF(RASANTE!F249&lt;=PERALTE!$Q$16,-2,IF(RASANTE!F249&lt;=PERALTE!$U$16,(10/(PERALTE!$U$16-PERALTE!$Q$16)*(RASANTE!F249-PERALTE!$Q$16)-2),IF(RASANTE!F249&lt;=PERALTE!$X$16,8,IF(RASANTE!F249&lt;=PERALTE!$AB$16,(10/(PERALTE!$X$16-PERALTE!$AB$16)*(RASANTE!F249-PERALTE!$AB$16)-2))))),IF(AND(AH!$H$20="Izquierda",RASANTE!F249&lt;=PERALTE!$AB$18),IF(RASANTE!F249&lt;=PERALTE!$S$18,-2,IF(RASANTE!F249&lt;=PERALTE!$U$18,(-6/(PERALTE!$U$18-PERALTE!$S$18)*(RASANTE!F249-PERALTE!$S$18)-2),IF(RASANTE!F249&lt;=PERALTE!$X$18,-8,IF(RASANTE!F249&lt;=PERALTE!$Z$18,(-6/(PERALTE!$X$18-PERALTE!$Z$18)*(RASANTE!F249-PERALTE!$Z$18)-2),IF(RASANTE!F249&lt;=PERALTE!$AB$18,-2))))),IF(AND(AH!$H$20="Derecha",RASANTE!F249&lt;=PERALTE!$AB$18),IF(RASANTE!F249&lt;=PERALTE!$Q$18,-2,IF(RASANTE!F249&lt;=PERALTE!$U$18,(10/(PERALTE!$U$18-PERALTE!$Q$18)*(RASANTE!F249-PERALTE!$Q$18)-2),IF(RASANTE!F249&lt;=PERALTE!$X$18,8,IF(RASANTE!F249&lt;=PERALTE!$AB$18,(10/(PERALTE!$X$18-PERALTE!$AB$18)*(RASANTE!F249-PERALTE!$AB$18)-2))))),IF(AND(AH!$H$24="Izquierda",RASANTE!F249&lt;=PERALTE!$AB$22),IF(RASANTE!F249&lt;=PERALTE!$S$22,-2,IF(RASANTE!F249&lt;=PERALTE!$U$22,(-6/(PERALTE!$U$22-PERALTE!$S$22)*(RASANTE!F249-PERALTE!$S$22)-2),IF(RASANTE!F249&lt;=PERALTE!$X$22,-8,IF(RASANTE!F249&lt;=PERALTE!$Z$22,(-6/(PERALTE!$X$22-PERALTE!$Z$22)*(RASANTE!F249-PERALTE!$Z$22)-2),IF(RASANTE!F249&lt;=PERALTE!$AB$22,-2))))),IF(AND(AH!$H$24="Derecha",RASANTE!F249&lt;=PERALTE!$AB$22),IF(RASANTE!F249&lt;=PERALTE!$Q$22,-2,IF(RASANTE!F249&lt;=PERALTE!$U$22,(10/(PERALTE!$U$22-PERALTE!$Q$22)*(RASANTE!F249-PERALTE!$Q$22)-2),IF(RASANTE!F249&lt;=PERALTE!$X$22,8,IF(RASANTE!F249&lt;=PERALTE!$AB$22,(10/(PERALTE!$X$22-PERALTE!$AB$22)*(RASANTE!F249-PERALTE!$AB$22)-2))))),IF(AND(AH!#REF!="Izquierda",RASANTE!F249&lt;=PERALTE!#REF!),IF(RASANTE!F249&lt;=PERALTE!#REF!,-2,IF(RASANTE!F249&lt;=PERALTE!#REF!,(-6/(PERALTE!#REF!-PERALTE!#REF!)*(RASANTE!F249-PERALTE!#REF!)-2),IF(RASANTE!F249&lt;=PERALTE!#REF!,-8,IF(RASANTE!F249&lt;=PERALTE!#REF!,(-6/(PERALTE!#REF!-PERALTE!#REF!)*(RASANTE!F249-PERALTE!#REF!)-2),IF(RASANTE!F249&lt;=PERALTE!#REF!,-2))))),IF(AND(AH!#REF!="Derecha",RASANTE!F249&lt;=PERALTE!#REF!),IF(RASANTE!F249&lt;=PERALTE!#REF!,-2,IF(RASANTE!F249&lt;=PERALTE!#REF!,(10/(PERALTE!#REF!-PERALTE!#REF!)*(RASANTE!F249-PERALTE!#REF!)-2),IF(RASANTE!F249&lt;=PERALTE!#REF!,8,IF(RASANTE!F249&lt;=PERALTE!#REF!,(10/(PERALTE!#REF!-PERALTE!#REF!)*(RASANTE!F249-PERALTE!#REF!)-2))))),IF(AND(AH!#REF!="Izquierda",RASANTE!F249&lt;=PERALTE!$AB$26),IF(RASANTE!F249&lt;=PERALTE!$S$26,-2,IF(RASANTE!F249&lt;=PERALTE!$U$26,(-6/(PERALTE!$U$26-PERALTE!$S$26)*(RASANTE!F249-PERALTE!$S$26)-2),IF(RASANTE!F249&lt;=PERALTE!$X$26,-8,IF(RASANTE!F249&lt;=PERALTE!$Z$26,(-6/(PERALTE!$X$26-PERALTE!$Z$26)*(RASANTE!F249-PERALTE!$Z$26)-2),IF(RASANTE!F249&lt;=PERALTE!$AB$26,-2))))),IF(AND(AH!#REF!="Derecha",RASANTE!F249&lt;=PERALTE!$AB$26),IF(RASANTE!F249&lt;=PERALTE!$Q$26,-2,IF(RASANTE!F249&lt;=PERALTE!$U$26,(10/(PERALTE!$U$26-PERALTE!$Q$26)*(RASANTE!F249-PERALTE!$Q$26)-2),IF(RASANTE!F249&lt;=PERALTE!$X$26,8,IF(RASANTE!F249&lt;=PERALTE!$AB$26,(10/(PERALTE!$X$26-PERALTE!$AB$26)*(RASANTE!F249-PERALTE!$AB$26)-2))))),IF(F249&lt;=PERALTE!#REF!,-2,"Abscisa fuera de la vía")))))))))))))))))))))</f>
        <v>8.0000000000000497</v>
      </c>
      <c r="I249" s="28">
        <f>+IF(AND(AH!$H$8="Derecha",RASANTE!F249&lt;=PERALTE!$AB$6),IF(RASANTE!F249&lt;=PERALTE!$S$6,-2,IF(RASANTE!F249&lt;=PERALTE!$U$6,(-6/(PERALTE!$U$6-PERALTE!$S$6)*(RASANTE!F249-PERALTE!$S$6)-2),IF(RASANTE!F249&lt;=PERALTE!$X$6,-8,IF(RASANTE!F249&lt;=PERALTE!$Z$6,(-6/(PERALTE!$X$6-PERALTE!$Z$6)*(RASANTE!F249-PERALTE!$Z$6)-2),IF(RASANTE!F249&lt;=PERALTE!$AB$6,-2))))),IF(AND(AH!$H$8="Izquierda",RASANTE!F249&lt;=PERALTE!$AB$6),IF(RASANTE!F249&lt;=PERALTE!$Q$6,-2,IF(RASANTE!F249&lt;=PERALTE!$U$6,(10/(PERALTE!$U$6-PERALTE!$Q$6)*(RASANTE!F249-PERALTE!$Q$6)-2),IF(RASANTE!F249&lt;=PERALTE!$X$6,8,IF(RASANTE!F249&lt;=PERALTE!$AB$6,(10/(PERALTE!$X$6-PERALTE!$AB$6)*(RASANTE!F249-PERALTE!$AB$6)-2))))),IF(AND(AH!$H$10="Derecha",RASANTE!F249&lt;=PERALTE!$AB$8),IF(RASANTE!F249&lt;=PERALTE!$S$8,-2,IF(RASANTE!F249&lt;=PERALTE!$U$8,(-6/(PERALTE!$U$8-PERALTE!$S$8)*(RASANTE!F249-PERALTE!$S$8)-2),IF(RASANTE!F249&lt;=PERALTE!$X$8,-8,IF(RASANTE!F249&lt;=PERALTE!$Z$8,(-6/(PERALTE!$X$8-PERALTE!$Z$8)*(RASANTE!F249-PERALTE!$Z$8)-2),IF(RASANTE!F249&lt;=PERALTE!$AB$8,-2))))),IF(AND(AH!$H$10="Izquierda",RASANTE!F249&lt;=PERALTE!$AB$8),IF(RASANTE!F249&lt;=PERALTE!$Q$8,-2,IF(RASANTE!F249&lt;=PERALTE!$U$8,(10/(PERALTE!$U$8-PERALTE!$Q$8)*(RASANTE!F249-PERALTE!$Q$8)-2),IF(RASANTE!F249&lt;=PERALTE!$X$8,8,IF(RASANTE!F249&lt;=PERALTE!$AB$8,(10/(PERALTE!$X$8-PERALTE!$AB$8)*(RASANTE!F249-PERALTE!$AB$8)-2))))),IF(AND(AH!$H$12="Derecha",RASANTE!F249&lt;=PERALTE!$AB$10),IF(RASANTE!F249&lt;=PERALTE!$S$10,-2,IF(RASANTE!F249&lt;=PERALTE!$U$10,(-6/(PERALTE!$U$10-PERALTE!$S$10)*(RASANTE!F249-PERALTE!$S$10)-2),IF(RASANTE!F249&lt;=PERALTE!$X$10,-8,IF(RASANTE!F249&lt;=PERALTE!$Z$10,(-6/(PERALTE!$X$10-PERALTE!$Z$10)*(RASANTE!F249-PERALTE!$Z$10)-2),IF(RASANTE!F249&lt;=PERALTE!$AB$10,-2))))),IF(AND(AH!$H$12="Izquierda",RASANTE!F249&lt;=PERALTE!$AB$10),IF(RASANTE!F249&lt;=PERALTE!$Q$10,-2,IF(RASANTE!F249&lt;=PERALTE!$U$10,(10/(PERALTE!$U$10-PERALTE!$Q$10)*(RASANTE!F249-PERALTE!$Q$10)-2),IF(RASANTE!F249&lt;=PERALTE!$X$10,8,IF(RASANTE!F249&lt;=PERALTE!$AB$10,(10/(PERALTE!$X$10-PERALTE!$AB$10)*(RASANTE!F249-PERALTE!$AB$10)-2))))),IF(AND(AH!$H$14="Derecha",RASANTE!F249&lt;=PERALTE!$AB$12),IF(RASANTE!F249&lt;=PERALTE!$S$12,-2,IF(RASANTE!F249&lt;=PERALTE!$U$12,(-6/(PERALTE!$U$12-PERALTE!$S$12)*(RASANTE!F249-PERALTE!$S$12)-2),IF(RASANTE!F249&lt;=PERALTE!$X$12,-8,IF(RASANTE!F249&lt;=PERALTE!$Z$12,(-6/(PERALTE!$X$12-PERALTE!$Z$12)*(RASANTE!F249-PERALTE!$Z$12)-2),IF(RASANTE!F249&lt;=PERALTE!$AB$12,-2))))),IF(AND(AH!$H$14="Izquierda",RASANTE!F249&lt;=PERALTE!$AB$12),IF(RASANTE!F249&lt;=PERALTE!$Q$12,-2,IF(RASANTE!F249&lt;=PERALTE!$U$12,(10/(PERALTE!$U$12-PERALTE!$Q$12)*(RASANTE!F249-PERALTE!$Q$12)-2),IF(RASANTE!F249&lt;=PERALTE!$X$12,8,IF(RASANTE!F249&lt;=PERALTE!$AB$12,(10/(PERALTE!$X$12-PERALTE!$AB$12)*(RASANTE!F249-PERALTE!$AB$12)-2))))),IF(AND(AH!$H$16="Derecha",RASANTE!F249&lt;=PERALTE!$AB$14),IF(RASANTE!F249&lt;=PERALTE!$S$14,-2,IF(RASANTE!F249&lt;=PERALTE!$U$14,(-6/(PERALTE!$U$14-PERALTE!$S$14)*(RASANTE!F249-PERALTE!$S$14)-2),IF(RASANTE!F249&lt;=PERALTE!$X$14,-8,IF(RASANTE!F249&lt;=PERALTE!$Z$14,(-6/(PERALTE!$X$14-PERALTE!$Z$14)*(RASANTE!F249-PERALTE!$Z$14)-2),IF(RASANTE!F249&lt;=PERALTE!$AB$14,-2))))),IF(AND(AH!$H$16="Izquierda",RASANTE!F249&lt;=PERALTE!$AB$14),IF(RASANTE!F249&lt;=PERALTE!$Q$14,-2,IF(RASANTE!F249&lt;=PERALTE!$U$14,(10/(PERALTE!$U$14-PERALTE!$Q$14)*(RASANTE!F249-PERALTE!$Q$14)-2),IF(RASANTE!F249&lt;=PERALTE!$X$14,8,IF(RASANTE!F249&lt;=PERALTE!$AB$14,(10/(PERALTE!$X$14-PERALTE!$AB$14)*(RASANTE!F249-PERALTE!$AB$14)-2))))),IF(AND(AH!$H$18="Derecha",RASANTE!F249&lt;=PERALTE!$AB$16),IF(RASANTE!F249&lt;=PERALTE!$S$16,-2,IF(RASANTE!F249&lt;=PERALTE!$U$16,(-6/(PERALTE!$U$16-PERALTE!$S$16)*(RASANTE!F249-PERALTE!$S$16)-2),IF(RASANTE!F249&lt;=PERALTE!$X$16,-8,IF(RASANTE!F249&lt;=PERALTE!$Z$16,(-6/(PERALTE!$X$16-PERALTE!$Z$16)*(RASANTE!F249-PERALTE!$Z$16)-2),IF(RASANTE!F249&lt;=PERALTE!$AB$16,-2))))),IF(AND(AH!$H$18="Izquierda",RASANTE!F249&lt;=PERALTE!$AB$16),IF(RASANTE!F249&lt;=PERALTE!$Q$16,-2,IF(RASANTE!F249&lt;=PERALTE!$U$16,(10/(PERALTE!$U$16-PERALTE!$Q$16)*(RASANTE!F249-PERALTE!$Q$16)-2),IF(RASANTE!F249&lt;=PERALTE!$X$16,8,IF(RASANTE!F249&lt;=PERALTE!$AB$16,(10/(PERALTE!$X$16-PERALTE!$AB$16)*(RASANTE!F249-PERALTE!$AB$16)-2))))),IF(AND(AH!$H$20="Derecha",RASANTE!F249&lt;=PERALTE!$AB$18),IF(RASANTE!F249&lt;=PERALTE!$S$18,-2,IF(RASANTE!F249&lt;=PERALTE!$U$18,(-6/(PERALTE!$U$18-PERALTE!$S$18)*(RASANTE!F249-PERALTE!$S$18)-2),IF(RASANTE!F249&lt;=PERALTE!$X$18,-8,IF(RASANTE!F249&lt;=PERALTE!$Z$18,(-6/(PERALTE!$X$18-PERALTE!$Z$18)*(RASANTE!F249-PERALTE!$Z$18)-2),IF(RASANTE!F249&lt;=PERALTE!$AB$18,-2))))),IF(AND(AH!$H$20="Izquierda",RASANTE!F249&lt;=PERALTE!$AB$18),IF(RASANTE!F249&lt;=PERALTE!$Q$18,-2,IF(RASANTE!F249&lt;=PERALTE!$U$18,(10/(PERALTE!$U$18-PERALTE!$Q$18)*(RASANTE!F249-PERALTE!$Q$18)-2),IF(RASANTE!F249&lt;=PERALTE!$X$18,8,IF(RASANTE!F249&lt;=PERALTE!$AB$18,(10/(PERALTE!$X$18-PERALTE!$AB$18)*(RASANTE!F249-PERALTE!$AB$18)-2))))),IF(AND(AH!$H$24="Derecha",RASANTE!F249&lt;=PERALTE!$AB$22),IF(RASANTE!F249&lt;=PERALTE!$S$22,-2,IF(RASANTE!F249&lt;=PERALTE!$U$22,(-6/(PERALTE!$U$22-PERALTE!$S$22)*(RASANTE!F249-PERALTE!$S$22)-2),IF(RASANTE!F249&lt;=PERALTE!$X$22,-8,IF(RASANTE!F249&lt;=PERALTE!$Z$22,(-6/(PERALTE!$X$22-PERALTE!$Z$22)*(RASANTE!F249-PERALTE!$Z$22)-2),IF(RASANTE!F249&lt;=PERALTE!$AB$22,-2))))),IF(AND(AH!$H$24="Izquierda",RASANTE!F249&lt;=PERALTE!$AB$22),IF(RASANTE!F249&lt;=PERALTE!$Q$22,-2,IF(RASANTE!F249&lt;=PERALTE!$U$22,(10/(PERALTE!$U$22-PERALTE!$Q$22)*(RASANTE!F249-PERALTE!$Q$22)-2),IF(RASANTE!F249&lt;=PERALTE!$X$22,8,IF(RASANTE!F249&lt;=PERALTE!$AB$22,(10/(PERALTE!$X$22-PERALTE!$AB$22)*(RASANTE!F249-PERALTE!$AB$22)-2))))),IF(AND(AH!#REF!="Derecha",RASANTE!F249&lt;=PERALTE!#REF!),IF(RASANTE!F249&lt;=PERALTE!#REF!,-2,IF(RASANTE!F249&lt;=PERALTE!#REF!,(-6/(PERALTE!#REF!-PERALTE!#REF!)*(RASANTE!F249-PERALTE!#REF!)-2),IF(RASANTE!F249&lt;=PERALTE!#REF!,-8,IF(RASANTE!F249&lt;=PERALTE!#REF!,(-6/(PERALTE!#REF!-PERALTE!#REF!)*(RASANTE!F249-PERALTE!#REF!)-2),IF(RASANTE!F249&lt;=PERALTE!#REF!,-2))))),IF(AND(AH!#REF!="Izquierda",RASANTE!F249&lt;=PERALTE!#REF!),IF(RASANTE!F249&lt;=PERALTE!#REF!,-2,IF(RASANTE!F249&lt;=PERALTE!#REF!,(10/(PERALTE!#REF!-PERALTE!#REF!)*(RASANTE!F249-PERALTE!#REF!)-2),IF(RASANTE!F249&lt;=PERALTE!#REF!,8,IF(RASANTE!F249&lt;=PERALTE!#REF!,(10/(PERALTE!#REF!-PERALTE!#REF!)*(RASANTE!F249-PERALTE!#REF!)-2))))),IF(AND(AH!#REF!="Derecha",RASANTE!F249&lt;=PERALTE!$AB$26),IF(RASANTE!F249&lt;=PERALTE!$S$26,-2,IF(RASANTE!F249&lt;=PERALTE!$U$26,(-6/(PERALTE!$U$26-PERALTE!$S$26)*(RASANTE!F249-PERALTE!$S$26)-2),IF(RASANTE!F249&lt;=PERALTE!$X$26,-8,IF(RASANTE!F249&lt;=PERALTE!$Z$26,(-6/(PERALTE!$X$26-PERALTE!$Z$26)*(RASANTE!F249-PERALTE!$Z$26)-2),IF(RASANTE!F249&lt;=PERALTE!$AB$26,-2))))),IF(AND(AH!#REF!="Izquierda",RASANTE!F249&lt;=PERALTE!$AB$26),IF(RASANTE!F249&lt;=PERALTE!$Q$26,-2,IF(RASANTE!F249&lt;=PERALTE!$U$26,(10/(PERALTE!$U$26-PERALTE!$Q$26)*(RASANTE!F249-PERALTE!$Q$26)-2),IF(RASANTE!F249&lt;=PERALTE!$X$26,8,IF(RASANTE!F249&lt;=PERALTE!$AB$26,(10/(PERALTE!$X$26-PERALTE!$AB$26)*(RASANTE!F249-PERALTE!$AB$26)-2))))),IF(F249&lt;=PERALTE!#REF!,-2,"Abscisa fuera de la vía")))))))))))))))))))))</f>
        <v>-8.0000000000000497</v>
      </c>
      <c r="J249" s="28">
        <f t="shared" si="11"/>
        <v>1633.8941250077037</v>
      </c>
      <c r="K249" s="28">
        <f>+IF(AND(AV!$S$6&lt;F249,F249&lt;=AV!$T$6),AV!$P$6*((AV!$S$6-RASANTE!F249)/(AV!$N$6))^2,IF(AND(AV!$T$6&lt;RASANTE!F249,F249&lt;AV!$U$6),AV!$P$6*((AV!$U$6-RASANTE!F249)/(AV!$O$6))^2,IF(AND(AV!$S$8&lt;F249,F249&lt;=AV!$T$8),AV!$P$8*((AV!$S$8-RASANTE!F249)/(AV!$N$8))^2,IF(AND(AV!$T$8&lt;RASANTE!F249,F249&lt;AV!$U$8),AV!$P$8*((AV!$U$8-RASANTE!F249)/(AV!$O$8))^2,IF(AND(AV!$S$10&lt;F249,F249&lt;=AV!$T$10),AV!$P$10*((AV!$S$10-RASANTE!F249)/(AV!$N$10))^2,IF(AND(AV!$T$10&lt;RASANTE!F249,F249&lt;AV!$U$10),AV!$P$10*((AV!$U$10-RASANTE!F249)/(AV!$O$10))^2,IF(AND(AV!$S$12&lt;F249,F249&lt;=AV!$T$12),AV!$P$12*((AV!$S$12-RASANTE!F249)/(AV!$N$12))^2,IF(AND(AV!$T$12&lt;RASANTE!F249,F249&lt;AV!$U$12),AV!$P$12*((AV!$U$12-RASANTE!F249)/(AV!$O$12))^2,IF(AND(AV!$S$14&lt;F249,F249&lt;=AV!$T$14),AV!$P$14*((AV!$S$14-RASANTE!F249)/(AV!$N$14))^2,IF(AND(AV!$T$14&lt;RASANTE!F249,F249&lt;AV!$U$14),AV!$P$14*((AV!$U$14-RASANTE!F249)/(AV!$O$14))^2,IF(AND(AV!$S$16&lt;F249,F249&lt;=AV!$T$16),AV!$P$16*((AV!$S$16-RASANTE!F249)/(AV!$N$16))^2,IF(AND(AV!$T$16&lt;RASANTE!F249,F249&lt;AV!$U$16),AV!$P$16*((AV!$U$16-RASANTE!F249)/(AV!$O$16))^2,IF(AND(AV!$S$18&lt;F249,F249&lt;=AV!$T$18),AV!$P$18*((AV!$S$18-RASANTE!F249)/(AV!$N$18))^2,IF(AND(AV!$T$18&lt;RASANTE!F249,F249&lt;AV!$U$18),AV!$P$18*((AV!$U$18-RASANTE!F249)/(AV!$O$18))^2,IF(AND(AV!$S$20&lt;F249,F249&lt;=AV!$T$20),AV!$P$20*((AV!$S$20-RASANTE!F249)/(AV!$N$20))^2,IF(AND(AV!$T$20&lt;RASANTE!F249,F249&lt;AV!$U$20),AV!$P$20*((AV!$U$20-RASANTE!F249)/(AV!$O$20))^2,IF(AND(AV!$S$22&lt;F249,F249&lt;=AV!$T$22),AV!$P$22*((AV!$S$22-RASANTE!F249)/(AV!$N$22))^2,IF(AND(AV!$T$22&lt;RASANTE!F249,F249&lt;AV!$U$22),AV!$P$22*((AV!$U$22-RASANTE!F249)/(AV!$O$22))^2,IF(AND(AV!$S$24&lt;F249,F249&lt;=AV!$T$24),AV!$P$24*((AV!$S$24-RASANTE!F249)/(AV!$N$24))^2,IF(AND(AV!$T$24&lt;RASANTE!F249,F249&lt;AV!$U$24),AV!$P$24*((AV!$U$24-RASANTE!F249)/(AV!$O$24))^2,0))))))))))))))))))))</f>
        <v>0</v>
      </c>
      <c r="L249" s="28">
        <f>+M249+H249%*PERALTE!$C$32</f>
        <v>1634.1741250077037</v>
      </c>
      <c r="M249" s="28">
        <f t="shared" si="12"/>
        <v>1633.8941250077037</v>
      </c>
      <c r="N249" s="28">
        <f>+M249+I249%*PERALTE!$C$32</f>
        <v>1633.6141250077037</v>
      </c>
      <c r="O249" s="92"/>
      <c r="P249" s="84"/>
      <c r="Q249" s="84"/>
      <c r="R249" s="84"/>
      <c r="S249" s="84"/>
      <c r="T249" s="84"/>
      <c r="U249" s="84"/>
      <c r="V249" s="84"/>
      <c r="W249" s="84"/>
      <c r="X249" s="84"/>
      <c r="Y249" s="84"/>
    </row>
    <row r="250" spans="1:25" ht="15.75" customHeight="1" x14ac:dyDescent="0.2">
      <c r="A250" s="130" t="s">
        <v>221</v>
      </c>
      <c r="B250" s="181">
        <f>AH!L20</f>
        <v>0.31514787349130796</v>
      </c>
      <c r="C250" s="182">
        <f>AH!V20</f>
        <v>10.805069948273415</v>
      </c>
      <c r="D250" s="183"/>
      <c r="E250" s="131" t="s">
        <v>222</v>
      </c>
      <c r="F250" s="34">
        <f>AV!S16</f>
        <v>1519.817</v>
      </c>
      <c r="G250" s="88">
        <f>IF(F250&lt;=AV!$T$6,AV!$C$5,IF(RASANTE!F250&lt;=AV!$T$8,AV!$C$7,IF(RASANTE!F250&lt;=AV!$T$10,AV!$C$9,IF(RASANTE!F250&lt;=AV!$T$12,AV!$C$11,IF(RASANTE!F250&lt;=AV!$T$14,AV!$C$13,IF(RASANTE!F250&lt;=AV!$T$16,AV!$C$15, IF(RASANTE!F250&lt;=AV!$T$18,AV!$C$17,IF(RASANTE!F250&lt;=AV!$T$20,AV!$C$19,IF(RASANTE!F250&lt;=AV!$T$22,AV!$C$21,IF(RASANTE!F250&lt;=AV!$T$24,AV!$C$23,AV!$C$25))))))))))</f>
        <v>2.8</v>
      </c>
      <c r="H250" s="28">
        <f>+IF(AND(AH!$H$8="Izquierda",RASANTE!F250&lt;=PERALTE!$AB$6),IF(RASANTE!F250&lt;=PERALTE!$S$6,-2,IF(RASANTE!F250&lt;=PERALTE!$U$6,(-6/(PERALTE!$U$6-PERALTE!$S$6)*(RASANTE!F250-PERALTE!$S$6)-2),IF(RASANTE!F250&lt;=PERALTE!$X$6,-8,IF(RASANTE!F250&lt;=PERALTE!$Z$6,(-6/(PERALTE!$X$6-PERALTE!$Z$6)*(RASANTE!F250-PERALTE!$Z$6)-2),IF(RASANTE!F250&lt;=PERALTE!$AB$6,-2))))),IF(AND(AH!$H$8="Derecha",RASANTE!F250&lt;=PERALTE!$AB$6),IF(RASANTE!F250&lt;=PERALTE!$Q$6,-2,IF(RASANTE!F250&lt;=PERALTE!$U$6,(10/(PERALTE!$U$6-PERALTE!$Q$6)*(RASANTE!F250-PERALTE!$Q$6)-2),IF(RASANTE!F250&lt;=PERALTE!$X$6,8,IF(RASANTE!F250&lt;=PERALTE!$AB$6,(10/(PERALTE!$X$6-PERALTE!$AB$6)*(RASANTE!F250-PERALTE!$AB$6)-2))))),IF(AND(AH!$H$10="Izquierda",RASANTE!F250&lt;=PERALTE!$AB$8),IF(RASANTE!F250&lt;=PERALTE!$S$8,-2,IF(RASANTE!F250&lt;=PERALTE!$U$8,(-6/(PERALTE!$U$8-PERALTE!$S$8)*(RASANTE!F250-PERALTE!$S$8)-2),IF(RASANTE!F250&lt;=PERALTE!$X$8,-8,IF(RASANTE!F250&lt;=PERALTE!$Z$8,(-6/(PERALTE!$X$8-PERALTE!$Z$8)*(RASANTE!F250-PERALTE!$Z$8)-2),IF(RASANTE!F250&lt;=PERALTE!$AB$8,-2))))),IF(AND(AH!$H$10="Derecha",RASANTE!F250&lt;=PERALTE!$AB$8),IF(RASANTE!F250&lt;=PERALTE!$Q$8,-2,IF(RASANTE!F250&lt;=PERALTE!$U$8,(10/(PERALTE!$U$8-PERALTE!$Q$8)*(RASANTE!F250-PERALTE!$Q$8)-2),IF(RASANTE!F250&lt;=PERALTE!$X$8,8,IF(RASANTE!F250&lt;=PERALTE!$AB$8,(10/(PERALTE!$X$8-PERALTE!$AB$8)*(RASANTE!F250-PERALTE!$AB$8)-2))))),IF(AND(AH!$H$12="Izquierda",RASANTE!F250&lt;=PERALTE!$AB$10),IF(RASANTE!F250&lt;=PERALTE!$S$10,-2,IF(RASANTE!F250&lt;=PERALTE!$U$10,(-6/(PERALTE!$U$10-PERALTE!$S$10)*(RASANTE!F250-PERALTE!$S$10)-2),IF(RASANTE!F250&lt;=PERALTE!$X$10,-8,IF(RASANTE!F250&lt;=PERALTE!$Z$10,(-6/(PERALTE!$X$10-PERALTE!$Z$10)*(RASANTE!F250-PERALTE!$Z$10)-2),IF(RASANTE!F250&lt;=PERALTE!$AB$10,-2))))),IF(AND(AH!$H$12="Derecha",RASANTE!F250&lt;=PERALTE!$AB$10),IF(RASANTE!F250&lt;=PERALTE!$Q$10,-2,IF(RASANTE!F250&lt;=PERALTE!$U$10,(10/(PERALTE!$U$10-PERALTE!$Q$10)*(RASANTE!F250-PERALTE!$Q$10)-2),IF(RASANTE!F250&lt;=PERALTE!$X$10,8,IF(RASANTE!F250&lt;=PERALTE!$AB$10,(10/(PERALTE!$X$10-PERALTE!$AB$10)*(RASANTE!F250-PERALTE!$AB$10)-2))))),IF(AND(AH!$H$14="Izquierda",RASANTE!F250&lt;=PERALTE!$AB$12),IF(RASANTE!F250&lt;=PERALTE!$S$12,-2,IF(RASANTE!F250&lt;=PERALTE!$U$12,(-6/(PERALTE!$U$12-PERALTE!$S$12)*(RASANTE!F250-PERALTE!$S$12)-2),IF(RASANTE!F250&lt;=PERALTE!$X$12,-8,IF(RASANTE!F250&lt;=PERALTE!$Z$12,(-6/(PERALTE!$X$12-PERALTE!$Z$12)*(RASANTE!F250-PERALTE!$Z$12)-2),IF(RASANTE!F250&lt;=PERALTE!$AB$12,-2))))),IF(AND(AH!$H$14="Derecha",RASANTE!F250&lt;=PERALTE!$AB$12),IF(RASANTE!F250&lt;=PERALTE!$Q$12,-2,IF(RASANTE!F250&lt;=PERALTE!$U$12,(10/(PERALTE!$U$12-PERALTE!$Q$12)*(RASANTE!F250-PERALTE!$Q$12)-2),IF(RASANTE!F250&lt;=PERALTE!$X$12,8,IF(RASANTE!F250&lt;=PERALTE!$AB$12,(10/(PERALTE!$X$12-PERALTE!$AB$12)*(RASANTE!F250-PERALTE!$AB$12)-2))))),IF(AND(AH!$H$16="Izquierda",RASANTE!F250&lt;=PERALTE!$AB$14),IF(RASANTE!F250&lt;=PERALTE!$S$14,-2,IF(RASANTE!F250&lt;=PERALTE!$U$14,(-6/(PERALTE!$U$14-PERALTE!$S$14)*(RASANTE!F250-PERALTE!$S$14)-2),IF(RASANTE!F250&lt;=PERALTE!$X$14,-8,IF(RASANTE!F250&lt;=PERALTE!$Z$14,(-6/(PERALTE!$X$14-PERALTE!$Z$14)*(RASANTE!F250-PERALTE!$Z$14)-2),IF(RASANTE!F250&lt;=PERALTE!$AB$14,-2))))),IF(AND(AH!$H$16="Derecha",RASANTE!F250&lt;=PERALTE!$AB$14),IF(RASANTE!F250&lt;=PERALTE!$Q$14,-2,IF(RASANTE!F250&lt;=PERALTE!$U$14,(10/(PERALTE!$U$14-PERALTE!$Q$14)*(RASANTE!F250-PERALTE!$Q$14)-2),IF(RASANTE!F250&lt;=PERALTE!$X$14,8,IF(RASANTE!F250&lt;=PERALTE!$AB$14,(10/(PERALTE!$X$14-PERALTE!$AB$14)*(RASANTE!F250-PERALTE!$AB$14)-2))))),IF(AND(AH!$H$18="Izquierda",RASANTE!F250&lt;=PERALTE!$AB$16),IF(RASANTE!F250&lt;=PERALTE!$S$16,-2,IF(RASANTE!F250&lt;=PERALTE!$U$16,(-6/(PERALTE!$U$16-PERALTE!$S$16)*(RASANTE!F250-PERALTE!$S$16)-2),IF(RASANTE!F250&lt;=PERALTE!$X$16,-8,IF(RASANTE!F250&lt;=PERALTE!$Z$16,(-6/(PERALTE!$X$16-PERALTE!$Z$16)*(RASANTE!F250-PERALTE!$Z$16)-2),IF(RASANTE!F250&lt;=PERALTE!$AB$16,-2))))),IF(AND(AH!$H$18="Derecha",RASANTE!F250&lt;=PERALTE!$AB$16),IF(RASANTE!F250&lt;=PERALTE!$Q$16,-2,IF(RASANTE!F250&lt;=PERALTE!$U$16,(10/(PERALTE!$U$16-PERALTE!$Q$16)*(RASANTE!F250-PERALTE!$Q$16)-2),IF(RASANTE!F250&lt;=PERALTE!$X$16,8,IF(RASANTE!F250&lt;=PERALTE!$AB$16,(10/(PERALTE!$X$16-PERALTE!$AB$16)*(RASANTE!F250-PERALTE!$AB$16)-2))))),IF(AND(AH!$H$20="Izquierda",RASANTE!F250&lt;=PERALTE!$AB$18),IF(RASANTE!F250&lt;=PERALTE!$S$18,-2,IF(RASANTE!F250&lt;=PERALTE!$U$18,(-6/(PERALTE!$U$18-PERALTE!$S$18)*(RASANTE!F250-PERALTE!$S$18)-2),IF(RASANTE!F250&lt;=PERALTE!$X$18,-8,IF(RASANTE!F250&lt;=PERALTE!$Z$18,(-6/(PERALTE!$X$18-PERALTE!$Z$18)*(RASANTE!F250-PERALTE!$Z$18)-2),IF(RASANTE!F250&lt;=PERALTE!$AB$18,-2))))),IF(AND(AH!$H$20="Derecha",RASANTE!F250&lt;=PERALTE!$AB$18),IF(RASANTE!F250&lt;=PERALTE!$Q$18,-2,IF(RASANTE!F250&lt;=PERALTE!$U$18,(10/(PERALTE!$U$18-PERALTE!$Q$18)*(RASANTE!F250-PERALTE!$Q$18)-2),IF(RASANTE!F250&lt;=PERALTE!$X$18,8,IF(RASANTE!F250&lt;=PERALTE!$AB$18,(10/(PERALTE!$X$18-PERALTE!$AB$18)*(RASANTE!F250-PERALTE!$AB$18)-2))))),IF(AND(AH!$H$24="Izquierda",RASANTE!F250&lt;=PERALTE!$AB$22),IF(RASANTE!F250&lt;=PERALTE!$S$22,-2,IF(RASANTE!F250&lt;=PERALTE!$U$22,(-6/(PERALTE!$U$22-PERALTE!$S$22)*(RASANTE!F250-PERALTE!$S$22)-2),IF(RASANTE!F250&lt;=PERALTE!$X$22,-8,IF(RASANTE!F250&lt;=PERALTE!$Z$22,(-6/(PERALTE!$X$22-PERALTE!$Z$22)*(RASANTE!F250-PERALTE!$Z$22)-2),IF(RASANTE!F250&lt;=PERALTE!$AB$22,-2))))),IF(AND(AH!$H$24="Derecha",RASANTE!F250&lt;=PERALTE!$AB$22),IF(RASANTE!F250&lt;=PERALTE!$Q$22,-2,IF(RASANTE!F250&lt;=PERALTE!$U$22,(10/(PERALTE!$U$22-PERALTE!$Q$22)*(RASANTE!F250-PERALTE!$Q$22)-2),IF(RASANTE!F250&lt;=PERALTE!$X$22,8,IF(RASANTE!F250&lt;=PERALTE!$AB$22,(10/(PERALTE!$X$22-PERALTE!$AB$22)*(RASANTE!F250-PERALTE!$AB$22)-2))))),IF(AND(AH!#REF!="Izquierda",RASANTE!F250&lt;=PERALTE!#REF!),IF(RASANTE!F250&lt;=PERALTE!#REF!,-2,IF(RASANTE!F250&lt;=PERALTE!#REF!,(-6/(PERALTE!#REF!-PERALTE!#REF!)*(RASANTE!F250-PERALTE!#REF!)-2),IF(RASANTE!F250&lt;=PERALTE!#REF!,-8,IF(RASANTE!F250&lt;=PERALTE!#REF!,(-6/(PERALTE!#REF!-PERALTE!#REF!)*(RASANTE!F250-PERALTE!#REF!)-2),IF(RASANTE!F250&lt;=PERALTE!#REF!,-2))))),IF(AND(AH!#REF!="Derecha",RASANTE!F250&lt;=PERALTE!#REF!),IF(RASANTE!F250&lt;=PERALTE!#REF!,-2,IF(RASANTE!F250&lt;=PERALTE!#REF!,(10/(PERALTE!#REF!-PERALTE!#REF!)*(RASANTE!F250-PERALTE!#REF!)-2),IF(RASANTE!F250&lt;=PERALTE!#REF!,8,IF(RASANTE!F250&lt;=PERALTE!#REF!,(10/(PERALTE!#REF!-PERALTE!#REF!)*(RASANTE!F250-PERALTE!#REF!)-2))))),IF(AND(AH!#REF!="Izquierda",RASANTE!F250&lt;=PERALTE!$AB$26),IF(RASANTE!F250&lt;=PERALTE!$S$26,-2,IF(RASANTE!F250&lt;=PERALTE!$U$26,(-6/(PERALTE!$U$26-PERALTE!$S$26)*(RASANTE!F250-PERALTE!$S$26)-2),IF(RASANTE!F250&lt;=PERALTE!$X$26,-8,IF(RASANTE!F250&lt;=PERALTE!$Z$26,(-6/(PERALTE!$X$26-PERALTE!$Z$26)*(RASANTE!F250-PERALTE!$Z$26)-2),IF(RASANTE!F250&lt;=PERALTE!$AB$26,-2))))),IF(AND(AH!#REF!="Derecha",RASANTE!F250&lt;=PERALTE!$AB$26),IF(RASANTE!F250&lt;=PERALTE!$Q$26,-2,IF(RASANTE!F250&lt;=PERALTE!$U$26,(10/(PERALTE!$U$26-PERALTE!$Q$26)*(RASANTE!F250-PERALTE!$Q$26)-2),IF(RASANTE!F250&lt;=PERALTE!$X$26,8,IF(RASANTE!F250&lt;=PERALTE!$AB$26,(10/(PERALTE!$X$26-PERALTE!$AB$26)*(RASANTE!F250-PERALTE!$AB$26)-2))))),IF(F250&lt;=PERALTE!#REF!,-2,"Abscisa fuera de la vía")))))))))))))))))))))</f>
        <v>8</v>
      </c>
      <c r="I250" s="28">
        <f>+IF(AND(AH!$H$8="Derecha",RASANTE!F250&lt;=PERALTE!$AB$6),IF(RASANTE!F250&lt;=PERALTE!$S$6,-2,IF(RASANTE!F250&lt;=PERALTE!$U$6,(-6/(PERALTE!$U$6-PERALTE!$S$6)*(RASANTE!F250-PERALTE!$S$6)-2),IF(RASANTE!F250&lt;=PERALTE!$X$6,-8,IF(RASANTE!F250&lt;=PERALTE!$Z$6,(-6/(PERALTE!$X$6-PERALTE!$Z$6)*(RASANTE!F250-PERALTE!$Z$6)-2),IF(RASANTE!F250&lt;=PERALTE!$AB$6,-2))))),IF(AND(AH!$H$8="Izquierda",RASANTE!F250&lt;=PERALTE!$AB$6),IF(RASANTE!F250&lt;=PERALTE!$Q$6,-2,IF(RASANTE!F250&lt;=PERALTE!$U$6,(10/(PERALTE!$U$6-PERALTE!$Q$6)*(RASANTE!F250-PERALTE!$Q$6)-2),IF(RASANTE!F250&lt;=PERALTE!$X$6,8,IF(RASANTE!F250&lt;=PERALTE!$AB$6,(10/(PERALTE!$X$6-PERALTE!$AB$6)*(RASANTE!F250-PERALTE!$AB$6)-2))))),IF(AND(AH!$H$10="Derecha",RASANTE!F250&lt;=PERALTE!$AB$8),IF(RASANTE!F250&lt;=PERALTE!$S$8,-2,IF(RASANTE!F250&lt;=PERALTE!$U$8,(-6/(PERALTE!$U$8-PERALTE!$S$8)*(RASANTE!F250-PERALTE!$S$8)-2),IF(RASANTE!F250&lt;=PERALTE!$X$8,-8,IF(RASANTE!F250&lt;=PERALTE!$Z$8,(-6/(PERALTE!$X$8-PERALTE!$Z$8)*(RASANTE!F250-PERALTE!$Z$8)-2),IF(RASANTE!F250&lt;=PERALTE!$AB$8,-2))))),IF(AND(AH!$H$10="Izquierda",RASANTE!F250&lt;=PERALTE!$AB$8),IF(RASANTE!F250&lt;=PERALTE!$Q$8,-2,IF(RASANTE!F250&lt;=PERALTE!$U$8,(10/(PERALTE!$U$8-PERALTE!$Q$8)*(RASANTE!F250-PERALTE!$Q$8)-2),IF(RASANTE!F250&lt;=PERALTE!$X$8,8,IF(RASANTE!F250&lt;=PERALTE!$AB$8,(10/(PERALTE!$X$8-PERALTE!$AB$8)*(RASANTE!F250-PERALTE!$AB$8)-2))))),IF(AND(AH!$H$12="Derecha",RASANTE!F250&lt;=PERALTE!$AB$10),IF(RASANTE!F250&lt;=PERALTE!$S$10,-2,IF(RASANTE!F250&lt;=PERALTE!$U$10,(-6/(PERALTE!$U$10-PERALTE!$S$10)*(RASANTE!F250-PERALTE!$S$10)-2),IF(RASANTE!F250&lt;=PERALTE!$X$10,-8,IF(RASANTE!F250&lt;=PERALTE!$Z$10,(-6/(PERALTE!$X$10-PERALTE!$Z$10)*(RASANTE!F250-PERALTE!$Z$10)-2),IF(RASANTE!F250&lt;=PERALTE!$AB$10,-2))))),IF(AND(AH!$H$12="Izquierda",RASANTE!F250&lt;=PERALTE!$AB$10),IF(RASANTE!F250&lt;=PERALTE!$Q$10,-2,IF(RASANTE!F250&lt;=PERALTE!$U$10,(10/(PERALTE!$U$10-PERALTE!$Q$10)*(RASANTE!F250-PERALTE!$Q$10)-2),IF(RASANTE!F250&lt;=PERALTE!$X$10,8,IF(RASANTE!F250&lt;=PERALTE!$AB$10,(10/(PERALTE!$X$10-PERALTE!$AB$10)*(RASANTE!F250-PERALTE!$AB$10)-2))))),IF(AND(AH!$H$14="Derecha",RASANTE!F250&lt;=PERALTE!$AB$12),IF(RASANTE!F250&lt;=PERALTE!$S$12,-2,IF(RASANTE!F250&lt;=PERALTE!$U$12,(-6/(PERALTE!$U$12-PERALTE!$S$12)*(RASANTE!F250-PERALTE!$S$12)-2),IF(RASANTE!F250&lt;=PERALTE!$X$12,-8,IF(RASANTE!F250&lt;=PERALTE!$Z$12,(-6/(PERALTE!$X$12-PERALTE!$Z$12)*(RASANTE!F250-PERALTE!$Z$12)-2),IF(RASANTE!F250&lt;=PERALTE!$AB$12,-2))))),IF(AND(AH!$H$14="Izquierda",RASANTE!F250&lt;=PERALTE!$AB$12),IF(RASANTE!F250&lt;=PERALTE!$Q$12,-2,IF(RASANTE!F250&lt;=PERALTE!$U$12,(10/(PERALTE!$U$12-PERALTE!$Q$12)*(RASANTE!F250-PERALTE!$Q$12)-2),IF(RASANTE!F250&lt;=PERALTE!$X$12,8,IF(RASANTE!F250&lt;=PERALTE!$AB$12,(10/(PERALTE!$X$12-PERALTE!$AB$12)*(RASANTE!F250-PERALTE!$AB$12)-2))))),IF(AND(AH!$H$16="Derecha",RASANTE!F250&lt;=PERALTE!$AB$14),IF(RASANTE!F250&lt;=PERALTE!$S$14,-2,IF(RASANTE!F250&lt;=PERALTE!$U$14,(-6/(PERALTE!$U$14-PERALTE!$S$14)*(RASANTE!F250-PERALTE!$S$14)-2),IF(RASANTE!F250&lt;=PERALTE!$X$14,-8,IF(RASANTE!F250&lt;=PERALTE!$Z$14,(-6/(PERALTE!$X$14-PERALTE!$Z$14)*(RASANTE!F250-PERALTE!$Z$14)-2),IF(RASANTE!F250&lt;=PERALTE!$AB$14,-2))))),IF(AND(AH!$H$16="Izquierda",RASANTE!F250&lt;=PERALTE!$AB$14),IF(RASANTE!F250&lt;=PERALTE!$Q$14,-2,IF(RASANTE!F250&lt;=PERALTE!$U$14,(10/(PERALTE!$U$14-PERALTE!$Q$14)*(RASANTE!F250-PERALTE!$Q$14)-2),IF(RASANTE!F250&lt;=PERALTE!$X$14,8,IF(RASANTE!F250&lt;=PERALTE!$AB$14,(10/(PERALTE!$X$14-PERALTE!$AB$14)*(RASANTE!F250-PERALTE!$AB$14)-2))))),IF(AND(AH!$H$18="Derecha",RASANTE!F250&lt;=PERALTE!$AB$16),IF(RASANTE!F250&lt;=PERALTE!$S$16,-2,IF(RASANTE!F250&lt;=PERALTE!$U$16,(-6/(PERALTE!$U$16-PERALTE!$S$16)*(RASANTE!F250-PERALTE!$S$16)-2),IF(RASANTE!F250&lt;=PERALTE!$X$16,-8,IF(RASANTE!F250&lt;=PERALTE!$Z$16,(-6/(PERALTE!$X$16-PERALTE!$Z$16)*(RASANTE!F250-PERALTE!$Z$16)-2),IF(RASANTE!F250&lt;=PERALTE!$AB$16,-2))))),IF(AND(AH!$H$18="Izquierda",RASANTE!F250&lt;=PERALTE!$AB$16),IF(RASANTE!F250&lt;=PERALTE!$Q$16,-2,IF(RASANTE!F250&lt;=PERALTE!$U$16,(10/(PERALTE!$U$16-PERALTE!$Q$16)*(RASANTE!F250-PERALTE!$Q$16)-2),IF(RASANTE!F250&lt;=PERALTE!$X$16,8,IF(RASANTE!F250&lt;=PERALTE!$AB$16,(10/(PERALTE!$X$16-PERALTE!$AB$16)*(RASANTE!F250-PERALTE!$AB$16)-2))))),IF(AND(AH!$H$20="Derecha",RASANTE!F250&lt;=PERALTE!$AB$18),IF(RASANTE!F250&lt;=PERALTE!$S$18,-2,IF(RASANTE!F250&lt;=PERALTE!$U$18,(-6/(PERALTE!$U$18-PERALTE!$S$18)*(RASANTE!F250-PERALTE!$S$18)-2),IF(RASANTE!F250&lt;=PERALTE!$X$18,-8,IF(RASANTE!F250&lt;=PERALTE!$Z$18,(-6/(PERALTE!$X$18-PERALTE!$Z$18)*(RASANTE!F250-PERALTE!$Z$18)-2),IF(RASANTE!F250&lt;=PERALTE!$AB$18,-2))))),IF(AND(AH!$H$20="Izquierda",RASANTE!F250&lt;=PERALTE!$AB$18),IF(RASANTE!F250&lt;=PERALTE!$Q$18,-2,IF(RASANTE!F250&lt;=PERALTE!$U$18,(10/(PERALTE!$U$18-PERALTE!$Q$18)*(RASANTE!F250-PERALTE!$Q$18)-2),IF(RASANTE!F250&lt;=PERALTE!$X$18,8,IF(RASANTE!F250&lt;=PERALTE!$AB$18,(10/(PERALTE!$X$18-PERALTE!$AB$18)*(RASANTE!F250-PERALTE!$AB$18)-2))))),IF(AND(AH!$H$24="Derecha",RASANTE!F250&lt;=PERALTE!$AB$22),IF(RASANTE!F250&lt;=PERALTE!$S$22,-2,IF(RASANTE!F250&lt;=PERALTE!$U$22,(-6/(PERALTE!$U$22-PERALTE!$S$22)*(RASANTE!F250-PERALTE!$S$22)-2),IF(RASANTE!F250&lt;=PERALTE!$X$22,-8,IF(RASANTE!F250&lt;=PERALTE!$Z$22,(-6/(PERALTE!$X$22-PERALTE!$Z$22)*(RASANTE!F250-PERALTE!$Z$22)-2),IF(RASANTE!F250&lt;=PERALTE!$AB$22,-2))))),IF(AND(AH!$H$24="Izquierda",RASANTE!F250&lt;=PERALTE!$AB$22),IF(RASANTE!F250&lt;=PERALTE!$Q$22,-2,IF(RASANTE!F250&lt;=PERALTE!$U$22,(10/(PERALTE!$U$22-PERALTE!$Q$22)*(RASANTE!F250-PERALTE!$Q$22)-2),IF(RASANTE!F250&lt;=PERALTE!$X$22,8,IF(RASANTE!F250&lt;=PERALTE!$AB$22,(10/(PERALTE!$X$22-PERALTE!$AB$22)*(RASANTE!F250-PERALTE!$AB$22)-2))))),IF(AND(AH!#REF!="Derecha",RASANTE!F250&lt;=PERALTE!#REF!),IF(RASANTE!F250&lt;=PERALTE!#REF!,-2,IF(RASANTE!F250&lt;=PERALTE!#REF!,(-6/(PERALTE!#REF!-PERALTE!#REF!)*(RASANTE!F250-PERALTE!#REF!)-2),IF(RASANTE!F250&lt;=PERALTE!#REF!,-8,IF(RASANTE!F250&lt;=PERALTE!#REF!,(-6/(PERALTE!#REF!-PERALTE!#REF!)*(RASANTE!F250-PERALTE!#REF!)-2),IF(RASANTE!F250&lt;=PERALTE!#REF!,-2))))),IF(AND(AH!#REF!="Izquierda",RASANTE!F250&lt;=PERALTE!#REF!),IF(RASANTE!F250&lt;=PERALTE!#REF!,-2,IF(RASANTE!F250&lt;=PERALTE!#REF!,(10/(PERALTE!#REF!-PERALTE!#REF!)*(RASANTE!F250-PERALTE!#REF!)-2),IF(RASANTE!F250&lt;=PERALTE!#REF!,8,IF(RASANTE!F250&lt;=PERALTE!#REF!,(10/(PERALTE!#REF!-PERALTE!#REF!)*(RASANTE!F250-PERALTE!#REF!)-2))))),IF(AND(AH!#REF!="Derecha",RASANTE!F250&lt;=PERALTE!$AB$26),IF(RASANTE!F250&lt;=PERALTE!$S$26,-2,IF(RASANTE!F250&lt;=PERALTE!$U$26,(-6/(PERALTE!$U$26-PERALTE!$S$26)*(RASANTE!F250-PERALTE!$S$26)-2),IF(RASANTE!F250&lt;=PERALTE!$X$26,-8,IF(RASANTE!F250&lt;=PERALTE!$Z$26,(-6/(PERALTE!$X$26-PERALTE!$Z$26)*(RASANTE!F250-PERALTE!$Z$26)-2),IF(RASANTE!F250&lt;=PERALTE!$AB$26,-2))))),IF(AND(AH!#REF!="Izquierda",RASANTE!F250&lt;=PERALTE!$AB$26),IF(RASANTE!F250&lt;=PERALTE!$Q$26,-2,IF(RASANTE!F250&lt;=PERALTE!$U$26,(10/(PERALTE!$U$26-PERALTE!$Q$26)*(RASANTE!F250-PERALTE!$Q$26)-2),IF(RASANTE!F250&lt;=PERALTE!$X$26,8,IF(RASANTE!F250&lt;=PERALTE!$AB$26,(10/(PERALTE!$X$26-PERALTE!$AB$26)*(RASANTE!F250-PERALTE!$AB$26)-2))))),IF(F250&lt;=PERALTE!#REF!,-2,"Abscisa fuera de la vía")))))))))))))))))))))</f>
        <v>-8</v>
      </c>
      <c r="J250" s="28">
        <f t="shared" si="11"/>
        <v>1633.9078044648982</v>
      </c>
      <c r="K250" s="28">
        <f>+IF(AND(AV!$S$6&lt;F250,F250&lt;=AV!$T$6),AV!$P$6*((AV!$S$6-RASANTE!F250)/(AV!$N$6))^2,IF(AND(AV!$T$6&lt;RASANTE!F250,F250&lt;AV!$U$6),AV!$P$6*((AV!$U$6-RASANTE!F250)/(AV!$O$6))^2,IF(AND(AV!$S$8&lt;F250,F250&lt;=AV!$T$8),AV!$P$8*((AV!$S$8-RASANTE!F250)/(AV!$N$8))^2,IF(AND(AV!$T$8&lt;RASANTE!F250,F250&lt;AV!$U$8),AV!$P$8*((AV!$U$8-RASANTE!F250)/(AV!$O$8))^2,IF(AND(AV!$S$10&lt;F250,F250&lt;=AV!$T$10),AV!$P$10*((AV!$S$10-RASANTE!F250)/(AV!$N$10))^2,IF(AND(AV!$T$10&lt;RASANTE!F250,F250&lt;AV!$U$10),AV!$P$10*((AV!$U$10-RASANTE!F250)/(AV!$O$10))^2,IF(AND(AV!$S$12&lt;F250,F250&lt;=AV!$T$12),AV!$P$12*((AV!$S$12-RASANTE!F250)/(AV!$N$12))^2,IF(AND(AV!$T$12&lt;RASANTE!F250,F250&lt;AV!$U$12),AV!$P$12*((AV!$U$12-RASANTE!F250)/(AV!$O$12))^2,IF(AND(AV!$S$14&lt;F250,F250&lt;=AV!$T$14),AV!$P$14*((AV!$S$14-RASANTE!F250)/(AV!$N$14))^2,IF(AND(AV!$T$14&lt;RASANTE!F250,F250&lt;AV!$U$14),AV!$P$14*((AV!$U$14-RASANTE!F250)/(AV!$O$14))^2,IF(AND(AV!$S$16&lt;F250,F250&lt;=AV!$T$16),AV!$P$16*((AV!$S$16-RASANTE!F250)/(AV!$N$16))^2,IF(AND(AV!$T$16&lt;RASANTE!F250,F250&lt;AV!$U$16),AV!$P$16*((AV!$U$16-RASANTE!F250)/(AV!$O$16))^2,IF(AND(AV!$S$18&lt;F250,F250&lt;=AV!$T$18),AV!$P$18*((AV!$S$18-RASANTE!F250)/(AV!$N$18))^2,IF(AND(AV!$T$18&lt;RASANTE!F250,F250&lt;AV!$U$18),AV!$P$18*((AV!$U$18-RASANTE!F250)/(AV!$O$18))^2,IF(AND(AV!$S$20&lt;F250,F250&lt;=AV!$T$20),AV!$P$20*((AV!$S$20-RASANTE!F250)/(AV!$N$20))^2,IF(AND(AV!$T$20&lt;RASANTE!F250,F250&lt;AV!$U$20),AV!$P$20*((AV!$U$20-RASANTE!F250)/(AV!$O$20))^2,IF(AND(AV!$S$22&lt;F250,F250&lt;=AV!$T$22),AV!$P$22*((AV!$S$22-RASANTE!F250)/(AV!$N$22))^2,IF(AND(AV!$T$22&lt;RASANTE!F250,F250&lt;AV!$U$22),AV!$P$22*((AV!$U$22-RASANTE!F250)/(AV!$O$22))^2,IF(AND(AV!$S$24&lt;F250,F250&lt;=AV!$T$24),AV!$P$24*((AV!$S$24-RASANTE!F250)/(AV!$N$24))^2,IF(AND(AV!$T$24&lt;RASANTE!F250,F250&lt;AV!$U$24),AV!$P$24*((AV!$U$24-RASANTE!F250)/(AV!$O$24))^2,0))))))))))))))))))))</f>
        <v>0</v>
      </c>
      <c r="L250" s="28">
        <f>+M250+H250%*PERALTE!$C$32</f>
        <v>1634.1878044648981</v>
      </c>
      <c r="M250" s="28">
        <f t="shared" si="12"/>
        <v>1633.9078044648982</v>
      </c>
      <c r="N250" s="28">
        <f>+M250+I250%*PERALTE!$C$32</f>
        <v>1633.6278044648982</v>
      </c>
      <c r="O250" s="92"/>
      <c r="P250" s="84"/>
      <c r="Q250" s="84"/>
      <c r="R250" s="84"/>
      <c r="S250" s="84"/>
      <c r="T250" s="84"/>
      <c r="U250" s="84"/>
      <c r="V250" s="84"/>
      <c r="W250" s="84"/>
      <c r="X250" s="84"/>
      <c r="Y250" s="84"/>
    </row>
    <row r="251" spans="1:25" ht="15.75" customHeight="1" x14ac:dyDescent="0.2">
      <c r="A251" s="111"/>
      <c r="B251" s="184">
        <f>AH!R20</f>
        <v>0.14583333333333334</v>
      </c>
      <c r="C251" s="185">
        <f>AH!F2</f>
        <v>5</v>
      </c>
      <c r="D251" s="186"/>
      <c r="E251" s="179">
        <f>AV!M16</f>
        <v>40</v>
      </c>
      <c r="F251" s="34">
        <v>1520</v>
      </c>
      <c r="G251" s="88">
        <f>IF(F251&lt;=AV!$T$6,AV!$C$5,IF(RASANTE!F251&lt;=AV!$T$8,AV!$C$7,IF(RASANTE!F251&lt;=AV!$T$10,AV!$C$9,IF(RASANTE!F251&lt;=AV!$T$12,AV!$C$11,IF(RASANTE!F251&lt;=AV!$T$14,AV!$C$13,IF(RASANTE!F251&lt;=AV!$T$16,AV!$C$15, IF(RASANTE!F251&lt;=AV!$T$18,AV!$C$17,IF(RASANTE!F251&lt;=AV!$T$20,AV!$C$19,IF(RASANTE!F251&lt;=AV!$T$22,AV!$C$21,IF(RASANTE!F251&lt;=AV!$T$24,AV!$C$23,AV!$C$25))))))))))</f>
        <v>2.8</v>
      </c>
      <c r="H251" s="28">
        <f>+IF(AND(AH!$H$8="Izquierda",RASANTE!F251&lt;=PERALTE!$AB$6),IF(RASANTE!F251&lt;=PERALTE!$S$6,-2,IF(RASANTE!F251&lt;=PERALTE!$U$6,(-6/(PERALTE!$U$6-PERALTE!$S$6)*(RASANTE!F251-PERALTE!$S$6)-2),IF(RASANTE!F251&lt;=PERALTE!$X$6,-8,IF(RASANTE!F251&lt;=PERALTE!$Z$6,(-6/(PERALTE!$X$6-PERALTE!$Z$6)*(RASANTE!F251-PERALTE!$Z$6)-2),IF(RASANTE!F251&lt;=PERALTE!$AB$6,-2))))),IF(AND(AH!$H$8="Derecha",RASANTE!F251&lt;=PERALTE!$AB$6),IF(RASANTE!F251&lt;=PERALTE!$Q$6,-2,IF(RASANTE!F251&lt;=PERALTE!$U$6,(10/(PERALTE!$U$6-PERALTE!$Q$6)*(RASANTE!F251-PERALTE!$Q$6)-2),IF(RASANTE!F251&lt;=PERALTE!$X$6,8,IF(RASANTE!F251&lt;=PERALTE!$AB$6,(10/(PERALTE!$X$6-PERALTE!$AB$6)*(RASANTE!F251-PERALTE!$AB$6)-2))))),IF(AND(AH!$H$10="Izquierda",RASANTE!F251&lt;=PERALTE!$AB$8),IF(RASANTE!F251&lt;=PERALTE!$S$8,-2,IF(RASANTE!F251&lt;=PERALTE!$U$8,(-6/(PERALTE!$U$8-PERALTE!$S$8)*(RASANTE!F251-PERALTE!$S$8)-2),IF(RASANTE!F251&lt;=PERALTE!$X$8,-8,IF(RASANTE!F251&lt;=PERALTE!$Z$8,(-6/(PERALTE!$X$8-PERALTE!$Z$8)*(RASANTE!F251-PERALTE!$Z$8)-2),IF(RASANTE!F251&lt;=PERALTE!$AB$8,-2))))),IF(AND(AH!$H$10="Derecha",RASANTE!F251&lt;=PERALTE!$AB$8),IF(RASANTE!F251&lt;=PERALTE!$Q$8,-2,IF(RASANTE!F251&lt;=PERALTE!$U$8,(10/(PERALTE!$U$8-PERALTE!$Q$8)*(RASANTE!F251-PERALTE!$Q$8)-2),IF(RASANTE!F251&lt;=PERALTE!$X$8,8,IF(RASANTE!F251&lt;=PERALTE!$AB$8,(10/(PERALTE!$X$8-PERALTE!$AB$8)*(RASANTE!F251-PERALTE!$AB$8)-2))))),IF(AND(AH!$H$12="Izquierda",RASANTE!F251&lt;=PERALTE!$AB$10),IF(RASANTE!F251&lt;=PERALTE!$S$10,-2,IF(RASANTE!F251&lt;=PERALTE!$U$10,(-6/(PERALTE!$U$10-PERALTE!$S$10)*(RASANTE!F251-PERALTE!$S$10)-2),IF(RASANTE!F251&lt;=PERALTE!$X$10,-8,IF(RASANTE!F251&lt;=PERALTE!$Z$10,(-6/(PERALTE!$X$10-PERALTE!$Z$10)*(RASANTE!F251-PERALTE!$Z$10)-2),IF(RASANTE!F251&lt;=PERALTE!$AB$10,-2))))),IF(AND(AH!$H$12="Derecha",RASANTE!F251&lt;=PERALTE!$AB$10),IF(RASANTE!F251&lt;=PERALTE!$Q$10,-2,IF(RASANTE!F251&lt;=PERALTE!$U$10,(10/(PERALTE!$U$10-PERALTE!$Q$10)*(RASANTE!F251-PERALTE!$Q$10)-2),IF(RASANTE!F251&lt;=PERALTE!$X$10,8,IF(RASANTE!F251&lt;=PERALTE!$AB$10,(10/(PERALTE!$X$10-PERALTE!$AB$10)*(RASANTE!F251-PERALTE!$AB$10)-2))))),IF(AND(AH!$H$14="Izquierda",RASANTE!F251&lt;=PERALTE!$AB$12),IF(RASANTE!F251&lt;=PERALTE!$S$12,-2,IF(RASANTE!F251&lt;=PERALTE!$U$12,(-6/(PERALTE!$U$12-PERALTE!$S$12)*(RASANTE!F251-PERALTE!$S$12)-2),IF(RASANTE!F251&lt;=PERALTE!$X$12,-8,IF(RASANTE!F251&lt;=PERALTE!$Z$12,(-6/(PERALTE!$X$12-PERALTE!$Z$12)*(RASANTE!F251-PERALTE!$Z$12)-2),IF(RASANTE!F251&lt;=PERALTE!$AB$12,-2))))),IF(AND(AH!$H$14="Derecha",RASANTE!F251&lt;=PERALTE!$AB$12),IF(RASANTE!F251&lt;=PERALTE!$Q$12,-2,IF(RASANTE!F251&lt;=PERALTE!$U$12,(10/(PERALTE!$U$12-PERALTE!$Q$12)*(RASANTE!F251-PERALTE!$Q$12)-2),IF(RASANTE!F251&lt;=PERALTE!$X$12,8,IF(RASANTE!F251&lt;=PERALTE!$AB$12,(10/(PERALTE!$X$12-PERALTE!$AB$12)*(RASANTE!F251-PERALTE!$AB$12)-2))))),IF(AND(AH!$H$16="Izquierda",RASANTE!F251&lt;=PERALTE!$AB$14),IF(RASANTE!F251&lt;=PERALTE!$S$14,-2,IF(RASANTE!F251&lt;=PERALTE!$U$14,(-6/(PERALTE!$U$14-PERALTE!$S$14)*(RASANTE!F251-PERALTE!$S$14)-2),IF(RASANTE!F251&lt;=PERALTE!$X$14,-8,IF(RASANTE!F251&lt;=PERALTE!$Z$14,(-6/(PERALTE!$X$14-PERALTE!$Z$14)*(RASANTE!F251-PERALTE!$Z$14)-2),IF(RASANTE!F251&lt;=PERALTE!$AB$14,-2))))),IF(AND(AH!$H$16="Derecha",RASANTE!F251&lt;=PERALTE!$AB$14),IF(RASANTE!F251&lt;=PERALTE!$Q$14,-2,IF(RASANTE!F251&lt;=PERALTE!$U$14,(10/(PERALTE!$U$14-PERALTE!$Q$14)*(RASANTE!F251-PERALTE!$Q$14)-2),IF(RASANTE!F251&lt;=PERALTE!$X$14,8,IF(RASANTE!F251&lt;=PERALTE!$AB$14,(10/(PERALTE!$X$14-PERALTE!$AB$14)*(RASANTE!F251-PERALTE!$AB$14)-2))))),IF(AND(AH!$H$18="Izquierda",RASANTE!F251&lt;=PERALTE!$AB$16),IF(RASANTE!F251&lt;=PERALTE!$S$16,-2,IF(RASANTE!F251&lt;=PERALTE!$U$16,(-6/(PERALTE!$U$16-PERALTE!$S$16)*(RASANTE!F251-PERALTE!$S$16)-2),IF(RASANTE!F251&lt;=PERALTE!$X$16,-8,IF(RASANTE!F251&lt;=PERALTE!$Z$16,(-6/(PERALTE!$X$16-PERALTE!$Z$16)*(RASANTE!F251-PERALTE!$Z$16)-2),IF(RASANTE!F251&lt;=PERALTE!$AB$16,-2))))),IF(AND(AH!$H$18="Derecha",RASANTE!F251&lt;=PERALTE!$AB$16),IF(RASANTE!F251&lt;=PERALTE!$Q$16,-2,IF(RASANTE!F251&lt;=PERALTE!$U$16,(10/(PERALTE!$U$16-PERALTE!$Q$16)*(RASANTE!F251-PERALTE!$Q$16)-2),IF(RASANTE!F251&lt;=PERALTE!$X$16,8,IF(RASANTE!F251&lt;=PERALTE!$AB$16,(10/(PERALTE!$X$16-PERALTE!$AB$16)*(RASANTE!F251-PERALTE!$AB$16)-2))))),IF(AND(AH!$H$20="Izquierda",RASANTE!F251&lt;=PERALTE!$AB$18),IF(RASANTE!F251&lt;=PERALTE!$S$18,-2,IF(RASANTE!F251&lt;=PERALTE!$U$18,(-6/(PERALTE!$U$18-PERALTE!$S$18)*(RASANTE!F251-PERALTE!$S$18)-2),IF(RASANTE!F251&lt;=PERALTE!$X$18,-8,IF(RASANTE!F251&lt;=PERALTE!$Z$18,(-6/(PERALTE!$X$18-PERALTE!$Z$18)*(RASANTE!F251-PERALTE!$Z$18)-2),IF(RASANTE!F251&lt;=PERALTE!$AB$18,-2))))),IF(AND(AH!$H$20="Derecha",RASANTE!F251&lt;=PERALTE!$AB$18),IF(RASANTE!F251&lt;=PERALTE!$Q$18,-2,IF(RASANTE!F251&lt;=PERALTE!$U$18,(10/(PERALTE!$U$18-PERALTE!$Q$18)*(RASANTE!F251-PERALTE!$Q$18)-2),IF(RASANTE!F251&lt;=PERALTE!$X$18,8,IF(RASANTE!F251&lt;=PERALTE!$AB$18,(10/(PERALTE!$X$18-PERALTE!$AB$18)*(RASANTE!F251-PERALTE!$AB$18)-2))))),IF(AND(AH!$H$24="Izquierda",RASANTE!F251&lt;=PERALTE!$AB$22),IF(RASANTE!F251&lt;=PERALTE!$S$22,-2,IF(RASANTE!F251&lt;=PERALTE!$U$22,(-6/(PERALTE!$U$22-PERALTE!$S$22)*(RASANTE!F251-PERALTE!$S$22)-2),IF(RASANTE!F251&lt;=PERALTE!$X$22,-8,IF(RASANTE!F251&lt;=PERALTE!$Z$22,(-6/(PERALTE!$X$22-PERALTE!$Z$22)*(RASANTE!F251-PERALTE!$Z$22)-2),IF(RASANTE!F251&lt;=PERALTE!$AB$22,-2))))),IF(AND(AH!$H$24="Derecha",RASANTE!F251&lt;=PERALTE!$AB$22),IF(RASANTE!F251&lt;=PERALTE!$Q$22,-2,IF(RASANTE!F251&lt;=PERALTE!$U$22,(10/(PERALTE!$U$22-PERALTE!$Q$22)*(RASANTE!F251-PERALTE!$Q$22)-2),IF(RASANTE!F251&lt;=PERALTE!$X$22,8,IF(RASANTE!F251&lt;=PERALTE!$AB$22,(10/(PERALTE!$X$22-PERALTE!$AB$22)*(RASANTE!F251-PERALTE!$AB$22)-2))))),IF(AND(AH!#REF!="Izquierda",RASANTE!F251&lt;=PERALTE!#REF!),IF(RASANTE!F251&lt;=PERALTE!#REF!,-2,IF(RASANTE!F251&lt;=PERALTE!#REF!,(-6/(PERALTE!#REF!-PERALTE!#REF!)*(RASANTE!F251-PERALTE!#REF!)-2),IF(RASANTE!F251&lt;=PERALTE!#REF!,-8,IF(RASANTE!F251&lt;=PERALTE!#REF!,(-6/(PERALTE!#REF!-PERALTE!#REF!)*(RASANTE!F251-PERALTE!#REF!)-2),IF(RASANTE!F251&lt;=PERALTE!#REF!,-2))))),IF(AND(AH!#REF!="Derecha",RASANTE!F251&lt;=PERALTE!#REF!),IF(RASANTE!F251&lt;=PERALTE!#REF!,-2,IF(RASANTE!F251&lt;=PERALTE!#REF!,(10/(PERALTE!#REF!-PERALTE!#REF!)*(RASANTE!F251-PERALTE!#REF!)-2),IF(RASANTE!F251&lt;=PERALTE!#REF!,8,IF(RASANTE!F251&lt;=PERALTE!#REF!,(10/(PERALTE!#REF!-PERALTE!#REF!)*(RASANTE!F251-PERALTE!#REF!)-2))))),IF(AND(AH!#REF!="Izquierda",RASANTE!F251&lt;=PERALTE!$AB$26),IF(RASANTE!F251&lt;=PERALTE!$S$26,-2,IF(RASANTE!F251&lt;=PERALTE!$U$26,(-6/(PERALTE!$U$26-PERALTE!$S$26)*(RASANTE!F251-PERALTE!$S$26)-2),IF(RASANTE!F251&lt;=PERALTE!$X$26,-8,IF(RASANTE!F251&lt;=PERALTE!$Z$26,(-6/(PERALTE!$X$26-PERALTE!$Z$26)*(RASANTE!F251-PERALTE!$Z$26)-2),IF(RASANTE!F251&lt;=PERALTE!$AB$26,-2))))),IF(AND(AH!#REF!="Derecha",RASANTE!F251&lt;=PERALTE!$AB$26),IF(RASANTE!F251&lt;=PERALTE!$Q$26,-2,IF(RASANTE!F251&lt;=PERALTE!$U$26,(10/(PERALTE!$U$26-PERALTE!$Q$26)*(RASANTE!F251-PERALTE!$Q$26)-2),IF(RASANTE!F251&lt;=PERALTE!$X$26,8,IF(RASANTE!F251&lt;=PERALTE!$AB$26,(10/(PERALTE!$X$26-PERALTE!$AB$26)*(RASANTE!F251-PERALTE!$AB$26)-2))))),IF(F251&lt;=PERALTE!#REF!,-2,"Abscisa fuera de la vía")))))))))))))))))))))</f>
        <v>8</v>
      </c>
      <c r="I251" s="28">
        <f>+IF(AND(AH!$H$8="Derecha",RASANTE!F251&lt;=PERALTE!$AB$6),IF(RASANTE!F251&lt;=PERALTE!$S$6,-2,IF(RASANTE!F251&lt;=PERALTE!$U$6,(-6/(PERALTE!$U$6-PERALTE!$S$6)*(RASANTE!F251-PERALTE!$S$6)-2),IF(RASANTE!F251&lt;=PERALTE!$X$6,-8,IF(RASANTE!F251&lt;=PERALTE!$Z$6,(-6/(PERALTE!$X$6-PERALTE!$Z$6)*(RASANTE!F251-PERALTE!$Z$6)-2),IF(RASANTE!F251&lt;=PERALTE!$AB$6,-2))))),IF(AND(AH!$H$8="Izquierda",RASANTE!F251&lt;=PERALTE!$AB$6),IF(RASANTE!F251&lt;=PERALTE!$Q$6,-2,IF(RASANTE!F251&lt;=PERALTE!$U$6,(10/(PERALTE!$U$6-PERALTE!$Q$6)*(RASANTE!F251-PERALTE!$Q$6)-2),IF(RASANTE!F251&lt;=PERALTE!$X$6,8,IF(RASANTE!F251&lt;=PERALTE!$AB$6,(10/(PERALTE!$X$6-PERALTE!$AB$6)*(RASANTE!F251-PERALTE!$AB$6)-2))))),IF(AND(AH!$H$10="Derecha",RASANTE!F251&lt;=PERALTE!$AB$8),IF(RASANTE!F251&lt;=PERALTE!$S$8,-2,IF(RASANTE!F251&lt;=PERALTE!$U$8,(-6/(PERALTE!$U$8-PERALTE!$S$8)*(RASANTE!F251-PERALTE!$S$8)-2),IF(RASANTE!F251&lt;=PERALTE!$X$8,-8,IF(RASANTE!F251&lt;=PERALTE!$Z$8,(-6/(PERALTE!$X$8-PERALTE!$Z$8)*(RASANTE!F251-PERALTE!$Z$8)-2),IF(RASANTE!F251&lt;=PERALTE!$AB$8,-2))))),IF(AND(AH!$H$10="Izquierda",RASANTE!F251&lt;=PERALTE!$AB$8),IF(RASANTE!F251&lt;=PERALTE!$Q$8,-2,IF(RASANTE!F251&lt;=PERALTE!$U$8,(10/(PERALTE!$U$8-PERALTE!$Q$8)*(RASANTE!F251-PERALTE!$Q$8)-2),IF(RASANTE!F251&lt;=PERALTE!$X$8,8,IF(RASANTE!F251&lt;=PERALTE!$AB$8,(10/(PERALTE!$X$8-PERALTE!$AB$8)*(RASANTE!F251-PERALTE!$AB$8)-2))))),IF(AND(AH!$H$12="Derecha",RASANTE!F251&lt;=PERALTE!$AB$10),IF(RASANTE!F251&lt;=PERALTE!$S$10,-2,IF(RASANTE!F251&lt;=PERALTE!$U$10,(-6/(PERALTE!$U$10-PERALTE!$S$10)*(RASANTE!F251-PERALTE!$S$10)-2),IF(RASANTE!F251&lt;=PERALTE!$X$10,-8,IF(RASANTE!F251&lt;=PERALTE!$Z$10,(-6/(PERALTE!$X$10-PERALTE!$Z$10)*(RASANTE!F251-PERALTE!$Z$10)-2),IF(RASANTE!F251&lt;=PERALTE!$AB$10,-2))))),IF(AND(AH!$H$12="Izquierda",RASANTE!F251&lt;=PERALTE!$AB$10),IF(RASANTE!F251&lt;=PERALTE!$Q$10,-2,IF(RASANTE!F251&lt;=PERALTE!$U$10,(10/(PERALTE!$U$10-PERALTE!$Q$10)*(RASANTE!F251-PERALTE!$Q$10)-2),IF(RASANTE!F251&lt;=PERALTE!$X$10,8,IF(RASANTE!F251&lt;=PERALTE!$AB$10,(10/(PERALTE!$X$10-PERALTE!$AB$10)*(RASANTE!F251-PERALTE!$AB$10)-2))))),IF(AND(AH!$H$14="Derecha",RASANTE!F251&lt;=PERALTE!$AB$12),IF(RASANTE!F251&lt;=PERALTE!$S$12,-2,IF(RASANTE!F251&lt;=PERALTE!$U$12,(-6/(PERALTE!$U$12-PERALTE!$S$12)*(RASANTE!F251-PERALTE!$S$12)-2),IF(RASANTE!F251&lt;=PERALTE!$X$12,-8,IF(RASANTE!F251&lt;=PERALTE!$Z$12,(-6/(PERALTE!$X$12-PERALTE!$Z$12)*(RASANTE!F251-PERALTE!$Z$12)-2),IF(RASANTE!F251&lt;=PERALTE!$AB$12,-2))))),IF(AND(AH!$H$14="Izquierda",RASANTE!F251&lt;=PERALTE!$AB$12),IF(RASANTE!F251&lt;=PERALTE!$Q$12,-2,IF(RASANTE!F251&lt;=PERALTE!$U$12,(10/(PERALTE!$U$12-PERALTE!$Q$12)*(RASANTE!F251-PERALTE!$Q$12)-2),IF(RASANTE!F251&lt;=PERALTE!$X$12,8,IF(RASANTE!F251&lt;=PERALTE!$AB$12,(10/(PERALTE!$X$12-PERALTE!$AB$12)*(RASANTE!F251-PERALTE!$AB$12)-2))))),IF(AND(AH!$H$16="Derecha",RASANTE!F251&lt;=PERALTE!$AB$14),IF(RASANTE!F251&lt;=PERALTE!$S$14,-2,IF(RASANTE!F251&lt;=PERALTE!$U$14,(-6/(PERALTE!$U$14-PERALTE!$S$14)*(RASANTE!F251-PERALTE!$S$14)-2),IF(RASANTE!F251&lt;=PERALTE!$X$14,-8,IF(RASANTE!F251&lt;=PERALTE!$Z$14,(-6/(PERALTE!$X$14-PERALTE!$Z$14)*(RASANTE!F251-PERALTE!$Z$14)-2),IF(RASANTE!F251&lt;=PERALTE!$AB$14,-2))))),IF(AND(AH!$H$16="Izquierda",RASANTE!F251&lt;=PERALTE!$AB$14),IF(RASANTE!F251&lt;=PERALTE!$Q$14,-2,IF(RASANTE!F251&lt;=PERALTE!$U$14,(10/(PERALTE!$U$14-PERALTE!$Q$14)*(RASANTE!F251-PERALTE!$Q$14)-2),IF(RASANTE!F251&lt;=PERALTE!$X$14,8,IF(RASANTE!F251&lt;=PERALTE!$AB$14,(10/(PERALTE!$X$14-PERALTE!$AB$14)*(RASANTE!F251-PERALTE!$AB$14)-2))))),IF(AND(AH!$H$18="Derecha",RASANTE!F251&lt;=PERALTE!$AB$16),IF(RASANTE!F251&lt;=PERALTE!$S$16,-2,IF(RASANTE!F251&lt;=PERALTE!$U$16,(-6/(PERALTE!$U$16-PERALTE!$S$16)*(RASANTE!F251-PERALTE!$S$16)-2),IF(RASANTE!F251&lt;=PERALTE!$X$16,-8,IF(RASANTE!F251&lt;=PERALTE!$Z$16,(-6/(PERALTE!$X$16-PERALTE!$Z$16)*(RASANTE!F251-PERALTE!$Z$16)-2),IF(RASANTE!F251&lt;=PERALTE!$AB$16,-2))))),IF(AND(AH!$H$18="Izquierda",RASANTE!F251&lt;=PERALTE!$AB$16),IF(RASANTE!F251&lt;=PERALTE!$Q$16,-2,IF(RASANTE!F251&lt;=PERALTE!$U$16,(10/(PERALTE!$U$16-PERALTE!$Q$16)*(RASANTE!F251-PERALTE!$Q$16)-2),IF(RASANTE!F251&lt;=PERALTE!$X$16,8,IF(RASANTE!F251&lt;=PERALTE!$AB$16,(10/(PERALTE!$X$16-PERALTE!$AB$16)*(RASANTE!F251-PERALTE!$AB$16)-2))))),IF(AND(AH!$H$20="Derecha",RASANTE!F251&lt;=PERALTE!$AB$18),IF(RASANTE!F251&lt;=PERALTE!$S$18,-2,IF(RASANTE!F251&lt;=PERALTE!$U$18,(-6/(PERALTE!$U$18-PERALTE!$S$18)*(RASANTE!F251-PERALTE!$S$18)-2),IF(RASANTE!F251&lt;=PERALTE!$X$18,-8,IF(RASANTE!F251&lt;=PERALTE!$Z$18,(-6/(PERALTE!$X$18-PERALTE!$Z$18)*(RASANTE!F251-PERALTE!$Z$18)-2),IF(RASANTE!F251&lt;=PERALTE!$AB$18,-2))))),IF(AND(AH!$H$20="Izquierda",RASANTE!F251&lt;=PERALTE!$AB$18),IF(RASANTE!F251&lt;=PERALTE!$Q$18,-2,IF(RASANTE!F251&lt;=PERALTE!$U$18,(10/(PERALTE!$U$18-PERALTE!$Q$18)*(RASANTE!F251-PERALTE!$Q$18)-2),IF(RASANTE!F251&lt;=PERALTE!$X$18,8,IF(RASANTE!F251&lt;=PERALTE!$AB$18,(10/(PERALTE!$X$18-PERALTE!$AB$18)*(RASANTE!F251-PERALTE!$AB$18)-2))))),IF(AND(AH!$H$24="Derecha",RASANTE!F251&lt;=PERALTE!$AB$22),IF(RASANTE!F251&lt;=PERALTE!$S$22,-2,IF(RASANTE!F251&lt;=PERALTE!$U$22,(-6/(PERALTE!$U$22-PERALTE!$S$22)*(RASANTE!F251-PERALTE!$S$22)-2),IF(RASANTE!F251&lt;=PERALTE!$X$22,-8,IF(RASANTE!F251&lt;=PERALTE!$Z$22,(-6/(PERALTE!$X$22-PERALTE!$Z$22)*(RASANTE!F251-PERALTE!$Z$22)-2),IF(RASANTE!F251&lt;=PERALTE!$AB$22,-2))))),IF(AND(AH!$H$24="Izquierda",RASANTE!F251&lt;=PERALTE!$AB$22),IF(RASANTE!F251&lt;=PERALTE!$Q$22,-2,IF(RASANTE!F251&lt;=PERALTE!$U$22,(10/(PERALTE!$U$22-PERALTE!$Q$22)*(RASANTE!F251-PERALTE!$Q$22)-2),IF(RASANTE!F251&lt;=PERALTE!$X$22,8,IF(RASANTE!F251&lt;=PERALTE!$AB$22,(10/(PERALTE!$X$22-PERALTE!$AB$22)*(RASANTE!F251-PERALTE!$AB$22)-2))))),IF(AND(AH!#REF!="Derecha",RASANTE!F251&lt;=PERALTE!#REF!),IF(RASANTE!F251&lt;=PERALTE!#REF!,-2,IF(RASANTE!F251&lt;=PERALTE!#REF!,(-6/(PERALTE!#REF!-PERALTE!#REF!)*(RASANTE!F251-PERALTE!#REF!)-2),IF(RASANTE!F251&lt;=PERALTE!#REF!,-8,IF(RASANTE!F251&lt;=PERALTE!#REF!,(-6/(PERALTE!#REF!-PERALTE!#REF!)*(RASANTE!F251-PERALTE!#REF!)-2),IF(RASANTE!F251&lt;=PERALTE!#REF!,-2))))),IF(AND(AH!#REF!="Izquierda",RASANTE!F251&lt;=PERALTE!#REF!),IF(RASANTE!F251&lt;=PERALTE!#REF!,-2,IF(RASANTE!F251&lt;=PERALTE!#REF!,(10/(PERALTE!#REF!-PERALTE!#REF!)*(RASANTE!F251-PERALTE!#REF!)-2),IF(RASANTE!F251&lt;=PERALTE!#REF!,8,IF(RASANTE!F251&lt;=PERALTE!#REF!,(10/(PERALTE!#REF!-PERALTE!#REF!)*(RASANTE!F251-PERALTE!#REF!)-2))))),IF(AND(AH!#REF!="Derecha",RASANTE!F251&lt;=PERALTE!$AB$26),IF(RASANTE!F251&lt;=PERALTE!$S$26,-2,IF(RASANTE!F251&lt;=PERALTE!$U$26,(-6/(PERALTE!$U$26-PERALTE!$S$26)*(RASANTE!F251-PERALTE!$S$26)-2),IF(RASANTE!F251&lt;=PERALTE!$X$26,-8,IF(RASANTE!F251&lt;=PERALTE!$Z$26,(-6/(PERALTE!$X$26-PERALTE!$Z$26)*(RASANTE!F251-PERALTE!$Z$26)-2),IF(RASANTE!F251&lt;=PERALTE!$AB$26,-2))))),IF(AND(AH!#REF!="Izquierda",RASANTE!F251&lt;=PERALTE!$AB$26),IF(RASANTE!F251&lt;=PERALTE!$Q$26,-2,IF(RASANTE!F251&lt;=PERALTE!$U$26,(10/(PERALTE!$U$26-PERALTE!$Q$26)*(RASANTE!F251-PERALTE!$Q$26)-2),IF(RASANTE!F251&lt;=PERALTE!$X$26,8,IF(RASANTE!F251&lt;=PERALTE!$AB$26,(10/(PERALTE!$X$26-PERALTE!$AB$26)*(RASANTE!F251-PERALTE!$AB$26)-2))))),IF(F251&lt;=PERALTE!#REF!,-2,"Abscisa fuera de la vía")))))))))))))))))))))</f>
        <v>-8</v>
      </c>
      <c r="J251" s="28">
        <f t="shared" si="11"/>
        <v>1633.9129284648982</v>
      </c>
      <c r="K251" s="28">
        <f>+IF(AND(AV!$S$6&lt;F251,F251&lt;=AV!$T$6),AV!$P$6*((AV!$S$6-RASANTE!F251)/(AV!$N$6))^2,IF(AND(AV!$T$6&lt;RASANTE!F251,F251&lt;AV!$U$6),AV!$P$6*((AV!$U$6-RASANTE!F251)/(AV!$O$6))^2,IF(AND(AV!$S$8&lt;F251,F251&lt;=AV!$T$8),AV!$P$8*((AV!$S$8-RASANTE!F251)/(AV!$N$8))^2,IF(AND(AV!$T$8&lt;RASANTE!F251,F251&lt;AV!$U$8),AV!$P$8*((AV!$U$8-RASANTE!F251)/(AV!$O$8))^2,IF(AND(AV!$S$10&lt;F251,F251&lt;=AV!$T$10),AV!$P$10*((AV!$S$10-RASANTE!F251)/(AV!$N$10))^2,IF(AND(AV!$T$10&lt;RASANTE!F251,F251&lt;AV!$U$10),AV!$P$10*((AV!$U$10-RASANTE!F251)/(AV!$O$10))^2,IF(AND(AV!$S$12&lt;F251,F251&lt;=AV!$T$12),AV!$P$12*((AV!$S$12-RASANTE!F251)/(AV!$N$12))^2,IF(AND(AV!$T$12&lt;RASANTE!F251,F251&lt;AV!$U$12),AV!$P$12*((AV!$U$12-RASANTE!F251)/(AV!$O$12))^2,IF(AND(AV!$S$14&lt;F251,F251&lt;=AV!$T$14),AV!$P$14*((AV!$S$14-RASANTE!F251)/(AV!$N$14))^2,IF(AND(AV!$T$14&lt;RASANTE!F251,F251&lt;AV!$U$14),AV!$P$14*((AV!$U$14-RASANTE!F251)/(AV!$O$14))^2,IF(AND(AV!$S$16&lt;F251,F251&lt;=AV!$T$16),AV!$P$16*((AV!$S$16-RASANTE!F251)/(AV!$N$16))^2,IF(AND(AV!$T$16&lt;RASANTE!F251,F251&lt;AV!$U$16),AV!$P$16*((AV!$U$16-RASANTE!F251)/(AV!$O$16))^2,IF(AND(AV!$S$18&lt;F251,F251&lt;=AV!$T$18),AV!$P$18*((AV!$S$18-RASANTE!F251)/(AV!$N$18))^2,IF(AND(AV!$T$18&lt;RASANTE!F251,F251&lt;AV!$U$18),AV!$P$18*((AV!$U$18-RASANTE!F251)/(AV!$O$18))^2,IF(AND(AV!$S$20&lt;F251,F251&lt;=AV!$T$20),AV!$P$20*((AV!$S$20-RASANTE!F251)/(AV!$N$20))^2,IF(AND(AV!$T$20&lt;RASANTE!F251,F251&lt;AV!$U$20),AV!$P$20*((AV!$U$20-RASANTE!F251)/(AV!$O$20))^2,IF(AND(AV!$S$22&lt;F251,F251&lt;=AV!$T$22),AV!$P$22*((AV!$S$22-RASANTE!F251)/(AV!$N$22))^2,IF(AND(AV!$T$22&lt;RASANTE!F251,F251&lt;AV!$U$22),AV!$P$22*((AV!$U$22-RASANTE!F251)/(AV!$O$22))^2,IF(AND(AV!$S$24&lt;F251,F251&lt;=AV!$T$24),AV!$P$24*((AV!$S$24-RASANTE!F251)/(AV!$N$24))^2,IF(AND(AV!$T$24&lt;RASANTE!F251,F251&lt;AV!$U$24),AV!$P$24*((AV!$U$24-RASANTE!F251)/(AV!$O$24))^2,0))))))))))))))))))))</f>
        <v>1.1084858999999122E-5</v>
      </c>
      <c r="L251" s="28">
        <f>+M251+H251%*PERALTE!$C$32</f>
        <v>1634.1929395497571</v>
      </c>
      <c r="M251" s="28">
        <f t="shared" si="12"/>
        <v>1633.9129395497571</v>
      </c>
      <c r="N251" s="28">
        <f>+M251+I251%*PERALTE!$C$32</f>
        <v>1633.6329395497571</v>
      </c>
      <c r="O251" s="92"/>
      <c r="P251" s="84"/>
      <c r="Q251" s="84"/>
      <c r="R251" s="84"/>
      <c r="S251" s="84"/>
      <c r="T251" s="84"/>
      <c r="U251" s="84"/>
      <c r="V251" s="84"/>
      <c r="W251" s="84"/>
      <c r="X251" s="84"/>
      <c r="Y251" s="84"/>
    </row>
    <row r="252" spans="1:25" ht="15.75" customHeight="1" x14ac:dyDescent="0.2">
      <c r="A252" s="111"/>
      <c r="B252" s="187">
        <f>AH!S20</f>
        <v>81.863841334485116</v>
      </c>
      <c r="C252" s="188">
        <f>PERALTE!C34</f>
        <v>8</v>
      </c>
      <c r="D252" s="186"/>
      <c r="E252" s="150">
        <f>AV!N16</f>
        <v>20</v>
      </c>
      <c r="F252" s="34">
        <v>1530</v>
      </c>
      <c r="G252" s="88">
        <f>IF(F252&lt;=AV!$T$6,AV!$C$5,IF(RASANTE!F252&lt;=AV!$T$8,AV!$C$7,IF(RASANTE!F252&lt;=AV!$T$10,AV!$C$9,IF(RASANTE!F252&lt;=AV!$T$12,AV!$C$11,IF(RASANTE!F252&lt;=AV!$T$14,AV!$C$13,IF(RASANTE!F252&lt;=AV!$T$16,AV!$C$15, IF(RASANTE!F252&lt;=AV!$T$18,AV!$C$17,IF(RASANTE!F252&lt;=AV!$T$20,AV!$C$19,IF(RASANTE!F252&lt;=AV!$T$22,AV!$C$21,IF(RASANTE!F252&lt;=AV!$T$24,AV!$C$23,AV!$C$25))))))))))</f>
        <v>2.8</v>
      </c>
      <c r="H252" s="28">
        <f>+IF(AND(AH!$H$8="Izquierda",RASANTE!F252&lt;=PERALTE!$AB$6),IF(RASANTE!F252&lt;=PERALTE!$S$6,-2,IF(RASANTE!F252&lt;=PERALTE!$U$6,(-6/(PERALTE!$U$6-PERALTE!$S$6)*(RASANTE!F252-PERALTE!$S$6)-2),IF(RASANTE!F252&lt;=PERALTE!$X$6,-8,IF(RASANTE!F252&lt;=PERALTE!$Z$6,(-6/(PERALTE!$X$6-PERALTE!$Z$6)*(RASANTE!F252-PERALTE!$Z$6)-2),IF(RASANTE!F252&lt;=PERALTE!$AB$6,-2))))),IF(AND(AH!$H$8="Derecha",RASANTE!F252&lt;=PERALTE!$AB$6),IF(RASANTE!F252&lt;=PERALTE!$Q$6,-2,IF(RASANTE!F252&lt;=PERALTE!$U$6,(10/(PERALTE!$U$6-PERALTE!$Q$6)*(RASANTE!F252-PERALTE!$Q$6)-2),IF(RASANTE!F252&lt;=PERALTE!$X$6,8,IF(RASANTE!F252&lt;=PERALTE!$AB$6,(10/(PERALTE!$X$6-PERALTE!$AB$6)*(RASANTE!F252-PERALTE!$AB$6)-2))))),IF(AND(AH!$H$10="Izquierda",RASANTE!F252&lt;=PERALTE!$AB$8),IF(RASANTE!F252&lt;=PERALTE!$S$8,-2,IF(RASANTE!F252&lt;=PERALTE!$U$8,(-6/(PERALTE!$U$8-PERALTE!$S$8)*(RASANTE!F252-PERALTE!$S$8)-2),IF(RASANTE!F252&lt;=PERALTE!$X$8,-8,IF(RASANTE!F252&lt;=PERALTE!$Z$8,(-6/(PERALTE!$X$8-PERALTE!$Z$8)*(RASANTE!F252-PERALTE!$Z$8)-2),IF(RASANTE!F252&lt;=PERALTE!$AB$8,-2))))),IF(AND(AH!$H$10="Derecha",RASANTE!F252&lt;=PERALTE!$AB$8),IF(RASANTE!F252&lt;=PERALTE!$Q$8,-2,IF(RASANTE!F252&lt;=PERALTE!$U$8,(10/(PERALTE!$U$8-PERALTE!$Q$8)*(RASANTE!F252-PERALTE!$Q$8)-2),IF(RASANTE!F252&lt;=PERALTE!$X$8,8,IF(RASANTE!F252&lt;=PERALTE!$AB$8,(10/(PERALTE!$X$8-PERALTE!$AB$8)*(RASANTE!F252-PERALTE!$AB$8)-2))))),IF(AND(AH!$H$12="Izquierda",RASANTE!F252&lt;=PERALTE!$AB$10),IF(RASANTE!F252&lt;=PERALTE!$S$10,-2,IF(RASANTE!F252&lt;=PERALTE!$U$10,(-6/(PERALTE!$U$10-PERALTE!$S$10)*(RASANTE!F252-PERALTE!$S$10)-2),IF(RASANTE!F252&lt;=PERALTE!$X$10,-8,IF(RASANTE!F252&lt;=PERALTE!$Z$10,(-6/(PERALTE!$X$10-PERALTE!$Z$10)*(RASANTE!F252-PERALTE!$Z$10)-2),IF(RASANTE!F252&lt;=PERALTE!$AB$10,-2))))),IF(AND(AH!$H$12="Derecha",RASANTE!F252&lt;=PERALTE!$AB$10),IF(RASANTE!F252&lt;=PERALTE!$Q$10,-2,IF(RASANTE!F252&lt;=PERALTE!$U$10,(10/(PERALTE!$U$10-PERALTE!$Q$10)*(RASANTE!F252-PERALTE!$Q$10)-2),IF(RASANTE!F252&lt;=PERALTE!$X$10,8,IF(RASANTE!F252&lt;=PERALTE!$AB$10,(10/(PERALTE!$X$10-PERALTE!$AB$10)*(RASANTE!F252-PERALTE!$AB$10)-2))))),IF(AND(AH!$H$14="Izquierda",RASANTE!F252&lt;=PERALTE!$AB$12),IF(RASANTE!F252&lt;=PERALTE!$S$12,-2,IF(RASANTE!F252&lt;=PERALTE!$U$12,(-6/(PERALTE!$U$12-PERALTE!$S$12)*(RASANTE!F252-PERALTE!$S$12)-2),IF(RASANTE!F252&lt;=PERALTE!$X$12,-8,IF(RASANTE!F252&lt;=PERALTE!$Z$12,(-6/(PERALTE!$X$12-PERALTE!$Z$12)*(RASANTE!F252-PERALTE!$Z$12)-2),IF(RASANTE!F252&lt;=PERALTE!$AB$12,-2))))),IF(AND(AH!$H$14="Derecha",RASANTE!F252&lt;=PERALTE!$AB$12),IF(RASANTE!F252&lt;=PERALTE!$Q$12,-2,IF(RASANTE!F252&lt;=PERALTE!$U$12,(10/(PERALTE!$U$12-PERALTE!$Q$12)*(RASANTE!F252-PERALTE!$Q$12)-2),IF(RASANTE!F252&lt;=PERALTE!$X$12,8,IF(RASANTE!F252&lt;=PERALTE!$AB$12,(10/(PERALTE!$X$12-PERALTE!$AB$12)*(RASANTE!F252-PERALTE!$AB$12)-2))))),IF(AND(AH!$H$16="Izquierda",RASANTE!F252&lt;=PERALTE!$AB$14),IF(RASANTE!F252&lt;=PERALTE!$S$14,-2,IF(RASANTE!F252&lt;=PERALTE!$U$14,(-6/(PERALTE!$U$14-PERALTE!$S$14)*(RASANTE!F252-PERALTE!$S$14)-2),IF(RASANTE!F252&lt;=PERALTE!$X$14,-8,IF(RASANTE!F252&lt;=PERALTE!$Z$14,(-6/(PERALTE!$X$14-PERALTE!$Z$14)*(RASANTE!F252-PERALTE!$Z$14)-2),IF(RASANTE!F252&lt;=PERALTE!$AB$14,-2))))),IF(AND(AH!$H$16="Derecha",RASANTE!F252&lt;=PERALTE!$AB$14),IF(RASANTE!F252&lt;=PERALTE!$Q$14,-2,IF(RASANTE!F252&lt;=PERALTE!$U$14,(10/(PERALTE!$U$14-PERALTE!$Q$14)*(RASANTE!F252-PERALTE!$Q$14)-2),IF(RASANTE!F252&lt;=PERALTE!$X$14,8,IF(RASANTE!F252&lt;=PERALTE!$AB$14,(10/(PERALTE!$X$14-PERALTE!$AB$14)*(RASANTE!F252-PERALTE!$AB$14)-2))))),IF(AND(AH!$H$18="Izquierda",RASANTE!F252&lt;=PERALTE!$AB$16),IF(RASANTE!F252&lt;=PERALTE!$S$16,-2,IF(RASANTE!F252&lt;=PERALTE!$U$16,(-6/(PERALTE!$U$16-PERALTE!$S$16)*(RASANTE!F252-PERALTE!$S$16)-2),IF(RASANTE!F252&lt;=PERALTE!$X$16,-8,IF(RASANTE!F252&lt;=PERALTE!$Z$16,(-6/(PERALTE!$X$16-PERALTE!$Z$16)*(RASANTE!F252-PERALTE!$Z$16)-2),IF(RASANTE!F252&lt;=PERALTE!$AB$16,-2))))),IF(AND(AH!$H$18="Derecha",RASANTE!F252&lt;=PERALTE!$AB$16),IF(RASANTE!F252&lt;=PERALTE!$Q$16,-2,IF(RASANTE!F252&lt;=PERALTE!$U$16,(10/(PERALTE!$U$16-PERALTE!$Q$16)*(RASANTE!F252-PERALTE!$Q$16)-2),IF(RASANTE!F252&lt;=PERALTE!$X$16,8,IF(RASANTE!F252&lt;=PERALTE!$AB$16,(10/(PERALTE!$X$16-PERALTE!$AB$16)*(RASANTE!F252-PERALTE!$AB$16)-2))))),IF(AND(AH!$H$20="Izquierda",RASANTE!F252&lt;=PERALTE!$AB$18),IF(RASANTE!F252&lt;=PERALTE!$S$18,-2,IF(RASANTE!F252&lt;=PERALTE!$U$18,(-6/(PERALTE!$U$18-PERALTE!$S$18)*(RASANTE!F252-PERALTE!$S$18)-2),IF(RASANTE!F252&lt;=PERALTE!$X$18,-8,IF(RASANTE!F252&lt;=PERALTE!$Z$18,(-6/(PERALTE!$X$18-PERALTE!$Z$18)*(RASANTE!F252-PERALTE!$Z$18)-2),IF(RASANTE!F252&lt;=PERALTE!$AB$18,-2))))),IF(AND(AH!$H$20="Derecha",RASANTE!F252&lt;=PERALTE!$AB$18),IF(RASANTE!F252&lt;=PERALTE!$Q$18,-2,IF(RASANTE!F252&lt;=PERALTE!$U$18,(10/(PERALTE!$U$18-PERALTE!$Q$18)*(RASANTE!F252-PERALTE!$Q$18)-2),IF(RASANTE!F252&lt;=PERALTE!$X$18,8,IF(RASANTE!F252&lt;=PERALTE!$AB$18,(10/(PERALTE!$X$18-PERALTE!$AB$18)*(RASANTE!F252-PERALTE!$AB$18)-2))))),IF(AND(AH!$H$24="Izquierda",RASANTE!F252&lt;=PERALTE!$AB$22),IF(RASANTE!F252&lt;=PERALTE!$S$22,-2,IF(RASANTE!F252&lt;=PERALTE!$U$22,(-6/(PERALTE!$U$22-PERALTE!$S$22)*(RASANTE!F252-PERALTE!$S$22)-2),IF(RASANTE!F252&lt;=PERALTE!$X$22,-8,IF(RASANTE!F252&lt;=PERALTE!$Z$22,(-6/(PERALTE!$X$22-PERALTE!$Z$22)*(RASANTE!F252-PERALTE!$Z$22)-2),IF(RASANTE!F252&lt;=PERALTE!$AB$22,-2))))),IF(AND(AH!$H$24="Derecha",RASANTE!F252&lt;=PERALTE!$AB$22),IF(RASANTE!F252&lt;=PERALTE!$Q$22,-2,IF(RASANTE!F252&lt;=PERALTE!$U$22,(10/(PERALTE!$U$22-PERALTE!$Q$22)*(RASANTE!F252-PERALTE!$Q$22)-2),IF(RASANTE!F252&lt;=PERALTE!$X$22,8,IF(RASANTE!F252&lt;=PERALTE!$AB$22,(10/(PERALTE!$X$22-PERALTE!$AB$22)*(RASANTE!F252-PERALTE!$AB$22)-2))))),IF(AND(AH!#REF!="Izquierda",RASANTE!F252&lt;=PERALTE!#REF!),IF(RASANTE!F252&lt;=PERALTE!#REF!,-2,IF(RASANTE!F252&lt;=PERALTE!#REF!,(-6/(PERALTE!#REF!-PERALTE!#REF!)*(RASANTE!F252-PERALTE!#REF!)-2),IF(RASANTE!F252&lt;=PERALTE!#REF!,-8,IF(RASANTE!F252&lt;=PERALTE!#REF!,(-6/(PERALTE!#REF!-PERALTE!#REF!)*(RASANTE!F252-PERALTE!#REF!)-2),IF(RASANTE!F252&lt;=PERALTE!#REF!,-2))))),IF(AND(AH!#REF!="Derecha",RASANTE!F252&lt;=PERALTE!#REF!),IF(RASANTE!F252&lt;=PERALTE!#REF!,-2,IF(RASANTE!F252&lt;=PERALTE!#REF!,(10/(PERALTE!#REF!-PERALTE!#REF!)*(RASANTE!F252-PERALTE!#REF!)-2),IF(RASANTE!F252&lt;=PERALTE!#REF!,8,IF(RASANTE!F252&lt;=PERALTE!#REF!,(10/(PERALTE!#REF!-PERALTE!#REF!)*(RASANTE!F252-PERALTE!#REF!)-2))))),IF(AND(AH!#REF!="Izquierda",RASANTE!F252&lt;=PERALTE!$AB$26),IF(RASANTE!F252&lt;=PERALTE!$S$26,-2,IF(RASANTE!F252&lt;=PERALTE!$U$26,(-6/(PERALTE!$U$26-PERALTE!$S$26)*(RASANTE!F252-PERALTE!$S$26)-2),IF(RASANTE!F252&lt;=PERALTE!$X$26,-8,IF(RASANTE!F252&lt;=PERALTE!$Z$26,(-6/(PERALTE!$X$26-PERALTE!$Z$26)*(RASANTE!F252-PERALTE!$Z$26)-2),IF(RASANTE!F252&lt;=PERALTE!$AB$26,-2))))),IF(AND(AH!#REF!="Derecha",RASANTE!F252&lt;=PERALTE!$AB$26),IF(RASANTE!F252&lt;=PERALTE!$Q$26,-2,IF(RASANTE!F252&lt;=PERALTE!$U$26,(10/(PERALTE!$U$26-PERALTE!$Q$26)*(RASANTE!F252-PERALTE!$Q$26)-2),IF(RASANTE!F252&lt;=PERALTE!$X$26,8,IF(RASANTE!F252&lt;=PERALTE!$AB$26,(10/(PERALTE!$X$26-PERALTE!$AB$26)*(RASANTE!F252-PERALTE!$AB$26)-2))))),IF(F252&lt;=PERALTE!#REF!,-2,"Abscisa fuera de la vía")))))))))))))))))))))</f>
        <v>8</v>
      </c>
      <c r="I252" s="28">
        <f>+IF(AND(AH!$H$8="Derecha",RASANTE!F252&lt;=PERALTE!$AB$6),IF(RASANTE!F252&lt;=PERALTE!$S$6,-2,IF(RASANTE!F252&lt;=PERALTE!$U$6,(-6/(PERALTE!$U$6-PERALTE!$S$6)*(RASANTE!F252-PERALTE!$S$6)-2),IF(RASANTE!F252&lt;=PERALTE!$X$6,-8,IF(RASANTE!F252&lt;=PERALTE!$Z$6,(-6/(PERALTE!$X$6-PERALTE!$Z$6)*(RASANTE!F252-PERALTE!$Z$6)-2),IF(RASANTE!F252&lt;=PERALTE!$AB$6,-2))))),IF(AND(AH!$H$8="Izquierda",RASANTE!F252&lt;=PERALTE!$AB$6),IF(RASANTE!F252&lt;=PERALTE!$Q$6,-2,IF(RASANTE!F252&lt;=PERALTE!$U$6,(10/(PERALTE!$U$6-PERALTE!$Q$6)*(RASANTE!F252-PERALTE!$Q$6)-2),IF(RASANTE!F252&lt;=PERALTE!$X$6,8,IF(RASANTE!F252&lt;=PERALTE!$AB$6,(10/(PERALTE!$X$6-PERALTE!$AB$6)*(RASANTE!F252-PERALTE!$AB$6)-2))))),IF(AND(AH!$H$10="Derecha",RASANTE!F252&lt;=PERALTE!$AB$8),IF(RASANTE!F252&lt;=PERALTE!$S$8,-2,IF(RASANTE!F252&lt;=PERALTE!$U$8,(-6/(PERALTE!$U$8-PERALTE!$S$8)*(RASANTE!F252-PERALTE!$S$8)-2),IF(RASANTE!F252&lt;=PERALTE!$X$8,-8,IF(RASANTE!F252&lt;=PERALTE!$Z$8,(-6/(PERALTE!$X$8-PERALTE!$Z$8)*(RASANTE!F252-PERALTE!$Z$8)-2),IF(RASANTE!F252&lt;=PERALTE!$AB$8,-2))))),IF(AND(AH!$H$10="Izquierda",RASANTE!F252&lt;=PERALTE!$AB$8),IF(RASANTE!F252&lt;=PERALTE!$Q$8,-2,IF(RASANTE!F252&lt;=PERALTE!$U$8,(10/(PERALTE!$U$8-PERALTE!$Q$8)*(RASANTE!F252-PERALTE!$Q$8)-2),IF(RASANTE!F252&lt;=PERALTE!$X$8,8,IF(RASANTE!F252&lt;=PERALTE!$AB$8,(10/(PERALTE!$X$8-PERALTE!$AB$8)*(RASANTE!F252-PERALTE!$AB$8)-2))))),IF(AND(AH!$H$12="Derecha",RASANTE!F252&lt;=PERALTE!$AB$10),IF(RASANTE!F252&lt;=PERALTE!$S$10,-2,IF(RASANTE!F252&lt;=PERALTE!$U$10,(-6/(PERALTE!$U$10-PERALTE!$S$10)*(RASANTE!F252-PERALTE!$S$10)-2),IF(RASANTE!F252&lt;=PERALTE!$X$10,-8,IF(RASANTE!F252&lt;=PERALTE!$Z$10,(-6/(PERALTE!$X$10-PERALTE!$Z$10)*(RASANTE!F252-PERALTE!$Z$10)-2),IF(RASANTE!F252&lt;=PERALTE!$AB$10,-2))))),IF(AND(AH!$H$12="Izquierda",RASANTE!F252&lt;=PERALTE!$AB$10),IF(RASANTE!F252&lt;=PERALTE!$Q$10,-2,IF(RASANTE!F252&lt;=PERALTE!$U$10,(10/(PERALTE!$U$10-PERALTE!$Q$10)*(RASANTE!F252-PERALTE!$Q$10)-2),IF(RASANTE!F252&lt;=PERALTE!$X$10,8,IF(RASANTE!F252&lt;=PERALTE!$AB$10,(10/(PERALTE!$X$10-PERALTE!$AB$10)*(RASANTE!F252-PERALTE!$AB$10)-2))))),IF(AND(AH!$H$14="Derecha",RASANTE!F252&lt;=PERALTE!$AB$12),IF(RASANTE!F252&lt;=PERALTE!$S$12,-2,IF(RASANTE!F252&lt;=PERALTE!$U$12,(-6/(PERALTE!$U$12-PERALTE!$S$12)*(RASANTE!F252-PERALTE!$S$12)-2),IF(RASANTE!F252&lt;=PERALTE!$X$12,-8,IF(RASANTE!F252&lt;=PERALTE!$Z$12,(-6/(PERALTE!$X$12-PERALTE!$Z$12)*(RASANTE!F252-PERALTE!$Z$12)-2),IF(RASANTE!F252&lt;=PERALTE!$AB$12,-2))))),IF(AND(AH!$H$14="Izquierda",RASANTE!F252&lt;=PERALTE!$AB$12),IF(RASANTE!F252&lt;=PERALTE!$Q$12,-2,IF(RASANTE!F252&lt;=PERALTE!$U$12,(10/(PERALTE!$U$12-PERALTE!$Q$12)*(RASANTE!F252-PERALTE!$Q$12)-2),IF(RASANTE!F252&lt;=PERALTE!$X$12,8,IF(RASANTE!F252&lt;=PERALTE!$AB$12,(10/(PERALTE!$X$12-PERALTE!$AB$12)*(RASANTE!F252-PERALTE!$AB$12)-2))))),IF(AND(AH!$H$16="Derecha",RASANTE!F252&lt;=PERALTE!$AB$14),IF(RASANTE!F252&lt;=PERALTE!$S$14,-2,IF(RASANTE!F252&lt;=PERALTE!$U$14,(-6/(PERALTE!$U$14-PERALTE!$S$14)*(RASANTE!F252-PERALTE!$S$14)-2),IF(RASANTE!F252&lt;=PERALTE!$X$14,-8,IF(RASANTE!F252&lt;=PERALTE!$Z$14,(-6/(PERALTE!$X$14-PERALTE!$Z$14)*(RASANTE!F252-PERALTE!$Z$14)-2),IF(RASANTE!F252&lt;=PERALTE!$AB$14,-2))))),IF(AND(AH!$H$16="Izquierda",RASANTE!F252&lt;=PERALTE!$AB$14),IF(RASANTE!F252&lt;=PERALTE!$Q$14,-2,IF(RASANTE!F252&lt;=PERALTE!$U$14,(10/(PERALTE!$U$14-PERALTE!$Q$14)*(RASANTE!F252-PERALTE!$Q$14)-2),IF(RASANTE!F252&lt;=PERALTE!$X$14,8,IF(RASANTE!F252&lt;=PERALTE!$AB$14,(10/(PERALTE!$X$14-PERALTE!$AB$14)*(RASANTE!F252-PERALTE!$AB$14)-2))))),IF(AND(AH!$H$18="Derecha",RASANTE!F252&lt;=PERALTE!$AB$16),IF(RASANTE!F252&lt;=PERALTE!$S$16,-2,IF(RASANTE!F252&lt;=PERALTE!$U$16,(-6/(PERALTE!$U$16-PERALTE!$S$16)*(RASANTE!F252-PERALTE!$S$16)-2),IF(RASANTE!F252&lt;=PERALTE!$X$16,-8,IF(RASANTE!F252&lt;=PERALTE!$Z$16,(-6/(PERALTE!$X$16-PERALTE!$Z$16)*(RASANTE!F252-PERALTE!$Z$16)-2),IF(RASANTE!F252&lt;=PERALTE!$AB$16,-2))))),IF(AND(AH!$H$18="Izquierda",RASANTE!F252&lt;=PERALTE!$AB$16),IF(RASANTE!F252&lt;=PERALTE!$Q$16,-2,IF(RASANTE!F252&lt;=PERALTE!$U$16,(10/(PERALTE!$U$16-PERALTE!$Q$16)*(RASANTE!F252-PERALTE!$Q$16)-2),IF(RASANTE!F252&lt;=PERALTE!$X$16,8,IF(RASANTE!F252&lt;=PERALTE!$AB$16,(10/(PERALTE!$X$16-PERALTE!$AB$16)*(RASANTE!F252-PERALTE!$AB$16)-2))))),IF(AND(AH!$H$20="Derecha",RASANTE!F252&lt;=PERALTE!$AB$18),IF(RASANTE!F252&lt;=PERALTE!$S$18,-2,IF(RASANTE!F252&lt;=PERALTE!$U$18,(-6/(PERALTE!$U$18-PERALTE!$S$18)*(RASANTE!F252-PERALTE!$S$18)-2),IF(RASANTE!F252&lt;=PERALTE!$X$18,-8,IF(RASANTE!F252&lt;=PERALTE!$Z$18,(-6/(PERALTE!$X$18-PERALTE!$Z$18)*(RASANTE!F252-PERALTE!$Z$18)-2),IF(RASANTE!F252&lt;=PERALTE!$AB$18,-2))))),IF(AND(AH!$H$20="Izquierda",RASANTE!F252&lt;=PERALTE!$AB$18),IF(RASANTE!F252&lt;=PERALTE!$Q$18,-2,IF(RASANTE!F252&lt;=PERALTE!$U$18,(10/(PERALTE!$U$18-PERALTE!$Q$18)*(RASANTE!F252-PERALTE!$Q$18)-2),IF(RASANTE!F252&lt;=PERALTE!$X$18,8,IF(RASANTE!F252&lt;=PERALTE!$AB$18,(10/(PERALTE!$X$18-PERALTE!$AB$18)*(RASANTE!F252-PERALTE!$AB$18)-2))))),IF(AND(AH!$H$24="Derecha",RASANTE!F252&lt;=PERALTE!$AB$22),IF(RASANTE!F252&lt;=PERALTE!$S$22,-2,IF(RASANTE!F252&lt;=PERALTE!$U$22,(-6/(PERALTE!$U$22-PERALTE!$S$22)*(RASANTE!F252-PERALTE!$S$22)-2),IF(RASANTE!F252&lt;=PERALTE!$X$22,-8,IF(RASANTE!F252&lt;=PERALTE!$Z$22,(-6/(PERALTE!$X$22-PERALTE!$Z$22)*(RASANTE!F252-PERALTE!$Z$22)-2),IF(RASANTE!F252&lt;=PERALTE!$AB$22,-2))))),IF(AND(AH!$H$24="Izquierda",RASANTE!F252&lt;=PERALTE!$AB$22),IF(RASANTE!F252&lt;=PERALTE!$Q$22,-2,IF(RASANTE!F252&lt;=PERALTE!$U$22,(10/(PERALTE!$U$22-PERALTE!$Q$22)*(RASANTE!F252-PERALTE!$Q$22)-2),IF(RASANTE!F252&lt;=PERALTE!$X$22,8,IF(RASANTE!F252&lt;=PERALTE!$AB$22,(10/(PERALTE!$X$22-PERALTE!$AB$22)*(RASANTE!F252-PERALTE!$AB$22)-2))))),IF(AND(AH!#REF!="Derecha",RASANTE!F252&lt;=PERALTE!#REF!),IF(RASANTE!F252&lt;=PERALTE!#REF!,-2,IF(RASANTE!F252&lt;=PERALTE!#REF!,(-6/(PERALTE!#REF!-PERALTE!#REF!)*(RASANTE!F252-PERALTE!#REF!)-2),IF(RASANTE!F252&lt;=PERALTE!#REF!,-8,IF(RASANTE!F252&lt;=PERALTE!#REF!,(-6/(PERALTE!#REF!-PERALTE!#REF!)*(RASANTE!F252-PERALTE!#REF!)-2),IF(RASANTE!F252&lt;=PERALTE!#REF!,-2))))),IF(AND(AH!#REF!="Izquierda",RASANTE!F252&lt;=PERALTE!#REF!),IF(RASANTE!F252&lt;=PERALTE!#REF!,-2,IF(RASANTE!F252&lt;=PERALTE!#REF!,(10/(PERALTE!#REF!-PERALTE!#REF!)*(RASANTE!F252-PERALTE!#REF!)-2),IF(RASANTE!F252&lt;=PERALTE!#REF!,8,IF(RASANTE!F252&lt;=PERALTE!#REF!,(10/(PERALTE!#REF!-PERALTE!#REF!)*(RASANTE!F252-PERALTE!#REF!)-2))))),IF(AND(AH!#REF!="Derecha",RASANTE!F252&lt;=PERALTE!$AB$26),IF(RASANTE!F252&lt;=PERALTE!$S$26,-2,IF(RASANTE!F252&lt;=PERALTE!$U$26,(-6/(PERALTE!$U$26-PERALTE!$S$26)*(RASANTE!F252-PERALTE!$S$26)-2),IF(RASANTE!F252&lt;=PERALTE!$X$26,-8,IF(RASANTE!F252&lt;=PERALTE!$Z$26,(-6/(PERALTE!$X$26-PERALTE!$Z$26)*(RASANTE!F252-PERALTE!$Z$26)-2),IF(RASANTE!F252&lt;=PERALTE!$AB$26,-2))))),IF(AND(AH!#REF!="Izquierda",RASANTE!F252&lt;=PERALTE!$AB$26),IF(RASANTE!F252&lt;=PERALTE!$Q$26,-2,IF(RASANTE!F252&lt;=PERALTE!$U$26,(10/(PERALTE!$U$26-PERALTE!$Q$26)*(RASANTE!F252-PERALTE!$Q$26)-2),IF(RASANTE!F252&lt;=PERALTE!$X$26,8,IF(RASANTE!F252&lt;=PERALTE!$AB$26,(10/(PERALTE!$X$26-PERALTE!$AB$26)*(RASANTE!F252-PERALTE!$AB$26)-2))))),IF(F252&lt;=PERALTE!#REF!,-2,"Abscisa fuera de la vía")))))))))))))))))))))</f>
        <v>-8</v>
      </c>
      <c r="J252" s="28">
        <f t="shared" si="11"/>
        <v>1634.1929284648982</v>
      </c>
      <c r="K252" s="28">
        <f>+IF(AND(AV!$S$6&lt;F252,F252&lt;=AV!$T$6),AV!$P$6*((AV!$S$6-RASANTE!F252)/(AV!$N$6))^2,IF(AND(AV!$T$6&lt;RASANTE!F252,F252&lt;AV!$U$6),AV!$P$6*((AV!$U$6-RASANTE!F252)/(AV!$O$6))^2,IF(AND(AV!$S$8&lt;F252,F252&lt;=AV!$T$8),AV!$P$8*((AV!$S$8-RASANTE!F252)/(AV!$N$8))^2,IF(AND(AV!$T$8&lt;RASANTE!F252,F252&lt;AV!$U$8),AV!$P$8*((AV!$U$8-RASANTE!F252)/(AV!$O$8))^2,IF(AND(AV!$S$10&lt;F252,F252&lt;=AV!$T$10),AV!$P$10*((AV!$S$10-RASANTE!F252)/(AV!$N$10))^2,IF(AND(AV!$T$10&lt;RASANTE!F252,F252&lt;AV!$U$10),AV!$P$10*((AV!$U$10-RASANTE!F252)/(AV!$O$10))^2,IF(AND(AV!$S$12&lt;F252,F252&lt;=AV!$T$12),AV!$P$12*((AV!$S$12-RASANTE!F252)/(AV!$N$12))^2,IF(AND(AV!$T$12&lt;RASANTE!F252,F252&lt;AV!$U$12),AV!$P$12*((AV!$U$12-RASANTE!F252)/(AV!$O$12))^2,IF(AND(AV!$S$14&lt;F252,F252&lt;=AV!$T$14),AV!$P$14*((AV!$S$14-RASANTE!F252)/(AV!$N$14))^2,IF(AND(AV!$T$14&lt;RASANTE!F252,F252&lt;AV!$U$14),AV!$P$14*((AV!$U$14-RASANTE!F252)/(AV!$O$14))^2,IF(AND(AV!$S$16&lt;F252,F252&lt;=AV!$T$16),AV!$P$16*((AV!$S$16-RASANTE!F252)/(AV!$N$16))^2,IF(AND(AV!$T$16&lt;RASANTE!F252,F252&lt;AV!$U$16),AV!$P$16*((AV!$U$16-RASANTE!F252)/(AV!$O$16))^2,IF(AND(AV!$S$18&lt;F252,F252&lt;=AV!$T$18),AV!$P$18*((AV!$S$18-RASANTE!F252)/(AV!$N$18))^2,IF(AND(AV!$T$18&lt;RASANTE!F252,F252&lt;AV!$U$18),AV!$P$18*((AV!$U$18-RASANTE!F252)/(AV!$O$18))^2,IF(AND(AV!$S$20&lt;F252,F252&lt;=AV!$T$20),AV!$P$20*((AV!$S$20-RASANTE!F252)/(AV!$N$20))^2,IF(AND(AV!$T$20&lt;RASANTE!F252,F252&lt;AV!$U$20),AV!$P$20*((AV!$U$20-RASANTE!F252)/(AV!$O$20))^2,IF(AND(AV!$S$22&lt;F252,F252&lt;=AV!$T$22),AV!$P$22*((AV!$S$22-RASANTE!F252)/(AV!$N$22))^2,IF(AND(AV!$T$22&lt;RASANTE!F252,F252&lt;AV!$U$22),AV!$P$22*((AV!$U$22-RASANTE!F252)/(AV!$O$22))^2,IF(AND(AV!$S$24&lt;F252,F252&lt;=AV!$T$24),AV!$P$24*((AV!$S$24-RASANTE!F252)/(AV!$N$24))^2,IF(AND(AV!$T$24&lt;RASANTE!F252,F252&lt;AV!$U$24),AV!$P$24*((AV!$U$24-RASANTE!F252)/(AV!$O$24))^2,0))))))))))))))))))))</f>
        <v>3.4322544858999965E-2</v>
      </c>
      <c r="L252" s="28">
        <f>+M252+H252%*PERALTE!$C$32</f>
        <v>1634.5072510097571</v>
      </c>
      <c r="M252" s="28">
        <f t="shared" si="12"/>
        <v>1634.2272510097571</v>
      </c>
      <c r="N252" s="28">
        <f>+M252+I252%*PERALTE!$C$32</f>
        <v>1633.9472510097571</v>
      </c>
      <c r="O252" s="92"/>
      <c r="P252" s="84"/>
      <c r="Q252" s="84"/>
      <c r="R252" s="84"/>
      <c r="S252" s="84"/>
      <c r="T252" s="84"/>
      <c r="U252" s="84"/>
      <c r="V252" s="84"/>
      <c r="W252" s="84"/>
      <c r="X252" s="84"/>
      <c r="Y252" s="84"/>
    </row>
    <row r="253" spans="1:25" ht="15.75" customHeight="1" x14ac:dyDescent="0.2">
      <c r="A253" s="111" t="s">
        <v>373</v>
      </c>
      <c r="B253" s="189">
        <f>AH!U20</f>
        <v>5.4112355102249232</v>
      </c>
      <c r="C253" s="190">
        <f>PERALTE!N18</f>
        <v>36.36363636363636</v>
      </c>
      <c r="D253" s="202"/>
      <c r="E253" s="151">
        <f>AV!O16</f>
        <v>20</v>
      </c>
      <c r="F253" s="34">
        <f>PERALTE!X18</f>
        <v>1530.1335179056152</v>
      </c>
      <c r="G253" s="88">
        <f>IF(F253&lt;=AV!$T$6,AV!$C$5,IF(RASANTE!F253&lt;=AV!$T$8,AV!$C$7,IF(RASANTE!F253&lt;=AV!$T$10,AV!$C$9,IF(RASANTE!F253&lt;=AV!$T$12,AV!$C$11,IF(RASANTE!F253&lt;=AV!$T$14,AV!$C$13,IF(RASANTE!F253&lt;=AV!$T$16,AV!$C$15, IF(RASANTE!F253&lt;=AV!$T$18,AV!$C$17,IF(RASANTE!F253&lt;=AV!$T$20,AV!$C$19,IF(RASANTE!F253&lt;=AV!$T$22,AV!$C$21,IF(RASANTE!F253&lt;=AV!$T$24,AV!$C$23,AV!$C$25))))))))))</f>
        <v>2.8</v>
      </c>
      <c r="H253" s="28">
        <f>+IF(AND(AH!$H$8="Izquierda",RASANTE!F253&lt;=PERALTE!$AB$6),IF(RASANTE!F253&lt;=PERALTE!$S$6,-2,IF(RASANTE!F253&lt;=PERALTE!$U$6,(-6/(PERALTE!$U$6-PERALTE!$S$6)*(RASANTE!F253-PERALTE!$S$6)-2),IF(RASANTE!F253&lt;=PERALTE!$X$6,-8,IF(RASANTE!F253&lt;=PERALTE!$Z$6,(-6/(PERALTE!$X$6-PERALTE!$Z$6)*(RASANTE!F253-PERALTE!$Z$6)-2),IF(RASANTE!F253&lt;=PERALTE!$AB$6,-2))))),IF(AND(AH!$H$8="Derecha",RASANTE!F253&lt;=PERALTE!$AB$6),IF(RASANTE!F253&lt;=PERALTE!$Q$6,-2,IF(RASANTE!F253&lt;=PERALTE!$U$6,(10/(PERALTE!$U$6-PERALTE!$Q$6)*(RASANTE!F253-PERALTE!$Q$6)-2),IF(RASANTE!F253&lt;=PERALTE!$X$6,8,IF(RASANTE!F253&lt;=PERALTE!$AB$6,(10/(PERALTE!$X$6-PERALTE!$AB$6)*(RASANTE!F253-PERALTE!$AB$6)-2))))),IF(AND(AH!$H$10="Izquierda",RASANTE!F253&lt;=PERALTE!$AB$8),IF(RASANTE!F253&lt;=PERALTE!$S$8,-2,IF(RASANTE!F253&lt;=PERALTE!$U$8,(-6/(PERALTE!$U$8-PERALTE!$S$8)*(RASANTE!F253-PERALTE!$S$8)-2),IF(RASANTE!F253&lt;=PERALTE!$X$8,-8,IF(RASANTE!F253&lt;=PERALTE!$Z$8,(-6/(PERALTE!$X$8-PERALTE!$Z$8)*(RASANTE!F253-PERALTE!$Z$8)-2),IF(RASANTE!F253&lt;=PERALTE!$AB$8,-2))))),IF(AND(AH!$H$10="Derecha",RASANTE!F253&lt;=PERALTE!$AB$8),IF(RASANTE!F253&lt;=PERALTE!$Q$8,-2,IF(RASANTE!F253&lt;=PERALTE!$U$8,(10/(PERALTE!$U$8-PERALTE!$Q$8)*(RASANTE!F253-PERALTE!$Q$8)-2),IF(RASANTE!F253&lt;=PERALTE!$X$8,8,IF(RASANTE!F253&lt;=PERALTE!$AB$8,(10/(PERALTE!$X$8-PERALTE!$AB$8)*(RASANTE!F253-PERALTE!$AB$8)-2))))),IF(AND(AH!$H$12="Izquierda",RASANTE!F253&lt;=PERALTE!$AB$10),IF(RASANTE!F253&lt;=PERALTE!$S$10,-2,IF(RASANTE!F253&lt;=PERALTE!$U$10,(-6/(PERALTE!$U$10-PERALTE!$S$10)*(RASANTE!F253-PERALTE!$S$10)-2),IF(RASANTE!F253&lt;=PERALTE!$X$10,-8,IF(RASANTE!F253&lt;=PERALTE!$Z$10,(-6/(PERALTE!$X$10-PERALTE!$Z$10)*(RASANTE!F253-PERALTE!$Z$10)-2),IF(RASANTE!F253&lt;=PERALTE!$AB$10,-2))))),IF(AND(AH!$H$12="Derecha",RASANTE!F253&lt;=PERALTE!$AB$10),IF(RASANTE!F253&lt;=PERALTE!$Q$10,-2,IF(RASANTE!F253&lt;=PERALTE!$U$10,(10/(PERALTE!$U$10-PERALTE!$Q$10)*(RASANTE!F253-PERALTE!$Q$10)-2),IF(RASANTE!F253&lt;=PERALTE!$X$10,8,IF(RASANTE!F253&lt;=PERALTE!$AB$10,(10/(PERALTE!$X$10-PERALTE!$AB$10)*(RASANTE!F253-PERALTE!$AB$10)-2))))),IF(AND(AH!$H$14="Izquierda",RASANTE!F253&lt;=PERALTE!$AB$12),IF(RASANTE!F253&lt;=PERALTE!$S$12,-2,IF(RASANTE!F253&lt;=PERALTE!$U$12,(-6/(PERALTE!$U$12-PERALTE!$S$12)*(RASANTE!F253-PERALTE!$S$12)-2),IF(RASANTE!F253&lt;=PERALTE!$X$12,-8,IF(RASANTE!F253&lt;=PERALTE!$Z$12,(-6/(PERALTE!$X$12-PERALTE!$Z$12)*(RASANTE!F253-PERALTE!$Z$12)-2),IF(RASANTE!F253&lt;=PERALTE!$AB$12,-2))))),IF(AND(AH!$H$14="Derecha",RASANTE!F253&lt;=PERALTE!$AB$12),IF(RASANTE!F253&lt;=PERALTE!$Q$12,-2,IF(RASANTE!F253&lt;=PERALTE!$U$12,(10/(PERALTE!$U$12-PERALTE!$Q$12)*(RASANTE!F253-PERALTE!$Q$12)-2),IF(RASANTE!F253&lt;=PERALTE!$X$12,8,IF(RASANTE!F253&lt;=PERALTE!$AB$12,(10/(PERALTE!$X$12-PERALTE!$AB$12)*(RASANTE!F253-PERALTE!$AB$12)-2))))),IF(AND(AH!$H$16="Izquierda",RASANTE!F253&lt;=PERALTE!$AB$14),IF(RASANTE!F253&lt;=PERALTE!$S$14,-2,IF(RASANTE!F253&lt;=PERALTE!$U$14,(-6/(PERALTE!$U$14-PERALTE!$S$14)*(RASANTE!F253-PERALTE!$S$14)-2),IF(RASANTE!F253&lt;=PERALTE!$X$14,-8,IF(RASANTE!F253&lt;=PERALTE!$Z$14,(-6/(PERALTE!$X$14-PERALTE!$Z$14)*(RASANTE!F253-PERALTE!$Z$14)-2),IF(RASANTE!F253&lt;=PERALTE!$AB$14,-2))))),IF(AND(AH!$H$16="Derecha",RASANTE!F253&lt;=PERALTE!$AB$14),IF(RASANTE!F253&lt;=PERALTE!$Q$14,-2,IF(RASANTE!F253&lt;=PERALTE!$U$14,(10/(PERALTE!$U$14-PERALTE!$Q$14)*(RASANTE!F253-PERALTE!$Q$14)-2),IF(RASANTE!F253&lt;=PERALTE!$X$14,8,IF(RASANTE!F253&lt;=PERALTE!$AB$14,(10/(PERALTE!$X$14-PERALTE!$AB$14)*(RASANTE!F253-PERALTE!$AB$14)-2))))),IF(AND(AH!$H$18="Izquierda",RASANTE!F253&lt;=PERALTE!$AB$16),IF(RASANTE!F253&lt;=PERALTE!$S$16,-2,IF(RASANTE!F253&lt;=PERALTE!$U$16,(-6/(PERALTE!$U$16-PERALTE!$S$16)*(RASANTE!F253-PERALTE!$S$16)-2),IF(RASANTE!F253&lt;=PERALTE!$X$16,-8,IF(RASANTE!F253&lt;=PERALTE!$Z$16,(-6/(PERALTE!$X$16-PERALTE!$Z$16)*(RASANTE!F253-PERALTE!$Z$16)-2),IF(RASANTE!F253&lt;=PERALTE!$AB$16,-2))))),IF(AND(AH!$H$18="Derecha",RASANTE!F253&lt;=PERALTE!$AB$16),IF(RASANTE!F253&lt;=PERALTE!$Q$16,-2,IF(RASANTE!F253&lt;=PERALTE!$U$16,(10/(PERALTE!$U$16-PERALTE!$Q$16)*(RASANTE!F253-PERALTE!$Q$16)-2),IF(RASANTE!F253&lt;=PERALTE!$X$16,8,IF(RASANTE!F253&lt;=PERALTE!$AB$16,(10/(PERALTE!$X$16-PERALTE!$AB$16)*(RASANTE!F253-PERALTE!$AB$16)-2))))),IF(AND(AH!$H$20="Izquierda",RASANTE!F253&lt;=PERALTE!$AB$18),IF(RASANTE!F253&lt;=PERALTE!$S$18,-2,IF(RASANTE!F253&lt;=PERALTE!$U$18,(-6/(PERALTE!$U$18-PERALTE!$S$18)*(RASANTE!F253-PERALTE!$S$18)-2),IF(RASANTE!F253&lt;=PERALTE!$X$18,-8,IF(RASANTE!F253&lt;=PERALTE!$Z$18,(-6/(PERALTE!$X$18-PERALTE!$Z$18)*(RASANTE!F253-PERALTE!$Z$18)-2),IF(RASANTE!F253&lt;=PERALTE!$AB$18,-2))))),IF(AND(AH!$H$20="Derecha",RASANTE!F253&lt;=PERALTE!$AB$18),IF(RASANTE!F253&lt;=PERALTE!$Q$18,-2,IF(RASANTE!F253&lt;=PERALTE!$U$18,(10/(PERALTE!$U$18-PERALTE!$Q$18)*(RASANTE!F253-PERALTE!$Q$18)-2),IF(RASANTE!F253&lt;=PERALTE!$X$18,8,IF(RASANTE!F253&lt;=PERALTE!$AB$18,(10/(PERALTE!$X$18-PERALTE!$AB$18)*(RASANTE!F253-PERALTE!$AB$18)-2))))),IF(AND(AH!$H$24="Izquierda",RASANTE!F253&lt;=PERALTE!$AB$22),IF(RASANTE!F253&lt;=PERALTE!$S$22,-2,IF(RASANTE!F253&lt;=PERALTE!$U$22,(-6/(PERALTE!$U$22-PERALTE!$S$22)*(RASANTE!F253-PERALTE!$S$22)-2),IF(RASANTE!F253&lt;=PERALTE!$X$22,-8,IF(RASANTE!F253&lt;=PERALTE!$Z$22,(-6/(PERALTE!$X$22-PERALTE!$Z$22)*(RASANTE!F253-PERALTE!$Z$22)-2),IF(RASANTE!F253&lt;=PERALTE!$AB$22,-2))))),IF(AND(AH!$H$24="Derecha",RASANTE!F253&lt;=PERALTE!$AB$22),IF(RASANTE!F253&lt;=PERALTE!$Q$22,-2,IF(RASANTE!F253&lt;=PERALTE!$U$22,(10/(PERALTE!$U$22-PERALTE!$Q$22)*(RASANTE!F253-PERALTE!$Q$22)-2),IF(RASANTE!F253&lt;=PERALTE!$X$22,8,IF(RASANTE!F253&lt;=PERALTE!$AB$22,(10/(PERALTE!$X$22-PERALTE!$AB$22)*(RASANTE!F253-PERALTE!$AB$22)-2))))),IF(AND(AH!#REF!="Izquierda",RASANTE!F253&lt;=PERALTE!#REF!),IF(RASANTE!F253&lt;=PERALTE!#REF!,-2,IF(RASANTE!F253&lt;=PERALTE!#REF!,(-6/(PERALTE!#REF!-PERALTE!#REF!)*(RASANTE!F253-PERALTE!#REF!)-2),IF(RASANTE!F253&lt;=PERALTE!#REF!,-8,IF(RASANTE!F253&lt;=PERALTE!#REF!,(-6/(PERALTE!#REF!-PERALTE!#REF!)*(RASANTE!F253-PERALTE!#REF!)-2),IF(RASANTE!F253&lt;=PERALTE!#REF!,-2))))),IF(AND(AH!#REF!="Derecha",RASANTE!F253&lt;=PERALTE!#REF!),IF(RASANTE!F253&lt;=PERALTE!#REF!,-2,IF(RASANTE!F253&lt;=PERALTE!#REF!,(10/(PERALTE!#REF!-PERALTE!#REF!)*(RASANTE!F253-PERALTE!#REF!)-2),IF(RASANTE!F253&lt;=PERALTE!#REF!,8,IF(RASANTE!F253&lt;=PERALTE!#REF!,(10/(PERALTE!#REF!-PERALTE!#REF!)*(RASANTE!F253-PERALTE!#REF!)-2))))),IF(AND(AH!#REF!="Izquierda",RASANTE!F253&lt;=PERALTE!$AB$26),IF(RASANTE!F253&lt;=PERALTE!$S$26,-2,IF(RASANTE!F253&lt;=PERALTE!$U$26,(-6/(PERALTE!$U$26-PERALTE!$S$26)*(RASANTE!F253-PERALTE!$S$26)-2),IF(RASANTE!F253&lt;=PERALTE!$X$26,-8,IF(RASANTE!F253&lt;=PERALTE!$Z$26,(-6/(PERALTE!$X$26-PERALTE!$Z$26)*(RASANTE!F253-PERALTE!$Z$26)-2),IF(RASANTE!F253&lt;=PERALTE!$AB$26,-2))))),IF(AND(AH!#REF!="Derecha",RASANTE!F253&lt;=PERALTE!$AB$26),IF(RASANTE!F253&lt;=PERALTE!$Q$26,-2,IF(RASANTE!F253&lt;=PERALTE!$U$26,(10/(PERALTE!$U$26-PERALTE!$Q$26)*(RASANTE!F253-PERALTE!$Q$26)-2),IF(RASANTE!F253&lt;=PERALTE!$X$26,8,IF(RASANTE!F253&lt;=PERALTE!$AB$26,(10/(PERALTE!$X$26-PERALTE!$AB$26)*(RASANTE!F253-PERALTE!$AB$26)-2))))),IF(F253&lt;=PERALTE!#REF!,-2,"Abscisa fuera de la vía")))))))))))))))))))))</f>
        <v>8</v>
      </c>
      <c r="I253" s="28">
        <f>+IF(AND(AH!$H$8="Derecha",RASANTE!F253&lt;=PERALTE!$AB$6),IF(RASANTE!F253&lt;=PERALTE!$S$6,-2,IF(RASANTE!F253&lt;=PERALTE!$U$6,(-6/(PERALTE!$U$6-PERALTE!$S$6)*(RASANTE!F253-PERALTE!$S$6)-2),IF(RASANTE!F253&lt;=PERALTE!$X$6,-8,IF(RASANTE!F253&lt;=PERALTE!$Z$6,(-6/(PERALTE!$X$6-PERALTE!$Z$6)*(RASANTE!F253-PERALTE!$Z$6)-2),IF(RASANTE!F253&lt;=PERALTE!$AB$6,-2))))),IF(AND(AH!$H$8="Izquierda",RASANTE!F253&lt;=PERALTE!$AB$6),IF(RASANTE!F253&lt;=PERALTE!$Q$6,-2,IF(RASANTE!F253&lt;=PERALTE!$U$6,(10/(PERALTE!$U$6-PERALTE!$Q$6)*(RASANTE!F253-PERALTE!$Q$6)-2),IF(RASANTE!F253&lt;=PERALTE!$X$6,8,IF(RASANTE!F253&lt;=PERALTE!$AB$6,(10/(PERALTE!$X$6-PERALTE!$AB$6)*(RASANTE!F253-PERALTE!$AB$6)-2))))),IF(AND(AH!$H$10="Derecha",RASANTE!F253&lt;=PERALTE!$AB$8),IF(RASANTE!F253&lt;=PERALTE!$S$8,-2,IF(RASANTE!F253&lt;=PERALTE!$U$8,(-6/(PERALTE!$U$8-PERALTE!$S$8)*(RASANTE!F253-PERALTE!$S$8)-2),IF(RASANTE!F253&lt;=PERALTE!$X$8,-8,IF(RASANTE!F253&lt;=PERALTE!$Z$8,(-6/(PERALTE!$X$8-PERALTE!$Z$8)*(RASANTE!F253-PERALTE!$Z$8)-2),IF(RASANTE!F253&lt;=PERALTE!$AB$8,-2))))),IF(AND(AH!$H$10="Izquierda",RASANTE!F253&lt;=PERALTE!$AB$8),IF(RASANTE!F253&lt;=PERALTE!$Q$8,-2,IF(RASANTE!F253&lt;=PERALTE!$U$8,(10/(PERALTE!$U$8-PERALTE!$Q$8)*(RASANTE!F253-PERALTE!$Q$8)-2),IF(RASANTE!F253&lt;=PERALTE!$X$8,8,IF(RASANTE!F253&lt;=PERALTE!$AB$8,(10/(PERALTE!$X$8-PERALTE!$AB$8)*(RASANTE!F253-PERALTE!$AB$8)-2))))),IF(AND(AH!$H$12="Derecha",RASANTE!F253&lt;=PERALTE!$AB$10),IF(RASANTE!F253&lt;=PERALTE!$S$10,-2,IF(RASANTE!F253&lt;=PERALTE!$U$10,(-6/(PERALTE!$U$10-PERALTE!$S$10)*(RASANTE!F253-PERALTE!$S$10)-2),IF(RASANTE!F253&lt;=PERALTE!$X$10,-8,IF(RASANTE!F253&lt;=PERALTE!$Z$10,(-6/(PERALTE!$X$10-PERALTE!$Z$10)*(RASANTE!F253-PERALTE!$Z$10)-2),IF(RASANTE!F253&lt;=PERALTE!$AB$10,-2))))),IF(AND(AH!$H$12="Izquierda",RASANTE!F253&lt;=PERALTE!$AB$10),IF(RASANTE!F253&lt;=PERALTE!$Q$10,-2,IF(RASANTE!F253&lt;=PERALTE!$U$10,(10/(PERALTE!$U$10-PERALTE!$Q$10)*(RASANTE!F253-PERALTE!$Q$10)-2),IF(RASANTE!F253&lt;=PERALTE!$X$10,8,IF(RASANTE!F253&lt;=PERALTE!$AB$10,(10/(PERALTE!$X$10-PERALTE!$AB$10)*(RASANTE!F253-PERALTE!$AB$10)-2))))),IF(AND(AH!$H$14="Derecha",RASANTE!F253&lt;=PERALTE!$AB$12),IF(RASANTE!F253&lt;=PERALTE!$S$12,-2,IF(RASANTE!F253&lt;=PERALTE!$U$12,(-6/(PERALTE!$U$12-PERALTE!$S$12)*(RASANTE!F253-PERALTE!$S$12)-2),IF(RASANTE!F253&lt;=PERALTE!$X$12,-8,IF(RASANTE!F253&lt;=PERALTE!$Z$12,(-6/(PERALTE!$X$12-PERALTE!$Z$12)*(RASANTE!F253-PERALTE!$Z$12)-2),IF(RASANTE!F253&lt;=PERALTE!$AB$12,-2))))),IF(AND(AH!$H$14="Izquierda",RASANTE!F253&lt;=PERALTE!$AB$12),IF(RASANTE!F253&lt;=PERALTE!$Q$12,-2,IF(RASANTE!F253&lt;=PERALTE!$U$12,(10/(PERALTE!$U$12-PERALTE!$Q$12)*(RASANTE!F253-PERALTE!$Q$12)-2),IF(RASANTE!F253&lt;=PERALTE!$X$12,8,IF(RASANTE!F253&lt;=PERALTE!$AB$12,(10/(PERALTE!$X$12-PERALTE!$AB$12)*(RASANTE!F253-PERALTE!$AB$12)-2))))),IF(AND(AH!$H$16="Derecha",RASANTE!F253&lt;=PERALTE!$AB$14),IF(RASANTE!F253&lt;=PERALTE!$S$14,-2,IF(RASANTE!F253&lt;=PERALTE!$U$14,(-6/(PERALTE!$U$14-PERALTE!$S$14)*(RASANTE!F253-PERALTE!$S$14)-2),IF(RASANTE!F253&lt;=PERALTE!$X$14,-8,IF(RASANTE!F253&lt;=PERALTE!$Z$14,(-6/(PERALTE!$X$14-PERALTE!$Z$14)*(RASANTE!F253-PERALTE!$Z$14)-2),IF(RASANTE!F253&lt;=PERALTE!$AB$14,-2))))),IF(AND(AH!$H$16="Izquierda",RASANTE!F253&lt;=PERALTE!$AB$14),IF(RASANTE!F253&lt;=PERALTE!$Q$14,-2,IF(RASANTE!F253&lt;=PERALTE!$U$14,(10/(PERALTE!$U$14-PERALTE!$Q$14)*(RASANTE!F253-PERALTE!$Q$14)-2),IF(RASANTE!F253&lt;=PERALTE!$X$14,8,IF(RASANTE!F253&lt;=PERALTE!$AB$14,(10/(PERALTE!$X$14-PERALTE!$AB$14)*(RASANTE!F253-PERALTE!$AB$14)-2))))),IF(AND(AH!$H$18="Derecha",RASANTE!F253&lt;=PERALTE!$AB$16),IF(RASANTE!F253&lt;=PERALTE!$S$16,-2,IF(RASANTE!F253&lt;=PERALTE!$U$16,(-6/(PERALTE!$U$16-PERALTE!$S$16)*(RASANTE!F253-PERALTE!$S$16)-2),IF(RASANTE!F253&lt;=PERALTE!$X$16,-8,IF(RASANTE!F253&lt;=PERALTE!$Z$16,(-6/(PERALTE!$X$16-PERALTE!$Z$16)*(RASANTE!F253-PERALTE!$Z$16)-2),IF(RASANTE!F253&lt;=PERALTE!$AB$16,-2))))),IF(AND(AH!$H$18="Izquierda",RASANTE!F253&lt;=PERALTE!$AB$16),IF(RASANTE!F253&lt;=PERALTE!$Q$16,-2,IF(RASANTE!F253&lt;=PERALTE!$U$16,(10/(PERALTE!$U$16-PERALTE!$Q$16)*(RASANTE!F253-PERALTE!$Q$16)-2),IF(RASANTE!F253&lt;=PERALTE!$X$16,8,IF(RASANTE!F253&lt;=PERALTE!$AB$16,(10/(PERALTE!$X$16-PERALTE!$AB$16)*(RASANTE!F253-PERALTE!$AB$16)-2))))),IF(AND(AH!$H$20="Derecha",RASANTE!F253&lt;=PERALTE!$AB$18),IF(RASANTE!F253&lt;=PERALTE!$S$18,-2,IF(RASANTE!F253&lt;=PERALTE!$U$18,(-6/(PERALTE!$U$18-PERALTE!$S$18)*(RASANTE!F253-PERALTE!$S$18)-2),IF(RASANTE!F253&lt;=PERALTE!$X$18,-8,IF(RASANTE!F253&lt;=PERALTE!$Z$18,(-6/(PERALTE!$X$18-PERALTE!$Z$18)*(RASANTE!F253-PERALTE!$Z$18)-2),IF(RASANTE!F253&lt;=PERALTE!$AB$18,-2))))),IF(AND(AH!$H$20="Izquierda",RASANTE!F253&lt;=PERALTE!$AB$18),IF(RASANTE!F253&lt;=PERALTE!$Q$18,-2,IF(RASANTE!F253&lt;=PERALTE!$U$18,(10/(PERALTE!$U$18-PERALTE!$Q$18)*(RASANTE!F253-PERALTE!$Q$18)-2),IF(RASANTE!F253&lt;=PERALTE!$X$18,8,IF(RASANTE!F253&lt;=PERALTE!$AB$18,(10/(PERALTE!$X$18-PERALTE!$AB$18)*(RASANTE!F253-PERALTE!$AB$18)-2))))),IF(AND(AH!$H$24="Derecha",RASANTE!F253&lt;=PERALTE!$AB$22),IF(RASANTE!F253&lt;=PERALTE!$S$22,-2,IF(RASANTE!F253&lt;=PERALTE!$U$22,(-6/(PERALTE!$U$22-PERALTE!$S$22)*(RASANTE!F253-PERALTE!$S$22)-2),IF(RASANTE!F253&lt;=PERALTE!$X$22,-8,IF(RASANTE!F253&lt;=PERALTE!$Z$22,(-6/(PERALTE!$X$22-PERALTE!$Z$22)*(RASANTE!F253-PERALTE!$Z$22)-2),IF(RASANTE!F253&lt;=PERALTE!$AB$22,-2))))),IF(AND(AH!$H$24="Izquierda",RASANTE!F253&lt;=PERALTE!$AB$22),IF(RASANTE!F253&lt;=PERALTE!$Q$22,-2,IF(RASANTE!F253&lt;=PERALTE!$U$22,(10/(PERALTE!$U$22-PERALTE!$Q$22)*(RASANTE!F253-PERALTE!$Q$22)-2),IF(RASANTE!F253&lt;=PERALTE!$X$22,8,IF(RASANTE!F253&lt;=PERALTE!$AB$22,(10/(PERALTE!$X$22-PERALTE!$AB$22)*(RASANTE!F253-PERALTE!$AB$22)-2))))),IF(AND(AH!#REF!="Derecha",RASANTE!F253&lt;=PERALTE!#REF!),IF(RASANTE!F253&lt;=PERALTE!#REF!,-2,IF(RASANTE!F253&lt;=PERALTE!#REF!,(-6/(PERALTE!#REF!-PERALTE!#REF!)*(RASANTE!F253-PERALTE!#REF!)-2),IF(RASANTE!F253&lt;=PERALTE!#REF!,-8,IF(RASANTE!F253&lt;=PERALTE!#REF!,(-6/(PERALTE!#REF!-PERALTE!#REF!)*(RASANTE!F253-PERALTE!#REF!)-2),IF(RASANTE!F253&lt;=PERALTE!#REF!,-2))))),IF(AND(AH!#REF!="Izquierda",RASANTE!F253&lt;=PERALTE!#REF!),IF(RASANTE!F253&lt;=PERALTE!#REF!,-2,IF(RASANTE!F253&lt;=PERALTE!#REF!,(10/(PERALTE!#REF!-PERALTE!#REF!)*(RASANTE!F253-PERALTE!#REF!)-2),IF(RASANTE!F253&lt;=PERALTE!#REF!,8,IF(RASANTE!F253&lt;=PERALTE!#REF!,(10/(PERALTE!#REF!-PERALTE!#REF!)*(RASANTE!F253-PERALTE!#REF!)-2))))),IF(AND(AH!#REF!="Derecha",RASANTE!F253&lt;=PERALTE!$AB$26),IF(RASANTE!F253&lt;=PERALTE!$S$26,-2,IF(RASANTE!F253&lt;=PERALTE!$U$26,(-6/(PERALTE!$U$26-PERALTE!$S$26)*(RASANTE!F253-PERALTE!$S$26)-2),IF(RASANTE!F253&lt;=PERALTE!$X$26,-8,IF(RASANTE!F253&lt;=PERALTE!$Z$26,(-6/(PERALTE!$X$26-PERALTE!$Z$26)*(RASANTE!F253-PERALTE!$Z$26)-2),IF(RASANTE!F253&lt;=PERALTE!$AB$26,-2))))),IF(AND(AH!#REF!="Izquierda",RASANTE!F253&lt;=PERALTE!$AB$26),IF(RASANTE!F253&lt;=PERALTE!$Q$26,-2,IF(RASANTE!F253&lt;=PERALTE!$U$26,(10/(PERALTE!$U$26-PERALTE!$Q$26)*(RASANTE!F253-PERALTE!$Q$26)-2),IF(RASANTE!F253&lt;=PERALTE!$X$26,8,IF(RASANTE!F253&lt;=PERALTE!$AB$26,(10/(PERALTE!$X$26-PERALTE!$AB$26)*(RASANTE!F253-PERALTE!$AB$26)-2))))),IF(F253&lt;=PERALTE!#REF!,-2,"Abscisa fuera de la vía")))))))))))))))))))))</f>
        <v>-8</v>
      </c>
      <c r="J253" s="28">
        <f t="shared" si="11"/>
        <v>1634.1966669662554</v>
      </c>
      <c r="K253" s="28">
        <f>+IF(AND(AV!$S$6&lt;F253,F253&lt;=AV!$T$6),AV!$P$6*((AV!$S$6-RASANTE!F253)/(AV!$N$6))^2,IF(AND(AV!$T$6&lt;RASANTE!F253,F253&lt;AV!$U$6),AV!$P$6*((AV!$U$6-RASANTE!F253)/(AV!$O$6))^2,IF(AND(AV!$S$8&lt;F253,F253&lt;=AV!$T$8),AV!$P$8*((AV!$S$8-RASANTE!F253)/(AV!$N$8))^2,IF(AND(AV!$T$8&lt;RASANTE!F253,F253&lt;AV!$U$8),AV!$P$8*((AV!$U$8-RASANTE!F253)/(AV!$O$8))^2,IF(AND(AV!$S$10&lt;F253,F253&lt;=AV!$T$10),AV!$P$10*((AV!$S$10-RASANTE!F253)/(AV!$N$10))^2,IF(AND(AV!$T$10&lt;RASANTE!F253,F253&lt;AV!$U$10),AV!$P$10*((AV!$U$10-RASANTE!F253)/(AV!$O$10))^2,IF(AND(AV!$S$12&lt;F253,F253&lt;=AV!$T$12),AV!$P$12*((AV!$S$12-RASANTE!F253)/(AV!$N$12))^2,IF(AND(AV!$T$12&lt;RASANTE!F253,F253&lt;AV!$U$12),AV!$P$12*((AV!$U$12-RASANTE!F253)/(AV!$O$12))^2,IF(AND(AV!$S$14&lt;F253,F253&lt;=AV!$T$14),AV!$P$14*((AV!$S$14-RASANTE!F253)/(AV!$N$14))^2,IF(AND(AV!$T$14&lt;RASANTE!F253,F253&lt;AV!$U$14),AV!$P$14*((AV!$U$14-RASANTE!F253)/(AV!$O$14))^2,IF(AND(AV!$S$16&lt;F253,F253&lt;=AV!$T$16),AV!$P$16*((AV!$S$16-RASANTE!F253)/(AV!$N$16))^2,IF(AND(AV!$T$16&lt;RASANTE!F253,F253&lt;AV!$U$16),AV!$P$16*((AV!$U$16-RASANTE!F253)/(AV!$O$16))^2,IF(AND(AV!$S$18&lt;F253,F253&lt;=AV!$T$18),AV!$P$18*((AV!$S$18-RASANTE!F253)/(AV!$N$18))^2,IF(AND(AV!$T$18&lt;RASANTE!F253,F253&lt;AV!$U$18),AV!$P$18*((AV!$U$18-RASANTE!F253)/(AV!$O$18))^2,IF(AND(AV!$S$20&lt;F253,F253&lt;=AV!$T$20),AV!$P$20*((AV!$S$20-RASANTE!F253)/(AV!$N$20))^2,IF(AND(AV!$T$20&lt;RASANTE!F253,F253&lt;AV!$U$20),AV!$P$20*((AV!$U$20-RASANTE!F253)/(AV!$O$20))^2,IF(AND(AV!$S$22&lt;F253,F253&lt;=AV!$T$22),AV!$P$22*((AV!$S$22-RASANTE!F253)/(AV!$N$22))^2,IF(AND(AV!$T$22&lt;RASANTE!F253,F253&lt;AV!$U$22),AV!$P$22*((AV!$U$22-RASANTE!F253)/(AV!$O$22))^2,IF(AND(AV!$S$24&lt;F253,F253&lt;=AV!$T$24),AV!$P$24*((AV!$S$24-RASANTE!F253)/(AV!$N$24))^2,IF(AND(AV!$T$24&lt;RASANTE!F253,F253&lt;AV!$U$24),AV!$P$24*((AV!$U$24-RASANTE!F253)/(AV!$O$24))^2,0))))))))))))))))))))</f>
        <v>3.5228509301667162E-2</v>
      </c>
      <c r="L253" s="28">
        <f>+M253+H253%*PERALTE!$C$32</f>
        <v>1634.5118954755571</v>
      </c>
      <c r="M253" s="28">
        <f t="shared" si="12"/>
        <v>1634.2318954755572</v>
      </c>
      <c r="N253" s="28">
        <f>+M253+I253%*PERALTE!$C$32</f>
        <v>1633.9518954755572</v>
      </c>
      <c r="O253" s="92"/>
      <c r="P253" s="84"/>
      <c r="Q253" s="84"/>
      <c r="R253" s="84"/>
      <c r="S253" s="84"/>
      <c r="T253" s="84"/>
      <c r="U253" s="84"/>
      <c r="V253" s="84"/>
      <c r="W253" s="84"/>
      <c r="X253" s="84"/>
      <c r="Y253" s="84"/>
    </row>
    <row r="254" spans="1:25" ht="15.75" customHeight="1" x14ac:dyDescent="0.2">
      <c r="A254" s="109" t="s">
        <v>230</v>
      </c>
      <c r="B254" s="191"/>
      <c r="C254" s="192" t="str">
        <f>AH!H20</f>
        <v>Derecha</v>
      </c>
      <c r="D254" s="203"/>
      <c r="E254" s="152">
        <f>AV!P16</f>
        <v>0.13240000000000005</v>
      </c>
      <c r="F254" s="34">
        <f>PERALTE!W18</f>
        <v>1530.1335179056155</v>
      </c>
      <c r="G254" s="88">
        <f>IF(F254&lt;=AV!$T$6,AV!$C$5,IF(RASANTE!F254&lt;=AV!$T$8,AV!$C$7,IF(RASANTE!F254&lt;=AV!$T$10,AV!$C$9,IF(RASANTE!F254&lt;=AV!$T$12,AV!$C$11,IF(RASANTE!F254&lt;=AV!$T$14,AV!$C$13,IF(RASANTE!F254&lt;=AV!$T$16,AV!$C$15, IF(RASANTE!F254&lt;=AV!$T$18,AV!$C$17,IF(RASANTE!F254&lt;=AV!$T$20,AV!$C$19,IF(RASANTE!F254&lt;=AV!$T$22,AV!$C$21,IF(RASANTE!F254&lt;=AV!$T$24,AV!$C$23,AV!$C$25))))))))))</f>
        <v>2.8</v>
      </c>
      <c r="H254" s="28">
        <f>+IF(AND(AH!$H$8="Izquierda",RASANTE!F254&lt;=PERALTE!$AB$6),IF(RASANTE!F254&lt;=PERALTE!$S$6,-2,IF(RASANTE!F254&lt;=PERALTE!$U$6,(-6/(PERALTE!$U$6-PERALTE!$S$6)*(RASANTE!F254-PERALTE!$S$6)-2),IF(RASANTE!F254&lt;=PERALTE!$X$6,-8,IF(RASANTE!F254&lt;=PERALTE!$Z$6,(-6/(PERALTE!$X$6-PERALTE!$Z$6)*(RASANTE!F254-PERALTE!$Z$6)-2),IF(RASANTE!F254&lt;=PERALTE!$AB$6,-2))))),IF(AND(AH!$H$8="Derecha",RASANTE!F254&lt;=PERALTE!$AB$6),IF(RASANTE!F254&lt;=PERALTE!$Q$6,-2,IF(RASANTE!F254&lt;=PERALTE!$U$6,(10/(PERALTE!$U$6-PERALTE!$Q$6)*(RASANTE!F254-PERALTE!$Q$6)-2),IF(RASANTE!F254&lt;=PERALTE!$X$6,8,IF(RASANTE!F254&lt;=PERALTE!$AB$6,(10/(PERALTE!$X$6-PERALTE!$AB$6)*(RASANTE!F254-PERALTE!$AB$6)-2))))),IF(AND(AH!$H$10="Izquierda",RASANTE!F254&lt;=PERALTE!$AB$8),IF(RASANTE!F254&lt;=PERALTE!$S$8,-2,IF(RASANTE!F254&lt;=PERALTE!$U$8,(-6/(PERALTE!$U$8-PERALTE!$S$8)*(RASANTE!F254-PERALTE!$S$8)-2),IF(RASANTE!F254&lt;=PERALTE!$X$8,-8,IF(RASANTE!F254&lt;=PERALTE!$Z$8,(-6/(PERALTE!$X$8-PERALTE!$Z$8)*(RASANTE!F254-PERALTE!$Z$8)-2),IF(RASANTE!F254&lt;=PERALTE!$AB$8,-2))))),IF(AND(AH!$H$10="Derecha",RASANTE!F254&lt;=PERALTE!$AB$8),IF(RASANTE!F254&lt;=PERALTE!$Q$8,-2,IF(RASANTE!F254&lt;=PERALTE!$U$8,(10/(PERALTE!$U$8-PERALTE!$Q$8)*(RASANTE!F254-PERALTE!$Q$8)-2),IF(RASANTE!F254&lt;=PERALTE!$X$8,8,IF(RASANTE!F254&lt;=PERALTE!$AB$8,(10/(PERALTE!$X$8-PERALTE!$AB$8)*(RASANTE!F254-PERALTE!$AB$8)-2))))),IF(AND(AH!$H$12="Izquierda",RASANTE!F254&lt;=PERALTE!$AB$10),IF(RASANTE!F254&lt;=PERALTE!$S$10,-2,IF(RASANTE!F254&lt;=PERALTE!$U$10,(-6/(PERALTE!$U$10-PERALTE!$S$10)*(RASANTE!F254-PERALTE!$S$10)-2),IF(RASANTE!F254&lt;=PERALTE!$X$10,-8,IF(RASANTE!F254&lt;=PERALTE!$Z$10,(-6/(PERALTE!$X$10-PERALTE!$Z$10)*(RASANTE!F254-PERALTE!$Z$10)-2),IF(RASANTE!F254&lt;=PERALTE!$AB$10,-2))))),IF(AND(AH!$H$12="Derecha",RASANTE!F254&lt;=PERALTE!$AB$10),IF(RASANTE!F254&lt;=PERALTE!$Q$10,-2,IF(RASANTE!F254&lt;=PERALTE!$U$10,(10/(PERALTE!$U$10-PERALTE!$Q$10)*(RASANTE!F254-PERALTE!$Q$10)-2),IF(RASANTE!F254&lt;=PERALTE!$X$10,8,IF(RASANTE!F254&lt;=PERALTE!$AB$10,(10/(PERALTE!$X$10-PERALTE!$AB$10)*(RASANTE!F254-PERALTE!$AB$10)-2))))),IF(AND(AH!$H$14="Izquierda",RASANTE!F254&lt;=PERALTE!$AB$12),IF(RASANTE!F254&lt;=PERALTE!$S$12,-2,IF(RASANTE!F254&lt;=PERALTE!$U$12,(-6/(PERALTE!$U$12-PERALTE!$S$12)*(RASANTE!F254-PERALTE!$S$12)-2),IF(RASANTE!F254&lt;=PERALTE!$X$12,-8,IF(RASANTE!F254&lt;=PERALTE!$Z$12,(-6/(PERALTE!$X$12-PERALTE!$Z$12)*(RASANTE!F254-PERALTE!$Z$12)-2),IF(RASANTE!F254&lt;=PERALTE!$AB$12,-2))))),IF(AND(AH!$H$14="Derecha",RASANTE!F254&lt;=PERALTE!$AB$12),IF(RASANTE!F254&lt;=PERALTE!$Q$12,-2,IF(RASANTE!F254&lt;=PERALTE!$U$12,(10/(PERALTE!$U$12-PERALTE!$Q$12)*(RASANTE!F254-PERALTE!$Q$12)-2),IF(RASANTE!F254&lt;=PERALTE!$X$12,8,IF(RASANTE!F254&lt;=PERALTE!$AB$12,(10/(PERALTE!$X$12-PERALTE!$AB$12)*(RASANTE!F254-PERALTE!$AB$12)-2))))),IF(AND(AH!$H$16="Izquierda",RASANTE!F254&lt;=PERALTE!$AB$14),IF(RASANTE!F254&lt;=PERALTE!$S$14,-2,IF(RASANTE!F254&lt;=PERALTE!$U$14,(-6/(PERALTE!$U$14-PERALTE!$S$14)*(RASANTE!F254-PERALTE!$S$14)-2),IF(RASANTE!F254&lt;=PERALTE!$X$14,-8,IF(RASANTE!F254&lt;=PERALTE!$Z$14,(-6/(PERALTE!$X$14-PERALTE!$Z$14)*(RASANTE!F254-PERALTE!$Z$14)-2),IF(RASANTE!F254&lt;=PERALTE!$AB$14,-2))))),IF(AND(AH!$H$16="Derecha",RASANTE!F254&lt;=PERALTE!$AB$14),IF(RASANTE!F254&lt;=PERALTE!$Q$14,-2,IF(RASANTE!F254&lt;=PERALTE!$U$14,(10/(PERALTE!$U$14-PERALTE!$Q$14)*(RASANTE!F254-PERALTE!$Q$14)-2),IF(RASANTE!F254&lt;=PERALTE!$X$14,8,IF(RASANTE!F254&lt;=PERALTE!$AB$14,(10/(PERALTE!$X$14-PERALTE!$AB$14)*(RASANTE!F254-PERALTE!$AB$14)-2))))),IF(AND(AH!$H$18="Izquierda",RASANTE!F254&lt;=PERALTE!$AB$16),IF(RASANTE!F254&lt;=PERALTE!$S$16,-2,IF(RASANTE!F254&lt;=PERALTE!$U$16,(-6/(PERALTE!$U$16-PERALTE!$S$16)*(RASANTE!F254-PERALTE!$S$16)-2),IF(RASANTE!F254&lt;=PERALTE!$X$16,-8,IF(RASANTE!F254&lt;=PERALTE!$Z$16,(-6/(PERALTE!$X$16-PERALTE!$Z$16)*(RASANTE!F254-PERALTE!$Z$16)-2),IF(RASANTE!F254&lt;=PERALTE!$AB$16,-2))))),IF(AND(AH!$H$18="Derecha",RASANTE!F254&lt;=PERALTE!$AB$16),IF(RASANTE!F254&lt;=PERALTE!$Q$16,-2,IF(RASANTE!F254&lt;=PERALTE!$U$16,(10/(PERALTE!$U$16-PERALTE!$Q$16)*(RASANTE!F254-PERALTE!$Q$16)-2),IF(RASANTE!F254&lt;=PERALTE!$X$16,8,IF(RASANTE!F254&lt;=PERALTE!$AB$16,(10/(PERALTE!$X$16-PERALTE!$AB$16)*(RASANTE!F254-PERALTE!$AB$16)-2))))),IF(AND(AH!$H$20="Izquierda",RASANTE!F254&lt;=PERALTE!$AB$18),IF(RASANTE!F254&lt;=PERALTE!$S$18,-2,IF(RASANTE!F254&lt;=PERALTE!$U$18,(-6/(PERALTE!$U$18-PERALTE!$S$18)*(RASANTE!F254-PERALTE!$S$18)-2),IF(RASANTE!F254&lt;=PERALTE!$X$18,-8,IF(RASANTE!F254&lt;=PERALTE!$Z$18,(-6/(PERALTE!$X$18-PERALTE!$Z$18)*(RASANTE!F254-PERALTE!$Z$18)-2),IF(RASANTE!F254&lt;=PERALTE!$AB$18,-2))))),IF(AND(AH!$H$20="Derecha",RASANTE!F254&lt;=PERALTE!$AB$18),IF(RASANTE!F254&lt;=PERALTE!$Q$18,-2,IF(RASANTE!F254&lt;=PERALTE!$U$18,(10/(PERALTE!$U$18-PERALTE!$Q$18)*(RASANTE!F254-PERALTE!$Q$18)-2),IF(RASANTE!F254&lt;=PERALTE!$X$18,8,IF(RASANTE!F254&lt;=PERALTE!$AB$18,(10/(PERALTE!$X$18-PERALTE!$AB$18)*(RASANTE!F254-PERALTE!$AB$18)-2))))),IF(AND(AH!$H$24="Izquierda",RASANTE!F254&lt;=PERALTE!$AB$22),IF(RASANTE!F254&lt;=PERALTE!$S$22,-2,IF(RASANTE!F254&lt;=PERALTE!$U$22,(-6/(PERALTE!$U$22-PERALTE!$S$22)*(RASANTE!F254-PERALTE!$S$22)-2),IF(RASANTE!F254&lt;=PERALTE!$X$22,-8,IF(RASANTE!F254&lt;=PERALTE!$Z$22,(-6/(PERALTE!$X$22-PERALTE!$Z$22)*(RASANTE!F254-PERALTE!$Z$22)-2),IF(RASANTE!F254&lt;=PERALTE!$AB$22,-2))))),IF(AND(AH!$H$24="Derecha",RASANTE!F254&lt;=PERALTE!$AB$22),IF(RASANTE!F254&lt;=PERALTE!$Q$22,-2,IF(RASANTE!F254&lt;=PERALTE!$U$22,(10/(PERALTE!$U$22-PERALTE!$Q$22)*(RASANTE!F254-PERALTE!$Q$22)-2),IF(RASANTE!F254&lt;=PERALTE!$X$22,8,IF(RASANTE!F254&lt;=PERALTE!$AB$22,(10/(PERALTE!$X$22-PERALTE!$AB$22)*(RASANTE!F254-PERALTE!$AB$22)-2))))),IF(AND(AH!#REF!="Izquierda",RASANTE!F254&lt;=PERALTE!#REF!),IF(RASANTE!F254&lt;=PERALTE!#REF!,-2,IF(RASANTE!F254&lt;=PERALTE!#REF!,(-6/(PERALTE!#REF!-PERALTE!#REF!)*(RASANTE!F254-PERALTE!#REF!)-2),IF(RASANTE!F254&lt;=PERALTE!#REF!,-8,IF(RASANTE!F254&lt;=PERALTE!#REF!,(-6/(PERALTE!#REF!-PERALTE!#REF!)*(RASANTE!F254-PERALTE!#REF!)-2),IF(RASANTE!F254&lt;=PERALTE!#REF!,-2))))),IF(AND(AH!#REF!="Derecha",RASANTE!F254&lt;=PERALTE!#REF!),IF(RASANTE!F254&lt;=PERALTE!#REF!,-2,IF(RASANTE!F254&lt;=PERALTE!#REF!,(10/(PERALTE!#REF!-PERALTE!#REF!)*(RASANTE!F254-PERALTE!#REF!)-2),IF(RASANTE!F254&lt;=PERALTE!#REF!,8,IF(RASANTE!F254&lt;=PERALTE!#REF!,(10/(PERALTE!#REF!-PERALTE!#REF!)*(RASANTE!F254-PERALTE!#REF!)-2))))),IF(AND(AH!#REF!="Izquierda",RASANTE!F254&lt;=PERALTE!$AB$26),IF(RASANTE!F254&lt;=PERALTE!$S$26,-2,IF(RASANTE!F254&lt;=PERALTE!$U$26,(-6/(PERALTE!$U$26-PERALTE!$S$26)*(RASANTE!F254-PERALTE!$S$26)-2),IF(RASANTE!F254&lt;=PERALTE!$X$26,-8,IF(RASANTE!F254&lt;=PERALTE!$Z$26,(-6/(PERALTE!$X$26-PERALTE!$Z$26)*(RASANTE!F254-PERALTE!$Z$26)-2),IF(RASANTE!F254&lt;=PERALTE!$AB$26,-2))))),IF(AND(AH!#REF!="Derecha",RASANTE!F254&lt;=PERALTE!$AB$26),IF(RASANTE!F254&lt;=PERALTE!$Q$26,-2,IF(RASANTE!F254&lt;=PERALTE!$U$26,(10/(PERALTE!$U$26-PERALTE!$Q$26)*(RASANTE!F254-PERALTE!$Q$26)-2),IF(RASANTE!F254&lt;=PERALTE!$X$26,8,IF(RASANTE!F254&lt;=PERALTE!$AB$26,(10/(PERALTE!$X$26-PERALTE!$AB$26)*(RASANTE!F254-PERALTE!$AB$26)-2))))),IF(F254&lt;=PERALTE!#REF!,-2,"Abscisa fuera de la vía")))))))))))))))))))))</f>
        <v>8</v>
      </c>
      <c r="I254" s="28">
        <f>+IF(AND(AH!$H$8="Derecha",RASANTE!F254&lt;=PERALTE!$AB$6),IF(RASANTE!F254&lt;=PERALTE!$S$6,-2,IF(RASANTE!F254&lt;=PERALTE!$U$6,(-6/(PERALTE!$U$6-PERALTE!$S$6)*(RASANTE!F254-PERALTE!$S$6)-2),IF(RASANTE!F254&lt;=PERALTE!$X$6,-8,IF(RASANTE!F254&lt;=PERALTE!$Z$6,(-6/(PERALTE!$X$6-PERALTE!$Z$6)*(RASANTE!F254-PERALTE!$Z$6)-2),IF(RASANTE!F254&lt;=PERALTE!$AB$6,-2))))),IF(AND(AH!$H$8="Izquierda",RASANTE!F254&lt;=PERALTE!$AB$6),IF(RASANTE!F254&lt;=PERALTE!$Q$6,-2,IF(RASANTE!F254&lt;=PERALTE!$U$6,(10/(PERALTE!$U$6-PERALTE!$Q$6)*(RASANTE!F254-PERALTE!$Q$6)-2),IF(RASANTE!F254&lt;=PERALTE!$X$6,8,IF(RASANTE!F254&lt;=PERALTE!$AB$6,(10/(PERALTE!$X$6-PERALTE!$AB$6)*(RASANTE!F254-PERALTE!$AB$6)-2))))),IF(AND(AH!$H$10="Derecha",RASANTE!F254&lt;=PERALTE!$AB$8),IF(RASANTE!F254&lt;=PERALTE!$S$8,-2,IF(RASANTE!F254&lt;=PERALTE!$U$8,(-6/(PERALTE!$U$8-PERALTE!$S$8)*(RASANTE!F254-PERALTE!$S$8)-2),IF(RASANTE!F254&lt;=PERALTE!$X$8,-8,IF(RASANTE!F254&lt;=PERALTE!$Z$8,(-6/(PERALTE!$X$8-PERALTE!$Z$8)*(RASANTE!F254-PERALTE!$Z$8)-2),IF(RASANTE!F254&lt;=PERALTE!$AB$8,-2))))),IF(AND(AH!$H$10="Izquierda",RASANTE!F254&lt;=PERALTE!$AB$8),IF(RASANTE!F254&lt;=PERALTE!$Q$8,-2,IF(RASANTE!F254&lt;=PERALTE!$U$8,(10/(PERALTE!$U$8-PERALTE!$Q$8)*(RASANTE!F254-PERALTE!$Q$8)-2),IF(RASANTE!F254&lt;=PERALTE!$X$8,8,IF(RASANTE!F254&lt;=PERALTE!$AB$8,(10/(PERALTE!$X$8-PERALTE!$AB$8)*(RASANTE!F254-PERALTE!$AB$8)-2))))),IF(AND(AH!$H$12="Derecha",RASANTE!F254&lt;=PERALTE!$AB$10),IF(RASANTE!F254&lt;=PERALTE!$S$10,-2,IF(RASANTE!F254&lt;=PERALTE!$U$10,(-6/(PERALTE!$U$10-PERALTE!$S$10)*(RASANTE!F254-PERALTE!$S$10)-2),IF(RASANTE!F254&lt;=PERALTE!$X$10,-8,IF(RASANTE!F254&lt;=PERALTE!$Z$10,(-6/(PERALTE!$X$10-PERALTE!$Z$10)*(RASANTE!F254-PERALTE!$Z$10)-2),IF(RASANTE!F254&lt;=PERALTE!$AB$10,-2))))),IF(AND(AH!$H$12="Izquierda",RASANTE!F254&lt;=PERALTE!$AB$10),IF(RASANTE!F254&lt;=PERALTE!$Q$10,-2,IF(RASANTE!F254&lt;=PERALTE!$U$10,(10/(PERALTE!$U$10-PERALTE!$Q$10)*(RASANTE!F254-PERALTE!$Q$10)-2),IF(RASANTE!F254&lt;=PERALTE!$X$10,8,IF(RASANTE!F254&lt;=PERALTE!$AB$10,(10/(PERALTE!$X$10-PERALTE!$AB$10)*(RASANTE!F254-PERALTE!$AB$10)-2))))),IF(AND(AH!$H$14="Derecha",RASANTE!F254&lt;=PERALTE!$AB$12),IF(RASANTE!F254&lt;=PERALTE!$S$12,-2,IF(RASANTE!F254&lt;=PERALTE!$U$12,(-6/(PERALTE!$U$12-PERALTE!$S$12)*(RASANTE!F254-PERALTE!$S$12)-2),IF(RASANTE!F254&lt;=PERALTE!$X$12,-8,IF(RASANTE!F254&lt;=PERALTE!$Z$12,(-6/(PERALTE!$X$12-PERALTE!$Z$12)*(RASANTE!F254-PERALTE!$Z$12)-2),IF(RASANTE!F254&lt;=PERALTE!$AB$12,-2))))),IF(AND(AH!$H$14="Izquierda",RASANTE!F254&lt;=PERALTE!$AB$12),IF(RASANTE!F254&lt;=PERALTE!$Q$12,-2,IF(RASANTE!F254&lt;=PERALTE!$U$12,(10/(PERALTE!$U$12-PERALTE!$Q$12)*(RASANTE!F254-PERALTE!$Q$12)-2),IF(RASANTE!F254&lt;=PERALTE!$X$12,8,IF(RASANTE!F254&lt;=PERALTE!$AB$12,(10/(PERALTE!$X$12-PERALTE!$AB$12)*(RASANTE!F254-PERALTE!$AB$12)-2))))),IF(AND(AH!$H$16="Derecha",RASANTE!F254&lt;=PERALTE!$AB$14),IF(RASANTE!F254&lt;=PERALTE!$S$14,-2,IF(RASANTE!F254&lt;=PERALTE!$U$14,(-6/(PERALTE!$U$14-PERALTE!$S$14)*(RASANTE!F254-PERALTE!$S$14)-2),IF(RASANTE!F254&lt;=PERALTE!$X$14,-8,IF(RASANTE!F254&lt;=PERALTE!$Z$14,(-6/(PERALTE!$X$14-PERALTE!$Z$14)*(RASANTE!F254-PERALTE!$Z$14)-2),IF(RASANTE!F254&lt;=PERALTE!$AB$14,-2))))),IF(AND(AH!$H$16="Izquierda",RASANTE!F254&lt;=PERALTE!$AB$14),IF(RASANTE!F254&lt;=PERALTE!$Q$14,-2,IF(RASANTE!F254&lt;=PERALTE!$U$14,(10/(PERALTE!$U$14-PERALTE!$Q$14)*(RASANTE!F254-PERALTE!$Q$14)-2),IF(RASANTE!F254&lt;=PERALTE!$X$14,8,IF(RASANTE!F254&lt;=PERALTE!$AB$14,(10/(PERALTE!$X$14-PERALTE!$AB$14)*(RASANTE!F254-PERALTE!$AB$14)-2))))),IF(AND(AH!$H$18="Derecha",RASANTE!F254&lt;=PERALTE!$AB$16),IF(RASANTE!F254&lt;=PERALTE!$S$16,-2,IF(RASANTE!F254&lt;=PERALTE!$U$16,(-6/(PERALTE!$U$16-PERALTE!$S$16)*(RASANTE!F254-PERALTE!$S$16)-2),IF(RASANTE!F254&lt;=PERALTE!$X$16,-8,IF(RASANTE!F254&lt;=PERALTE!$Z$16,(-6/(PERALTE!$X$16-PERALTE!$Z$16)*(RASANTE!F254-PERALTE!$Z$16)-2),IF(RASANTE!F254&lt;=PERALTE!$AB$16,-2))))),IF(AND(AH!$H$18="Izquierda",RASANTE!F254&lt;=PERALTE!$AB$16),IF(RASANTE!F254&lt;=PERALTE!$Q$16,-2,IF(RASANTE!F254&lt;=PERALTE!$U$16,(10/(PERALTE!$U$16-PERALTE!$Q$16)*(RASANTE!F254-PERALTE!$Q$16)-2),IF(RASANTE!F254&lt;=PERALTE!$X$16,8,IF(RASANTE!F254&lt;=PERALTE!$AB$16,(10/(PERALTE!$X$16-PERALTE!$AB$16)*(RASANTE!F254-PERALTE!$AB$16)-2))))),IF(AND(AH!$H$20="Derecha",RASANTE!F254&lt;=PERALTE!$AB$18),IF(RASANTE!F254&lt;=PERALTE!$S$18,-2,IF(RASANTE!F254&lt;=PERALTE!$U$18,(-6/(PERALTE!$U$18-PERALTE!$S$18)*(RASANTE!F254-PERALTE!$S$18)-2),IF(RASANTE!F254&lt;=PERALTE!$X$18,-8,IF(RASANTE!F254&lt;=PERALTE!$Z$18,(-6/(PERALTE!$X$18-PERALTE!$Z$18)*(RASANTE!F254-PERALTE!$Z$18)-2),IF(RASANTE!F254&lt;=PERALTE!$AB$18,-2))))),IF(AND(AH!$H$20="Izquierda",RASANTE!F254&lt;=PERALTE!$AB$18),IF(RASANTE!F254&lt;=PERALTE!$Q$18,-2,IF(RASANTE!F254&lt;=PERALTE!$U$18,(10/(PERALTE!$U$18-PERALTE!$Q$18)*(RASANTE!F254-PERALTE!$Q$18)-2),IF(RASANTE!F254&lt;=PERALTE!$X$18,8,IF(RASANTE!F254&lt;=PERALTE!$AB$18,(10/(PERALTE!$X$18-PERALTE!$AB$18)*(RASANTE!F254-PERALTE!$AB$18)-2))))),IF(AND(AH!$H$24="Derecha",RASANTE!F254&lt;=PERALTE!$AB$22),IF(RASANTE!F254&lt;=PERALTE!$S$22,-2,IF(RASANTE!F254&lt;=PERALTE!$U$22,(-6/(PERALTE!$U$22-PERALTE!$S$22)*(RASANTE!F254-PERALTE!$S$22)-2),IF(RASANTE!F254&lt;=PERALTE!$X$22,-8,IF(RASANTE!F254&lt;=PERALTE!$Z$22,(-6/(PERALTE!$X$22-PERALTE!$Z$22)*(RASANTE!F254-PERALTE!$Z$22)-2),IF(RASANTE!F254&lt;=PERALTE!$AB$22,-2))))),IF(AND(AH!$H$24="Izquierda",RASANTE!F254&lt;=PERALTE!$AB$22),IF(RASANTE!F254&lt;=PERALTE!$Q$22,-2,IF(RASANTE!F254&lt;=PERALTE!$U$22,(10/(PERALTE!$U$22-PERALTE!$Q$22)*(RASANTE!F254-PERALTE!$Q$22)-2),IF(RASANTE!F254&lt;=PERALTE!$X$22,8,IF(RASANTE!F254&lt;=PERALTE!$AB$22,(10/(PERALTE!$X$22-PERALTE!$AB$22)*(RASANTE!F254-PERALTE!$AB$22)-2))))),IF(AND(AH!#REF!="Derecha",RASANTE!F254&lt;=PERALTE!#REF!),IF(RASANTE!F254&lt;=PERALTE!#REF!,-2,IF(RASANTE!F254&lt;=PERALTE!#REF!,(-6/(PERALTE!#REF!-PERALTE!#REF!)*(RASANTE!F254-PERALTE!#REF!)-2),IF(RASANTE!F254&lt;=PERALTE!#REF!,-8,IF(RASANTE!F254&lt;=PERALTE!#REF!,(-6/(PERALTE!#REF!-PERALTE!#REF!)*(RASANTE!F254-PERALTE!#REF!)-2),IF(RASANTE!F254&lt;=PERALTE!#REF!,-2))))),IF(AND(AH!#REF!="Izquierda",RASANTE!F254&lt;=PERALTE!#REF!),IF(RASANTE!F254&lt;=PERALTE!#REF!,-2,IF(RASANTE!F254&lt;=PERALTE!#REF!,(10/(PERALTE!#REF!-PERALTE!#REF!)*(RASANTE!F254-PERALTE!#REF!)-2),IF(RASANTE!F254&lt;=PERALTE!#REF!,8,IF(RASANTE!F254&lt;=PERALTE!#REF!,(10/(PERALTE!#REF!-PERALTE!#REF!)*(RASANTE!F254-PERALTE!#REF!)-2))))),IF(AND(AH!#REF!="Derecha",RASANTE!F254&lt;=PERALTE!$AB$26),IF(RASANTE!F254&lt;=PERALTE!$S$26,-2,IF(RASANTE!F254&lt;=PERALTE!$U$26,(-6/(PERALTE!$U$26-PERALTE!$S$26)*(RASANTE!F254-PERALTE!$S$26)-2),IF(RASANTE!F254&lt;=PERALTE!$X$26,-8,IF(RASANTE!F254&lt;=PERALTE!$Z$26,(-6/(PERALTE!$X$26-PERALTE!$Z$26)*(RASANTE!F254-PERALTE!$Z$26)-2),IF(RASANTE!F254&lt;=PERALTE!$AB$26,-2))))),IF(AND(AH!#REF!="Izquierda",RASANTE!F254&lt;=PERALTE!$AB$26),IF(RASANTE!F254&lt;=PERALTE!$Q$26,-2,IF(RASANTE!F254&lt;=PERALTE!$U$26,(10/(PERALTE!$U$26-PERALTE!$Q$26)*(RASANTE!F254-PERALTE!$Q$26)-2),IF(RASANTE!F254&lt;=PERALTE!$X$26,8,IF(RASANTE!F254&lt;=PERALTE!$AB$26,(10/(PERALTE!$X$26-PERALTE!$AB$26)*(RASANTE!F254-PERALTE!$AB$26)-2))))),IF(F254&lt;=PERALTE!#REF!,-2,"Abscisa fuera de la vía")))))))))))))))))))))</f>
        <v>-8</v>
      </c>
      <c r="J254" s="28">
        <f t="shared" si="11"/>
        <v>1634.1966669662554</v>
      </c>
      <c r="K254" s="28">
        <f>+IF(AND(AV!$S$6&lt;F254,F254&lt;=AV!$T$6),AV!$P$6*((AV!$S$6-RASANTE!F254)/(AV!$N$6))^2,IF(AND(AV!$T$6&lt;RASANTE!F254,F254&lt;AV!$U$6),AV!$P$6*((AV!$U$6-RASANTE!F254)/(AV!$O$6))^2,IF(AND(AV!$S$8&lt;F254,F254&lt;=AV!$T$8),AV!$P$8*((AV!$S$8-RASANTE!F254)/(AV!$N$8))^2,IF(AND(AV!$T$8&lt;RASANTE!F254,F254&lt;AV!$U$8),AV!$P$8*((AV!$U$8-RASANTE!F254)/(AV!$O$8))^2,IF(AND(AV!$S$10&lt;F254,F254&lt;=AV!$T$10),AV!$P$10*((AV!$S$10-RASANTE!F254)/(AV!$N$10))^2,IF(AND(AV!$T$10&lt;RASANTE!F254,F254&lt;AV!$U$10),AV!$P$10*((AV!$U$10-RASANTE!F254)/(AV!$O$10))^2,IF(AND(AV!$S$12&lt;F254,F254&lt;=AV!$T$12),AV!$P$12*((AV!$S$12-RASANTE!F254)/(AV!$N$12))^2,IF(AND(AV!$T$12&lt;RASANTE!F254,F254&lt;AV!$U$12),AV!$P$12*((AV!$U$12-RASANTE!F254)/(AV!$O$12))^2,IF(AND(AV!$S$14&lt;F254,F254&lt;=AV!$T$14),AV!$P$14*((AV!$S$14-RASANTE!F254)/(AV!$N$14))^2,IF(AND(AV!$T$14&lt;RASANTE!F254,F254&lt;AV!$U$14),AV!$P$14*((AV!$U$14-RASANTE!F254)/(AV!$O$14))^2,IF(AND(AV!$S$16&lt;F254,F254&lt;=AV!$T$16),AV!$P$16*((AV!$S$16-RASANTE!F254)/(AV!$N$16))^2,IF(AND(AV!$T$16&lt;RASANTE!F254,F254&lt;AV!$U$16),AV!$P$16*((AV!$U$16-RASANTE!F254)/(AV!$O$16))^2,IF(AND(AV!$S$18&lt;F254,F254&lt;=AV!$T$18),AV!$P$18*((AV!$S$18-RASANTE!F254)/(AV!$N$18))^2,IF(AND(AV!$T$18&lt;RASANTE!F254,F254&lt;AV!$U$18),AV!$P$18*((AV!$U$18-RASANTE!F254)/(AV!$O$18))^2,IF(AND(AV!$S$20&lt;F254,F254&lt;=AV!$T$20),AV!$P$20*((AV!$S$20-RASANTE!F254)/(AV!$N$20))^2,IF(AND(AV!$T$20&lt;RASANTE!F254,F254&lt;AV!$U$20),AV!$P$20*((AV!$U$20-RASANTE!F254)/(AV!$O$20))^2,IF(AND(AV!$S$22&lt;F254,F254&lt;=AV!$T$22),AV!$P$22*((AV!$S$22-RASANTE!F254)/(AV!$N$22))^2,IF(AND(AV!$T$22&lt;RASANTE!F254,F254&lt;AV!$U$22),AV!$P$22*((AV!$U$22-RASANTE!F254)/(AV!$O$22))^2,IF(AND(AV!$S$24&lt;F254,F254&lt;=AV!$T$24),AV!$P$24*((AV!$S$24-RASANTE!F254)/(AV!$N$24))^2,IF(AND(AV!$T$24&lt;RASANTE!F254,F254&lt;AV!$U$24),AV!$P$24*((AV!$U$24-RASANTE!F254)/(AV!$O$24))^2,0))))))))))))))))))))</f>
        <v>3.5228509301668723E-2</v>
      </c>
      <c r="L254" s="28">
        <f>+M254+H254%*PERALTE!$C$32</f>
        <v>1634.5118954755571</v>
      </c>
      <c r="M254" s="28">
        <f t="shared" si="12"/>
        <v>1634.2318954755572</v>
      </c>
      <c r="N254" s="28">
        <f>+M254+I254%*PERALTE!$C$32</f>
        <v>1633.9518954755572</v>
      </c>
      <c r="O254" s="92"/>
      <c r="P254" s="84"/>
      <c r="Q254" s="84"/>
      <c r="R254" s="84"/>
      <c r="S254" s="84"/>
      <c r="T254" s="84"/>
      <c r="U254" s="84"/>
      <c r="V254" s="84"/>
      <c r="W254" s="84"/>
      <c r="X254" s="84"/>
      <c r="Y254" s="84"/>
    </row>
    <row r="255" spans="1:25" ht="15.75" customHeight="1" x14ac:dyDescent="0.2">
      <c r="A255" s="353" t="s">
        <v>116</v>
      </c>
      <c r="B255" s="86"/>
      <c r="C255" s="86"/>
      <c r="D255" s="86"/>
      <c r="E255" s="153">
        <f>AV!C13</f>
        <v>8.1999999999999993</v>
      </c>
      <c r="F255" s="34">
        <f>AV!T16</f>
        <v>1539.817</v>
      </c>
      <c r="G255" s="352">
        <f>IF(F255&lt;=AV!$T$6,AV!$C$5,IF(RASANTE!F255&lt;=AV!$T$8,AV!$C$7,IF(RASANTE!F255&lt;=AV!$T$10,AV!$C$9,IF(RASANTE!F255&lt;=AV!$T$12,AV!$C$11,IF(RASANTE!F255&lt;=AV!$T$14,AV!$C$13,IF(RASANTE!F255&lt;=AV!$T$16,AV!$C$15, IF(RASANTE!F255&lt;=AV!$T$18,AV!$C$17,IF(RASANTE!F255&lt;=AV!$T$20,AV!$C$19,IF(RASANTE!F255&lt;=AV!$T$22,AV!$C$21,IF(RASANTE!F255&lt;=AV!$T$24,AV!$C$23,AV!$C$25))))))))))</f>
        <v>2.8</v>
      </c>
      <c r="H255" s="28">
        <f>+IF(AND(AH!$H$8="Izquierda",RASANTE!F255&lt;=PERALTE!$AB$6),IF(RASANTE!F255&lt;=PERALTE!$S$6,-2,IF(RASANTE!F255&lt;=PERALTE!$U$6,(-6/(PERALTE!$U$6-PERALTE!$S$6)*(RASANTE!F255-PERALTE!$S$6)-2),IF(RASANTE!F255&lt;=PERALTE!$X$6,-8,IF(RASANTE!F255&lt;=PERALTE!$Z$6,(-6/(PERALTE!$X$6-PERALTE!$Z$6)*(RASANTE!F255-PERALTE!$Z$6)-2),IF(RASANTE!F255&lt;=PERALTE!$AB$6,-2))))),IF(AND(AH!$H$8="Derecha",RASANTE!F255&lt;=PERALTE!$AB$6),IF(RASANTE!F255&lt;=PERALTE!$Q$6,-2,IF(RASANTE!F255&lt;=PERALTE!$U$6,(10/(PERALTE!$U$6-PERALTE!$Q$6)*(RASANTE!F255-PERALTE!$Q$6)-2),IF(RASANTE!F255&lt;=PERALTE!$X$6,8,IF(RASANTE!F255&lt;=PERALTE!$AB$6,(10/(PERALTE!$X$6-PERALTE!$AB$6)*(RASANTE!F255-PERALTE!$AB$6)-2))))),IF(AND(AH!$H$10="Izquierda",RASANTE!F255&lt;=PERALTE!$AB$8),IF(RASANTE!F255&lt;=PERALTE!$S$8,-2,IF(RASANTE!F255&lt;=PERALTE!$U$8,(-6/(PERALTE!$U$8-PERALTE!$S$8)*(RASANTE!F255-PERALTE!$S$8)-2),IF(RASANTE!F255&lt;=PERALTE!$X$8,-8,IF(RASANTE!F255&lt;=PERALTE!$Z$8,(-6/(PERALTE!$X$8-PERALTE!$Z$8)*(RASANTE!F255-PERALTE!$Z$8)-2),IF(RASANTE!F255&lt;=PERALTE!$AB$8,-2))))),IF(AND(AH!$H$10="Derecha",RASANTE!F255&lt;=PERALTE!$AB$8),IF(RASANTE!F255&lt;=PERALTE!$Q$8,-2,IF(RASANTE!F255&lt;=PERALTE!$U$8,(10/(PERALTE!$U$8-PERALTE!$Q$8)*(RASANTE!F255-PERALTE!$Q$8)-2),IF(RASANTE!F255&lt;=PERALTE!$X$8,8,IF(RASANTE!F255&lt;=PERALTE!$AB$8,(10/(PERALTE!$X$8-PERALTE!$AB$8)*(RASANTE!F255-PERALTE!$AB$8)-2))))),IF(AND(AH!$H$12="Izquierda",RASANTE!F255&lt;=PERALTE!$AB$10),IF(RASANTE!F255&lt;=PERALTE!$S$10,-2,IF(RASANTE!F255&lt;=PERALTE!$U$10,(-6/(PERALTE!$U$10-PERALTE!$S$10)*(RASANTE!F255-PERALTE!$S$10)-2),IF(RASANTE!F255&lt;=PERALTE!$X$10,-8,IF(RASANTE!F255&lt;=PERALTE!$Z$10,(-6/(PERALTE!$X$10-PERALTE!$Z$10)*(RASANTE!F255-PERALTE!$Z$10)-2),IF(RASANTE!F255&lt;=PERALTE!$AB$10,-2))))),IF(AND(AH!$H$12="Derecha",RASANTE!F255&lt;=PERALTE!$AB$10),IF(RASANTE!F255&lt;=PERALTE!$Q$10,-2,IF(RASANTE!F255&lt;=PERALTE!$U$10,(10/(PERALTE!$U$10-PERALTE!$Q$10)*(RASANTE!F255-PERALTE!$Q$10)-2),IF(RASANTE!F255&lt;=PERALTE!$X$10,8,IF(RASANTE!F255&lt;=PERALTE!$AB$10,(10/(PERALTE!$X$10-PERALTE!$AB$10)*(RASANTE!F255-PERALTE!$AB$10)-2))))),IF(AND(AH!$H$14="Izquierda",RASANTE!F255&lt;=PERALTE!$AB$12),IF(RASANTE!F255&lt;=PERALTE!$S$12,-2,IF(RASANTE!F255&lt;=PERALTE!$U$12,(-6/(PERALTE!$U$12-PERALTE!$S$12)*(RASANTE!F255-PERALTE!$S$12)-2),IF(RASANTE!F255&lt;=PERALTE!$X$12,-8,IF(RASANTE!F255&lt;=PERALTE!$Z$12,(-6/(PERALTE!$X$12-PERALTE!$Z$12)*(RASANTE!F255-PERALTE!$Z$12)-2),IF(RASANTE!F255&lt;=PERALTE!$AB$12,-2))))),IF(AND(AH!$H$14="Derecha",RASANTE!F255&lt;=PERALTE!$AB$12),IF(RASANTE!F255&lt;=PERALTE!$Q$12,-2,IF(RASANTE!F255&lt;=PERALTE!$U$12,(10/(PERALTE!$U$12-PERALTE!$Q$12)*(RASANTE!F255-PERALTE!$Q$12)-2),IF(RASANTE!F255&lt;=PERALTE!$X$12,8,IF(RASANTE!F255&lt;=PERALTE!$AB$12,(10/(PERALTE!$X$12-PERALTE!$AB$12)*(RASANTE!F255-PERALTE!$AB$12)-2))))),IF(AND(AH!$H$16="Izquierda",RASANTE!F255&lt;=PERALTE!$AB$14),IF(RASANTE!F255&lt;=PERALTE!$S$14,-2,IF(RASANTE!F255&lt;=PERALTE!$U$14,(-6/(PERALTE!$U$14-PERALTE!$S$14)*(RASANTE!F255-PERALTE!$S$14)-2),IF(RASANTE!F255&lt;=PERALTE!$X$14,-8,IF(RASANTE!F255&lt;=PERALTE!$Z$14,(-6/(PERALTE!$X$14-PERALTE!$Z$14)*(RASANTE!F255-PERALTE!$Z$14)-2),IF(RASANTE!F255&lt;=PERALTE!$AB$14,-2))))),IF(AND(AH!$H$16="Derecha",RASANTE!F255&lt;=PERALTE!$AB$14),IF(RASANTE!F255&lt;=PERALTE!$Q$14,-2,IF(RASANTE!F255&lt;=PERALTE!$U$14,(10/(PERALTE!$U$14-PERALTE!$Q$14)*(RASANTE!F255-PERALTE!$Q$14)-2),IF(RASANTE!F255&lt;=PERALTE!$X$14,8,IF(RASANTE!F255&lt;=PERALTE!$AB$14,(10/(PERALTE!$X$14-PERALTE!$AB$14)*(RASANTE!F255-PERALTE!$AB$14)-2))))),IF(AND(AH!$H$18="Izquierda",RASANTE!F255&lt;=PERALTE!$AB$16),IF(RASANTE!F255&lt;=PERALTE!$S$16,-2,IF(RASANTE!F255&lt;=PERALTE!$U$16,(-6/(PERALTE!$U$16-PERALTE!$S$16)*(RASANTE!F255-PERALTE!$S$16)-2),IF(RASANTE!F255&lt;=PERALTE!$X$16,-8,IF(RASANTE!F255&lt;=PERALTE!$Z$16,(-6/(PERALTE!$X$16-PERALTE!$Z$16)*(RASANTE!F255-PERALTE!$Z$16)-2),IF(RASANTE!F255&lt;=PERALTE!$AB$16,-2))))),IF(AND(AH!$H$18="Derecha",RASANTE!F255&lt;=PERALTE!$AB$16),IF(RASANTE!F255&lt;=PERALTE!$Q$16,-2,IF(RASANTE!F255&lt;=PERALTE!$U$16,(10/(PERALTE!$U$16-PERALTE!$Q$16)*(RASANTE!F255-PERALTE!$Q$16)-2),IF(RASANTE!F255&lt;=PERALTE!$X$16,8,IF(RASANTE!F255&lt;=PERALTE!$AB$16,(10/(PERALTE!$X$16-PERALTE!$AB$16)*(RASANTE!F255-PERALTE!$AB$16)-2))))),IF(AND(AH!$H$20="Izquierda",RASANTE!F255&lt;=PERALTE!$AB$18),IF(RASANTE!F255&lt;=PERALTE!$S$18,-2,IF(RASANTE!F255&lt;=PERALTE!$U$18,(-6/(PERALTE!$U$18-PERALTE!$S$18)*(RASANTE!F255-PERALTE!$S$18)-2),IF(RASANTE!F255&lt;=PERALTE!$X$18,-8,IF(RASANTE!F255&lt;=PERALTE!$Z$18,(-6/(PERALTE!$X$18-PERALTE!$Z$18)*(RASANTE!F255-PERALTE!$Z$18)-2),IF(RASANTE!F255&lt;=PERALTE!$AB$18,-2))))),IF(AND(AH!$H$20="Derecha",RASANTE!F255&lt;=PERALTE!$AB$18),IF(RASANTE!F255&lt;=PERALTE!$Q$18,-2,IF(RASANTE!F255&lt;=PERALTE!$U$18,(10/(PERALTE!$U$18-PERALTE!$Q$18)*(RASANTE!F255-PERALTE!$Q$18)-2),IF(RASANTE!F255&lt;=PERALTE!$X$18,8,IF(RASANTE!F255&lt;=PERALTE!$AB$18,(10/(PERALTE!$X$18-PERALTE!$AB$18)*(RASANTE!F255-PERALTE!$AB$18)-2))))),IF(AND(AH!$H$24="Izquierda",RASANTE!F255&lt;=PERALTE!$AB$22),IF(RASANTE!F255&lt;=PERALTE!$S$22,-2,IF(RASANTE!F255&lt;=PERALTE!$U$22,(-6/(PERALTE!$U$22-PERALTE!$S$22)*(RASANTE!F255-PERALTE!$S$22)-2),IF(RASANTE!F255&lt;=PERALTE!$X$22,-8,IF(RASANTE!F255&lt;=PERALTE!$Z$22,(-6/(PERALTE!$X$22-PERALTE!$Z$22)*(RASANTE!F255-PERALTE!$Z$22)-2),IF(RASANTE!F255&lt;=PERALTE!$AB$22,-2))))),IF(AND(AH!$H$24="Derecha",RASANTE!F255&lt;=PERALTE!$AB$22),IF(RASANTE!F255&lt;=PERALTE!$Q$22,-2,IF(RASANTE!F255&lt;=PERALTE!$U$22,(10/(PERALTE!$U$22-PERALTE!$Q$22)*(RASANTE!F255-PERALTE!$Q$22)-2),IF(RASANTE!F255&lt;=PERALTE!$X$22,8,IF(RASANTE!F255&lt;=PERALTE!$AB$22,(10/(PERALTE!$X$22-PERALTE!$AB$22)*(RASANTE!F255-PERALTE!$AB$22)-2))))),IF(AND(AH!#REF!="Izquierda",RASANTE!F255&lt;=PERALTE!#REF!),IF(RASANTE!F255&lt;=PERALTE!#REF!,-2,IF(RASANTE!F255&lt;=PERALTE!#REF!,(-6/(PERALTE!#REF!-PERALTE!#REF!)*(RASANTE!F255-PERALTE!#REF!)-2),IF(RASANTE!F255&lt;=PERALTE!#REF!,-8,IF(RASANTE!F255&lt;=PERALTE!#REF!,(-6/(PERALTE!#REF!-PERALTE!#REF!)*(RASANTE!F255-PERALTE!#REF!)-2),IF(RASANTE!F255&lt;=PERALTE!#REF!,-2))))),IF(AND(AH!#REF!="Derecha",RASANTE!F255&lt;=PERALTE!#REF!),IF(RASANTE!F255&lt;=PERALTE!#REF!,-2,IF(RASANTE!F255&lt;=PERALTE!#REF!,(10/(PERALTE!#REF!-PERALTE!#REF!)*(RASANTE!F255-PERALTE!#REF!)-2),IF(RASANTE!F255&lt;=PERALTE!#REF!,8,IF(RASANTE!F255&lt;=PERALTE!#REF!,(10/(PERALTE!#REF!-PERALTE!#REF!)*(RASANTE!F255-PERALTE!#REF!)-2))))),IF(AND(AH!#REF!="Izquierda",RASANTE!F255&lt;=PERALTE!$AB$26),IF(RASANTE!F255&lt;=PERALTE!$S$26,-2,IF(RASANTE!F255&lt;=PERALTE!$U$26,(-6/(PERALTE!$U$26-PERALTE!$S$26)*(RASANTE!F255-PERALTE!$S$26)-2),IF(RASANTE!F255&lt;=PERALTE!$X$26,-8,IF(RASANTE!F255&lt;=PERALTE!$Z$26,(-6/(PERALTE!$X$26-PERALTE!$Z$26)*(RASANTE!F255-PERALTE!$Z$26)-2),IF(RASANTE!F255&lt;=PERALTE!$AB$26,-2))))),IF(AND(AH!#REF!="Derecha",RASANTE!F255&lt;=PERALTE!$AB$26),IF(RASANTE!F255&lt;=PERALTE!$Q$26,-2,IF(RASANTE!F255&lt;=PERALTE!$U$26,(10/(PERALTE!$U$26-PERALTE!$Q$26)*(RASANTE!F255-PERALTE!$Q$26)-2),IF(RASANTE!F255&lt;=PERALTE!$X$26,8,IF(RASANTE!F255&lt;=PERALTE!$AB$26,(10/(PERALTE!$X$26-PERALTE!$AB$26)*(RASANTE!F255-PERALTE!$AB$26)-2))))),IF(F255&lt;=PERALTE!#REF!,-2,"Abscisa fuera de la vía")))))))))))))))))))))</f>
        <v>5.8696339392353414</v>
      </c>
      <c r="I255" s="28">
        <f>+IF(AND(AH!$H$8="Derecha",RASANTE!F255&lt;=PERALTE!$AB$6),IF(RASANTE!F255&lt;=PERALTE!$S$6,-2,IF(RASANTE!F255&lt;=PERALTE!$U$6,(-6/(PERALTE!$U$6-PERALTE!$S$6)*(RASANTE!F255-PERALTE!$S$6)-2),IF(RASANTE!F255&lt;=PERALTE!$X$6,-8,IF(RASANTE!F255&lt;=PERALTE!$Z$6,(-6/(PERALTE!$X$6-PERALTE!$Z$6)*(RASANTE!F255-PERALTE!$Z$6)-2),IF(RASANTE!F255&lt;=PERALTE!$AB$6,-2))))),IF(AND(AH!$H$8="Izquierda",RASANTE!F255&lt;=PERALTE!$AB$6),IF(RASANTE!F255&lt;=PERALTE!$Q$6,-2,IF(RASANTE!F255&lt;=PERALTE!$U$6,(10/(PERALTE!$U$6-PERALTE!$Q$6)*(RASANTE!F255-PERALTE!$Q$6)-2),IF(RASANTE!F255&lt;=PERALTE!$X$6,8,IF(RASANTE!F255&lt;=PERALTE!$AB$6,(10/(PERALTE!$X$6-PERALTE!$AB$6)*(RASANTE!F255-PERALTE!$AB$6)-2))))),IF(AND(AH!$H$10="Derecha",RASANTE!F255&lt;=PERALTE!$AB$8),IF(RASANTE!F255&lt;=PERALTE!$S$8,-2,IF(RASANTE!F255&lt;=PERALTE!$U$8,(-6/(PERALTE!$U$8-PERALTE!$S$8)*(RASANTE!F255-PERALTE!$S$8)-2),IF(RASANTE!F255&lt;=PERALTE!$X$8,-8,IF(RASANTE!F255&lt;=PERALTE!$Z$8,(-6/(PERALTE!$X$8-PERALTE!$Z$8)*(RASANTE!F255-PERALTE!$Z$8)-2),IF(RASANTE!F255&lt;=PERALTE!$AB$8,-2))))),IF(AND(AH!$H$10="Izquierda",RASANTE!F255&lt;=PERALTE!$AB$8),IF(RASANTE!F255&lt;=PERALTE!$Q$8,-2,IF(RASANTE!F255&lt;=PERALTE!$U$8,(10/(PERALTE!$U$8-PERALTE!$Q$8)*(RASANTE!F255-PERALTE!$Q$8)-2),IF(RASANTE!F255&lt;=PERALTE!$X$8,8,IF(RASANTE!F255&lt;=PERALTE!$AB$8,(10/(PERALTE!$X$8-PERALTE!$AB$8)*(RASANTE!F255-PERALTE!$AB$8)-2))))),IF(AND(AH!$H$12="Derecha",RASANTE!F255&lt;=PERALTE!$AB$10),IF(RASANTE!F255&lt;=PERALTE!$S$10,-2,IF(RASANTE!F255&lt;=PERALTE!$U$10,(-6/(PERALTE!$U$10-PERALTE!$S$10)*(RASANTE!F255-PERALTE!$S$10)-2),IF(RASANTE!F255&lt;=PERALTE!$X$10,-8,IF(RASANTE!F255&lt;=PERALTE!$Z$10,(-6/(PERALTE!$X$10-PERALTE!$Z$10)*(RASANTE!F255-PERALTE!$Z$10)-2),IF(RASANTE!F255&lt;=PERALTE!$AB$10,-2))))),IF(AND(AH!$H$12="Izquierda",RASANTE!F255&lt;=PERALTE!$AB$10),IF(RASANTE!F255&lt;=PERALTE!$Q$10,-2,IF(RASANTE!F255&lt;=PERALTE!$U$10,(10/(PERALTE!$U$10-PERALTE!$Q$10)*(RASANTE!F255-PERALTE!$Q$10)-2),IF(RASANTE!F255&lt;=PERALTE!$X$10,8,IF(RASANTE!F255&lt;=PERALTE!$AB$10,(10/(PERALTE!$X$10-PERALTE!$AB$10)*(RASANTE!F255-PERALTE!$AB$10)-2))))),IF(AND(AH!$H$14="Derecha",RASANTE!F255&lt;=PERALTE!$AB$12),IF(RASANTE!F255&lt;=PERALTE!$S$12,-2,IF(RASANTE!F255&lt;=PERALTE!$U$12,(-6/(PERALTE!$U$12-PERALTE!$S$12)*(RASANTE!F255-PERALTE!$S$12)-2),IF(RASANTE!F255&lt;=PERALTE!$X$12,-8,IF(RASANTE!F255&lt;=PERALTE!$Z$12,(-6/(PERALTE!$X$12-PERALTE!$Z$12)*(RASANTE!F255-PERALTE!$Z$12)-2),IF(RASANTE!F255&lt;=PERALTE!$AB$12,-2))))),IF(AND(AH!$H$14="Izquierda",RASANTE!F255&lt;=PERALTE!$AB$12),IF(RASANTE!F255&lt;=PERALTE!$Q$12,-2,IF(RASANTE!F255&lt;=PERALTE!$U$12,(10/(PERALTE!$U$12-PERALTE!$Q$12)*(RASANTE!F255-PERALTE!$Q$12)-2),IF(RASANTE!F255&lt;=PERALTE!$X$12,8,IF(RASANTE!F255&lt;=PERALTE!$AB$12,(10/(PERALTE!$X$12-PERALTE!$AB$12)*(RASANTE!F255-PERALTE!$AB$12)-2))))),IF(AND(AH!$H$16="Derecha",RASANTE!F255&lt;=PERALTE!$AB$14),IF(RASANTE!F255&lt;=PERALTE!$S$14,-2,IF(RASANTE!F255&lt;=PERALTE!$U$14,(-6/(PERALTE!$U$14-PERALTE!$S$14)*(RASANTE!F255-PERALTE!$S$14)-2),IF(RASANTE!F255&lt;=PERALTE!$X$14,-8,IF(RASANTE!F255&lt;=PERALTE!$Z$14,(-6/(PERALTE!$X$14-PERALTE!$Z$14)*(RASANTE!F255-PERALTE!$Z$14)-2),IF(RASANTE!F255&lt;=PERALTE!$AB$14,-2))))),IF(AND(AH!$H$16="Izquierda",RASANTE!F255&lt;=PERALTE!$AB$14),IF(RASANTE!F255&lt;=PERALTE!$Q$14,-2,IF(RASANTE!F255&lt;=PERALTE!$U$14,(10/(PERALTE!$U$14-PERALTE!$Q$14)*(RASANTE!F255-PERALTE!$Q$14)-2),IF(RASANTE!F255&lt;=PERALTE!$X$14,8,IF(RASANTE!F255&lt;=PERALTE!$AB$14,(10/(PERALTE!$X$14-PERALTE!$AB$14)*(RASANTE!F255-PERALTE!$AB$14)-2))))),IF(AND(AH!$H$18="Derecha",RASANTE!F255&lt;=PERALTE!$AB$16),IF(RASANTE!F255&lt;=PERALTE!$S$16,-2,IF(RASANTE!F255&lt;=PERALTE!$U$16,(-6/(PERALTE!$U$16-PERALTE!$S$16)*(RASANTE!F255-PERALTE!$S$16)-2),IF(RASANTE!F255&lt;=PERALTE!$X$16,-8,IF(RASANTE!F255&lt;=PERALTE!$Z$16,(-6/(PERALTE!$X$16-PERALTE!$Z$16)*(RASANTE!F255-PERALTE!$Z$16)-2),IF(RASANTE!F255&lt;=PERALTE!$AB$16,-2))))),IF(AND(AH!$H$18="Izquierda",RASANTE!F255&lt;=PERALTE!$AB$16),IF(RASANTE!F255&lt;=PERALTE!$Q$16,-2,IF(RASANTE!F255&lt;=PERALTE!$U$16,(10/(PERALTE!$U$16-PERALTE!$Q$16)*(RASANTE!F255-PERALTE!$Q$16)-2),IF(RASANTE!F255&lt;=PERALTE!$X$16,8,IF(RASANTE!F255&lt;=PERALTE!$AB$16,(10/(PERALTE!$X$16-PERALTE!$AB$16)*(RASANTE!F255-PERALTE!$AB$16)-2))))),IF(AND(AH!$H$20="Derecha",RASANTE!F255&lt;=PERALTE!$AB$18),IF(RASANTE!F255&lt;=PERALTE!$S$18,-2,IF(RASANTE!F255&lt;=PERALTE!$U$18,(-6/(PERALTE!$U$18-PERALTE!$S$18)*(RASANTE!F255-PERALTE!$S$18)-2),IF(RASANTE!F255&lt;=PERALTE!$X$18,-8,IF(RASANTE!F255&lt;=PERALTE!$Z$18,(-6/(PERALTE!$X$18-PERALTE!$Z$18)*(RASANTE!F255-PERALTE!$Z$18)-2),IF(RASANTE!F255&lt;=PERALTE!$AB$18,-2))))),IF(AND(AH!$H$20="Izquierda",RASANTE!F255&lt;=PERALTE!$AB$18),IF(RASANTE!F255&lt;=PERALTE!$Q$18,-2,IF(RASANTE!F255&lt;=PERALTE!$U$18,(10/(PERALTE!$U$18-PERALTE!$Q$18)*(RASANTE!F255-PERALTE!$Q$18)-2),IF(RASANTE!F255&lt;=PERALTE!$X$18,8,IF(RASANTE!F255&lt;=PERALTE!$AB$18,(10/(PERALTE!$X$18-PERALTE!$AB$18)*(RASANTE!F255-PERALTE!$AB$18)-2))))),IF(AND(AH!$H$24="Derecha",RASANTE!F255&lt;=PERALTE!$AB$22),IF(RASANTE!F255&lt;=PERALTE!$S$22,-2,IF(RASANTE!F255&lt;=PERALTE!$U$22,(-6/(PERALTE!$U$22-PERALTE!$S$22)*(RASANTE!F255-PERALTE!$S$22)-2),IF(RASANTE!F255&lt;=PERALTE!$X$22,-8,IF(RASANTE!F255&lt;=PERALTE!$Z$22,(-6/(PERALTE!$X$22-PERALTE!$Z$22)*(RASANTE!F255-PERALTE!$Z$22)-2),IF(RASANTE!F255&lt;=PERALTE!$AB$22,-2))))),IF(AND(AH!$H$24="Izquierda",RASANTE!F255&lt;=PERALTE!$AB$22),IF(RASANTE!F255&lt;=PERALTE!$Q$22,-2,IF(RASANTE!F255&lt;=PERALTE!$U$22,(10/(PERALTE!$U$22-PERALTE!$Q$22)*(RASANTE!F255-PERALTE!$Q$22)-2),IF(RASANTE!F255&lt;=PERALTE!$X$22,8,IF(RASANTE!F255&lt;=PERALTE!$AB$22,(10/(PERALTE!$X$22-PERALTE!$AB$22)*(RASANTE!F255-PERALTE!$AB$22)-2))))),IF(AND(AH!#REF!="Derecha",RASANTE!F255&lt;=PERALTE!#REF!),IF(RASANTE!F255&lt;=PERALTE!#REF!,-2,IF(RASANTE!F255&lt;=PERALTE!#REF!,(-6/(PERALTE!#REF!-PERALTE!#REF!)*(RASANTE!F255-PERALTE!#REF!)-2),IF(RASANTE!F255&lt;=PERALTE!#REF!,-8,IF(RASANTE!F255&lt;=PERALTE!#REF!,(-6/(PERALTE!#REF!-PERALTE!#REF!)*(RASANTE!F255-PERALTE!#REF!)-2),IF(RASANTE!F255&lt;=PERALTE!#REF!,-2))))),IF(AND(AH!#REF!="Izquierda",RASANTE!F255&lt;=PERALTE!#REF!),IF(RASANTE!F255&lt;=PERALTE!#REF!,-2,IF(RASANTE!F255&lt;=PERALTE!#REF!,(10/(PERALTE!#REF!-PERALTE!#REF!)*(RASANTE!F255-PERALTE!#REF!)-2),IF(RASANTE!F255&lt;=PERALTE!#REF!,8,IF(RASANTE!F255&lt;=PERALTE!#REF!,(10/(PERALTE!#REF!-PERALTE!#REF!)*(RASANTE!F255-PERALTE!#REF!)-2))))),IF(AND(AH!#REF!="Derecha",RASANTE!F255&lt;=PERALTE!$AB$26),IF(RASANTE!F255&lt;=PERALTE!$S$26,-2,IF(RASANTE!F255&lt;=PERALTE!$U$26,(-6/(PERALTE!$U$26-PERALTE!$S$26)*(RASANTE!F255-PERALTE!$S$26)-2),IF(RASANTE!F255&lt;=PERALTE!$X$26,-8,IF(RASANTE!F255&lt;=PERALTE!$Z$26,(-6/(PERALTE!$X$26-PERALTE!$Z$26)*(RASANTE!F255-PERALTE!$Z$26)-2),IF(RASANTE!F255&lt;=PERALTE!$AB$26,-2))))),IF(AND(AH!#REF!="Izquierda",RASANTE!F255&lt;=PERALTE!$AB$26),IF(RASANTE!F255&lt;=PERALTE!$Q$26,-2,IF(RASANTE!F255&lt;=PERALTE!$U$26,(10/(PERALTE!$U$26-PERALTE!$Q$26)*(RASANTE!F255-PERALTE!$Q$26)-2),IF(RASANTE!F255&lt;=PERALTE!$X$26,8,IF(RASANTE!F255&lt;=PERALTE!$AB$26,(10/(PERALTE!$X$26-PERALTE!$AB$26)*(RASANTE!F255-PERALTE!$AB$26)-2))))),IF(F255&lt;=PERALTE!#REF!,-2,"Abscisa fuera de la vía")))))))))))))))))))))</f>
        <v>-5.8696339392353485</v>
      </c>
      <c r="J255" s="28">
        <f t="shared" si="11"/>
        <v>1634.4678044648981</v>
      </c>
      <c r="K255" s="28">
        <f>+IF(AND(AV!$S$6&lt;F255,F255&lt;=AV!$T$6),AV!$P$6*((AV!$S$6-RASANTE!F255)/(AV!$N$6))^2,IF(AND(AV!$T$6&lt;RASANTE!F255,F255&lt;AV!$U$6),AV!$P$6*((AV!$U$6-RASANTE!F255)/(AV!$O$6))^2,IF(AND(AV!$S$8&lt;F255,F255&lt;=AV!$T$8),AV!$P$8*((AV!$S$8-RASANTE!F255)/(AV!$N$8))^2,IF(AND(AV!$T$8&lt;RASANTE!F255,F255&lt;AV!$U$8),AV!$P$8*((AV!$U$8-RASANTE!F255)/(AV!$O$8))^2,IF(AND(AV!$S$10&lt;F255,F255&lt;=AV!$T$10),AV!$P$10*((AV!$S$10-RASANTE!F255)/(AV!$N$10))^2,IF(AND(AV!$T$10&lt;RASANTE!F255,F255&lt;AV!$U$10),AV!$P$10*((AV!$U$10-RASANTE!F255)/(AV!$O$10))^2,IF(AND(AV!$S$12&lt;F255,F255&lt;=AV!$T$12),AV!$P$12*((AV!$S$12-RASANTE!F255)/(AV!$N$12))^2,IF(AND(AV!$T$12&lt;RASANTE!F255,F255&lt;AV!$U$12),AV!$P$12*((AV!$U$12-RASANTE!F255)/(AV!$O$12))^2,IF(AND(AV!$S$14&lt;F255,F255&lt;=AV!$T$14),AV!$P$14*((AV!$S$14-RASANTE!F255)/(AV!$N$14))^2,IF(AND(AV!$T$14&lt;RASANTE!F255,F255&lt;AV!$U$14),AV!$P$14*((AV!$U$14-RASANTE!F255)/(AV!$O$14))^2,IF(AND(AV!$S$16&lt;F255,F255&lt;=AV!$T$16),AV!$P$16*((AV!$S$16-RASANTE!F255)/(AV!$N$16))^2,IF(AND(AV!$T$16&lt;RASANTE!F255,F255&lt;AV!$U$16),AV!$P$16*((AV!$U$16-RASANTE!F255)/(AV!$O$16))^2,IF(AND(AV!$S$18&lt;F255,F255&lt;=AV!$T$18),AV!$P$18*((AV!$S$18-RASANTE!F255)/(AV!$N$18))^2,IF(AND(AV!$T$18&lt;RASANTE!F255,F255&lt;AV!$U$18),AV!$P$18*((AV!$U$18-RASANTE!F255)/(AV!$O$18))^2,IF(AND(AV!$S$20&lt;F255,F255&lt;=AV!$T$20),AV!$P$20*((AV!$S$20-RASANTE!F255)/(AV!$N$20))^2,IF(AND(AV!$T$20&lt;RASANTE!F255,F255&lt;AV!$U$20),AV!$P$20*((AV!$U$20-RASANTE!F255)/(AV!$O$20))^2,IF(AND(AV!$S$22&lt;F255,F255&lt;=AV!$T$22),AV!$P$22*((AV!$S$22-RASANTE!F255)/(AV!$N$22))^2,IF(AND(AV!$T$22&lt;RASANTE!F255,F255&lt;AV!$U$22),AV!$P$22*((AV!$U$22-RASANTE!F255)/(AV!$O$22))^2,IF(AND(AV!$S$24&lt;F255,F255&lt;=AV!$T$24),AV!$P$24*((AV!$S$24-RASANTE!F255)/(AV!$N$24))^2,IF(AND(AV!$T$24&lt;RASANTE!F255,F255&lt;AV!$U$24),AV!$P$24*((AV!$U$24-RASANTE!F255)/(AV!$O$24))^2,0))))))))))))))))))))</f>
        <v>0.13240000000000005</v>
      </c>
      <c r="L255" s="28">
        <f>+M255+H255%*PERALTE!$C$32</f>
        <v>1634.8056416527713</v>
      </c>
      <c r="M255" s="28">
        <f t="shared" si="12"/>
        <v>1634.6002044648981</v>
      </c>
      <c r="N255" s="28">
        <f>+M255+I255%*PERALTE!$C$32</f>
        <v>1634.3947672770248</v>
      </c>
      <c r="O255" s="92"/>
      <c r="P255" s="84"/>
      <c r="Q255" s="84"/>
      <c r="R255" s="84"/>
      <c r="S255" s="84"/>
      <c r="T255" s="84"/>
      <c r="U255" s="84"/>
      <c r="V255" s="84"/>
      <c r="W255" s="84"/>
      <c r="X255" s="84"/>
      <c r="Y255" s="84"/>
    </row>
    <row r="256" spans="1:25" ht="15.75" customHeight="1" x14ac:dyDescent="0.2">
      <c r="A256" s="322"/>
      <c r="E256" s="154">
        <f>AV!C15</f>
        <v>2.8</v>
      </c>
      <c r="F256" s="34">
        <v>1540</v>
      </c>
      <c r="G256" s="88">
        <v>5.4480000000000004</v>
      </c>
      <c r="H256" s="28">
        <f>+IF(AND(AH!$H$8="Izquierda",RASANTE!F256&lt;=PERALTE!$AB$6),IF(RASANTE!F256&lt;=PERALTE!$S$6,-2,IF(RASANTE!F256&lt;=PERALTE!$U$6,(-6/(PERALTE!$U$6-PERALTE!$S$6)*(RASANTE!F256-PERALTE!$S$6)-2),IF(RASANTE!F256&lt;=PERALTE!$X$6,-8,IF(RASANTE!F256&lt;=PERALTE!$Z$6,(-6/(PERALTE!$X$6-PERALTE!$Z$6)*(RASANTE!F256-PERALTE!$Z$6)-2),IF(RASANTE!F256&lt;=PERALTE!$AB$6,-2))))),IF(AND(AH!$H$8="Derecha",RASANTE!F256&lt;=PERALTE!$AB$6),IF(RASANTE!F256&lt;=PERALTE!$Q$6,-2,IF(RASANTE!F256&lt;=PERALTE!$U$6,(10/(PERALTE!$U$6-PERALTE!$Q$6)*(RASANTE!F256-PERALTE!$Q$6)-2),IF(RASANTE!F256&lt;=PERALTE!$X$6,8,IF(RASANTE!F256&lt;=PERALTE!$AB$6,(10/(PERALTE!$X$6-PERALTE!$AB$6)*(RASANTE!F256-PERALTE!$AB$6)-2))))),IF(AND(AH!$H$10="Izquierda",RASANTE!F256&lt;=PERALTE!$AB$8),IF(RASANTE!F256&lt;=PERALTE!$S$8,-2,IF(RASANTE!F256&lt;=PERALTE!$U$8,(-6/(PERALTE!$U$8-PERALTE!$S$8)*(RASANTE!F256-PERALTE!$S$8)-2),IF(RASANTE!F256&lt;=PERALTE!$X$8,-8,IF(RASANTE!F256&lt;=PERALTE!$Z$8,(-6/(PERALTE!$X$8-PERALTE!$Z$8)*(RASANTE!F256-PERALTE!$Z$8)-2),IF(RASANTE!F256&lt;=PERALTE!$AB$8,-2))))),IF(AND(AH!$H$10="Derecha",RASANTE!F256&lt;=PERALTE!$AB$8),IF(RASANTE!F256&lt;=PERALTE!$Q$8,-2,IF(RASANTE!F256&lt;=PERALTE!$U$8,(10/(PERALTE!$U$8-PERALTE!$Q$8)*(RASANTE!F256-PERALTE!$Q$8)-2),IF(RASANTE!F256&lt;=PERALTE!$X$8,8,IF(RASANTE!F256&lt;=PERALTE!$AB$8,(10/(PERALTE!$X$8-PERALTE!$AB$8)*(RASANTE!F256-PERALTE!$AB$8)-2))))),IF(AND(AH!$H$12="Izquierda",RASANTE!F256&lt;=PERALTE!$AB$10),IF(RASANTE!F256&lt;=PERALTE!$S$10,-2,IF(RASANTE!F256&lt;=PERALTE!$U$10,(-6/(PERALTE!$U$10-PERALTE!$S$10)*(RASANTE!F256-PERALTE!$S$10)-2),IF(RASANTE!F256&lt;=PERALTE!$X$10,-8,IF(RASANTE!F256&lt;=PERALTE!$Z$10,(-6/(PERALTE!$X$10-PERALTE!$Z$10)*(RASANTE!F256-PERALTE!$Z$10)-2),IF(RASANTE!F256&lt;=PERALTE!$AB$10,-2))))),IF(AND(AH!$H$12="Derecha",RASANTE!F256&lt;=PERALTE!$AB$10),IF(RASANTE!F256&lt;=PERALTE!$Q$10,-2,IF(RASANTE!F256&lt;=PERALTE!$U$10,(10/(PERALTE!$U$10-PERALTE!$Q$10)*(RASANTE!F256-PERALTE!$Q$10)-2),IF(RASANTE!F256&lt;=PERALTE!$X$10,8,IF(RASANTE!F256&lt;=PERALTE!$AB$10,(10/(PERALTE!$X$10-PERALTE!$AB$10)*(RASANTE!F256-PERALTE!$AB$10)-2))))),IF(AND(AH!$H$14="Izquierda",RASANTE!F256&lt;=PERALTE!$AB$12),IF(RASANTE!F256&lt;=PERALTE!$S$12,-2,IF(RASANTE!F256&lt;=PERALTE!$U$12,(-6/(PERALTE!$U$12-PERALTE!$S$12)*(RASANTE!F256-PERALTE!$S$12)-2),IF(RASANTE!F256&lt;=PERALTE!$X$12,-8,IF(RASANTE!F256&lt;=PERALTE!$Z$12,(-6/(PERALTE!$X$12-PERALTE!$Z$12)*(RASANTE!F256-PERALTE!$Z$12)-2),IF(RASANTE!F256&lt;=PERALTE!$AB$12,-2))))),IF(AND(AH!$H$14="Derecha",RASANTE!F256&lt;=PERALTE!$AB$12),IF(RASANTE!F256&lt;=PERALTE!$Q$12,-2,IF(RASANTE!F256&lt;=PERALTE!$U$12,(10/(PERALTE!$U$12-PERALTE!$Q$12)*(RASANTE!F256-PERALTE!$Q$12)-2),IF(RASANTE!F256&lt;=PERALTE!$X$12,8,IF(RASANTE!F256&lt;=PERALTE!$AB$12,(10/(PERALTE!$X$12-PERALTE!$AB$12)*(RASANTE!F256-PERALTE!$AB$12)-2))))),IF(AND(AH!$H$16="Izquierda",RASANTE!F256&lt;=PERALTE!$AB$14),IF(RASANTE!F256&lt;=PERALTE!$S$14,-2,IF(RASANTE!F256&lt;=PERALTE!$U$14,(-6/(PERALTE!$U$14-PERALTE!$S$14)*(RASANTE!F256-PERALTE!$S$14)-2),IF(RASANTE!F256&lt;=PERALTE!$X$14,-8,IF(RASANTE!F256&lt;=PERALTE!$Z$14,(-6/(PERALTE!$X$14-PERALTE!$Z$14)*(RASANTE!F256-PERALTE!$Z$14)-2),IF(RASANTE!F256&lt;=PERALTE!$AB$14,-2))))),IF(AND(AH!$H$16="Derecha",RASANTE!F256&lt;=PERALTE!$AB$14),IF(RASANTE!F256&lt;=PERALTE!$Q$14,-2,IF(RASANTE!F256&lt;=PERALTE!$U$14,(10/(PERALTE!$U$14-PERALTE!$Q$14)*(RASANTE!F256-PERALTE!$Q$14)-2),IF(RASANTE!F256&lt;=PERALTE!$X$14,8,IF(RASANTE!F256&lt;=PERALTE!$AB$14,(10/(PERALTE!$X$14-PERALTE!$AB$14)*(RASANTE!F256-PERALTE!$AB$14)-2))))),IF(AND(AH!$H$18="Izquierda",RASANTE!F256&lt;=PERALTE!$AB$16),IF(RASANTE!F256&lt;=PERALTE!$S$16,-2,IF(RASANTE!F256&lt;=PERALTE!$U$16,(-6/(PERALTE!$U$16-PERALTE!$S$16)*(RASANTE!F256-PERALTE!$S$16)-2),IF(RASANTE!F256&lt;=PERALTE!$X$16,-8,IF(RASANTE!F256&lt;=PERALTE!$Z$16,(-6/(PERALTE!$X$16-PERALTE!$Z$16)*(RASANTE!F256-PERALTE!$Z$16)-2),IF(RASANTE!F256&lt;=PERALTE!$AB$16,-2))))),IF(AND(AH!$H$18="Derecha",RASANTE!F256&lt;=PERALTE!$AB$16),IF(RASANTE!F256&lt;=PERALTE!$Q$16,-2,IF(RASANTE!F256&lt;=PERALTE!$U$16,(10/(PERALTE!$U$16-PERALTE!$Q$16)*(RASANTE!F256-PERALTE!$Q$16)-2),IF(RASANTE!F256&lt;=PERALTE!$X$16,8,IF(RASANTE!F256&lt;=PERALTE!$AB$16,(10/(PERALTE!$X$16-PERALTE!$AB$16)*(RASANTE!F256-PERALTE!$AB$16)-2))))),IF(AND(AH!$H$20="Izquierda",RASANTE!F256&lt;=PERALTE!$AB$18),IF(RASANTE!F256&lt;=PERALTE!$S$18,-2,IF(RASANTE!F256&lt;=PERALTE!$U$18,(-6/(PERALTE!$U$18-PERALTE!$S$18)*(RASANTE!F256-PERALTE!$S$18)-2),IF(RASANTE!F256&lt;=PERALTE!$X$18,-8,IF(RASANTE!F256&lt;=PERALTE!$Z$18,(-6/(PERALTE!$X$18-PERALTE!$Z$18)*(RASANTE!F256-PERALTE!$Z$18)-2),IF(RASANTE!F256&lt;=PERALTE!$AB$18,-2))))),IF(AND(AH!$H$20="Derecha",RASANTE!F256&lt;=PERALTE!$AB$18),IF(RASANTE!F256&lt;=PERALTE!$Q$18,-2,IF(RASANTE!F256&lt;=PERALTE!$U$18,(10/(PERALTE!$U$18-PERALTE!$Q$18)*(RASANTE!F256-PERALTE!$Q$18)-2),IF(RASANTE!F256&lt;=PERALTE!$X$18,8,IF(RASANTE!F256&lt;=PERALTE!$AB$18,(10/(PERALTE!$X$18-PERALTE!$AB$18)*(RASANTE!F256-PERALTE!$AB$18)-2))))),IF(AND(AH!$H$24="Izquierda",RASANTE!F256&lt;=PERALTE!$AB$22),IF(RASANTE!F256&lt;=PERALTE!$S$22,-2,IF(RASANTE!F256&lt;=PERALTE!$U$22,(-6/(PERALTE!$U$22-PERALTE!$S$22)*(RASANTE!F256-PERALTE!$S$22)-2),IF(RASANTE!F256&lt;=PERALTE!$X$22,-8,IF(RASANTE!F256&lt;=PERALTE!$Z$22,(-6/(PERALTE!$X$22-PERALTE!$Z$22)*(RASANTE!F256-PERALTE!$Z$22)-2),IF(RASANTE!F256&lt;=PERALTE!$AB$22,-2))))),IF(AND(AH!$H$24="Derecha",RASANTE!F256&lt;=PERALTE!$AB$22),IF(RASANTE!F256&lt;=PERALTE!$Q$22,-2,IF(RASANTE!F256&lt;=PERALTE!$U$22,(10/(PERALTE!$U$22-PERALTE!$Q$22)*(RASANTE!F256-PERALTE!$Q$22)-2),IF(RASANTE!F256&lt;=PERALTE!$X$22,8,IF(RASANTE!F256&lt;=PERALTE!$AB$22,(10/(PERALTE!$X$22-PERALTE!$AB$22)*(RASANTE!F256-PERALTE!$AB$22)-2))))),IF(AND(AH!#REF!="Izquierda",RASANTE!F256&lt;=PERALTE!#REF!),IF(RASANTE!F256&lt;=PERALTE!#REF!,-2,IF(RASANTE!F256&lt;=PERALTE!#REF!,(-6/(PERALTE!#REF!-PERALTE!#REF!)*(RASANTE!F256-PERALTE!#REF!)-2),IF(RASANTE!F256&lt;=PERALTE!#REF!,-8,IF(RASANTE!F256&lt;=PERALTE!#REF!,(-6/(PERALTE!#REF!-PERALTE!#REF!)*(RASANTE!F256-PERALTE!#REF!)-2),IF(RASANTE!F256&lt;=PERALTE!#REF!,-2))))),IF(AND(AH!#REF!="Derecha",RASANTE!F256&lt;=PERALTE!#REF!),IF(RASANTE!F256&lt;=PERALTE!#REF!,-2,IF(RASANTE!F256&lt;=PERALTE!#REF!,(10/(PERALTE!#REF!-PERALTE!#REF!)*(RASANTE!F256-PERALTE!#REF!)-2),IF(RASANTE!F256&lt;=PERALTE!#REF!,8,IF(RASANTE!F256&lt;=PERALTE!#REF!,(10/(PERALTE!#REF!-PERALTE!#REF!)*(RASANTE!F256-PERALTE!#REF!)-2))))),IF(AND(AH!#REF!="Izquierda",RASANTE!F256&lt;=PERALTE!$AB$26),IF(RASANTE!F256&lt;=PERALTE!$S$26,-2,IF(RASANTE!F256&lt;=PERALTE!$U$26,(-6/(PERALTE!$U$26-PERALTE!$S$26)*(RASANTE!F256-PERALTE!$S$26)-2),IF(RASANTE!F256&lt;=PERALTE!$X$26,-8,IF(RASANTE!F256&lt;=PERALTE!$Z$26,(-6/(PERALTE!$X$26-PERALTE!$Z$26)*(RASANTE!F256-PERALTE!$Z$26)-2),IF(RASANTE!F256&lt;=PERALTE!$AB$26,-2))))),IF(AND(AH!#REF!="Derecha",RASANTE!F256&lt;=PERALTE!$AB$26),IF(RASANTE!F256&lt;=PERALTE!$Q$26,-2,IF(RASANTE!F256&lt;=PERALTE!$U$26,(10/(PERALTE!$U$26-PERALTE!$Q$26)*(RASANTE!F256-PERALTE!$Q$26)-2),IF(RASANTE!F256&lt;=PERALTE!$X$26,8,IF(RASANTE!F256&lt;=PERALTE!$AB$26,(10/(PERALTE!$X$26-PERALTE!$AB$26)*(RASANTE!F256-PERALTE!$AB$26)-2))))),IF(F256&lt;=PERALTE!#REF!,-2,"Abscisa fuera de la vía")))))))))))))))))))))</f>
        <v>5.8293739392353423</v>
      </c>
      <c r="I256" s="28">
        <f>+IF(AND(AH!$H$8="Derecha",RASANTE!F256&lt;=PERALTE!$AB$6),IF(RASANTE!F256&lt;=PERALTE!$S$6,-2,IF(RASANTE!F256&lt;=PERALTE!$U$6,(-6/(PERALTE!$U$6-PERALTE!$S$6)*(RASANTE!F256-PERALTE!$S$6)-2),IF(RASANTE!F256&lt;=PERALTE!$X$6,-8,IF(RASANTE!F256&lt;=PERALTE!$Z$6,(-6/(PERALTE!$X$6-PERALTE!$Z$6)*(RASANTE!F256-PERALTE!$Z$6)-2),IF(RASANTE!F256&lt;=PERALTE!$AB$6,-2))))),IF(AND(AH!$H$8="Izquierda",RASANTE!F256&lt;=PERALTE!$AB$6),IF(RASANTE!F256&lt;=PERALTE!$Q$6,-2,IF(RASANTE!F256&lt;=PERALTE!$U$6,(10/(PERALTE!$U$6-PERALTE!$Q$6)*(RASANTE!F256-PERALTE!$Q$6)-2),IF(RASANTE!F256&lt;=PERALTE!$X$6,8,IF(RASANTE!F256&lt;=PERALTE!$AB$6,(10/(PERALTE!$X$6-PERALTE!$AB$6)*(RASANTE!F256-PERALTE!$AB$6)-2))))),IF(AND(AH!$H$10="Derecha",RASANTE!F256&lt;=PERALTE!$AB$8),IF(RASANTE!F256&lt;=PERALTE!$S$8,-2,IF(RASANTE!F256&lt;=PERALTE!$U$8,(-6/(PERALTE!$U$8-PERALTE!$S$8)*(RASANTE!F256-PERALTE!$S$8)-2),IF(RASANTE!F256&lt;=PERALTE!$X$8,-8,IF(RASANTE!F256&lt;=PERALTE!$Z$8,(-6/(PERALTE!$X$8-PERALTE!$Z$8)*(RASANTE!F256-PERALTE!$Z$8)-2),IF(RASANTE!F256&lt;=PERALTE!$AB$8,-2))))),IF(AND(AH!$H$10="Izquierda",RASANTE!F256&lt;=PERALTE!$AB$8),IF(RASANTE!F256&lt;=PERALTE!$Q$8,-2,IF(RASANTE!F256&lt;=PERALTE!$U$8,(10/(PERALTE!$U$8-PERALTE!$Q$8)*(RASANTE!F256-PERALTE!$Q$8)-2),IF(RASANTE!F256&lt;=PERALTE!$X$8,8,IF(RASANTE!F256&lt;=PERALTE!$AB$8,(10/(PERALTE!$X$8-PERALTE!$AB$8)*(RASANTE!F256-PERALTE!$AB$8)-2))))),IF(AND(AH!$H$12="Derecha",RASANTE!F256&lt;=PERALTE!$AB$10),IF(RASANTE!F256&lt;=PERALTE!$S$10,-2,IF(RASANTE!F256&lt;=PERALTE!$U$10,(-6/(PERALTE!$U$10-PERALTE!$S$10)*(RASANTE!F256-PERALTE!$S$10)-2),IF(RASANTE!F256&lt;=PERALTE!$X$10,-8,IF(RASANTE!F256&lt;=PERALTE!$Z$10,(-6/(PERALTE!$X$10-PERALTE!$Z$10)*(RASANTE!F256-PERALTE!$Z$10)-2),IF(RASANTE!F256&lt;=PERALTE!$AB$10,-2))))),IF(AND(AH!$H$12="Izquierda",RASANTE!F256&lt;=PERALTE!$AB$10),IF(RASANTE!F256&lt;=PERALTE!$Q$10,-2,IF(RASANTE!F256&lt;=PERALTE!$U$10,(10/(PERALTE!$U$10-PERALTE!$Q$10)*(RASANTE!F256-PERALTE!$Q$10)-2),IF(RASANTE!F256&lt;=PERALTE!$X$10,8,IF(RASANTE!F256&lt;=PERALTE!$AB$10,(10/(PERALTE!$X$10-PERALTE!$AB$10)*(RASANTE!F256-PERALTE!$AB$10)-2))))),IF(AND(AH!$H$14="Derecha",RASANTE!F256&lt;=PERALTE!$AB$12),IF(RASANTE!F256&lt;=PERALTE!$S$12,-2,IF(RASANTE!F256&lt;=PERALTE!$U$12,(-6/(PERALTE!$U$12-PERALTE!$S$12)*(RASANTE!F256-PERALTE!$S$12)-2),IF(RASANTE!F256&lt;=PERALTE!$X$12,-8,IF(RASANTE!F256&lt;=PERALTE!$Z$12,(-6/(PERALTE!$X$12-PERALTE!$Z$12)*(RASANTE!F256-PERALTE!$Z$12)-2),IF(RASANTE!F256&lt;=PERALTE!$AB$12,-2))))),IF(AND(AH!$H$14="Izquierda",RASANTE!F256&lt;=PERALTE!$AB$12),IF(RASANTE!F256&lt;=PERALTE!$Q$12,-2,IF(RASANTE!F256&lt;=PERALTE!$U$12,(10/(PERALTE!$U$12-PERALTE!$Q$12)*(RASANTE!F256-PERALTE!$Q$12)-2),IF(RASANTE!F256&lt;=PERALTE!$X$12,8,IF(RASANTE!F256&lt;=PERALTE!$AB$12,(10/(PERALTE!$X$12-PERALTE!$AB$12)*(RASANTE!F256-PERALTE!$AB$12)-2))))),IF(AND(AH!$H$16="Derecha",RASANTE!F256&lt;=PERALTE!$AB$14),IF(RASANTE!F256&lt;=PERALTE!$S$14,-2,IF(RASANTE!F256&lt;=PERALTE!$U$14,(-6/(PERALTE!$U$14-PERALTE!$S$14)*(RASANTE!F256-PERALTE!$S$14)-2),IF(RASANTE!F256&lt;=PERALTE!$X$14,-8,IF(RASANTE!F256&lt;=PERALTE!$Z$14,(-6/(PERALTE!$X$14-PERALTE!$Z$14)*(RASANTE!F256-PERALTE!$Z$14)-2),IF(RASANTE!F256&lt;=PERALTE!$AB$14,-2))))),IF(AND(AH!$H$16="Izquierda",RASANTE!F256&lt;=PERALTE!$AB$14),IF(RASANTE!F256&lt;=PERALTE!$Q$14,-2,IF(RASANTE!F256&lt;=PERALTE!$U$14,(10/(PERALTE!$U$14-PERALTE!$Q$14)*(RASANTE!F256-PERALTE!$Q$14)-2),IF(RASANTE!F256&lt;=PERALTE!$X$14,8,IF(RASANTE!F256&lt;=PERALTE!$AB$14,(10/(PERALTE!$X$14-PERALTE!$AB$14)*(RASANTE!F256-PERALTE!$AB$14)-2))))),IF(AND(AH!$H$18="Derecha",RASANTE!F256&lt;=PERALTE!$AB$16),IF(RASANTE!F256&lt;=PERALTE!$S$16,-2,IF(RASANTE!F256&lt;=PERALTE!$U$16,(-6/(PERALTE!$U$16-PERALTE!$S$16)*(RASANTE!F256-PERALTE!$S$16)-2),IF(RASANTE!F256&lt;=PERALTE!$X$16,-8,IF(RASANTE!F256&lt;=PERALTE!$Z$16,(-6/(PERALTE!$X$16-PERALTE!$Z$16)*(RASANTE!F256-PERALTE!$Z$16)-2),IF(RASANTE!F256&lt;=PERALTE!$AB$16,-2))))),IF(AND(AH!$H$18="Izquierda",RASANTE!F256&lt;=PERALTE!$AB$16),IF(RASANTE!F256&lt;=PERALTE!$Q$16,-2,IF(RASANTE!F256&lt;=PERALTE!$U$16,(10/(PERALTE!$U$16-PERALTE!$Q$16)*(RASANTE!F256-PERALTE!$Q$16)-2),IF(RASANTE!F256&lt;=PERALTE!$X$16,8,IF(RASANTE!F256&lt;=PERALTE!$AB$16,(10/(PERALTE!$X$16-PERALTE!$AB$16)*(RASANTE!F256-PERALTE!$AB$16)-2))))),IF(AND(AH!$H$20="Derecha",RASANTE!F256&lt;=PERALTE!$AB$18),IF(RASANTE!F256&lt;=PERALTE!$S$18,-2,IF(RASANTE!F256&lt;=PERALTE!$U$18,(-6/(PERALTE!$U$18-PERALTE!$S$18)*(RASANTE!F256-PERALTE!$S$18)-2),IF(RASANTE!F256&lt;=PERALTE!$X$18,-8,IF(RASANTE!F256&lt;=PERALTE!$Z$18,(-6/(PERALTE!$X$18-PERALTE!$Z$18)*(RASANTE!F256-PERALTE!$Z$18)-2),IF(RASANTE!F256&lt;=PERALTE!$AB$18,-2))))),IF(AND(AH!$H$20="Izquierda",RASANTE!F256&lt;=PERALTE!$AB$18),IF(RASANTE!F256&lt;=PERALTE!$Q$18,-2,IF(RASANTE!F256&lt;=PERALTE!$U$18,(10/(PERALTE!$U$18-PERALTE!$Q$18)*(RASANTE!F256-PERALTE!$Q$18)-2),IF(RASANTE!F256&lt;=PERALTE!$X$18,8,IF(RASANTE!F256&lt;=PERALTE!$AB$18,(10/(PERALTE!$X$18-PERALTE!$AB$18)*(RASANTE!F256-PERALTE!$AB$18)-2))))),IF(AND(AH!$H$24="Derecha",RASANTE!F256&lt;=PERALTE!$AB$22),IF(RASANTE!F256&lt;=PERALTE!$S$22,-2,IF(RASANTE!F256&lt;=PERALTE!$U$22,(-6/(PERALTE!$U$22-PERALTE!$S$22)*(RASANTE!F256-PERALTE!$S$22)-2),IF(RASANTE!F256&lt;=PERALTE!$X$22,-8,IF(RASANTE!F256&lt;=PERALTE!$Z$22,(-6/(PERALTE!$X$22-PERALTE!$Z$22)*(RASANTE!F256-PERALTE!$Z$22)-2),IF(RASANTE!F256&lt;=PERALTE!$AB$22,-2))))),IF(AND(AH!$H$24="Izquierda",RASANTE!F256&lt;=PERALTE!$AB$22),IF(RASANTE!F256&lt;=PERALTE!$Q$22,-2,IF(RASANTE!F256&lt;=PERALTE!$U$22,(10/(PERALTE!$U$22-PERALTE!$Q$22)*(RASANTE!F256-PERALTE!$Q$22)-2),IF(RASANTE!F256&lt;=PERALTE!$X$22,8,IF(RASANTE!F256&lt;=PERALTE!$AB$22,(10/(PERALTE!$X$22-PERALTE!$AB$22)*(RASANTE!F256-PERALTE!$AB$22)-2))))),IF(AND(AH!#REF!="Derecha",RASANTE!F256&lt;=PERALTE!#REF!),IF(RASANTE!F256&lt;=PERALTE!#REF!,-2,IF(RASANTE!F256&lt;=PERALTE!#REF!,(-6/(PERALTE!#REF!-PERALTE!#REF!)*(RASANTE!F256-PERALTE!#REF!)-2),IF(RASANTE!F256&lt;=PERALTE!#REF!,-8,IF(RASANTE!F256&lt;=PERALTE!#REF!,(-6/(PERALTE!#REF!-PERALTE!#REF!)*(RASANTE!F256-PERALTE!#REF!)-2),IF(RASANTE!F256&lt;=PERALTE!#REF!,-2))))),IF(AND(AH!#REF!="Izquierda",RASANTE!F256&lt;=PERALTE!#REF!),IF(RASANTE!F256&lt;=PERALTE!#REF!,-2,IF(RASANTE!F256&lt;=PERALTE!#REF!,(10/(PERALTE!#REF!-PERALTE!#REF!)*(RASANTE!F256-PERALTE!#REF!)-2),IF(RASANTE!F256&lt;=PERALTE!#REF!,8,IF(RASANTE!F256&lt;=PERALTE!#REF!,(10/(PERALTE!#REF!-PERALTE!#REF!)*(RASANTE!F256-PERALTE!#REF!)-2))))),IF(AND(AH!#REF!="Derecha",RASANTE!F256&lt;=PERALTE!$AB$26),IF(RASANTE!F256&lt;=PERALTE!$S$26,-2,IF(RASANTE!F256&lt;=PERALTE!$U$26,(-6/(PERALTE!$U$26-PERALTE!$S$26)*(RASANTE!F256-PERALTE!$S$26)-2),IF(RASANTE!F256&lt;=PERALTE!$X$26,-8,IF(RASANTE!F256&lt;=PERALTE!$Z$26,(-6/(PERALTE!$X$26-PERALTE!$Z$26)*(RASANTE!F256-PERALTE!$Z$26)-2),IF(RASANTE!F256&lt;=PERALTE!$AB$26,-2))))),IF(AND(AH!#REF!="Izquierda",RASANTE!F256&lt;=PERALTE!$AB$26),IF(RASANTE!F256&lt;=PERALTE!$Q$26,-2,IF(RASANTE!F256&lt;=PERALTE!$U$26,(10/(PERALTE!$U$26-PERALTE!$Q$26)*(RASANTE!F256-PERALTE!$Q$26)-2),IF(RASANTE!F256&lt;=PERALTE!$X$26,8,IF(RASANTE!F256&lt;=PERALTE!$AB$26,(10/(PERALTE!$X$26-PERALTE!$AB$26)*(RASANTE!F256-PERALTE!$AB$26)-2))))),IF(F256&lt;=PERALTE!#REF!,-2,"Abscisa fuera de la vía")))))))))))))))))))))</f>
        <v>-5.8293739392353503</v>
      </c>
      <c r="J256" s="28">
        <f t="shared" si="11"/>
        <v>1634.4729284648981</v>
      </c>
      <c r="K256" s="28">
        <f>+IF(AND(AV!$S$6&lt;F256,F256&lt;=AV!$T$6),AV!$P$6*((AV!$S$6-RASANTE!F256)/(AV!$N$6))^2,IF(AND(AV!$T$6&lt;RASANTE!F256,F256&lt;AV!$U$6),AV!$P$6*((AV!$U$6-RASANTE!F256)/(AV!$O$6))^2,IF(AND(AV!$S$8&lt;F256,F256&lt;=AV!$T$8),AV!$P$8*((AV!$S$8-RASANTE!F256)/(AV!$N$8))^2,IF(AND(AV!$T$8&lt;RASANTE!F256,F256&lt;AV!$U$8),AV!$P$8*((AV!$U$8-RASANTE!F256)/(AV!$O$8))^2,IF(AND(AV!$S$10&lt;F256,F256&lt;=AV!$T$10),AV!$P$10*((AV!$S$10-RASANTE!F256)/(AV!$N$10))^2,IF(AND(AV!$T$10&lt;RASANTE!F256,F256&lt;AV!$U$10),AV!$P$10*((AV!$U$10-RASANTE!F256)/(AV!$O$10))^2,IF(AND(AV!$S$12&lt;F256,F256&lt;=AV!$T$12),AV!$P$12*((AV!$S$12-RASANTE!F256)/(AV!$N$12))^2,IF(AND(AV!$T$12&lt;RASANTE!F256,F256&lt;AV!$U$12),AV!$P$12*((AV!$U$12-RASANTE!F256)/(AV!$O$12))^2,IF(AND(AV!$S$14&lt;F256,F256&lt;=AV!$T$14),AV!$P$14*((AV!$S$14-RASANTE!F256)/(AV!$N$14))^2,IF(AND(AV!$T$14&lt;RASANTE!F256,F256&lt;AV!$U$14),AV!$P$14*((AV!$U$14-RASANTE!F256)/(AV!$O$14))^2,IF(AND(AV!$S$16&lt;F256,F256&lt;=AV!$T$16),AV!$P$16*((AV!$S$16-RASANTE!F256)/(AV!$N$16))^2,IF(AND(AV!$T$16&lt;RASANTE!F256,F256&lt;AV!$U$16),AV!$P$16*((AV!$U$16-RASANTE!F256)/(AV!$O$16))^2,IF(AND(AV!$S$18&lt;F256,F256&lt;=AV!$T$18),AV!$P$18*((AV!$S$18-RASANTE!F256)/(AV!$N$18))^2,IF(AND(AV!$T$18&lt;RASANTE!F256,F256&lt;AV!$U$18),AV!$P$18*((AV!$U$18-RASANTE!F256)/(AV!$O$18))^2,IF(AND(AV!$S$20&lt;F256,F256&lt;=AV!$T$20),AV!$P$20*((AV!$S$20-RASANTE!F256)/(AV!$N$20))^2,IF(AND(AV!$T$20&lt;RASANTE!F256,F256&lt;AV!$U$20),AV!$P$20*((AV!$U$20-RASANTE!F256)/(AV!$O$20))^2,IF(AND(AV!$S$22&lt;F256,F256&lt;=AV!$T$22),AV!$P$22*((AV!$S$22-RASANTE!F256)/(AV!$N$22))^2,IF(AND(AV!$T$22&lt;RASANTE!F256,F256&lt;AV!$U$22),AV!$P$22*((AV!$U$22-RASANTE!F256)/(AV!$O$22))^2,IF(AND(AV!$S$24&lt;F256,F256&lt;=AV!$T$24),AV!$P$24*((AV!$S$24-RASANTE!F256)/(AV!$N$24))^2,IF(AND(AV!$T$24&lt;RASANTE!F256,F256&lt;AV!$U$24),AV!$P$24*((AV!$U$24-RASANTE!F256)/(AV!$O$24))^2,0))))))))))))))))))))</f>
        <v>0.12998816485900014</v>
      </c>
      <c r="L256" s="28">
        <f>+M256+H256%*PERALTE!$C$32</f>
        <v>1634.8069447176304</v>
      </c>
      <c r="M256" s="28">
        <f t="shared" si="12"/>
        <v>1634.6029166297571</v>
      </c>
      <c r="N256" s="28">
        <f>+M256+I256%*PERALTE!$C$32</f>
        <v>1634.3988885418839</v>
      </c>
      <c r="O256" s="92"/>
      <c r="P256" s="84"/>
      <c r="Q256" s="84"/>
      <c r="R256" s="84"/>
      <c r="S256" s="84"/>
      <c r="T256" s="84"/>
      <c r="U256" s="84"/>
      <c r="V256" s="84"/>
      <c r="W256" s="84"/>
      <c r="X256" s="84"/>
      <c r="Y256" s="84"/>
    </row>
    <row r="257" spans="1:25" ht="15.75" customHeight="1" x14ac:dyDescent="0.2">
      <c r="A257" s="322" t="s">
        <v>374</v>
      </c>
      <c r="B257" s="101"/>
      <c r="C257" s="101"/>
      <c r="D257" s="101"/>
      <c r="E257" s="180" t="str">
        <f>AV!Q16</f>
        <v>CONCAVA</v>
      </c>
      <c r="F257" s="34">
        <f>PERALTE!Y18</f>
        <v>1548.3153360874335</v>
      </c>
      <c r="G257" s="88">
        <v>5.4480000000000004</v>
      </c>
      <c r="H257" s="28">
        <f>+IF(AND(AH!$H$8="Izquierda",RASANTE!F257&lt;=PERALTE!$AB$6),IF(RASANTE!F257&lt;=PERALTE!$S$6,-2,IF(RASANTE!F257&lt;=PERALTE!$U$6,(-6/(PERALTE!$U$6-PERALTE!$S$6)*(RASANTE!F257-PERALTE!$S$6)-2),IF(RASANTE!F257&lt;=PERALTE!$X$6,-8,IF(RASANTE!F257&lt;=PERALTE!$Z$6,(-6/(PERALTE!$X$6-PERALTE!$Z$6)*(RASANTE!F257-PERALTE!$Z$6)-2),IF(RASANTE!F257&lt;=PERALTE!$AB$6,-2))))),IF(AND(AH!$H$8="Derecha",RASANTE!F257&lt;=PERALTE!$AB$6),IF(RASANTE!F257&lt;=PERALTE!$Q$6,-2,IF(RASANTE!F257&lt;=PERALTE!$U$6,(10/(PERALTE!$U$6-PERALTE!$Q$6)*(RASANTE!F257-PERALTE!$Q$6)-2),IF(RASANTE!F257&lt;=PERALTE!$X$6,8,IF(RASANTE!F257&lt;=PERALTE!$AB$6,(10/(PERALTE!$X$6-PERALTE!$AB$6)*(RASANTE!F257-PERALTE!$AB$6)-2))))),IF(AND(AH!$H$10="Izquierda",RASANTE!F257&lt;=PERALTE!$AB$8),IF(RASANTE!F257&lt;=PERALTE!$S$8,-2,IF(RASANTE!F257&lt;=PERALTE!$U$8,(-6/(PERALTE!$U$8-PERALTE!$S$8)*(RASANTE!F257-PERALTE!$S$8)-2),IF(RASANTE!F257&lt;=PERALTE!$X$8,-8,IF(RASANTE!F257&lt;=PERALTE!$Z$8,(-6/(PERALTE!$X$8-PERALTE!$Z$8)*(RASANTE!F257-PERALTE!$Z$8)-2),IF(RASANTE!F257&lt;=PERALTE!$AB$8,-2))))),IF(AND(AH!$H$10="Derecha",RASANTE!F257&lt;=PERALTE!$AB$8),IF(RASANTE!F257&lt;=PERALTE!$Q$8,-2,IF(RASANTE!F257&lt;=PERALTE!$U$8,(10/(PERALTE!$U$8-PERALTE!$Q$8)*(RASANTE!F257-PERALTE!$Q$8)-2),IF(RASANTE!F257&lt;=PERALTE!$X$8,8,IF(RASANTE!F257&lt;=PERALTE!$AB$8,(10/(PERALTE!$X$8-PERALTE!$AB$8)*(RASANTE!F257-PERALTE!$AB$8)-2))))),IF(AND(AH!$H$12="Izquierda",RASANTE!F257&lt;=PERALTE!$AB$10),IF(RASANTE!F257&lt;=PERALTE!$S$10,-2,IF(RASANTE!F257&lt;=PERALTE!$U$10,(-6/(PERALTE!$U$10-PERALTE!$S$10)*(RASANTE!F257-PERALTE!$S$10)-2),IF(RASANTE!F257&lt;=PERALTE!$X$10,-8,IF(RASANTE!F257&lt;=PERALTE!$Z$10,(-6/(PERALTE!$X$10-PERALTE!$Z$10)*(RASANTE!F257-PERALTE!$Z$10)-2),IF(RASANTE!F257&lt;=PERALTE!$AB$10,-2))))),IF(AND(AH!$H$12="Derecha",RASANTE!F257&lt;=PERALTE!$AB$10),IF(RASANTE!F257&lt;=PERALTE!$Q$10,-2,IF(RASANTE!F257&lt;=PERALTE!$U$10,(10/(PERALTE!$U$10-PERALTE!$Q$10)*(RASANTE!F257-PERALTE!$Q$10)-2),IF(RASANTE!F257&lt;=PERALTE!$X$10,8,IF(RASANTE!F257&lt;=PERALTE!$AB$10,(10/(PERALTE!$X$10-PERALTE!$AB$10)*(RASANTE!F257-PERALTE!$AB$10)-2))))),IF(AND(AH!$H$14="Izquierda",RASANTE!F257&lt;=PERALTE!$AB$12),IF(RASANTE!F257&lt;=PERALTE!$S$12,-2,IF(RASANTE!F257&lt;=PERALTE!$U$12,(-6/(PERALTE!$U$12-PERALTE!$S$12)*(RASANTE!F257-PERALTE!$S$12)-2),IF(RASANTE!F257&lt;=PERALTE!$X$12,-8,IF(RASANTE!F257&lt;=PERALTE!$Z$12,(-6/(PERALTE!$X$12-PERALTE!$Z$12)*(RASANTE!F257-PERALTE!$Z$12)-2),IF(RASANTE!F257&lt;=PERALTE!$AB$12,-2))))),IF(AND(AH!$H$14="Derecha",RASANTE!F257&lt;=PERALTE!$AB$12),IF(RASANTE!F257&lt;=PERALTE!$Q$12,-2,IF(RASANTE!F257&lt;=PERALTE!$U$12,(10/(PERALTE!$U$12-PERALTE!$Q$12)*(RASANTE!F257-PERALTE!$Q$12)-2),IF(RASANTE!F257&lt;=PERALTE!$X$12,8,IF(RASANTE!F257&lt;=PERALTE!$AB$12,(10/(PERALTE!$X$12-PERALTE!$AB$12)*(RASANTE!F257-PERALTE!$AB$12)-2))))),IF(AND(AH!$H$16="Izquierda",RASANTE!F257&lt;=PERALTE!$AB$14),IF(RASANTE!F257&lt;=PERALTE!$S$14,-2,IF(RASANTE!F257&lt;=PERALTE!$U$14,(-6/(PERALTE!$U$14-PERALTE!$S$14)*(RASANTE!F257-PERALTE!$S$14)-2),IF(RASANTE!F257&lt;=PERALTE!$X$14,-8,IF(RASANTE!F257&lt;=PERALTE!$Z$14,(-6/(PERALTE!$X$14-PERALTE!$Z$14)*(RASANTE!F257-PERALTE!$Z$14)-2),IF(RASANTE!F257&lt;=PERALTE!$AB$14,-2))))),IF(AND(AH!$H$16="Derecha",RASANTE!F257&lt;=PERALTE!$AB$14),IF(RASANTE!F257&lt;=PERALTE!$Q$14,-2,IF(RASANTE!F257&lt;=PERALTE!$U$14,(10/(PERALTE!$U$14-PERALTE!$Q$14)*(RASANTE!F257-PERALTE!$Q$14)-2),IF(RASANTE!F257&lt;=PERALTE!$X$14,8,IF(RASANTE!F257&lt;=PERALTE!$AB$14,(10/(PERALTE!$X$14-PERALTE!$AB$14)*(RASANTE!F257-PERALTE!$AB$14)-2))))),IF(AND(AH!$H$18="Izquierda",RASANTE!F257&lt;=PERALTE!$AB$16),IF(RASANTE!F257&lt;=PERALTE!$S$16,-2,IF(RASANTE!F257&lt;=PERALTE!$U$16,(-6/(PERALTE!$U$16-PERALTE!$S$16)*(RASANTE!F257-PERALTE!$S$16)-2),IF(RASANTE!F257&lt;=PERALTE!$X$16,-8,IF(RASANTE!F257&lt;=PERALTE!$Z$16,(-6/(PERALTE!$X$16-PERALTE!$Z$16)*(RASANTE!F257-PERALTE!$Z$16)-2),IF(RASANTE!F257&lt;=PERALTE!$AB$16,-2))))),IF(AND(AH!$H$18="Derecha",RASANTE!F257&lt;=PERALTE!$AB$16),IF(RASANTE!F257&lt;=PERALTE!$Q$16,-2,IF(RASANTE!F257&lt;=PERALTE!$U$16,(10/(PERALTE!$U$16-PERALTE!$Q$16)*(RASANTE!F257-PERALTE!$Q$16)-2),IF(RASANTE!F257&lt;=PERALTE!$X$16,8,IF(RASANTE!F257&lt;=PERALTE!$AB$16,(10/(PERALTE!$X$16-PERALTE!$AB$16)*(RASANTE!F257-PERALTE!$AB$16)-2))))),IF(AND(AH!$H$20="Izquierda",RASANTE!F257&lt;=PERALTE!$AB$18),IF(RASANTE!F257&lt;=PERALTE!$S$18,-2,IF(RASANTE!F257&lt;=PERALTE!$U$18,(-6/(PERALTE!$U$18-PERALTE!$S$18)*(RASANTE!F257-PERALTE!$S$18)-2),IF(RASANTE!F257&lt;=PERALTE!$X$18,-8,IF(RASANTE!F257&lt;=PERALTE!$Z$18,(-6/(PERALTE!$X$18-PERALTE!$Z$18)*(RASANTE!F257-PERALTE!$Z$18)-2),IF(RASANTE!F257&lt;=PERALTE!$AB$18,-2))))),IF(AND(AH!$H$20="Derecha",RASANTE!F257&lt;=PERALTE!$AB$18),IF(RASANTE!F257&lt;=PERALTE!$Q$18,-2,IF(RASANTE!F257&lt;=PERALTE!$U$18,(10/(PERALTE!$U$18-PERALTE!$Q$18)*(RASANTE!F257-PERALTE!$Q$18)-2),IF(RASANTE!F257&lt;=PERALTE!$X$18,8,IF(RASANTE!F257&lt;=PERALTE!$AB$18,(10/(PERALTE!$X$18-PERALTE!$AB$18)*(RASANTE!F257-PERALTE!$AB$18)-2))))),IF(AND(AH!$H$24="Izquierda",RASANTE!F257&lt;=PERALTE!$AB$22),IF(RASANTE!F257&lt;=PERALTE!$S$22,-2,IF(RASANTE!F257&lt;=PERALTE!$U$22,(-6/(PERALTE!$U$22-PERALTE!$S$22)*(RASANTE!F257-PERALTE!$S$22)-2),IF(RASANTE!F257&lt;=PERALTE!$X$22,-8,IF(RASANTE!F257&lt;=PERALTE!$Z$22,(-6/(PERALTE!$X$22-PERALTE!$Z$22)*(RASANTE!F257-PERALTE!$Z$22)-2),IF(RASANTE!F257&lt;=PERALTE!$AB$22,-2))))),IF(AND(AH!$H$24="Derecha",RASANTE!F257&lt;=PERALTE!$AB$22),IF(RASANTE!F257&lt;=PERALTE!$Q$22,-2,IF(RASANTE!F257&lt;=PERALTE!$U$22,(10/(PERALTE!$U$22-PERALTE!$Q$22)*(RASANTE!F257-PERALTE!$Q$22)-2),IF(RASANTE!F257&lt;=PERALTE!$X$22,8,IF(RASANTE!F257&lt;=PERALTE!$AB$22,(10/(PERALTE!$X$22-PERALTE!$AB$22)*(RASANTE!F257-PERALTE!$AB$22)-2))))),IF(AND(AH!#REF!="Izquierda",RASANTE!F257&lt;=PERALTE!#REF!),IF(RASANTE!F257&lt;=PERALTE!#REF!,-2,IF(RASANTE!F257&lt;=PERALTE!#REF!,(-6/(PERALTE!#REF!-PERALTE!#REF!)*(RASANTE!F257-PERALTE!#REF!)-2),IF(RASANTE!F257&lt;=PERALTE!#REF!,-8,IF(RASANTE!F257&lt;=PERALTE!#REF!,(-6/(PERALTE!#REF!-PERALTE!#REF!)*(RASANTE!F257-PERALTE!#REF!)-2),IF(RASANTE!F257&lt;=PERALTE!#REF!,-2))))),IF(AND(AH!#REF!="Derecha",RASANTE!F257&lt;=PERALTE!#REF!),IF(RASANTE!F257&lt;=PERALTE!#REF!,-2,IF(RASANTE!F257&lt;=PERALTE!#REF!,(10/(PERALTE!#REF!-PERALTE!#REF!)*(RASANTE!F257-PERALTE!#REF!)-2),IF(RASANTE!F257&lt;=PERALTE!#REF!,8,IF(RASANTE!F257&lt;=PERALTE!#REF!,(10/(PERALTE!#REF!-PERALTE!#REF!)*(RASANTE!F257-PERALTE!#REF!)-2))))),IF(AND(AH!#REF!="Izquierda",RASANTE!F257&lt;=PERALTE!$AB$26),IF(RASANTE!F257&lt;=PERALTE!$S$26,-2,IF(RASANTE!F257&lt;=PERALTE!$U$26,(-6/(PERALTE!$U$26-PERALTE!$S$26)*(RASANTE!F257-PERALTE!$S$26)-2),IF(RASANTE!F257&lt;=PERALTE!$X$26,-8,IF(RASANTE!F257&lt;=PERALTE!$Z$26,(-6/(PERALTE!$X$26-PERALTE!$Z$26)*(RASANTE!F257-PERALTE!$Z$26)-2),IF(RASANTE!F257&lt;=PERALTE!$AB$26,-2))))),IF(AND(AH!#REF!="Derecha",RASANTE!F257&lt;=PERALTE!$AB$26),IF(RASANTE!F257&lt;=PERALTE!$Q$26,-2,IF(RASANTE!F257&lt;=PERALTE!$U$26,(10/(PERALTE!$U$26-PERALTE!$Q$26)*(RASANTE!F257-PERALTE!$Q$26)-2),IF(RASANTE!F257&lt;=PERALTE!$X$26,8,IF(RASANTE!F257&lt;=PERALTE!$AB$26,(10/(PERALTE!$X$26-PERALTE!$AB$26)*(RASANTE!F257-PERALTE!$AB$26)-2))))),IF(F257&lt;=PERALTE!#REF!,-2,"Abscisa fuera de la vía")))))))))))))))))))))</f>
        <v>3.9999999999999698</v>
      </c>
      <c r="I257" s="28">
        <f>+IF(AND(AH!$H$8="Derecha",RASANTE!F257&lt;=PERALTE!$AB$6),IF(RASANTE!F257&lt;=PERALTE!$S$6,-2,IF(RASANTE!F257&lt;=PERALTE!$U$6,(-6/(PERALTE!$U$6-PERALTE!$S$6)*(RASANTE!F257-PERALTE!$S$6)-2),IF(RASANTE!F257&lt;=PERALTE!$X$6,-8,IF(RASANTE!F257&lt;=PERALTE!$Z$6,(-6/(PERALTE!$X$6-PERALTE!$Z$6)*(RASANTE!F257-PERALTE!$Z$6)-2),IF(RASANTE!F257&lt;=PERALTE!$AB$6,-2))))),IF(AND(AH!$H$8="Izquierda",RASANTE!F257&lt;=PERALTE!$AB$6),IF(RASANTE!F257&lt;=PERALTE!$Q$6,-2,IF(RASANTE!F257&lt;=PERALTE!$U$6,(10/(PERALTE!$U$6-PERALTE!$Q$6)*(RASANTE!F257-PERALTE!$Q$6)-2),IF(RASANTE!F257&lt;=PERALTE!$X$6,8,IF(RASANTE!F257&lt;=PERALTE!$AB$6,(10/(PERALTE!$X$6-PERALTE!$AB$6)*(RASANTE!F257-PERALTE!$AB$6)-2))))),IF(AND(AH!$H$10="Derecha",RASANTE!F257&lt;=PERALTE!$AB$8),IF(RASANTE!F257&lt;=PERALTE!$S$8,-2,IF(RASANTE!F257&lt;=PERALTE!$U$8,(-6/(PERALTE!$U$8-PERALTE!$S$8)*(RASANTE!F257-PERALTE!$S$8)-2),IF(RASANTE!F257&lt;=PERALTE!$X$8,-8,IF(RASANTE!F257&lt;=PERALTE!$Z$8,(-6/(PERALTE!$X$8-PERALTE!$Z$8)*(RASANTE!F257-PERALTE!$Z$8)-2),IF(RASANTE!F257&lt;=PERALTE!$AB$8,-2))))),IF(AND(AH!$H$10="Izquierda",RASANTE!F257&lt;=PERALTE!$AB$8),IF(RASANTE!F257&lt;=PERALTE!$Q$8,-2,IF(RASANTE!F257&lt;=PERALTE!$U$8,(10/(PERALTE!$U$8-PERALTE!$Q$8)*(RASANTE!F257-PERALTE!$Q$8)-2),IF(RASANTE!F257&lt;=PERALTE!$X$8,8,IF(RASANTE!F257&lt;=PERALTE!$AB$8,(10/(PERALTE!$X$8-PERALTE!$AB$8)*(RASANTE!F257-PERALTE!$AB$8)-2))))),IF(AND(AH!$H$12="Derecha",RASANTE!F257&lt;=PERALTE!$AB$10),IF(RASANTE!F257&lt;=PERALTE!$S$10,-2,IF(RASANTE!F257&lt;=PERALTE!$U$10,(-6/(PERALTE!$U$10-PERALTE!$S$10)*(RASANTE!F257-PERALTE!$S$10)-2),IF(RASANTE!F257&lt;=PERALTE!$X$10,-8,IF(RASANTE!F257&lt;=PERALTE!$Z$10,(-6/(PERALTE!$X$10-PERALTE!$Z$10)*(RASANTE!F257-PERALTE!$Z$10)-2),IF(RASANTE!F257&lt;=PERALTE!$AB$10,-2))))),IF(AND(AH!$H$12="Izquierda",RASANTE!F257&lt;=PERALTE!$AB$10),IF(RASANTE!F257&lt;=PERALTE!$Q$10,-2,IF(RASANTE!F257&lt;=PERALTE!$U$10,(10/(PERALTE!$U$10-PERALTE!$Q$10)*(RASANTE!F257-PERALTE!$Q$10)-2),IF(RASANTE!F257&lt;=PERALTE!$X$10,8,IF(RASANTE!F257&lt;=PERALTE!$AB$10,(10/(PERALTE!$X$10-PERALTE!$AB$10)*(RASANTE!F257-PERALTE!$AB$10)-2))))),IF(AND(AH!$H$14="Derecha",RASANTE!F257&lt;=PERALTE!$AB$12),IF(RASANTE!F257&lt;=PERALTE!$S$12,-2,IF(RASANTE!F257&lt;=PERALTE!$U$12,(-6/(PERALTE!$U$12-PERALTE!$S$12)*(RASANTE!F257-PERALTE!$S$12)-2),IF(RASANTE!F257&lt;=PERALTE!$X$12,-8,IF(RASANTE!F257&lt;=PERALTE!$Z$12,(-6/(PERALTE!$X$12-PERALTE!$Z$12)*(RASANTE!F257-PERALTE!$Z$12)-2),IF(RASANTE!F257&lt;=PERALTE!$AB$12,-2))))),IF(AND(AH!$H$14="Izquierda",RASANTE!F257&lt;=PERALTE!$AB$12),IF(RASANTE!F257&lt;=PERALTE!$Q$12,-2,IF(RASANTE!F257&lt;=PERALTE!$U$12,(10/(PERALTE!$U$12-PERALTE!$Q$12)*(RASANTE!F257-PERALTE!$Q$12)-2),IF(RASANTE!F257&lt;=PERALTE!$X$12,8,IF(RASANTE!F257&lt;=PERALTE!$AB$12,(10/(PERALTE!$X$12-PERALTE!$AB$12)*(RASANTE!F257-PERALTE!$AB$12)-2))))),IF(AND(AH!$H$16="Derecha",RASANTE!F257&lt;=PERALTE!$AB$14),IF(RASANTE!F257&lt;=PERALTE!$S$14,-2,IF(RASANTE!F257&lt;=PERALTE!$U$14,(-6/(PERALTE!$U$14-PERALTE!$S$14)*(RASANTE!F257-PERALTE!$S$14)-2),IF(RASANTE!F257&lt;=PERALTE!$X$14,-8,IF(RASANTE!F257&lt;=PERALTE!$Z$14,(-6/(PERALTE!$X$14-PERALTE!$Z$14)*(RASANTE!F257-PERALTE!$Z$14)-2),IF(RASANTE!F257&lt;=PERALTE!$AB$14,-2))))),IF(AND(AH!$H$16="Izquierda",RASANTE!F257&lt;=PERALTE!$AB$14),IF(RASANTE!F257&lt;=PERALTE!$Q$14,-2,IF(RASANTE!F257&lt;=PERALTE!$U$14,(10/(PERALTE!$U$14-PERALTE!$Q$14)*(RASANTE!F257-PERALTE!$Q$14)-2),IF(RASANTE!F257&lt;=PERALTE!$X$14,8,IF(RASANTE!F257&lt;=PERALTE!$AB$14,(10/(PERALTE!$X$14-PERALTE!$AB$14)*(RASANTE!F257-PERALTE!$AB$14)-2))))),IF(AND(AH!$H$18="Derecha",RASANTE!F257&lt;=PERALTE!$AB$16),IF(RASANTE!F257&lt;=PERALTE!$S$16,-2,IF(RASANTE!F257&lt;=PERALTE!$U$16,(-6/(PERALTE!$U$16-PERALTE!$S$16)*(RASANTE!F257-PERALTE!$S$16)-2),IF(RASANTE!F257&lt;=PERALTE!$X$16,-8,IF(RASANTE!F257&lt;=PERALTE!$Z$16,(-6/(PERALTE!$X$16-PERALTE!$Z$16)*(RASANTE!F257-PERALTE!$Z$16)-2),IF(RASANTE!F257&lt;=PERALTE!$AB$16,-2))))),IF(AND(AH!$H$18="Izquierda",RASANTE!F257&lt;=PERALTE!$AB$16),IF(RASANTE!F257&lt;=PERALTE!$Q$16,-2,IF(RASANTE!F257&lt;=PERALTE!$U$16,(10/(PERALTE!$U$16-PERALTE!$Q$16)*(RASANTE!F257-PERALTE!$Q$16)-2),IF(RASANTE!F257&lt;=PERALTE!$X$16,8,IF(RASANTE!F257&lt;=PERALTE!$AB$16,(10/(PERALTE!$X$16-PERALTE!$AB$16)*(RASANTE!F257-PERALTE!$AB$16)-2))))),IF(AND(AH!$H$20="Derecha",RASANTE!F257&lt;=PERALTE!$AB$18),IF(RASANTE!F257&lt;=PERALTE!$S$18,-2,IF(RASANTE!F257&lt;=PERALTE!$U$18,(-6/(PERALTE!$U$18-PERALTE!$S$18)*(RASANTE!F257-PERALTE!$S$18)-2),IF(RASANTE!F257&lt;=PERALTE!$X$18,-8,IF(RASANTE!F257&lt;=PERALTE!$Z$18,(-6/(PERALTE!$X$18-PERALTE!$Z$18)*(RASANTE!F257-PERALTE!$Z$18)-2),IF(RASANTE!F257&lt;=PERALTE!$AB$18,-2))))),IF(AND(AH!$H$20="Izquierda",RASANTE!F257&lt;=PERALTE!$AB$18),IF(RASANTE!F257&lt;=PERALTE!$Q$18,-2,IF(RASANTE!F257&lt;=PERALTE!$U$18,(10/(PERALTE!$U$18-PERALTE!$Q$18)*(RASANTE!F257-PERALTE!$Q$18)-2),IF(RASANTE!F257&lt;=PERALTE!$X$18,8,IF(RASANTE!F257&lt;=PERALTE!$AB$18,(10/(PERALTE!$X$18-PERALTE!$AB$18)*(RASANTE!F257-PERALTE!$AB$18)-2))))),IF(AND(AH!$H$24="Derecha",RASANTE!F257&lt;=PERALTE!$AB$22),IF(RASANTE!F257&lt;=PERALTE!$S$22,-2,IF(RASANTE!F257&lt;=PERALTE!$U$22,(-6/(PERALTE!$U$22-PERALTE!$S$22)*(RASANTE!F257-PERALTE!$S$22)-2),IF(RASANTE!F257&lt;=PERALTE!$X$22,-8,IF(RASANTE!F257&lt;=PERALTE!$Z$22,(-6/(PERALTE!$X$22-PERALTE!$Z$22)*(RASANTE!F257-PERALTE!$Z$22)-2),IF(RASANTE!F257&lt;=PERALTE!$AB$22,-2))))),IF(AND(AH!$H$24="Izquierda",RASANTE!F257&lt;=PERALTE!$AB$22),IF(RASANTE!F257&lt;=PERALTE!$Q$22,-2,IF(RASANTE!F257&lt;=PERALTE!$U$22,(10/(PERALTE!$U$22-PERALTE!$Q$22)*(RASANTE!F257-PERALTE!$Q$22)-2),IF(RASANTE!F257&lt;=PERALTE!$X$22,8,IF(RASANTE!F257&lt;=PERALTE!$AB$22,(10/(PERALTE!$X$22-PERALTE!$AB$22)*(RASANTE!F257-PERALTE!$AB$22)-2))))),IF(AND(AH!#REF!="Derecha",RASANTE!F257&lt;=PERALTE!#REF!),IF(RASANTE!F257&lt;=PERALTE!#REF!,-2,IF(RASANTE!F257&lt;=PERALTE!#REF!,(-6/(PERALTE!#REF!-PERALTE!#REF!)*(RASANTE!F257-PERALTE!#REF!)-2),IF(RASANTE!F257&lt;=PERALTE!#REF!,-8,IF(RASANTE!F257&lt;=PERALTE!#REF!,(-6/(PERALTE!#REF!-PERALTE!#REF!)*(RASANTE!F257-PERALTE!#REF!)-2),IF(RASANTE!F257&lt;=PERALTE!#REF!,-2))))),IF(AND(AH!#REF!="Izquierda",RASANTE!F257&lt;=PERALTE!#REF!),IF(RASANTE!F257&lt;=PERALTE!#REF!,-2,IF(RASANTE!F257&lt;=PERALTE!#REF!,(10/(PERALTE!#REF!-PERALTE!#REF!)*(RASANTE!F257-PERALTE!#REF!)-2),IF(RASANTE!F257&lt;=PERALTE!#REF!,8,IF(RASANTE!F257&lt;=PERALTE!#REF!,(10/(PERALTE!#REF!-PERALTE!#REF!)*(RASANTE!F257-PERALTE!#REF!)-2))))),IF(AND(AH!#REF!="Derecha",RASANTE!F257&lt;=PERALTE!$AB$26),IF(RASANTE!F257&lt;=PERALTE!$S$26,-2,IF(RASANTE!F257&lt;=PERALTE!$U$26,(-6/(PERALTE!$U$26-PERALTE!$S$26)*(RASANTE!F257-PERALTE!$S$26)-2),IF(RASANTE!F257&lt;=PERALTE!$X$26,-8,IF(RASANTE!F257&lt;=PERALTE!$Z$26,(-6/(PERALTE!$X$26-PERALTE!$Z$26)*(RASANTE!F257-PERALTE!$Z$26)-2),IF(RASANTE!F257&lt;=PERALTE!$AB$26,-2))))),IF(AND(AH!#REF!="Izquierda",RASANTE!F257&lt;=PERALTE!$AB$26),IF(RASANTE!F257&lt;=PERALTE!$Q$26,-2,IF(RASANTE!F257&lt;=PERALTE!$U$26,(10/(PERALTE!$U$26-PERALTE!$Q$26)*(RASANTE!F257-PERALTE!$Q$26)-2),IF(RASANTE!F257&lt;=PERALTE!$X$26,8,IF(RASANTE!F257&lt;=PERALTE!$AB$26,(10/(PERALTE!$X$26-PERALTE!$AB$26)*(RASANTE!F257-PERALTE!$AB$26)-2))))),IF(F257&lt;=PERALTE!#REF!,-2,"Abscisa fuera de la vía")))))))))))))))))))))</f>
        <v>-3.9999999999999831</v>
      </c>
      <c r="J257" s="28">
        <f t="shared" si="11"/>
        <v>1634.9259479749414</v>
      </c>
      <c r="K257" s="28">
        <f>+IF(AND(AV!$S$6&lt;F257,F257&lt;=AV!$T$6),AV!$P$6*((AV!$S$6-RASANTE!F257)/(AV!$N$6))^2,IF(AND(AV!$T$6&lt;RASANTE!F257,F257&lt;AV!$U$6),AV!$P$6*((AV!$U$6-RASANTE!F257)/(AV!$O$6))^2,IF(AND(AV!$S$8&lt;F257,F257&lt;=AV!$T$8),AV!$P$8*((AV!$S$8-RASANTE!F257)/(AV!$N$8))^2,IF(AND(AV!$T$8&lt;RASANTE!F257,F257&lt;AV!$U$8),AV!$P$8*((AV!$U$8-RASANTE!F257)/(AV!$O$8))^2,IF(AND(AV!$S$10&lt;F257,F257&lt;=AV!$T$10),AV!$P$10*((AV!$S$10-RASANTE!F257)/(AV!$N$10))^2,IF(AND(AV!$T$10&lt;RASANTE!F257,F257&lt;AV!$U$10),AV!$P$10*((AV!$U$10-RASANTE!F257)/(AV!$O$10))^2,IF(AND(AV!$S$12&lt;F257,F257&lt;=AV!$T$12),AV!$P$12*((AV!$S$12-RASANTE!F257)/(AV!$N$12))^2,IF(AND(AV!$T$12&lt;RASANTE!F257,F257&lt;AV!$U$12),AV!$P$12*((AV!$U$12-RASANTE!F257)/(AV!$O$12))^2,IF(AND(AV!$S$14&lt;F257,F257&lt;=AV!$T$14),AV!$P$14*((AV!$S$14-RASANTE!F257)/(AV!$N$14))^2,IF(AND(AV!$T$14&lt;RASANTE!F257,F257&lt;AV!$U$14),AV!$P$14*((AV!$U$14-RASANTE!F257)/(AV!$O$14))^2,IF(AND(AV!$S$16&lt;F257,F257&lt;=AV!$T$16),AV!$P$16*((AV!$S$16-RASANTE!F257)/(AV!$N$16))^2,IF(AND(AV!$T$16&lt;RASANTE!F257,F257&lt;AV!$U$16),AV!$P$16*((AV!$U$16-RASANTE!F257)/(AV!$O$16))^2,IF(AND(AV!$S$18&lt;F257,F257&lt;=AV!$T$18),AV!$P$18*((AV!$S$18-RASANTE!F257)/(AV!$N$18))^2,IF(AND(AV!$T$18&lt;RASANTE!F257,F257&lt;AV!$U$18),AV!$P$18*((AV!$U$18-RASANTE!F257)/(AV!$O$18))^2,IF(AND(AV!$S$20&lt;F257,F257&lt;=AV!$T$20),AV!$P$20*((AV!$S$20-RASANTE!F257)/(AV!$N$20))^2,IF(AND(AV!$T$20&lt;RASANTE!F257,F257&lt;AV!$U$20),AV!$P$20*((AV!$U$20-RASANTE!F257)/(AV!$O$20))^2,IF(AND(AV!$S$22&lt;F257,F257&lt;=AV!$T$22),AV!$P$22*((AV!$S$22-RASANTE!F257)/(AV!$N$22))^2,IF(AND(AV!$T$22&lt;RASANTE!F257,F257&lt;AV!$U$22),AV!$P$22*((AV!$U$22-RASANTE!F257)/(AV!$O$22))^2,IF(AND(AV!$S$24&lt;F257,F257&lt;=AV!$T$24),AV!$P$24*((AV!$S$24-RASANTE!F257)/(AV!$N$24))^2,IF(AND(AV!$T$24&lt;RASANTE!F257,F257&lt;AV!$U$24),AV!$P$24*((AV!$U$24-RASANTE!F257)/(AV!$O$24))^2,0))))))))))))))))))))</f>
        <v>4.3787418282777262E-2</v>
      </c>
      <c r="L257" s="28">
        <f>+M257+H257%*PERALTE!$C$32</f>
        <v>1635.1097353932244</v>
      </c>
      <c r="M257" s="28">
        <f t="shared" si="12"/>
        <v>1634.9697353932243</v>
      </c>
      <c r="N257" s="28">
        <f>+M257+I257%*PERALTE!$C$32</f>
        <v>1634.8297353932242</v>
      </c>
      <c r="O257" s="92"/>
      <c r="P257" s="84"/>
      <c r="Q257" s="84"/>
      <c r="R257" s="84"/>
      <c r="S257" s="84"/>
      <c r="T257" s="84"/>
      <c r="U257" s="84"/>
      <c r="V257" s="84"/>
      <c r="W257" s="84"/>
      <c r="X257" s="84"/>
      <c r="Y257" s="84"/>
    </row>
    <row r="258" spans="1:25" ht="15.75" customHeight="1" x14ac:dyDescent="0.2">
      <c r="A258" s="322"/>
      <c r="E258" s="115"/>
      <c r="F258" s="34">
        <v>1550</v>
      </c>
      <c r="G258" s="88">
        <v>5.4480000000000004</v>
      </c>
      <c r="H258" s="28">
        <f>+IF(AND(AH!$H$8="Izquierda",RASANTE!F258&lt;=PERALTE!$AB$6),IF(RASANTE!F258&lt;=PERALTE!$S$6,-2,IF(RASANTE!F258&lt;=PERALTE!$U$6,(-6/(PERALTE!$U$6-PERALTE!$S$6)*(RASANTE!F258-PERALTE!$S$6)-2),IF(RASANTE!F258&lt;=PERALTE!$X$6,-8,IF(RASANTE!F258&lt;=PERALTE!$Z$6,(-6/(PERALTE!$X$6-PERALTE!$Z$6)*(RASANTE!F258-PERALTE!$Z$6)-2),IF(RASANTE!F258&lt;=PERALTE!$AB$6,-2))))),IF(AND(AH!$H$8="Derecha",RASANTE!F258&lt;=PERALTE!$AB$6),IF(RASANTE!F258&lt;=PERALTE!$Q$6,-2,IF(RASANTE!F258&lt;=PERALTE!$U$6,(10/(PERALTE!$U$6-PERALTE!$Q$6)*(RASANTE!F258-PERALTE!$Q$6)-2),IF(RASANTE!F258&lt;=PERALTE!$X$6,8,IF(RASANTE!F258&lt;=PERALTE!$AB$6,(10/(PERALTE!$X$6-PERALTE!$AB$6)*(RASANTE!F258-PERALTE!$AB$6)-2))))),IF(AND(AH!$H$10="Izquierda",RASANTE!F258&lt;=PERALTE!$AB$8),IF(RASANTE!F258&lt;=PERALTE!$S$8,-2,IF(RASANTE!F258&lt;=PERALTE!$U$8,(-6/(PERALTE!$U$8-PERALTE!$S$8)*(RASANTE!F258-PERALTE!$S$8)-2),IF(RASANTE!F258&lt;=PERALTE!$X$8,-8,IF(RASANTE!F258&lt;=PERALTE!$Z$8,(-6/(PERALTE!$X$8-PERALTE!$Z$8)*(RASANTE!F258-PERALTE!$Z$8)-2),IF(RASANTE!F258&lt;=PERALTE!$AB$8,-2))))),IF(AND(AH!$H$10="Derecha",RASANTE!F258&lt;=PERALTE!$AB$8),IF(RASANTE!F258&lt;=PERALTE!$Q$8,-2,IF(RASANTE!F258&lt;=PERALTE!$U$8,(10/(PERALTE!$U$8-PERALTE!$Q$8)*(RASANTE!F258-PERALTE!$Q$8)-2),IF(RASANTE!F258&lt;=PERALTE!$X$8,8,IF(RASANTE!F258&lt;=PERALTE!$AB$8,(10/(PERALTE!$X$8-PERALTE!$AB$8)*(RASANTE!F258-PERALTE!$AB$8)-2))))),IF(AND(AH!$H$12="Izquierda",RASANTE!F258&lt;=PERALTE!$AB$10),IF(RASANTE!F258&lt;=PERALTE!$S$10,-2,IF(RASANTE!F258&lt;=PERALTE!$U$10,(-6/(PERALTE!$U$10-PERALTE!$S$10)*(RASANTE!F258-PERALTE!$S$10)-2),IF(RASANTE!F258&lt;=PERALTE!$X$10,-8,IF(RASANTE!F258&lt;=PERALTE!$Z$10,(-6/(PERALTE!$X$10-PERALTE!$Z$10)*(RASANTE!F258-PERALTE!$Z$10)-2),IF(RASANTE!F258&lt;=PERALTE!$AB$10,-2))))),IF(AND(AH!$H$12="Derecha",RASANTE!F258&lt;=PERALTE!$AB$10),IF(RASANTE!F258&lt;=PERALTE!$Q$10,-2,IF(RASANTE!F258&lt;=PERALTE!$U$10,(10/(PERALTE!$U$10-PERALTE!$Q$10)*(RASANTE!F258-PERALTE!$Q$10)-2),IF(RASANTE!F258&lt;=PERALTE!$X$10,8,IF(RASANTE!F258&lt;=PERALTE!$AB$10,(10/(PERALTE!$X$10-PERALTE!$AB$10)*(RASANTE!F258-PERALTE!$AB$10)-2))))),IF(AND(AH!$H$14="Izquierda",RASANTE!F258&lt;=PERALTE!$AB$12),IF(RASANTE!F258&lt;=PERALTE!$S$12,-2,IF(RASANTE!F258&lt;=PERALTE!$U$12,(-6/(PERALTE!$U$12-PERALTE!$S$12)*(RASANTE!F258-PERALTE!$S$12)-2),IF(RASANTE!F258&lt;=PERALTE!$X$12,-8,IF(RASANTE!F258&lt;=PERALTE!$Z$12,(-6/(PERALTE!$X$12-PERALTE!$Z$12)*(RASANTE!F258-PERALTE!$Z$12)-2),IF(RASANTE!F258&lt;=PERALTE!$AB$12,-2))))),IF(AND(AH!$H$14="Derecha",RASANTE!F258&lt;=PERALTE!$AB$12),IF(RASANTE!F258&lt;=PERALTE!$Q$12,-2,IF(RASANTE!F258&lt;=PERALTE!$U$12,(10/(PERALTE!$U$12-PERALTE!$Q$12)*(RASANTE!F258-PERALTE!$Q$12)-2),IF(RASANTE!F258&lt;=PERALTE!$X$12,8,IF(RASANTE!F258&lt;=PERALTE!$AB$12,(10/(PERALTE!$X$12-PERALTE!$AB$12)*(RASANTE!F258-PERALTE!$AB$12)-2))))),IF(AND(AH!$H$16="Izquierda",RASANTE!F258&lt;=PERALTE!$AB$14),IF(RASANTE!F258&lt;=PERALTE!$S$14,-2,IF(RASANTE!F258&lt;=PERALTE!$U$14,(-6/(PERALTE!$U$14-PERALTE!$S$14)*(RASANTE!F258-PERALTE!$S$14)-2),IF(RASANTE!F258&lt;=PERALTE!$X$14,-8,IF(RASANTE!F258&lt;=PERALTE!$Z$14,(-6/(PERALTE!$X$14-PERALTE!$Z$14)*(RASANTE!F258-PERALTE!$Z$14)-2),IF(RASANTE!F258&lt;=PERALTE!$AB$14,-2))))),IF(AND(AH!$H$16="Derecha",RASANTE!F258&lt;=PERALTE!$AB$14),IF(RASANTE!F258&lt;=PERALTE!$Q$14,-2,IF(RASANTE!F258&lt;=PERALTE!$U$14,(10/(PERALTE!$U$14-PERALTE!$Q$14)*(RASANTE!F258-PERALTE!$Q$14)-2),IF(RASANTE!F258&lt;=PERALTE!$X$14,8,IF(RASANTE!F258&lt;=PERALTE!$AB$14,(10/(PERALTE!$X$14-PERALTE!$AB$14)*(RASANTE!F258-PERALTE!$AB$14)-2))))),IF(AND(AH!$H$18="Izquierda",RASANTE!F258&lt;=PERALTE!$AB$16),IF(RASANTE!F258&lt;=PERALTE!$S$16,-2,IF(RASANTE!F258&lt;=PERALTE!$U$16,(-6/(PERALTE!$U$16-PERALTE!$S$16)*(RASANTE!F258-PERALTE!$S$16)-2),IF(RASANTE!F258&lt;=PERALTE!$X$16,-8,IF(RASANTE!F258&lt;=PERALTE!$Z$16,(-6/(PERALTE!$X$16-PERALTE!$Z$16)*(RASANTE!F258-PERALTE!$Z$16)-2),IF(RASANTE!F258&lt;=PERALTE!$AB$16,-2))))),IF(AND(AH!$H$18="Derecha",RASANTE!F258&lt;=PERALTE!$AB$16),IF(RASANTE!F258&lt;=PERALTE!$Q$16,-2,IF(RASANTE!F258&lt;=PERALTE!$U$16,(10/(PERALTE!$U$16-PERALTE!$Q$16)*(RASANTE!F258-PERALTE!$Q$16)-2),IF(RASANTE!F258&lt;=PERALTE!$X$16,8,IF(RASANTE!F258&lt;=PERALTE!$AB$16,(10/(PERALTE!$X$16-PERALTE!$AB$16)*(RASANTE!F258-PERALTE!$AB$16)-2))))),IF(AND(AH!$H$20="Izquierda",RASANTE!F258&lt;=PERALTE!$AB$18),IF(RASANTE!F258&lt;=PERALTE!$S$18,-2,IF(RASANTE!F258&lt;=PERALTE!$U$18,(-6/(PERALTE!$U$18-PERALTE!$S$18)*(RASANTE!F258-PERALTE!$S$18)-2),IF(RASANTE!F258&lt;=PERALTE!$X$18,-8,IF(RASANTE!F258&lt;=PERALTE!$Z$18,(-6/(PERALTE!$X$18-PERALTE!$Z$18)*(RASANTE!F258-PERALTE!$Z$18)-2),IF(RASANTE!F258&lt;=PERALTE!$AB$18,-2))))),IF(AND(AH!$H$20="Derecha",RASANTE!F258&lt;=PERALTE!$AB$18),IF(RASANTE!F258&lt;=PERALTE!$Q$18,-2,IF(RASANTE!F258&lt;=PERALTE!$U$18,(10/(PERALTE!$U$18-PERALTE!$Q$18)*(RASANTE!F258-PERALTE!$Q$18)-2),IF(RASANTE!F258&lt;=PERALTE!$X$18,8,IF(RASANTE!F258&lt;=PERALTE!$AB$18,(10/(PERALTE!$X$18-PERALTE!$AB$18)*(RASANTE!F258-PERALTE!$AB$18)-2))))),IF(AND(AH!$H$24="Izquierda",RASANTE!F258&lt;=PERALTE!$AB$22),IF(RASANTE!F258&lt;=PERALTE!$S$22,-2,IF(RASANTE!F258&lt;=PERALTE!$U$22,(-6/(PERALTE!$U$22-PERALTE!$S$22)*(RASANTE!F258-PERALTE!$S$22)-2),IF(RASANTE!F258&lt;=PERALTE!$X$22,-8,IF(RASANTE!F258&lt;=PERALTE!$Z$22,(-6/(PERALTE!$X$22-PERALTE!$Z$22)*(RASANTE!F258-PERALTE!$Z$22)-2),IF(RASANTE!F258&lt;=PERALTE!$AB$22,-2))))),IF(AND(AH!$H$24="Derecha",RASANTE!F258&lt;=PERALTE!$AB$22),IF(RASANTE!F258&lt;=PERALTE!$Q$22,-2,IF(RASANTE!F258&lt;=PERALTE!$U$22,(10/(PERALTE!$U$22-PERALTE!$Q$22)*(RASANTE!F258-PERALTE!$Q$22)-2),IF(RASANTE!F258&lt;=PERALTE!$X$22,8,IF(RASANTE!F258&lt;=PERALTE!$AB$22,(10/(PERALTE!$X$22-PERALTE!$AB$22)*(RASANTE!F258-PERALTE!$AB$22)-2))))),IF(AND(AH!#REF!="Izquierda",RASANTE!F258&lt;=PERALTE!#REF!),IF(RASANTE!F258&lt;=PERALTE!#REF!,-2,IF(RASANTE!F258&lt;=PERALTE!#REF!,(-6/(PERALTE!#REF!-PERALTE!#REF!)*(RASANTE!F258-PERALTE!#REF!)-2),IF(RASANTE!F258&lt;=PERALTE!#REF!,-8,IF(RASANTE!F258&lt;=PERALTE!#REF!,(-6/(PERALTE!#REF!-PERALTE!#REF!)*(RASANTE!F258-PERALTE!#REF!)-2),IF(RASANTE!F258&lt;=PERALTE!#REF!,-2))))),IF(AND(AH!#REF!="Derecha",RASANTE!F258&lt;=PERALTE!#REF!),IF(RASANTE!F258&lt;=PERALTE!#REF!,-2,IF(RASANTE!F258&lt;=PERALTE!#REF!,(10/(PERALTE!#REF!-PERALTE!#REF!)*(RASANTE!F258-PERALTE!#REF!)-2),IF(RASANTE!F258&lt;=PERALTE!#REF!,8,IF(RASANTE!F258&lt;=PERALTE!#REF!,(10/(PERALTE!#REF!-PERALTE!#REF!)*(RASANTE!F258-PERALTE!#REF!)-2))))),IF(AND(AH!#REF!="Izquierda",RASANTE!F258&lt;=PERALTE!$AB$26),IF(RASANTE!F258&lt;=PERALTE!$S$26,-2,IF(RASANTE!F258&lt;=PERALTE!$U$26,(-6/(PERALTE!$U$26-PERALTE!$S$26)*(RASANTE!F258-PERALTE!$S$26)-2),IF(RASANTE!F258&lt;=PERALTE!$X$26,-8,IF(RASANTE!F258&lt;=PERALTE!$Z$26,(-6/(PERALTE!$X$26-PERALTE!$Z$26)*(RASANTE!F258-PERALTE!$Z$26)-2),IF(RASANTE!F258&lt;=PERALTE!$AB$26,-2))))),IF(AND(AH!#REF!="Derecha",RASANTE!F258&lt;=PERALTE!$AB$26),IF(RASANTE!F258&lt;=PERALTE!$Q$26,-2,IF(RASANTE!F258&lt;=PERALTE!$U$26,(10/(PERALTE!$U$26-PERALTE!$Q$26)*(RASANTE!F258-PERALTE!$Q$26)-2),IF(RASANTE!F258&lt;=PERALTE!$X$26,8,IF(RASANTE!F258&lt;=PERALTE!$AB$26,(10/(PERALTE!$X$26-PERALTE!$AB$26)*(RASANTE!F258-PERALTE!$AB$26)-2))))),IF(F258&lt;=PERALTE!#REF!,-2,"Abscisa fuera de la vía")))))))))))))))))))))</f>
        <v>3.6293739392353332</v>
      </c>
      <c r="I258" s="28">
        <f>+IF(AND(AH!$H$8="Derecha",RASANTE!F258&lt;=PERALTE!$AB$6),IF(RASANTE!F258&lt;=PERALTE!$S$6,-2,IF(RASANTE!F258&lt;=PERALTE!$U$6,(-6/(PERALTE!$U$6-PERALTE!$S$6)*(RASANTE!F258-PERALTE!$S$6)-2),IF(RASANTE!F258&lt;=PERALTE!$X$6,-8,IF(RASANTE!F258&lt;=PERALTE!$Z$6,(-6/(PERALTE!$X$6-PERALTE!$Z$6)*(RASANTE!F258-PERALTE!$Z$6)-2),IF(RASANTE!F258&lt;=PERALTE!$AB$6,-2))))),IF(AND(AH!$H$8="Izquierda",RASANTE!F258&lt;=PERALTE!$AB$6),IF(RASANTE!F258&lt;=PERALTE!$Q$6,-2,IF(RASANTE!F258&lt;=PERALTE!$U$6,(10/(PERALTE!$U$6-PERALTE!$Q$6)*(RASANTE!F258-PERALTE!$Q$6)-2),IF(RASANTE!F258&lt;=PERALTE!$X$6,8,IF(RASANTE!F258&lt;=PERALTE!$AB$6,(10/(PERALTE!$X$6-PERALTE!$AB$6)*(RASANTE!F258-PERALTE!$AB$6)-2))))),IF(AND(AH!$H$10="Derecha",RASANTE!F258&lt;=PERALTE!$AB$8),IF(RASANTE!F258&lt;=PERALTE!$S$8,-2,IF(RASANTE!F258&lt;=PERALTE!$U$8,(-6/(PERALTE!$U$8-PERALTE!$S$8)*(RASANTE!F258-PERALTE!$S$8)-2),IF(RASANTE!F258&lt;=PERALTE!$X$8,-8,IF(RASANTE!F258&lt;=PERALTE!$Z$8,(-6/(PERALTE!$X$8-PERALTE!$Z$8)*(RASANTE!F258-PERALTE!$Z$8)-2),IF(RASANTE!F258&lt;=PERALTE!$AB$8,-2))))),IF(AND(AH!$H$10="Izquierda",RASANTE!F258&lt;=PERALTE!$AB$8),IF(RASANTE!F258&lt;=PERALTE!$Q$8,-2,IF(RASANTE!F258&lt;=PERALTE!$U$8,(10/(PERALTE!$U$8-PERALTE!$Q$8)*(RASANTE!F258-PERALTE!$Q$8)-2),IF(RASANTE!F258&lt;=PERALTE!$X$8,8,IF(RASANTE!F258&lt;=PERALTE!$AB$8,(10/(PERALTE!$X$8-PERALTE!$AB$8)*(RASANTE!F258-PERALTE!$AB$8)-2))))),IF(AND(AH!$H$12="Derecha",RASANTE!F258&lt;=PERALTE!$AB$10),IF(RASANTE!F258&lt;=PERALTE!$S$10,-2,IF(RASANTE!F258&lt;=PERALTE!$U$10,(-6/(PERALTE!$U$10-PERALTE!$S$10)*(RASANTE!F258-PERALTE!$S$10)-2),IF(RASANTE!F258&lt;=PERALTE!$X$10,-8,IF(RASANTE!F258&lt;=PERALTE!$Z$10,(-6/(PERALTE!$X$10-PERALTE!$Z$10)*(RASANTE!F258-PERALTE!$Z$10)-2),IF(RASANTE!F258&lt;=PERALTE!$AB$10,-2))))),IF(AND(AH!$H$12="Izquierda",RASANTE!F258&lt;=PERALTE!$AB$10),IF(RASANTE!F258&lt;=PERALTE!$Q$10,-2,IF(RASANTE!F258&lt;=PERALTE!$U$10,(10/(PERALTE!$U$10-PERALTE!$Q$10)*(RASANTE!F258-PERALTE!$Q$10)-2),IF(RASANTE!F258&lt;=PERALTE!$X$10,8,IF(RASANTE!F258&lt;=PERALTE!$AB$10,(10/(PERALTE!$X$10-PERALTE!$AB$10)*(RASANTE!F258-PERALTE!$AB$10)-2))))),IF(AND(AH!$H$14="Derecha",RASANTE!F258&lt;=PERALTE!$AB$12),IF(RASANTE!F258&lt;=PERALTE!$S$12,-2,IF(RASANTE!F258&lt;=PERALTE!$U$12,(-6/(PERALTE!$U$12-PERALTE!$S$12)*(RASANTE!F258-PERALTE!$S$12)-2),IF(RASANTE!F258&lt;=PERALTE!$X$12,-8,IF(RASANTE!F258&lt;=PERALTE!$Z$12,(-6/(PERALTE!$X$12-PERALTE!$Z$12)*(RASANTE!F258-PERALTE!$Z$12)-2),IF(RASANTE!F258&lt;=PERALTE!$AB$12,-2))))),IF(AND(AH!$H$14="Izquierda",RASANTE!F258&lt;=PERALTE!$AB$12),IF(RASANTE!F258&lt;=PERALTE!$Q$12,-2,IF(RASANTE!F258&lt;=PERALTE!$U$12,(10/(PERALTE!$U$12-PERALTE!$Q$12)*(RASANTE!F258-PERALTE!$Q$12)-2),IF(RASANTE!F258&lt;=PERALTE!$X$12,8,IF(RASANTE!F258&lt;=PERALTE!$AB$12,(10/(PERALTE!$X$12-PERALTE!$AB$12)*(RASANTE!F258-PERALTE!$AB$12)-2))))),IF(AND(AH!$H$16="Derecha",RASANTE!F258&lt;=PERALTE!$AB$14),IF(RASANTE!F258&lt;=PERALTE!$S$14,-2,IF(RASANTE!F258&lt;=PERALTE!$U$14,(-6/(PERALTE!$U$14-PERALTE!$S$14)*(RASANTE!F258-PERALTE!$S$14)-2),IF(RASANTE!F258&lt;=PERALTE!$X$14,-8,IF(RASANTE!F258&lt;=PERALTE!$Z$14,(-6/(PERALTE!$X$14-PERALTE!$Z$14)*(RASANTE!F258-PERALTE!$Z$14)-2),IF(RASANTE!F258&lt;=PERALTE!$AB$14,-2))))),IF(AND(AH!$H$16="Izquierda",RASANTE!F258&lt;=PERALTE!$AB$14),IF(RASANTE!F258&lt;=PERALTE!$Q$14,-2,IF(RASANTE!F258&lt;=PERALTE!$U$14,(10/(PERALTE!$U$14-PERALTE!$Q$14)*(RASANTE!F258-PERALTE!$Q$14)-2),IF(RASANTE!F258&lt;=PERALTE!$X$14,8,IF(RASANTE!F258&lt;=PERALTE!$AB$14,(10/(PERALTE!$X$14-PERALTE!$AB$14)*(RASANTE!F258-PERALTE!$AB$14)-2))))),IF(AND(AH!$H$18="Derecha",RASANTE!F258&lt;=PERALTE!$AB$16),IF(RASANTE!F258&lt;=PERALTE!$S$16,-2,IF(RASANTE!F258&lt;=PERALTE!$U$16,(-6/(PERALTE!$U$16-PERALTE!$S$16)*(RASANTE!F258-PERALTE!$S$16)-2),IF(RASANTE!F258&lt;=PERALTE!$X$16,-8,IF(RASANTE!F258&lt;=PERALTE!$Z$16,(-6/(PERALTE!$X$16-PERALTE!$Z$16)*(RASANTE!F258-PERALTE!$Z$16)-2),IF(RASANTE!F258&lt;=PERALTE!$AB$16,-2))))),IF(AND(AH!$H$18="Izquierda",RASANTE!F258&lt;=PERALTE!$AB$16),IF(RASANTE!F258&lt;=PERALTE!$Q$16,-2,IF(RASANTE!F258&lt;=PERALTE!$U$16,(10/(PERALTE!$U$16-PERALTE!$Q$16)*(RASANTE!F258-PERALTE!$Q$16)-2),IF(RASANTE!F258&lt;=PERALTE!$X$16,8,IF(RASANTE!F258&lt;=PERALTE!$AB$16,(10/(PERALTE!$X$16-PERALTE!$AB$16)*(RASANTE!F258-PERALTE!$AB$16)-2))))),IF(AND(AH!$H$20="Derecha",RASANTE!F258&lt;=PERALTE!$AB$18),IF(RASANTE!F258&lt;=PERALTE!$S$18,-2,IF(RASANTE!F258&lt;=PERALTE!$U$18,(-6/(PERALTE!$U$18-PERALTE!$S$18)*(RASANTE!F258-PERALTE!$S$18)-2),IF(RASANTE!F258&lt;=PERALTE!$X$18,-8,IF(RASANTE!F258&lt;=PERALTE!$Z$18,(-6/(PERALTE!$X$18-PERALTE!$Z$18)*(RASANTE!F258-PERALTE!$Z$18)-2),IF(RASANTE!F258&lt;=PERALTE!$AB$18,-2))))),IF(AND(AH!$H$20="Izquierda",RASANTE!F258&lt;=PERALTE!$AB$18),IF(RASANTE!F258&lt;=PERALTE!$Q$18,-2,IF(RASANTE!F258&lt;=PERALTE!$U$18,(10/(PERALTE!$U$18-PERALTE!$Q$18)*(RASANTE!F258-PERALTE!$Q$18)-2),IF(RASANTE!F258&lt;=PERALTE!$X$18,8,IF(RASANTE!F258&lt;=PERALTE!$AB$18,(10/(PERALTE!$X$18-PERALTE!$AB$18)*(RASANTE!F258-PERALTE!$AB$18)-2))))),IF(AND(AH!$H$24="Derecha",RASANTE!F258&lt;=PERALTE!$AB$22),IF(RASANTE!F258&lt;=PERALTE!$S$22,-2,IF(RASANTE!F258&lt;=PERALTE!$U$22,(-6/(PERALTE!$U$22-PERALTE!$S$22)*(RASANTE!F258-PERALTE!$S$22)-2),IF(RASANTE!F258&lt;=PERALTE!$X$22,-8,IF(RASANTE!F258&lt;=PERALTE!$Z$22,(-6/(PERALTE!$X$22-PERALTE!$Z$22)*(RASANTE!F258-PERALTE!$Z$22)-2),IF(RASANTE!F258&lt;=PERALTE!$AB$22,-2))))),IF(AND(AH!$H$24="Izquierda",RASANTE!F258&lt;=PERALTE!$AB$22),IF(RASANTE!F258&lt;=PERALTE!$Q$22,-2,IF(RASANTE!F258&lt;=PERALTE!$U$22,(10/(PERALTE!$U$22-PERALTE!$Q$22)*(RASANTE!F258-PERALTE!$Q$22)-2),IF(RASANTE!F258&lt;=PERALTE!$X$22,8,IF(RASANTE!F258&lt;=PERALTE!$AB$22,(10/(PERALTE!$X$22-PERALTE!$AB$22)*(RASANTE!F258-PERALTE!$AB$22)-2))))),IF(AND(AH!#REF!="Derecha",RASANTE!F258&lt;=PERALTE!#REF!),IF(RASANTE!F258&lt;=PERALTE!#REF!,-2,IF(RASANTE!F258&lt;=PERALTE!#REF!,(-6/(PERALTE!#REF!-PERALTE!#REF!)*(RASANTE!F258-PERALTE!#REF!)-2),IF(RASANTE!F258&lt;=PERALTE!#REF!,-8,IF(RASANTE!F258&lt;=PERALTE!#REF!,(-6/(PERALTE!#REF!-PERALTE!#REF!)*(RASANTE!F258-PERALTE!#REF!)-2),IF(RASANTE!F258&lt;=PERALTE!#REF!,-2))))),IF(AND(AH!#REF!="Izquierda",RASANTE!F258&lt;=PERALTE!#REF!),IF(RASANTE!F258&lt;=PERALTE!#REF!,-2,IF(RASANTE!F258&lt;=PERALTE!#REF!,(10/(PERALTE!#REF!-PERALTE!#REF!)*(RASANTE!F258-PERALTE!#REF!)-2),IF(RASANTE!F258&lt;=PERALTE!#REF!,8,IF(RASANTE!F258&lt;=PERALTE!#REF!,(10/(PERALTE!#REF!-PERALTE!#REF!)*(RASANTE!F258-PERALTE!#REF!)-2))))),IF(AND(AH!#REF!="Derecha",RASANTE!F258&lt;=PERALTE!$AB$26),IF(RASANTE!F258&lt;=PERALTE!$S$26,-2,IF(RASANTE!F258&lt;=PERALTE!$U$26,(-6/(PERALTE!$U$26-PERALTE!$S$26)*(RASANTE!F258-PERALTE!$S$26)-2),IF(RASANTE!F258&lt;=PERALTE!$X$26,-8,IF(RASANTE!F258&lt;=PERALTE!$Z$26,(-6/(PERALTE!$X$26-PERALTE!$Z$26)*(RASANTE!F258-PERALTE!$Z$26)-2),IF(RASANTE!F258&lt;=PERALTE!$AB$26,-2))))),IF(AND(AH!#REF!="Izquierda",RASANTE!F258&lt;=PERALTE!$AB$26),IF(RASANTE!F258&lt;=PERALTE!$Q$26,-2,IF(RASANTE!F258&lt;=PERALTE!$U$26,(10/(PERALTE!$U$26-PERALTE!$Q$26)*(RASANTE!F258-PERALTE!$Q$26)-2),IF(RASANTE!F258&lt;=PERALTE!$X$26,8,IF(RASANTE!F258&lt;=PERALTE!$AB$26,(10/(PERALTE!$X$26-PERALTE!$AB$26)*(RASANTE!F258-PERALTE!$AB$26)-2))))),IF(F258&lt;=PERALTE!#REF!,-2,"Abscisa fuera de la vía")))))))))))))))))))))</f>
        <v>-3.6293739392353483</v>
      </c>
      <c r="J258" s="28">
        <f t="shared" si="11"/>
        <v>1635.017728464898</v>
      </c>
      <c r="K258" s="28">
        <f>+IF(AND(AV!$S$6&lt;F258,F258&lt;=AV!$T$6),AV!$P$6*((AV!$S$6-RASANTE!F258)/(AV!$N$6))^2,IF(AND(AV!$T$6&lt;RASANTE!F258,F258&lt;AV!$U$6),AV!$P$6*((AV!$U$6-RASANTE!F258)/(AV!$O$6))^2,IF(AND(AV!$S$8&lt;F258,F258&lt;=AV!$T$8),AV!$P$8*((AV!$S$8-RASANTE!F258)/(AV!$N$8))^2,IF(AND(AV!$T$8&lt;RASANTE!F258,F258&lt;AV!$U$8),AV!$P$8*((AV!$U$8-RASANTE!F258)/(AV!$O$8))^2,IF(AND(AV!$S$10&lt;F258,F258&lt;=AV!$T$10),AV!$P$10*((AV!$S$10-RASANTE!F258)/(AV!$N$10))^2,IF(AND(AV!$T$10&lt;RASANTE!F258,F258&lt;AV!$U$10),AV!$P$10*((AV!$U$10-RASANTE!F258)/(AV!$O$10))^2,IF(AND(AV!$S$12&lt;F258,F258&lt;=AV!$T$12),AV!$P$12*((AV!$S$12-RASANTE!F258)/(AV!$N$12))^2,IF(AND(AV!$T$12&lt;RASANTE!F258,F258&lt;AV!$U$12),AV!$P$12*((AV!$U$12-RASANTE!F258)/(AV!$O$12))^2,IF(AND(AV!$S$14&lt;F258,F258&lt;=AV!$T$14),AV!$P$14*((AV!$S$14-RASANTE!F258)/(AV!$N$14))^2,IF(AND(AV!$T$14&lt;RASANTE!F258,F258&lt;AV!$U$14),AV!$P$14*((AV!$U$14-RASANTE!F258)/(AV!$O$14))^2,IF(AND(AV!$S$16&lt;F258,F258&lt;=AV!$T$16),AV!$P$16*((AV!$S$16-RASANTE!F258)/(AV!$N$16))^2,IF(AND(AV!$T$16&lt;RASANTE!F258,F258&lt;AV!$U$16),AV!$P$16*((AV!$U$16-RASANTE!F258)/(AV!$O$16))^2,IF(AND(AV!$S$18&lt;F258,F258&lt;=AV!$T$18),AV!$P$18*((AV!$S$18-RASANTE!F258)/(AV!$N$18))^2,IF(AND(AV!$T$18&lt;RASANTE!F258,F258&lt;AV!$U$18),AV!$P$18*((AV!$U$18-RASANTE!F258)/(AV!$O$18))^2,IF(AND(AV!$S$20&lt;F258,F258&lt;=AV!$T$20),AV!$P$20*((AV!$S$20-RASANTE!F258)/(AV!$N$20))^2,IF(AND(AV!$T$20&lt;RASANTE!F258,F258&lt;AV!$U$20),AV!$P$20*((AV!$U$20-RASANTE!F258)/(AV!$O$20))^2,IF(AND(AV!$S$22&lt;F258,F258&lt;=AV!$T$22),AV!$P$22*((AV!$S$22-RASANTE!F258)/(AV!$N$22))^2,IF(AND(AV!$T$22&lt;RASANTE!F258,F258&lt;AV!$U$22),AV!$P$22*((AV!$U$22-RASANTE!F258)/(AV!$O$22))^2,IF(AND(AV!$S$24&lt;F258,F258&lt;=AV!$T$24),AV!$P$24*((AV!$S$24-RASANTE!F258)/(AV!$N$24))^2,IF(AND(AV!$T$24&lt;RASANTE!F258,F258&lt;AV!$U$24),AV!$P$24*((AV!$U$24-RASANTE!F258)/(AV!$O$24))^2,0))))))))))))))))))))</f>
        <v>3.1899624859000053E-2</v>
      </c>
      <c r="L258" s="28">
        <f>+M258+H258%*PERALTE!$C$32</f>
        <v>1635.1766561776303</v>
      </c>
      <c r="M258" s="28">
        <f t="shared" si="12"/>
        <v>1635.0496280897571</v>
      </c>
      <c r="N258" s="28">
        <f>+M258+I258%*PERALTE!$C$32</f>
        <v>1634.9226000018839</v>
      </c>
      <c r="O258" s="92"/>
      <c r="P258" s="84"/>
      <c r="Q258" s="84"/>
      <c r="R258" s="84"/>
      <c r="S258" s="84"/>
      <c r="T258" s="84"/>
      <c r="U258" s="84"/>
      <c r="V258" s="84"/>
      <c r="W258" s="84"/>
      <c r="X258" s="84"/>
      <c r="Y258" s="84"/>
    </row>
    <row r="259" spans="1:25" ht="15.75" customHeight="1" x14ac:dyDescent="0.2">
      <c r="A259" s="322" t="s">
        <v>375</v>
      </c>
      <c r="B259" s="86"/>
      <c r="C259" s="86"/>
      <c r="D259" s="86"/>
      <c r="F259" s="34">
        <f>PERALTE!Z18</f>
        <v>1557.4062451783425</v>
      </c>
      <c r="G259" s="88">
        <v>5.4480000000000004</v>
      </c>
      <c r="H259" s="28">
        <f>+IF(AND(AH!$H$8="Izquierda",RASANTE!F259&lt;=PERALTE!$AB$6),IF(RASANTE!F259&lt;=PERALTE!$S$6,-2,IF(RASANTE!F259&lt;=PERALTE!$U$6,(-6/(PERALTE!$U$6-PERALTE!$S$6)*(RASANTE!F259-PERALTE!$S$6)-2),IF(RASANTE!F259&lt;=PERALTE!$X$6,-8,IF(RASANTE!F259&lt;=PERALTE!$Z$6,(-6/(PERALTE!$X$6-PERALTE!$Z$6)*(RASANTE!F259-PERALTE!$Z$6)-2),IF(RASANTE!F259&lt;=PERALTE!$AB$6,-2))))),IF(AND(AH!$H$8="Derecha",RASANTE!F259&lt;=PERALTE!$AB$6),IF(RASANTE!F259&lt;=PERALTE!$Q$6,-2,IF(RASANTE!F259&lt;=PERALTE!$U$6,(10/(PERALTE!$U$6-PERALTE!$Q$6)*(RASANTE!F259-PERALTE!$Q$6)-2),IF(RASANTE!F259&lt;=PERALTE!$X$6,8,IF(RASANTE!F259&lt;=PERALTE!$AB$6,(10/(PERALTE!$X$6-PERALTE!$AB$6)*(RASANTE!F259-PERALTE!$AB$6)-2))))),IF(AND(AH!$H$10="Izquierda",RASANTE!F259&lt;=PERALTE!$AB$8),IF(RASANTE!F259&lt;=PERALTE!$S$8,-2,IF(RASANTE!F259&lt;=PERALTE!$U$8,(-6/(PERALTE!$U$8-PERALTE!$S$8)*(RASANTE!F259-PERALTE!$S$8)-2),IF(RASANTE!F259&lt;=PERALTE!$X$8,-8,IF(RASANTE!F259&lt;=PERALTE!$Z$8,(-6/(PERALTE!$X$8-PERALTE!$Z$8)*(RASANTE!F259-PERALTE!$Z$8)-2),IF(RASANTE!F259&lt;=PERALTE!$AB$8,-2))))),IF(AND(AH!$H$10="Derecha",RASANTE!F259&lt;=PERALTE!$AB$8),IF(RASANTE!F259&lt;=PERALTE!$Q$8,-2,IF(RASANTE!F259&lt;=PERALTE!$U$8,(10/(PERALTE!$U$8-PERALTE!$Q$8)*(RASANTE!F259-PERALTE!$Q$8)-2),IF(RASANTE!F259&lt;=PERALTE!$X$8,8,IF(RASANTE!F259&lt;=PERALTE!$AB$8,(10/(PERALTE!$X$8-PERALTE!$AB$8)*(RASANTE!F259-PERALTE!$AB$8)-2))))),IF(AND(AH!$H$12="Izquierda",RASANTE!F259&lt;=PERALTE!$AB$10),IF(RASANTE!F259&lt;=PERALTE!$S$10,-2,IF(RASANTE!F259&lt;=PERALTE!$U$10,(-6/(PERALTE!$U$10-PERALTE!$S$10)*(RASANTE!F259-PERALTE!$S$10)-2),IF(RASANTE!F259&lt;=PERALTE!$X$10,-8,IF(RASANTE!F259&lt;=PERALTE!$Z$10,(-6/(PERALTE!$X$10-PERALTE!$Z$10)*(RASANTE!F259-PERALTE!$Z$10)-2),IF(RASANTE!F259&lt;=PERALTE!$AB$10,-2))))),IF(AND(AH!$H$12="Derecha",RASANTE!F259&lt;=PERALTE!$AB$10),IF(RASANTE!F259&lt;=PERALTE!$Q$10,-2,IF(RASANTE!F259&lt;=PERALTE!$U$10,(10/(PERALTE!$U$10-PERALTE!$Q$10)*(RASANTE!F259-PERALTE!$Q$10)-2),IF(RASANTE!F259&lt;=PERALTE!$X$10,8,IF(RASANTE!F259&lt;=PERALTE!$AB$10,(10/(PERALTE!$X$10-PERALTE!$AB$10)*(RASANTE!F259-PERALTE!$AB$10)-2))))),IF(AND(AH!$H$14="Izquierda",RASANTE!F259&lt;=PERALTE!$AB$12),IF(RASANTE!F259&lt;=PERALTE!$S$12,-2,IF(RASANTE!F259&lt;=PERALTE!$U$12,(-6/(PERALTE!$U$12-PERALTE!$S$12)*(RASANTE!F259-PERALTE!$S$12)-2),IF(RASANTE!F259&lt;=PERALTE!$X$12,-8,IF(RASANTE!F259&lt;=PERALTE!$Z$12,(-6/(PERALTE!$X$12-PERALTE!$Z$12)*(RASANTE!F259-PERALTE!$Z$12)-2),IF(RASANTE!F259&lt;=PERALTE!$AB$12,-2))))),IF(AND(AH!$H$14="Derecha",RASANTE!F259&lt;=PERALTE!$AB$12),IF(RASANTE!F259&lt;=PERALTE!$Q$12,-2,IF(RASANTE!F259&lt;=PERALTE!$U$12,(10/(PERALTE!$U$12-PERALTE!$Q$12)*(RASANTE!F259-PERALTE!$Q$12)-2),IF(RASANTE!F259&lt;=PERALTE!$X$12,8,IF(RASANTE!F259&lt;=PERALTE!$AB$12,(10/(PERALTE!$X$12-PERALTE!$AB$12)*(RASANTE!F259-PERALTE!$AB$12)-2))))),IF(AND(AH!$H$16="Izquierda",RASANTE!F259&lt;=PERALTE!$AB$14),IF(RASANTE!F259&lt;=PERALTE!$S$14,-2,IF(RASANTE!F259&lt;=PERALTE!$U$14,(-6/(PERALTE!$U$14-PERALTE!$S$14)*(RASANTE!F259-PERALTE!$S$14)-2),IF(RASANTE!F259&lt;=PERALTE!$X$14,-8,IF(RASANTE!F259&lt;=PERALTE!$Z$14,(-6/(PERALTE!$X$14-PERALTE!$Z$14)*(RASANTE!F259-PERALTE!$Z$14)-2),IF(RASANTE!F259&lt;=PERALTE!$AB$14,-2))))),IF(AND(AH!$H$16="Derecha",RASANTE!F259&lt;=PERALTE!$AB$14),IF(RASANTE!F259&lt;=PERALTE!$Q$14,-2,IF(RASANTE!F259&lt;=PERALTE!$U$14,(10/(PERALTE!$U$14-PERALTE!$Q$14)*(RASANTE!F259-PERALTE!$Q$14)-2),IF(RASANTE!F259&lt;=PERALTE!$X$14,8,IF(RASANTE!F259&lt;=PERALTE!$AB$14,(10/(PERALTE!$X$14-PERALTE!$AB$14)*(RASANTE!F259-PERALTE!$AB$14)-2))))),IF(AND(AH!$H$18="Izquierda",RASANTE!F259&lt;=PERALTE!$AB$16),IF(RASANTE!F259&lt;=PERALTE!$S$16,-2,IF(RASANTE!F259&lt;=PERALTE!$U$16,(-6/(PERALTE!$U$16-PERALTE!$S$16)*(RASANTE!F259-PERALTE!$S$16)-2),IF(RASANTE!F259&lt;=PERALTE!$X$16,-8,IF(RASANTE!F259&lt;=PERALTE!$Z$16,(-6/(PERALTE!$X$16-PERALTE!$Z$16)*(RASANTE!F259-PERALTE!$Z$16)-2),IF(RASANTE!F259&lt;=PERALTE!$AB$16,-2))))),IF(AND(AH!$H$18="Derecha",RASANTE!F259&lt;=PERALTE!$AB$16),IF(RASANTE!F259&lt;=PERALTE!$Q$16,-2,IF(RASANTE!F259&lt;=PERALTE!$U$16,(10/(PERALTE!$U$16-PERALTE!$Q$16)*(RASANTE!F259-PERALTE!$Q$16)-2),IF(RASANTE!F259&lt;=PERALTE!$X$16,8,IF(RASANTE!F259&lt;=PERALTE!$AB$16,(10/(PERALTE!$X$16-PERALTE!$AB$16)*(RASANTE!F259-PERALTE!$AB$16)-2))))),IF(AND(AH!$H$20="Izquierda",RASANTE!F259&lt;=PERALTE!$AB$18),IF(RASANTE!F259&lt;=PERALTE!$S$18,-2,IF(RASANTE!F259&lt;=PERALTE!$U$18,(-6/(PERALTE!$U$18-PERALTE!$S$18)*(RASANTE!F259-PERALTE!$S$18)-2),IF(RASANTE!F259&lt;=PERALTE!$X$18,-8,IF(RASANTE!F259&lt;=PERALTE!$Z$18,(-6/(PERALTE!$X$18-PERALTE!$Z$18)*(RASANTE!F259-PERALTE!$Z$18)-2),IF(RASANTE!F259&lt;=PERALTE!$AB$18,-2))))),IF(AND(AH!$H$20="Derecha",RASANTE!F259&lt;=PERALTE!$AB$18),IF(RASANTE!F259&lt;=PERALTE!$Q$18,-2,IF(RASANTE!F259&lt;=PERALTE!$U$18,(10/(PERALTE!$U$18-PERALTE!$Q$18)*(RASANTE!F259-PERALTE!$Q$18)-2),IF(RASANTE!F259&lt;=PERALTE!$X$18,8,IF(RASANTE!F259&lt;=PERALTE!$AB$18,(10/(PERALTE!$X$18-PERALTE!$AB$18)*(RASANTE!F259-PERALTE!$AB$18)-2))))),IF(AND(AH!$H$24="Izquierda",RASANTE!F259&lt;=PERALTE!$AB$22),IF(RASANTE!F259&lt;=PERALTE!$S$22,-2,IF(RASANTE!F259&lt;=PERALTE!$U$22,(-6/(PERALTE!$U$22-PERALTE!$S$22)*(RASANTE!F259-PERALTE!$S$22)-2),IF(RASANTE!F259&lt;=PERALTE!$X$22,-8,IF(RASANTE!F259&lt;=PERALTE!$Z$22,(-6/(PERALTE!$X$22-PERALTE!$Z$22)*(RASANTE!F259-PERALTE!$Z$22)-2),IF(RASANTE!F259&lt;=PERALTE!$AB$22,-2))))),IF(AND(AH!$H$24="Derecha",RASANTE!F259&lt;=PERALTE!$AB$22),IF(RASANTE!F259&lt;=PERALTE!$Q$22,-2,IF(RASANTE!F259&lt;=PERALTE!$U$22,(10/(PERALTE!$U$22-PERALTE!$Q$22)*(RASANTE!F259-PERALTE!$Q$22)-2),IF(RASANTE!F259&lt;=PERALTE!$X$22,8,IF(RASANTE!F259&lt;=PERALTE!$AB$22,(10/(PERALTE!$X$22-PERALTE!$AB$22)*(RASANTE!F259-PERALTE!$AB$22)-2))))),IF(AND(AH!#REF!="Izquierda",RASANTE!F259&lt;=PERALTE!#REF!),IF(RASANTE!F259&lt;=PERALTE!#REF!,-2,IF(RASANTE!F259&lt;=PERALTE!#REF!,(-6/(PERALTE!#REF!-PERALTE!#REF!)*(RASANTE!F259-PERALTE!#REF!)-2),IF(RASANTE!F259&lt;=PERALTE!#REF!,-8,IF(RASANTE!F259&lt;=PERALTE!#REF!,(-6/(PERALTE!#REF!-PERALTE!#REF!)*(RASANTE!F259-PERALTE!#REF!)-2),IF(RASANTE!F259&lt;=PERALTE!#REF!,-2))))),IF(AND(AH!#REF!="Derecha",RASANTE!F259&lt;=PERALTE!#REF!),IF(RASANTE!F259&lt;=PERALTE!#REF!,-2,IF(RASANTE!F259&lt;=PERALTE!#REF!,(10/(PERALTE!#REF!-PERALTE!#REF!)*(RASANTE!F259-PERALTE!#REF!)-2),IF(RASANTE!F259&lt;=PERALTE!#REF!,8,IF(RASANTE!F259&lt;=PERALTE!#REF!,(10/(PERALTE!#REF!-PERALTE!#REF!)*(RASANTE!F259-PERALTE!#REF!)-2))))),IF(AND(AH!#REF!="Izquierda",RASANTE!F259&lt;=PERALTE!$AB$26),IF(RASANTE!F259&lt;=PERALTE!$S$26,-2,IF(RASANTE!F259&lt;=PERALTE!$U$26,(-6/(PERALTE!$U$26-PERALTE!$S$26)*(RASANTE!F259-PERALTE!$S$26)-2),IF(RASANTE!F259&lt;=PERALTE!$X$26,-8,IF(RASANTE!F259&lt;=PERALTE!$Z$26,(-6/(PERALTE!$X$26-PERALTE!$Z$26)*(RASANTE!F259-PERALTE!$Z$26)-2),IF(RASANTE!F259&lt;=PERALTE!$AB$26,-2))))),IF(AND(AH!#REF!="Derecha",RASANTE!F259&lt;=PERALTE!$AB$26),IF(RASANTE!F259&lt;=PERALTE!$Q$26,-2,IF(RASANTE!F259&lt;=PERALTE!$U$26,(10/(PERALTE!$U$26-PERALTE!$Q$26)*(RASANTE!F259-PERALTE!$Q$26)-2),IF(RASANTE!F259&lt;=PERALTE!$X$26,8,IF(RASANTE!F259&lt;=PERALTE!$AB$26,(10/(PERALTE!$X$26-PERALTE!$AB$26)*(RASANTE!F259-PERALTE!$AB$26)-2))))),IF(F259&lt;=PERALTE!#REF!,-2,"Abscisa fuera de la vía")))))))))))))))))))))</f>
        <v>1.9999999999999796</v>
      </c>
      <c r="I259" s="28">
        <f>+IF(AND(AH!$H$8="Derecha",RASANTE!F259&lt;=PERALTE!$AB$6),IF(RASANTE!F259&lt;=PERALTE!$S$6,-2,IF(RASANTE!F259&lt;=PERALTE!$U$6,(-6/(PERALTE!$U$6-PERALTE!$S$6)*(RASANTE!F259-PERALTE!$S$6)-2),IF(RASANTE!F259&lt;=PERALTE!$X$6,-8,IF(RASANTE!F259&lt;=PERALTE!$Z$6,(-6/(PERALTE!$X$6-PERALTE!$Z$6)*(RASANTE!F259-PERALTE!$Z$6)-2),IF(RASANTE!F259&lt;=PERALTE!$AB$6,-2))))),IF(AND(AH!$H$8="Izquierda",RASANTE!F259&lt;=PERALTE!$AB$6),IF(RASANTE!F259&lt;=PERALTE!$Q$6,-2,IF(RASANTE!F259&lt;=PERALTE!$U$6,(10/(PERALTE!$U$6-PERALTE!$Q$6)*(RASANTE!F259-PERALTE!$Q$6)-2),IF(RASANTE!F259&lt;=PERALTE!$X$6,8,IF(RASANTE!F259&lt;=PERALTE!$AB$6,(10/(PERALTE!$X$6-PERALTE!$AB$6)*(RASANTE!F259-PERALTE!$AB$6)-2))))),IF(AND(AH!$H$10="Derecha",RASANTE!F259&lt;=PERALTE!$AB$8),IF(RASANTE!F259&lt;=PERALTE!$S$8,-2,IF(RASANTE!F259&lt;=PERALTE!$U$8,(-6/(PERALTE!$U$8-PERALTE!$S$8)*(RASANTE!F259-PERALTE!$S$8)-2),IF(RASANTE!F259&lt;=PERALTE!$X$8,-8,IF(RASANTE!F259&lt;=PERALTE!$Z$8,(-6/(PERALTE!$X$8-PERALTE!$Z$8)*(RASANTE!F259-PERALTE!$Z$8)-2),IF(RASANTE!F259&lt;=PERALTE!$AB$8,-2))))),IF(AND(AH!$H$10="Izquierda",RASANTE!F259&lt;=PERALTE!$AB$8),IF(RASANTE!F259&lt;=PERALTE!$Q$8,-2,IF(RASANTE!F259&lt;=PERALTE!$U$8,(10/(PERALTE!$U$8-PERALTE!$Q$8)*(RASANTE!F259-PERALTE!$Q$8)-2),IF(RASANTE!F259&lt;=PERALTE!$X$8,8,IF(RASANTE!F259&lt;=PERALTE!$AB$8,(10/(PERALTE!$X$8-PERALTE!$AB$8)*(RASANTE!F259-PERALTE!$AB$8)-2))))),IF(AND(AH!$H$12="Derecha",RASANTE!F259&lt;=PERALTE!$AB$10),IF(RASANTE!F259&lt;=PERALTE!$S$10,-2,IF(RASANTE!F259&lt;=PERALTE!$U$10,(-6/(PERALTE!$U$10-PERALTE!$S$10)*(RASANTE!F259-PERALTE!$S$10)-2),IF(RASANTE!F259&lt;=PERALTE!$X$10,-8,IF(RASANTE!F259&lt;=PERALTE!$Z$10,(-6/(PERALTE!$X$10-PERALTE!$Z$10)*(RASANTE!F259-PERALTE!$Z$10)-2),IF(RASANTE!F259&lt;=PERALTE!$AB$10,-2))))),IF(AND(AH!$H$12="Izquierda",RASANTE!F259&lt;=PERALTE!$AB$10),IF(RASANTE!F259&lt;=PERALTE!$Q$10,-2,IF(RASANTE!F259&lt;=PERALTE!$U$10,(10/(PERALTE!$U$10-PERALTE!$Q$10)*(RASANTE!F259-PERALTE!$Q$10)-2),IF(RASANTE!F259&lt;=PERALTE!$X$10,8,IF(RASANTE!F259&lt;=PERALTE!$AB$10,(10/(PERALTE!$X$10-PERALTE!$AB$10)*(RASANTE!F259-PERALTE!$AB$10)-2))))),IF(AND(AH!$H$14="Derecha",RASANTE!F259&lt;=PERALTE!$AB$12),IF(RASANTE!F259&lt;=PERALTE!$S$12,-2,IF(RASANTE!F259&lt;=PERALTE!$U$12,(-6/(PERALTE!$U$12-PERALTE!$S$12)*(RASANTE!F259-PERALTE!$S$12)-2),IF(RASANTE!F259&lt;=PERALTE!$X$12,-8,IF(RASANTE!F259&lt;=PERALTE!$Z$12,(-6/(PERALTE!$X$12-PERALTE!$Z$12)*(RASANTE!F259-PERALTE!$Z$12)-2),IF(RASANTE!F259&lt;=PERALTE!$AB$12,-2))))),IF(AND(AH!$H$14="Izquierda",RASANTE!F259&lt;=PERALTE!$AB$12),IF(RASANTE!F259&lt;=PERALTE!$Q$12,-2,IF(RASANTE!F259&lt;=PERALTE!$U$12,(10/(PERALTE!$U$12-PERALTE!$Q$12)*(RASANTE!F259-PERALTE!$Q$12)-2),IF(RASANTE!F259&lt;=PERALTE!$X$12,8,IF(RASANTE!F259&lt;=PERALTE!$AB$12,(10/(PERALTE!$X$12-PERALTE!$AB$12)*(RASANTE!F259-PERALTE!$AB$12)-2))))),IF(AND(AH!$H$16="Derecha",RASANTE!F259&lt;=PERALTE!$AB$14),IF(RASANTE!F259&lt;=PERALTE!$S$14,-2,IF(RASANTE!F259&lt;=PERALTE!$U$14,(-6/(PERALTE!$U$14-PERALTE!$S$14)*(RASANTE!F259-PERALTE!$S$14)-2),IF(RASANTE!F259&lt;=PERALTE!$X$14,-8,IF(RASANTE!F259&lt;=PERALTE!$Z$14,(-6/(PERALTE!$X$14-PERALTE!$Z$14)*(RASANTE!F259-PERALTE!$Z$14)-2),IF(RASANTE!F259&lt;=PERALTE!$AB$14,-2))))),IF(AND(AH!$H$16="Izquierda",RASANTE!F259&lt;=PERALTE!$AB$14),IF(RASANTE!F259&lt;=PERALTE!$Q$14,-2,IF(RASANTE!F259&lt;=PERALTE!$U$14,(10/(PERALTE!$U$14-PERALTE!$Q$14)*(RASANTE!F259-PERALTE!$Q$14)-2),IF(RASANTE!F259&lt;=PERALTE!$X$14,8,IF(RASANTE!F259&lt;=PERALTE!$AB$14,(10/(PERALTE!$X$14-PERALTE!$AB$14)*(RASANTE!F259-PERALTE!$AB$14)-2))))),IF(AND(AH!$H$18="Derecha",RASANTE!F259&lt;=PERALTE!$AB$16),IF(RASANTE!F259&lt;=PERALTE!$S$16,-2,IF(RASANTE!F259&lt;=PERALTE!$U$16,(-6/(PERALTE!$U$16-PERALTE!$S$16)*(RASANTE!F259-PERALTE!$S$16)-2),IF(RASANTE!F259&lt;=PERALTE!$X$16,-8,IF(RASANTE!F259&lt;=PERALTE!$Z$16,(-6/(PERALTE!$X$16-PERALTE!$Z$16)*(RASANTE!F259-PERALTE!$Z$16)-2),IF(RASANTE!F259&lt;=PERALTE!$AB$16,-2))))),IF(AND(AH!$H$18="Izquierda",RASANTE!F259&lt;=PERALTE!$AB$16),IF(RASANTE!F259&lt;=PERALTE!$Q$16,-2,IF(RASANTE!F259&lt;=PERALTE!$U$16,(10/(PERALTE!$U$16-PERALTE!$Q$16)*(RASANTE!F259-PERALTE!$Q$16)-2),IF(RASANTE!F259&lt;=PERALTE!$X$16,8,IF(RASANTE!F259&lt;=PERALTE!$AB$16,(10/(PERALTE!$X$16-PERALTE!$AB$16)*(RASANTE!F259-PERALTE!$AB$16)-2))))),IF(AND(AH!$H$20="Derecha",RASANTE!F259&lt;=PERALTE!$AB$18),IF(RASANTE!F259&lt;=PERALTE!$S$18,-2,IF(RASANTE!F259&lt;=PERALTE!$U$18,(-6/(PERALTE!$U$18-PERALTE!$S$18)*(RASANTE!F259-PERALTE!$S$18)-2),IF(RASANTE!F259&lt;=PERALTE!$X$18,-8,IF(RASANTE!F259&lt;=PERALTE!$Z$18,(-6/(PERALTE!$X$18-PERALTE!$Z$18)*(RASANTE!F259-PERALTE!$Z$18)-2),IF(RASANTE!F259&lt;=PERALTE!$AB$18,-2))))),IF(AND(AH!$H$20="Izquierda",RASANTE!F259&lt;=PERALTE!$AB$18),IF(RASANTE!F259&lt;=PERALTE!$Q$18,-2,IF(RASANTE!F259&lt;=PERALTE!$U$18,(10/(PERALTE!$U$18-PERALTE!$Q$18)*(RASANTE!F259-PERALTE!$Q$18)-2),IF(RASANTE!F259&lt;=PERALTE!$X$18,8,IF(RASANTE!F259&lt;=PERALTE!$AB$18,(10/(PERALTE!$X$18-PERALTE!$AB$18)*(RASANTE!F259-PERALTE!$AB$18)-2))))),IF(AND(AH!$H$24="Derecha",RASANTE!F259&lt;=PERALTE!$AB$22),IF(RASANTE!F259&lt;=PERALTE!$S$22,-2,IF(RASANTE!F259&lt;=PERALTE!$U$22,(-6/(PERALTE!$U$22-PERALTE!$S$22)*(RASANTE!F259-PERALTE!$S$22)-2),IF(RASANTE!F259&lt;=PERALTE!$X$22,-8,IF(RASANTE!F259&lt;=PERALTE!$Z$22,(-6/(PERALTE!$X$22-PERALTE!$Z$22)*(RASANTE!F259-PERALTE!$Z$22)-2),IF(RASANTE!F259&lt;=PERALTE!$AB$22,-2))))),IF(AND(AH!$H$24="Izquierda",RASANTE!F259&lt;=PERALTE!$AB$22),IF(RASANTE!F259&lt;=PERALTE!$Q$22,-2,IF(RASANTE!F259&lt;=PERALTE!$U$22,(10/(PERALTE!$U$22-PERALTE!$Q$22)*(RASANTE!F259-PERALTE!$Q$22)-2),IF(RASANTE!F259&lt;=PERALTE!$X$22,8,IF(RASANTE!F259&lt;=PERALTE!$AB$22,(10/(PERALTE!$X$22-PERALTE!$AB$22)*(RASANTE!F259-PERALTE!$AB$22)-2))))),IF(AND(AH!#REF!="Derecha",RASANTE!F259&lt;=PERALTE!#REF!),IF(RASANTE!F259&lt;=PERALTE!#REF!,-2,IF(RASANTE!F259&lt;=PERALTE!#REF!,(-6/(PERALTE!#REF!-PERALTE!#REF!)*(RASANTE!F259-PERALTE!#REF!)-2),IF(RASANTE!F259&lt;=PERALTE!#REF!,-8,IF(RASANTE!F259&lt;=PERALTE!#REF!,(-6/(PERALTE!#REF!-PERALTE!#REF!)*(RASANTE!F259-PERALTE!#REF!)-2),IF(RASANTE!F259&lt;=PERALTE!#REF!,-2))))),IF(AND(AH!#REF!="Izquierda",RASANTE!F259&lt;=PERALTE!#REF!),IF(RASANTE!F259&lt;=PERALTE!#REF!,-2,IF(RASANTE!F259&lt;=PERALTE!#REF!,(10/(PERALTE!#REF!-PERALTE!#REF!)*(RASANTE!F259-PERALTE!#REF!)-2),IF(RASANTE!F259&lt;=PERALTE!#REF!,8,IF(RASANTE!F259&lt;=PERALTE!#REF!,(10/(PERALTE!#REF!-PERALTE!#REF!)*(RASANTE!F259-PERALTE!#REF!)-2))))),IF(AND(AH!#REF!="Derecha",RASANTE!F259&lt;=PERALTE!$AB$26),IF(RASANTE!F259&lt;=PERALTE!$S$26,-2,IF(RASANTE!F259&lt;=PERALTE!$U$26,(-6/(PERALTE!$U$26-PERALTE!$S$26)*(RASANTE!F259-PERALTE!$S$26)-2),IF(RASANTE!F259&lt;=PERALTE!$X$26,-8,IF(RASANTE!F259&lt;=PERALTE!$Z$26,(-6/(PERALTE!$X$26-PERALTE!$Z$26)*(RASANTE!F259-PERALTE!$Z$26)-2),IF(RASANTE!F259&lt;=PERALTE!$AB$26,-2))))),IF(AND(AH!#REF!="Izquierda",RASANTE!F259&lt;=PERALTE!$AB$26),IF(RASANTE!F259&lt;=PERALTE!$Q$26,-2,IF(RASANTE!F259&lt;=PERALTE!$U$26,(10/(PERALTE!$U$26-PERALTE!$Q$26)*(RASANTE!F259-PERALTE!$Q$26)-2),IF(RASANTE!F259&lt;=PERALTE!$X$26,8,IF(RASANTE!F259&lt;=PERALTE!$AB$26,(10/(PERALTE!$X$26-PERALTE!$AB$26)*(RASANTE!F259-PERALTE!$AB$26)-2))))),IF(F259&lt;=PERALTE!#REF!,-2,"Abscisa fuera de la vía")))))))))))))))))))))</f>
        <v>-2</v>
      </c>
      <c r="J259" s="28">
        <f t="shared" si="11"/>
        <v>1635.4212207022142</v>
      </c>
      <c r="K259" s="28">
        <f>+IF(AND(AV!$S$6&lt;F259,F259&lt;=AV!$T$6),AV!$P$6*((AV!$S$6-RASANTE!F259)/(AV!$N$6))^2,IF(AND(AV!$T$6&lt;RASANTE!F259,F259&lt;AV!$U$6),AV!$P$6*((AV!$U$6-RASANTE!F259)/(AV!$O$6))^2,IF(AND(AV!$S$8&lt;F259,F259&lt;=AV!$T$8),AV!$P$8*((AV!$S$8-RASANTE!F259)/(AV!$N$8))^2,IF(AND(AV!$T$8&lt;RASANTE!F259,F259&lt;AV!$U$8),AV!$P$8*((AV!$U$8-RASANTE!F259)/(AV!$O$8))^2,IF(AND(AV!$S$10&lt;F259,F259&lt;=AV!$T$10),AV!$P$10*((AV!$S$10-RASANTE!F259)/(AV!$N$10))^2,IF(AND(AV!$T$10&lt;RASANTE!F259,F259&lt;AV!$U$10),AV!$P$10*((AV!$U$10-RASANTE!F259)/(AV!$O$10))^2,IF(AND(AV!$S$12&lt;F259,F259&lt;=AV!$T$12),AV!$P$12*((AV!$S$12-RASANTE!F259)/(AV!$N$12))^2,IF(AND(AV!$T$12&lt;RASANTE!F259,F259&lt;AV!$U$12),AV!$P$12*((AV!$U$12-RASANTE!F259)/(AV!$O$12))^2,IF(AND(AV!$S$14&lt;F259,F259&lt;=AV!$T$14),AV!$P$14*((AV!$S$14-RASANTE!F259)/(AV!$N$14))^2,IF(AND(AV!$T$14&lt;RASANTE!F259,F259&lt;AV!$U$14),AV!$P$14*((AV!$U$14-RASANTE!F259)/(AV!$O$14))^2,IF(AND(AV!$S$16&lt;F259,F259&lt;=AV!$T$16),AV!$P$16*((AV!$S$16-RASANTE!F259)/(AV!$N$16))^2,IF(AND(AV!$T$16&lt;RASANTE!F259,F259&lt;AV!$U$16),AV!$P$16*((AV!$U$16-RASANTE!F259)/(AV!$O$16))^2,IF(AND(AV!$S$18&lt;F259,F259&lt;=AV!$T$18),AV!$P$18*((AV!$S$18-RASANTE!F259)/(AV!$N$18))^2,IF(AND(AV!$T$18&lt;RASANTE!F259,F259&lt;AV!$U$18),AV!$P$18*((AV!$U$18-RASANTE!F259)/(AV!$O$18))^2,IF(AND(AV!$S$20&lt;F259,F259&lt;=AV!$T$20),AV!$P$20*((AV!$S$20-RASANTE!F259)/(AV!$N$20))^2,IF(AND(AV!$T$20&lt;RASANTE!F259,F259&lt;AV!$U$20),AV!$P$20*((AV!$U$20-RASANTE!F259)/(AV!$O$20))^2,IF(AND(AV!$S$22&lt;F259,F259&lt;=AV!$T$22),AV!$P$22*((AV!$S$22-RASANTE!F259)/(AV!$N$22))^2,IF(AND(AV!$T$22&lt;RASANTE!F259,F259&lt;AV!$U$22),AV!$P$22*((AV!$U$22-RASANTE!F259)/(AV!$O$22))^2,IF(AND(AV!$S$24&lt;F259,F259&lt;=AV!$T$24),AV!$P$24*((AV!$S$24-RASANTE!F259)/(AV!$N$24))^2,IF(AND(AV!$T$24&lt;RASANTE!F259,F259&lt;AV!$U$24),AV!$P$24*((AV!$U$24-RASANTE!F259)/(AV!$O$24))^2,0))))))))))))))))))))</f>
        <v>1.9236855461579889E-3</v>
      </c>
      <c r="L259" s="28">
        <f>+M259+H259%*PERALTE!$C$32</f>
        <v>1635.4931443877604</v>
      </c>
      <c r="M259" s="28">
        <f t="shared" si="12"/>
        <v>1635.4231443877604</v>
      </c>
      <c r="N259" s="28">
        <f>+M259+I259%*PERALTE!$C$32</f>
        <v>1635.3531443877605</v>
      </c>
      <c r="O259" s="92"/>
      <c r="P259" s="84"/>
      <c r="Q259" s="84"/>
      <c r="R259" s="84"/>
      <c r="S259" s="84"/>
      <c r="T259" s="84"/>
      <c r="U259" s="84"/>
      <c r="V259" s="84"/>
      <c r="W259" s="84"/>
      <c r="X259" s="84"/>
      <c r="Y259" s="84"/>
    </row>
    <row r="260" spans="1:25" ht="15.75" customHeight="1" x14ac:dyDescent="0.2">
      <c r="A260" s="347" t="s">
        <v>224</v>
      </c>
      <c r="B260" s="86"/>
      <c r="C260" s="86"/>
      <c r="D260" s="86"/>
      <c r="F260" s="34">
        <f>AV!U16</f>
        <v>1559.817</v>
      </c>
      <c r="G260" s="88">
        <v>5.4480000000000004</v>
      </c>
      <c r="H260" s="28">
        <f>+IF(AND(AH!$H$8="Izquierda",RASANTE!F260&lt;=PERALTE!$AB$6),IF(RASANTE!F260&lt;=PERALTE!$S$6,-2,IF(RASANTE!F260&lt;=PERALTE!$U$6,(-6/(PERALTE!$U$6-PERALTE!$S$6)*(RASANTE!F260-PERALTE!$S$6)-2),IF(RASANTE!F260&lt;=PERALTE!$X$6,-8,IF(RASANTE!F260&lt;=PERALTE!$Z$6,(-6/(PERALTE!$X$6-PERALTE!$Z$6)*(RASANTE!F260-PERALTE!$Z$6)-2),IF(RASANTE!F260&lt;=PERALTE!$AB$6,-2))))),IF(AND(AH!$H$8="Derecha",RASANTE!F260&lt;=PERALTE!$AB$6),IF(RASANTE!F260&lt;=PERALTE!$Q$6,-2,IF(RASANTE!F260&lt;=PERALTE!$U$6,(10/(PERALTE!$U$6-PERALTE!$Q$6)*(RASANTE!F260-PERALTE!$Q$6)-2),IF(RASANTE!F260&lt;=PERALTE!$X$6,8,IF(RASANTE!F260&lt;=PERALTE!$AB$6,(10/(PERALTE!$X$6-PERALTE!$AB$6)*(RASANTE!F260-PERALTE!$AB$6)-2))))),IF(AND(AH!$H$10="Izquierda",RASANTE!F260&lt;=PERALTE!$AB$8),IF(RASANTE!F260&lt;=PERALTE!$S$8,-2,IF(RASANTE!F260&lt;=PERALTE!$U$8,(-6/(PERALTE!$U$8-PERALTE!$S$8)*(RASANTE!F260-PERALTE!$S$8)-2),IF(RASANTE!F260&lt;=PERALTE!$X$8,-8,IF(RASANTE!F260&lt;=PERALTE!$Z$8,(-6/(PERALTE!$X$8-PERALTE!$Z$8)*(RASANTE!F260-PERALTE!$Z$8)-2),IF(RASANTE!F260&lt;=PERALTE!$AB$8,-2))))),IF(AND(AH!$H$10="Derecha",RASANTE!F260&lt;=PERALTE!$AB$8),IF(RASANTE!F260&lt;=PERALTE!$Q$8,-2,IF(RASANTE!F260&lt;=PERALTE!$U$8,(10/(PERALTE!$U$8-PERALTE!$Q$8)*(RASANTE!F260-PERALTE!$Q$8)-2),IF(RASANTE!F260&lt;=PERALTE!$X$8,8,IF(RASANTE!F260&lt;=PERALTE!$AB$8,(10/(PERALTE!$X$8-PERALTE!$AB$8)*(RASANTE!F260-PERALTE!$AB$8)-2))))),IF(AND(AH!$H$12="Izquierda",RASANTE!F260&lt;=PERALTE!$AB$10),IF(RASANTE!F260&lt;=PERALTE!$S$10,-2,IF(RASANTE!F260&lt;=PERALTE!$U$10,(-6/(PERALTE!$U$10-PERALTE!$S$10)*(RASANTE!F260-PERALTE!$S$10)-2),IF(RASANTE!F260&lt;=PERALTE!$X$10,-8,IF(RASANTE!F260&lt;=PERALTE!$Z$10,(-6/(PERALTE!$X$10-PERALTE!$Z$10)*(RASANTE!F260-PERALTE!$Z$10)-2),IF(RASANTE!F260&lt;=PERALTE!$AB$10,-2))))),IF(AND(AH!$H$12="Derecha",RASANTE!F260&lt;=PERALTE!$AB$10),IF(RASANTE!F260&lt;=PERALTE!$Q$10,-2,IF(RASANTE!F260&lt;=PERALTE!$U$10,(10/(PERALTE!$U$10-PERALTE!$Q$10)*(RASANTE!F260-PERALTE!$Q$10)-2),IF(RASANTE!F260&lt;=PERALTE!$X$10,8,IF(RASANTE!F260&lt;=PERALTE!$AB$10,(10/(PERALTE!$X$10-PERALTE!$AB$10)*(RASANTE!F260-PERALTE!$AB$10)-2))))),IF(AND(AH!$H$14="Izquierda",RASANTE!F260&lt;=PERALTE!$AB$12),IF(RASANTE!F260&lt;=PERALTE!$S$12,-2,IF(RASANTE!F260&lt;=PERALTE!$U$12,(-6/(PERALTE!$U$12-PERALTE!$S$12)*(RASANTE!F260-PERALTE!$S$12)-2),IF(RASANTE!F260&lt;=PERALTE!$X$12,-8,IF(RASANTE!F260&lt;=PERALTE!$Z$12,(-6/(PERALTE!$X$12-PERALTE!$Z$12)*(RASANTE!F260-PERALTE!$Z$12)-2),IF(RASANTE!F260&lt;=PERALTE!$AB$12,-2))))),IF(AND(AH!$H$14="Derecha",RASANTE!F260&lt;=PERALTE!$AB$12),IF(RASANTE!F260&lt;=PERALTE!$Q$12,-2,IF(RASANTE!F260&lt;=PERALTE!$U$12,(10/(PERALTE!$U$12-PERALTE!$Q$12)*(RASANTE!F260-PERALTE!$Q$12)-2),IF(RASANTE!F260&lt;=PERALTE!$X$12,8,IF(RASANTE!F260&lt;=PERALTE!$AB$12,(10/(PERALTE!$X$12-PERALTE!$AB$12)*(RASANTE!F260-PERALTE!$AB$12)-2))))),IF(AND(AH!$H$16="Izquierda",RASANTE!F260&lt;=PERALTE!$AB$14),IF(RASANTE!F260&lt;=PERALTE!$S$14,-2,IF(RASANTE!F260&lt;=PERALTE!$U$14,(-6/(PERALTE!$U$14-PERALTE!$S$14)*(RASANTE!F260-PERALTE!$S$14)-2),IF(RASANTE!F260&lt;=PERALTE!$X$14,-8,IF(RASANTE!F260&lt;=PERALTE!$Z$14,(-6/(PERALTE!$X$14-PERALTE!$Z$14)*(RASANTE!F260-PERALTE!$Z$14)-2),IF(RASANTE!F260&lt;=PERALTE!$AB$14,-2))))),IF(AND(AH!$H$16="Derecha",RASANTE!F260&lt;=PERALTE!$AB$14),IF(RASANTE!F260&lt;=PERALTE!$Q$14,-2,IF(RASANTE!F260&lt;=PERALTE!$U$14,(10/(PERALTE!$U$14-PERALTE!$Q$14)*(RASANTE!F260-PERALTE!$Q$14)-2),IF(RASANTE!F260&lt;=PERALTE!$X$14,8,IF(RASANTE!F260&lt;=PERALTE!$AB$14,(10/(PERALTE!$X$14-PERALTE!$AB$14)*(RASANTE!F260-PERALTE!$AB$14)-2))))),IF(AND(AH!$H$18="Izquierda",RASANTE!F260&lt;=PERALTE!$AB$16),IF(RASANTE!F260&lt;=PERALTE!$S$16,-2,IF(RASANTE!F260&lt;=PERALTE!$U$16,(-6/(PERALTE!$U$16-PERALTE!$S$16)*(RASANTE!F260-PERALTE!$S$16)-2),IF(RASANTE!F260&lt;=PERALTE!$X$16,-8,IF(RASANTE!F260&lt;=PERALTE!$Z$16,(-6/(PERALTE!$X$16-PERALTE!$Z$16)*(RASANTE!F260-PERALTE!$Z$16)-2),IF(RASANTE!F260&lt;=PERALTE!$AB$16,-2))))),IF(AND(AH!$H$18="Derecha",RASANTE!F260&lt;=PERALTE!$AB$16),IF(RASANTE!F260&lt;=PERALTE!$Q$16,-2,IF(RASANTE!F260&lt;=PERALTE!$U$16,(10/(PERALTE!$U$16-PERALTE!$Q$16)*(RASANTE!F260-PERALTE!$Q$16)-2),IF(RASANTE!F260&lt;=PERALTE!$X$16,8,IF(RASANTE!F260&lt;=PERALTE!$AB$16,(10/(PERALTE!$X$16-PERALTE!$AB$16)*(RASANTE!F260-PERALTE!$AB$16)-2))))),IF(AND(AH!$H$20="Izquierda",RASANTE!F260&lt;=PERALTE!$AB$18),IF(RASANTE!F260&lt;=PERALTE!$S$18,-2,IF(RASANTE!F260&lt;=PERALTE!$U$18,(-6/(PERALTE!$U$18-PERALTE!$S$18)*(RASANTE!F260-PERALTE!$S$18)-2),IF(RASANTE!F260&lt;=PERALTE!$X$18,-8,IF(RASANTE!F260&lt;=PERALTE!$Z$18,(-6/(PERALTE!$X$18-PERALTE!$Z$18)*(RASANTE!F260-PERALTE!$Z$18)-2),IF(RASANTE!F260&lt;=PERALTE!$AB$18,-2))))),IF(AND(AH!$H$20="Derecha",RASANTE!F260&lt;=PERALTE!$AB$18),IF(RASANTE!F260&lt;=PERALTE!$Q$18,-2,IF(RASANTE!F260&lt;=PERALTE!$U$18,(10/(PERALTE!$U$18-PERALTE!$Q$18)*(RASANTE!F260-PERALTE!$Q$18)-2),IF(RASANTE!F260&lt;=PERALTE!$X$18,8,IF(RASANTE!F260&lt;=PERALTE!$AB$18,(10/(PERALTE!$X$18-PERALTE!$AB$18)*(RASANTE!F260-PERALTE!$AB$18)-2))))),IF(AND(AH!$H$24="Izquierda",RASANTE!F260&lt;=PERALTE!$AB$22),IF(RASANTE!F260&lt;=PERALTE!$S$22,-2,IF(RASANTE!F260&lt;=PERALTE!$U$22,(-6/(PERALTE!$U$22-PERALTE!$S$22)*(RASANTE!F260-PERALTE!$S$22)-2),IF(RASANTE!F260&lt;=PERALTE!$X$22,-8,IF(RASANTE!F260&lt;=PERALTE!$Z$22,(-6/(PERALTE!$X$22-PERALTE!$Z$22)*(RASANTE!F260-PERALTE!$Z$22)-2),IF(RASANTE!F260&lt;=PERALTE!$AB$22,-2))))),IF(AND(AH!$H$24="Derecha",RASANTE!F260&lt;=PERALTE!$AB$22),IF(RASANTE!F260&lt;=PERALTE!$Q$22,-2,IF(RASANTE!F260&lt;=PERALTE!$U$22,(10/(PERALTE!$U$22-PERALTE!$Q$22)*(RASANTE!F260-PERALTE!$Q$22)-2),IF(RASANTE!F260&lt;=PERALTE!$X$22,8,IF(RASANTE!F260&lt;=PERALTE!$AB$22,(10/(PERALTE!$X$22-PERALTE!$AB$22)*(RASANTE!F260-PERALTE!$AB$22)-2))))),IF(AND(AH!#REF!="Izquierda",RASANTE!F260&lt;=PERALTE!#REF!),IF(RASANTE!F260&lt;=PERALTE!#REF!,-2,IF(RASANTE!F260&lt;=PERALTE!#REF!,(-6/(PERALTE!#REF!-PERALTE!#REF!)*(RASANTE!F260-PERALTE!#REF!)-2),IF(RASANTE!F260&lt;=PERALTE!#REF!,-8,IF(RASANTE!F260&lt;=PERALTE!#REF!,(-6/(PERALTE!#REF!-PERALTE!#REF!)*(RASANTE!F260-PERALTE!#REF!)-2),IF(RASANTE!F260&lt;=PERALTE!#REF!,-2))))),IF(AND(AH!#REF!="Derecha",RASANTE!F260&lt;=PERALTE!#REF!),IF(RASANTE!F260&lt;=PERALTE!#REF!,-2,IF(RASANTE!F260&lt;=PERALTE!#REF!,(10/(PERALTE!#REF!-PERALTE!#REF!)*(RASANTE!F260-PERALTE!#REF!)-2),IF(RASANTE!F260&lt;=PERALTE!#REF!,8,IF(RASANTE!F260&lt;=PERALTE!#REF!,(10/(PERALTE!#REF!-PERALTE!#REF!)*(RASANTE!F260-PERALTE!#REF!)-2))))),IF(AND(AH!#REF!="Izquierda",RASANTE!F260&lt;=PERALTE!$AB$26),IF(RASANTE!F260&lt;=PERALTE!$S$26,-2,IF(RASANTE!F260&lt;=PERALTE!$U$26,(-6/(PERALTE!$U$26-PERALTE!$S$26)*(RASANTE!F260-PERALTE!$S$26)-2),IF(RASANTE!F260&lt;=PERALTE!$X$26,-8,IF(RASANTE!F260&lt;=PERALTE!$Z$26,(-6/(PERALTE!$X$26-PERALTE!$Z$26)*(RASANTE!F260-PERALTE!$Z$26)-2),IF(RASANTE!F260&lt;=PERALTE!$AB$26,-2))))),IF(AND(AH!#REF!="Derecha",RASANTE!F260&lt;=PERALTE!$AB$26),IF(RASANTE!F260&lt;=PERALTE!$Q$26,-2,IF(RASANTE!F260&lt;=PERALTE!$U$26,(10/(PERALTE!$U$26-PERALTE!$Q$26)*(RASANTE!F260-PERALTE!$Q$26)-2),IF(RASANTE!F260&lt;=PERALTE!$X$26,8,IF(RASANTE!F260&lt;=PERALTE!$AB$26,(10/(PERALTE!$X$26-PERALTE!$AB$26)*(RASANTE!F260-PERALTE!$AB$26)-2))))),IF(F260&lt;=PERALTE!#REF!,-2,"Abscisa fuera de la vía")))))))))))))))))))))</f>
        <v>1.4696339392353233</v>
      </c>
      <c r="I260" s="28">
        <f>+IF(AND(AH!$H$8="Derecha",RASANTE!F260&lt;=PERALTE!$AB$6),IF(RASANTE!F260&lt;=PERALTE!$S$6,-2,IF(RASANTE!F260&lt;=PERALTE!$U$6,(-6/(PERALTE!$U$6-PERALTE!$S$6)*(RASANTE!F260-PERALTE!$S$6)-2),IF(RASANTE!F260&lt;=PERALTE!$X$6,-8,IF(RASANTE!F260&lt;=PERALTE!$Z$6,(-6/(PERALTE!$X$6-PERALTE!$Z$6)*(RASANTE!F260-PERALTE!$Z$6)-2),IF(RASANTE!F260&lt;=PERALTE!$AB$6,-2))))),IF(AND(AH!$H$8="Izquierda",RASANTE!F260&lt;=PERALTE!$AB$6),IF(RASANTE!F260&lt;=PERALTE!$Q$6,-2,IF(RASANTE!F260&lt;=PERALTE!$U$6,(10/(PERALTE!$U$6-PERALTE!$Q$6)*(RASANTE!F260-PERALTE!$Q$6)-2),IF(RASANTE!F260&lt;=PERALTE!$X$6,8,IF(RASANTE!F260&lt;=PERALTE!$AB$6,(10/(PERALTE!$X$6-PERALTE!$AB$6)*(RASANTE!F260-PERALTE!$AB$6)-2))))),IF(AND(AH!$H$10="Derecha",RASANTE!F260&lt;=PERALTE!$AB$8),IF(RASANTE!F260&lt;=PERALTE!$S$8,-2,IF(RASANTE!F260&lt;=PERALTE!$U$8,(-6/(PERALTE!$U$8-PERALTE!$S$8)*(RASANTE!F260-PERALTE!$S$8)-2),IF(RASANTE!F260&lt;=PERALTE!$X$8,-8,IF(RASANTE!F260&lt;=PERALTE!$Z$8,(-6/(PERALTE!$X$8-PERALTE!$Z$8)*(RASANTE!F260-PERALTE!$Z$8)-2),IF(RASANTE!F260&lt;=PERALTE!$AB$8,-2))))),IF(AND(AH!$H$10="Izquierda",RASANTE!F260&lt;=PERALTE!$AB$8),IF(RASANTE!F260&lt;=PERALTE!$Q$8,-2,IF(RASANTE!F260&lt;=PERALTE!$U$8,(10/(PERALTE!$U$8-PERALTE!$Q$8)*(RASANTE!F260-PERALTE!$Q$8)-2),IF(RASANTE!F260&lt;=PERALTE!$X$8,8,IF(RASANTE!F260&lt;=PERALTE!$AB$8,(10/(PERALTE!$X$8-PERALTE!$AB$8)*(RASANTE!F260-PERALTE!$AB$8)-2))))),IF(AND(AH!$H$12="Derecha",RASANTE!F260&lt;=PERALTE!$AB$10),IF(RASANTE!F260&lt;=PERALTE!$S$10,-2,IF(RASANTE!F260&lt;=PERALTE!$U$10,(-6/(PERALTE!$U$10-PERALTE!$S$10)*(RASANTE!F260-PERALTE!$S$10)-2),IF(RASANTE!F260&lt;=PERALTE!$X$10,-8,IF(RASANTE!F260&lt;=PERALTE!$Z$10,(-6/(PERALTE!$X$10-PERALTE!$Z$10)*(RASANTE!F260-PERALTE!$Z$10)-2),IF(RASANTE!F260&lt;=PERALTE!$AB$10,-2))))),IF(AND(AH!$H$12="Izquierda",RASANTE!F260&lt;=PERALTE!$AB$10),IF(RASANTE!F260&lt;=PERALTE!$Q$10,-2,IF(RASANTE!F260&lt;=PERALTE!$U$10,(10/(PERALTE!$U$10-PERALTE!$Q$10)*(RASANTE!F260-PERALTE!$Q$10)-2),IF(RASANTE!F260&lt;=PERALTE!$X$10,8,IF(RASANTE!F260&lt;=PERALTE!$AB$10,(10/(PERALTE!$X$10-PERALTE!$AB$10)*(RASANTE!F260-PERALTE!$AB$10)-2))))),IF(AND(AH!$H$14="Derecha",RASANTE!F260&lt;=PERALTE!$AB$12),IF(RASANTE!F260&lt;=PERALTE!$S$12,-2,IF(RASANTE!F260&lt;=PERALTE!$U$12,(-6/(PERALTE!$U$12-PERALTE!$S$12)*(RASANTE!F260-PERALTE!$S$12)-2),IF(RASANTE!F260&lt;=PERALTE!$X$12,-8,IF(RASANTE!F260&lt;=PERALTE!$Z$12,(-6/(PERALTE!$X$12-PERALTE!$Z$12)*(RASANTE!F260-PERALTE!$Z$12)-2),IF(RASANTE!F260&lt;=PERALTE!$AB$12,-2))))),IF(AND(AH!$H$14="Izquierda",RASANTE!F260&lt;=PERALTE!$AB$12),IF(RASANTE!F260&lt;=PERALTE!$Q$12,-2,IF(RASANTE!F260&lt;=PERALTE!$U$12,(10/(PERALTE!$U$12-PERALTE!$Q$12)*(RASANTE!F260-PERALTE!$Q$12)-2),IF(RASANTE!F260&lt;=PERALTE!$X$12,8,IF(RASANTE!F260&lt;=PERALTE!$AB$12,(10/(PERALTE!$X$12-PERALTE!$AB$12)*(RASANTE!F260-PERALTE!$AB$12)-2))))),IF(AND(AH!$H$16="Derecha",RASANTE!F260&lt;=PERALTE!$AB$14),IF(RASANTE!F260&lt;=PERALTE!$S$14,-2,IF(RASANTE!F260&lt;=PERALTE!$U$14,(-6/(PERALTE!$U$14-PERALTE!$S$14)*(RASANTE!F260-PERALTE!$S$14)-2),IF(RASANTE!F260&lt;=PERALTE!$X$14,-8,IF(RASANTE!F260&lt;=PERALTE!$Z$14,(-6/(PERALTE!$X$14-PERALTE!$Z$14)*(RASANTE!F260-PERALTE!$Z$14)-2),IF(RASANTE!F260&lt;=PERALTE!$AB$14,-2))))),IF(AND(AH!$H$16="Izquierda",RASANTE!F260&lt;=PERALTE!$AB$14),IF(RASANTE!F260&lt;=PERALTE!$Q$14,-2,IF(RASANTE!F260&lt;=PERALTE!$U$14,(10/(PERALTE!$U$14-PERALTE!$Q$14)*(RASANTE!F260-PERALTE!$Q$14)-2),IF(RASANTE!F260&lt;=PERALTE!$X$14,8,IF(RASANTE!F260&lt;=PERALTE!$AB$14,(10/(PERALTE!$X$14-PERALTE!$AB$14)*(RASANTE!F260-PERALTE!$AB$14)-2))))),IF(AND(AH!$H$18="Derecha",RASANTE!F260&lt;=PERALTE!$AB$16),IF(RASANTE!F260&lt;=PERALTE!$S$16,-2,IF(RASANTE!F260&lt;=PERALTE!$U$16,(-6/(PERALTE!$U$16-PERALTE!$S$16)*(RASANTE!F260-PERALTE!$S$16)-2),IF(RASANTE!F260&lt;=PERALTE!$X$16,-8,IF(RASANTE!F260&lt;=PERALTE!$Z$16,(-6/(PERALTE!$X$16-PERALTE!$Z$16)*(RASANTE!F260-PERALTE!$Z$16)-2),IF(RASANTE!F260&lt;=PERALTE!$AB$16,-2))))),IF(AND(AH!$H$18="Izquierda",RASANTE!F260&lt;=PERALTE!$AB$16),IF(RASANTE!F260&lt;=PERALTE!$Q$16,-2,IF(RASANTE!F260&lt;=PERALTE!$U$16,(10/(PERALTE!$U$16-PERALTE!$Q$16)*(RASANTE!F260-PERALTE!$Q$16)-2),IF(RASANTE!F260&lt;=PERALTE!$X$16,8,IF(RASANTE!F260&lt;=PERALTE!$AB$16,(10/(PERALTE!$X$16-PERALTE!$AB$16)*(RASANTE!F260-PERALTE!$AB$16)-2))))),IF(AND(AH!$H$20="Derecha",RASANTE!F260&lt;=PERALTE!$AB$18),IF(RASANTE!F260&lt;=PERALTE!$S$18,-2,IF(RASANTE!F260&lt;=PERALTE!$U$18,(-6/(PERALTE!$U$18-PERALTE!$S$18)*(RASANTE!F260-PERALTE!$S$18)-2),IF(RASANTE!F260&lt;=PERALTE!$X$18,-8,IF(RASANTE!F260&lt;=PERALTE!$Z$18,(-6/(PERALTE!$X$18-PERALTE!$Z$18)*(RASANTE!F260-PERALTE!$Z$18)-2),IF(RASANTE!F260&lt;=PERALTE!$AB$18,-2))))),IF(AND(AH!$H$20="Izquierda",RASANTE!F260&lt;=PERALTE!$AB$18),IF(RASANTE!F260&lt;=PERALTE!$Q$18,-2,IF(RASANTE!F260&lt;=PERALTE!$U$18,(10/(PERALTE!$U$18-PERALTE!$Q$18)*(RASANTE!F260-PERALTE!$Q$18)-2),IF(RASANTE!F260&lt;=PERALTE!$X$18,8,IF(RASANTE!F260&lt;=PERALTE!$AB$18,(10/(PERALTE!$X$18-PERALTE!$AB$18)*(RASANTE!F260-PERALTE!$AB$18)-2))))),IF(AND(AH!$H$24="Derecha",RASANTE!F260&lt;=PERALTE!$AB$22),IF(RASANTE!F260&lt;=PERALTE!$S$22,-2,IF(RASANTE!F260&lt;=PERALTE!$U$22,(-6/(PERALTE!$U$22-PERALTE!$S$22)*(RASANTE!F260-PERALTE!$S$22)-2),IF(RASANTE!F260&lt;=PERALTE!$X$22,-8,IF(RASANTE!F260&lt;=PERALTE!$Z$22,(-6/(PERALTE!$X$22-PERALTE!$Z$22)*(RASANTE!F260-PERALTE!$Z$22)-2),IF(RASANTE!F260&lt;=PERALTE!$AB$22,-2))))),IF(AND(AH!$H$24="Izquierda",RASANTE!F260&lt;=PERALTE!$AB$22),IF(RASANTE!F260&lt;=PERALTE!$Q$22,-2,IF(RASANTE!F260&lt;=PERALTE!$U$22,(10/(PERALTE!$U$22-PERALTE!$Q$22)*(RASANTE!F260-PERALTE!$Q$22)-2),IF(RASANTE!F260&lt;=PERALTE!$X$22,8,IF(RASANTE!F260&lt;=PERALTE!$AB$22,(10/(PERALTE!$X$22-PERALTE!$AB$22)*(RASANTE!F260-PERALTE!$AB$22)-2))))),IF(AND(AH!#REF!="Derecha",RASANTE!F260&lt;=PERALTE!#REF!),IF(RASANTE!F260&lt;=PERALTE!#REF!,-2,IF(RASANTE!F260&lt;=PERALTE!#REF!,(-6/(PERALTE!#REF!-PERALTE!#REF!)*(RASANTE!F260-PERALTE!#REF!)-2),IF(RASANTE!F260&lt;=PERALTE!#REF!,-8,IF(RASANTE!F260&lt;=PERALTE!#REF!,(-6/(PERALTE!#REF!-PERALTE!#REF!)*(RASANTE!F260-PERALTE!#REF!)-2),IF(RASANTE!F260&lt;=PERALTE!#REF!,-2))))),IF(AND(AH!#REF!="Izquierda",RASANTE!F260&lt;=PERALTE!#REF!),IF(RASANTE!F260&lt;=PERALTE!#REF!,-2,IF(RASANTE!F260&lt;=PERALTE!#REF!,(10/(PERALTE!#REF!-PERALTE!#REF!)*(RASANTE!F260-PERALTE!#REF!)-2),IF(RASANTE!F260&lt;=PERALTE!#REF!,8,IF(RASANTE!F260&lt;=PERALTE!#REF!,(10/(PERALTE!#REF!-PERALTE!#REF!)*(RASANTE!F260-PERALTE!#REF!)-2))))),IF(AND(AH!#REF!="Derecha",RASANTE!F260&lt;=PERALTE!$AB$26),IF(RASANTE!F260&lt;=PERALTE!$S$26,-2,IF(RASANTE!F260&lt;=PERALTE!$U$26,(-6/(PERALTE!$U$26-PERALTE!$S$26)*(RASANTE!F260-PERALTE!$S$26)-2),IF(RASANTE!F260&lt;=PERALTE!$X$26,-8,IF(RASANTE!F260&lt;=PERALTE!$Z$26,(-6/(PERALTE!$X$26-PERALTE!$Z$26)*(RASANTE!F260-PERALTE!$Z$26)-2),IF(RASANTE!F260&lt;=PERALTE!$AB$26,-2))))),IF(AND(AH!#REF!="Izquierda",RASANTE!F260&lt;=PERALTE!$AB$26),IF(RASANTE!F260&lt;=PERALTE!$Q$26,-2,IF(RASANTE!F260&lt;=PERALTE!$U$26,(10/(PERALTE!$U$26-PERALTE!$Q$26)*(RASANTE!F260-PERALTE!$Q$26)-2),IF(RASANTE!F260&lt;=PERALTE!$X$26,8,IF(RASANTE!F260&lt;=PERALTE!$AB$26,(10/(PERALTE!$X$26-PERALTE!$AB$26)*(RASANTE!F260-PERALTE!$AB$26)-2))))),IF(F260&lt;=PERALTE!#REF!,-2,"Abscisa fuera de la vía")))))))))))))))))))))</f>
        <v>-2</v>
      </c>
      <c r="J260" s="28">
        <f t="shared" si="11"/>
        <v>1635.5525586248982</v>
      </c>
      <c r="K260" s="28">
        <f>+IF(AND(AV!$S$6&lt;F260,F260&lt;=AV!$T$6),AV!$P$6*((AV!$S$6-RASANTE!F260)/(AV!$N$6))^2,IF(AND(AV!$T$6&lt;RASANTE!F260,F260&lt;AV!$U$6),AV!$P$6*((AV!$U$6-RASANTE!F260)/(AV!$O$6))^2,IF(AND(AV!$S$8&lt;F260,F260&lt;=AV!$T$8),AV!$P$8*((AV!$S$8-RASANTE!F260)/(AV!$N$8))^2,IF(AND(AV!$T$8&lt;RASANTE!F260,F260&lt;AV!$U$8),AV!$P$8*((AV!$U$8-RASANTE!F260)/(AV!$O$8))^2,IF(AND(AV!$S$10&lt;F260,F260&lt;=AV!$T$10),AV!$P$10*((AV!$S$10-RASANTE!F260)/(AV!$N$10))^2,IF(AND(AV!$T$10&lt;RASANTE!F260,F260&lt;AV!$U$10),AV!$P$10*((AV!$U$10-RASANTE!F260)/(AV!$O$10))^2,IF(AND(AV!$S$12&lt;F260,F260&lt;=AV!$T$12),AV!$P$12*((AV!$S$12-RASANTE!F260)/(AV!$N$12))^2,IF(AND(AV!$T$12&lt;RASANTE!F260,F260&lt;AV!$U$12),AV!$P$12*((AV!$U$12-RASANTE!F260)/(AV!$O$12))^2,IF(AND(AV!$S$14&lt;F260,F260&lt;=AV!$T$14),AV!$P$14*((AV!$S$14-RASANTE!F260)/(AV!$N$14))^2,IF(AND(AV!$T$14&lt;RASANTE!F260,F260&lt;AV!$U$14),AV!$P$14*((AV!$U$14-RASANTE!F260)/(AV!$O$14))^2,IF(AND(AV!$S$16&lt;F260,F260&lt;=AV!$T$16),AV!$P$16*((AV!$S$16-RASANTE!F260)/(AV!$N$16))^2,IF(AND(AV!$T$16&lt;RASANTE!F260,F260&lt;AV!$U$16),AV!$P$16*((AV!$U$16-RASANTE!F260)/(AV!$O$16))^2,IF(AND(AV!$S$18&lt;F260,F260&lt;=AV!$T$18),AV!$P$18*((AV!$S$18-RASANTE!F260)/(AV!$N$18))^2,IF(AND(AV!$T$18&lt;RASANTE!F260,F260&lt;AV!$U$18),AV!$P$18*((AV!$U$18-RASANTE!F260)/(AV!$O$18))^2,IF(AND(AV!$S$20&lt;F260,F260&lt;=AV!$T$20),AV!$P$20*((AV!$S$20-RASANTE!F260)/(AV!$N$20))^2,IF(AND(AV!$T$20&lt;RASANTE!F260,F260&lt;AV!$U$20),AV!$P$20*((AV!$U$20-RASANTE!F260)/(AV!$O$20))^2,IF(AND(AV!$S$22&lt;F260,F260&lt;=AV!$T$22),AV!$P$22*((AV!$S$22-RASANTE!F260)/(AV!$N$22))^2,IF(AND(AV!$T$22&lt;RASANTE!F260,F260&lt;AV!$U$22),AV!$P$22*((AV!$U$22-RASANTE!F260)/(AV!$O$22))^2,IF(AND(AV!$S$24&lt;F260,F260&lt;=AV!$T$24),AV!$P$24*((AV!$S$24-RASANTE!F260)/(AV!$N$24))^2,IF(AND(AV!$T$24&lt;RASANTE!F260,F260&lt;AV!$U$24),AV!$P$24*((AV!$U$24-RASANTE!F260)/(AV!$O$24))^2,0))))))))))))))))))))</f>
        <v>0</v>
      </c>
      <c r="L260" s="28">
        <f>+M260+H260%*PERALTE!$C$32</f>
        <v>1635.6039958127715</v>
      </c>
      <c r="M260" s="28">
        <f t="shared" si="12"/>
        <v>1635.5525586248982</v>
      </c>
      <c r="N260" s="28">
        <f>+M260+I260%*PERALTE!$C$32</f>
        <v>1635.4825586248983</v>
      </c>
      <c r="O260" s="92"/>
      <c r="P260" s="84"/>
      <c r="Q260" s="84"/>
      <c r="R260" s="84"/>
      <c r="S260" s="84"/>
      <c r="T260" s="84"/>
      <c r="U260" s="84"/>
      <c r="V260" s="84"/>
      <c r="W260" s="84"/>
      <c r="X260" s="84"/>
      <c r="Y260" s="84"/>
    </row>
    <row r="261" spans="1:25" ht="15.75" customHeight="1" x14ac:dyDescent="0.2">
      <c r="A261" s="322"/>
      <c r="B261" s="86"/>
      <c r="C261" s="86"/>
      <c r="D261" s="86"/>
      <c r="E261" s="91"/>
      <c r="F261" s="34">
        <v>1560</v>
      </c>
      <c r="G261" s="88">
        <v>5.4480000000000004</v>
      </c>
      <c r="H261" s="28">
        <f>+IF(AND(AH!$H$8="Izquierda",RASANTE!F261&lt;=PERALTE!$AB$6),IF(RASANTE!F261&lt;=PERALTE!$S$6,-2,IF(RASANTE!F261&lt;=PERALTE!$U$6,(-6/(PERALTE!$U$6-PERALTE!$S$6)*(RASANTE!F261-PERALTE!$S$6)-2),IF(RASANTE!F261&lt;=PERALTE!$X$6,-8,IF(RASANTE!F261&lt;=PERALTE!$Z$6,(-6/(PERALTE!$X$6-PERALTE!$Z$6)*(RASANTE!F261-PERALTE!$Z$6)-2),IF(RASANTE!F261&lt;=PERALTE!$AB$6,-2))))),IF(AND(AH!$H$8="Derecha",RASANTE!F261&lt;=PERALTE!$AB$6),IF(RASANTE!F261&lt;=PERALTE!$Q$6,-2,IF(RASANTE!F261&lt;=PERALTE!$U$6,(10/(PERALTE!$U$6-PERALTE!$Q$6)*(RASANTE!F261-PERALTE!$Q$6)-2),IF(RASANTE!F261&lt;=PERALTE!$X$6,8,IF(RASANTE!F261&lt;=PERALTE!$AB$6,(10/(PERALTE!$X$6-PERALTE!$AB$6)*(RASANTE!F261-PERALTE!$AB$6)-2))))),IF(AND(AH!$H$10="Izquierda",RASANTE!F261&lt;=PERALTE!$AB$8),IF(RASANTE!F261&lt;=PERALTE!$S$8,-2,IF(RASANTE!F261&lt;=PERALTE!$U$8,(-6/(PERALTE!$U$8-PERALTE!$S$8)*(RASANTE!F261-PERALTE!$S$8)-2),IF(RASANTE!F261&lt;=PERALTE!$X$8,-8,IF(RASANTE!F261&lt;=PERALTE!$Z$8,(-6/(PERALTE!$X$8-PERALTE!$Z$8)*(RASANTE!F261-PERALTE!$Z$8)-2),IF(RASANTE!F261&lt;=PERALTE!$AB$8,-2))))),IF(AND(AH!$H$10="Derecha",RASANTE!F261&lt;=PERALTE!$AB$8),IF(RASANTE!F261&lt;=PERALTE!$Q$8,-2,IF(RASANTE!F261&lt;=PERALTE!$U$8,(10/(PERALTE!$U$8-PERALTE!$Q$8)*(RASANTE!F261-PERALTE!$Q$8)-2),IF(RASANTE!F261&lt;=PERALTE!$X$8,8,IF(RASANTE!F261&lt;=PERALTE!$AB$8,(10/(PERALTE!$X$8-PERALTE!$AB$8)*(RASANTE!F261-PERALTE!$AB$8)-2))))),IF(AND(AH!$H$12="Izquierda",RASANTE!F261&lt;=PERALTE!$AB$10),IF(RASANTE!F261&lt;=PERALTE!$S$10,-2,IF(RASANTE!F261&lt;=PERALTE!$U$10,(-6/(PERALTE!$U$10-PERALTE!$S$10)*(RASANTE!F261-PERALTE!$S$10)-2),IF(RASANTE!F261&lt;=PERALTE!$X$10,-8,IF(RASANTE!F261&lt;=PERALTE!$Z$10,(-6/(PERALTE!$X$10-PERALTE!$Z$10)*(RASANTE!F261-PERALTE!$Z$10)-2),IF(RASANTE!F261&lt;=PERALTE!$AB$10,-2))))),IF(AND(AH!$H$12="Derecha",RASANTE!F261&lt;=PERALTE!$AB$10),IF(RASANTE!F261&lt;=PERALTE!$Q$10,-2,IF(RASANTE!F261&lt;=PERALTE!$U$10,(10/(PERALTE!$U$10-PERALTE!$Q$10)*(RASANTE!F261-PERALTE!$Q$10)-2),IF(RASANTE!F261&lt;=PERALTE!$X$10,8,IF(RASANTE!F261&lt;=PERALTE!$AB$10,(10/(PERALTE!$X$10-PERALTE!$AB$10)*(RASANTE!F261-PERALTE!$AB$10)-2))))),IF(AND(AH!$H$14="Izquierda",RASANTE!F261&lt;=PERALTE!$AB$12),IF(RASANTE!F261&lt;=PERALTE!$S$12,-2,IF(RASANTE!F261&lt;=PERALTE!$U$12,(-6/(PERALTE!$U$12-PERALTE!$S$12)*(RASANTE!F261-PERALTE!$S$12)-2),IF(RASANTE!F261&lt;=PERALTE!$X$12,-8,IF(RASANTE!F261&lt;=PERALTE!$Z$12,(-6/(PERALTE!$X$12-PERALTE!$Z$12)*(RASANTE!F261-PERALTE!$Z$12)-2),IF(RASANTE!F261&lt;=PERALTE!$AB$12,-2))))),IF(AND(AH!$H$14="Derecha",RASANTE!F261&lt;=PERALTE!$AB$12),IF(RASANTE!F261&lt;=PERALTE!$Q$12,-2,IF(RASANTE!F261&lt;=PERALTE!$U$12,(10/(PERALTE!$U$12-PERALTE!$Q$12)*(RASANTE!F261-PERALTE!$Q$12)-2),IF(RASANTE!F261&lt;=PERALTE!$X$12,8,IF(RASANTE!F261&lt;=PERALTE!$AB$12,(10/(PERALTE!$X$12-PERALTE!$AB$12)*(RASANTE!F261-PERALTE!$AB$12)-2))))),IF(AND(AH!$H$16="Izquierda",RASANTE!F261&lt;=PERALTE!$AB$14),IF(RASANTE!F261&lt;=PERALTE!$S$14,-2,IF(RASANTE!F261&lt;=PERALTE!$U$14,(-6/(PERALTE!$U$14-PERALTE!$S$14)*(RASANTE!F261-PERALTE!$S$14)-2),IF(RASANTE!F261&lt;=PERALTE!$X$14,-8,IF(RASANTE!F261&lt;=PERALTE!$Z$14,(-6/(PERALTE!$X$14-PERALTE!$Z$14)*(RASANTE!F261-PERALTE!$Z$14)-2),IF(RASANTE!F261&lt;=PERALTE!$AB$14,-2))))),IF(AND(AH!$H$16="Derecha",RASANTE!F261&lt;=PERALTE!$AB$14),IF(RASANTE!F261&lt;=PERALTE!$Q$14,-2,IF(RASANTE!F261&lt;=PERALTE!$U$14,(10/(PERALTE!$U$14-PERALTE!$Q$14)*(RASANTE!F261-PERALTE!$Q$14)-2),IF(RASANTE!F261&lt;=PERALTE!$X$14,8,IF(RASANTE!F261&lt;=PERALTE!$AB$14,(10/(PERALTE!$X$14-PERALTE!$AB$14)*(RASANTE!F261-PERALTE!$AB$14)-2))))),IF(AND(AH!$H$18="Izquierda",RASANTE!F261&lt;=PERALTE!$AB$16),IF(RASANTE!F261&lt;=PERALTE!$S$16,-2,IF(RASANTE!F261&lt;=PERALTE!$U$16,(-6/(PERALTE!$U$16-PERALTE!$S$16)*(RASANTE!F261-PERALTE!$S$16)-2),IF(RASANTE!F261&lt;=PERALTE!$X$16,-8,IF(RASANTE!F261&lt;=PERALTE!$Z$16,(-6/(PERALTE!$X$16-PERALTE!$Z$16)*(RASANTE!F261-PERALTE!$Z$16)-2),IF(RASANTE!F261&lt;=PERALTE!$AB$16,-2))))),IF(AND(AH!$H$18="Derecha",RASANTE!F261&lt;=PERALTE!$AB$16),IF(RASANTE!F261&lt;=PERALTE!$Q$16,-2,IF(RASANTE!F261&lt;=PERALTE!$U$16,(10/(PERALTE!$U$16-PERALTE!$Q$16)*(RASANTE!F261-PERALTE!$Q$16)-2),IF(RASANTE!F261&lt;=PERALTE!$X$16,8,IF(RASANTE!F261&lt;=PERALTE!$AB$16,(10/(PERALTE!$X$16-PERALTE!$AB$16)*(RASANTE!F261-PERALTE!$AB$16)-2))))),IF(AND(AH!$H$20="Izquierda",RASANTE!F261&lt;=PERALTE!$AB$18),IF(RASANTE!F261&lt;=PERALTE!$S$18,-2,IF(RASANTE!F261&lt;=PERALTE!$U$18,(-6/(PERALTE!$U$18-PERALTE!$S$18)*(RASANTE!F261-PERALTE!$S$18)-2),IF(RASANTE!F261&lt;=PERALTE!$X$18,-8,IF(RASANTE!F261&lt;=PERALTE!$Z$18,(-6/(PERALTE!$X$18-PERALTE!$Z$18)*(RASANTE!F261-PERALTE!$Z$18)-2),IF(RASANTE!F261&lt;=PERALTE!$AB$18,-2))))),IF(AND(AH!$H$20="Derecha",RASANTE!F261&lt;=PERALTE!$AB$18),IF(RASANTE!F261&lt;=PERALTE!$Q$18,-2,IF(RASANTE!F261&lt;=PERALTE!$U$18,(10/(PERALTE!$U$18-PERALTE!$Q$18)*(RASANTE!F261-PERALTE!$Q$18)-2),IF(RASANTE!F261&lt;=PERALTE!$X$18,8,IF(RASANTE!F261&lt;=PERALTE!$AB$18,(10/(PERALTE!$X$18-PERALTE!$AB$18)*(RASANTE!F261-PERALTE!$AB$18)-2))))),IF(AND(AH!$H$24="Izquierda",RASANTE!F261&lt;=PERALTE!$AB$22),IF(RASANTE!F261&lt;=PERALTE!$S$22,-2,IF(RASANTE!F261&lt;=PERALTE!$U$22,(-6/(PERALTE!$U$22-PERALTE!$S$22)*(RASANTE!F261-PERALTE!$S$22)-2),IF(RASANTE!F261&lt;=PERALTE!$X$22,-8,IF(RASANTE!F261&lt;=PERALTE!$Z$22,(-6/(PERALTE!$X$22-PERALTE!$Z$22)*(RASANTE!F261-PERALTE!$Z$22)-2),IF(RASANTE!F261&lt;=PERALTE!$AB$22,-2))))),IF(AND(AH!$H$24="Derecha",RASANTE!F261&lt;=PERALTE!$AB$22),IF(RASANTE!F261&lt;=PERALTE!$Q$22,-2,IF(RASANTE!F261&lt;=PERALTE!$U$22,(10/(PERALTE!$U$22-PERALTE!$Q$22)*(RASANTE!F261-PERALTE!$Q$22)-2),IF(RASANTE!F261&lt;=PERALTE!$X$22,8,IF(RASANTE!F261&lt;=PERALTE!$AB$22,(10/(PERALTE!$X$22-PERALTE!$AB$22)*(RASANTE!F261-PERALTE!$AB$22)-2))))),IF(AND(AH!#REF!="Izquierda",RASANTE!F261&lt;=PERALTE!#REF!),IF(RASANTE!F261&lt;=PERALTE!#REF!,-2,IF(RASANTE!F261&lt;=PERALTE!#REF!,(-6/(PERALTE!#REF!-PERALTE!#REF!)*(RASANTE!F261-PERALTE!#REF!)-2),IF(RASANTE!F261&lt;=PERALTE!#REF!,-8,IF(RASANTE!F261&lt;=PERALTE!#REF!,(-6/(PERALTE!#REF!-PERALTE!#REF!)*(RASANTE!F261-PERALTE!#REF!)-2),IF(RASANTE!F261&lt;=PERALTE!#REF!,-2))))),IF(AND(AH!#REF!="Derecha",RASANTE!F261&lt;=PERALTE!#REF!),IF(RASANTE!F261&lt;=PERALTE!#REF!,-2,IF(RASANTE!F261&lt;=PERALTE!#REF!,(10/(PERALTE!#REF!-PERALTE!#REF!)*(RASANTE!F261-PERALTE!#REF!)-2),IF(RASANTE!F261&lt;=PERALTE!#REF!,8,IF(RASANTE!F261&lt;=PERALTE!#REF!,(10/(PERALTE!#REF!-PERALTE!#REF!)*(RASANTE!F261-PERALTE!#REF!)-2))))),IF(AND(AH!#REF!="Izquierda",RASANTE!F261&lt;=PERALTE!$AB$26),IF(RASANTE!F261&lt;=PERALTE!$S$26,-2,IF(RASANTE!F261&lt;=PERALTE!$U$26,(-6/(PERALTE!$U$26-PERALTE!$S$26)*(RASANTE!F261-PERALTE!$S$26)-2),IF(RASANTE!F261&lt;=PERALTE!$X$26,-8,IF(RASANTE!F261&lt;=PERALTE!$Z$26,(-6/(PERALTE!$X$26-PERALTE!$Z$26)*(RASANTE!F261-PERALTE!$Z$26)-2),IF(RASANTE!F261&lt;=PERALTE!$AB$26,-2))))),IF(AND(AH!#REF!="Derecha",RASANTE!F261&lt;=PERALTE!$AB$26),IF(RASANTE!F261&lt;=PERALTE!$Q$26,-2,IF(RASANTE!F261&lt;=PERALTE!$U$26,(10/(PERALTE!$U$26-PERALTE!$Q$26)*(RASANTE!F261-PERALTE!$Q$26)-2),IF(RASANTE!F261&lt;=PERALTE!$X$26,8,IF(RASANTE!F261&lt;=PERALTE!$AB$26,(10/(PERALTE!$X$26-PERALTE!$AB$26)*(RASANTE!F261-PERALTE!$AB$26)-2))))),IF(F261&lt;=PERALTE!#REF!,-2,"Abscisa fuera de la vía")))))))))))))))))))))</f>
        <v>1.4293739392353246</v>
      </c>
      <c r="I261" s="28">
        <f>+IF(AND(AH!$H$8="Derecha",RASANTE!F261&lt;=PERALTE!$AB$6),IF(RASANTE!F261&lt;=PERALTE!$S$6,-2,IF(RASANTE!F261&lt;=PERALTE!$U$6,(-6/(PERALTE!$U$6-PERALTE!$S$6)*(RASANTE!F261-PERALTE!$S$6)-2),IF(RASANTE!F261&lt;=PERALTE!$X$6,-8,IF(RASANTE!F261&lt;=PERALTE!$Z$6,(-6/(PERALTE!$X$6-PERALTE!$Z$6)*(RASANTE!F261-PERALTE!$Z$6)-2),IF(RASANTE!F261&lt;=PERALTE!$AB$6,-2))))),IF(AND(AH!$H$8="Izquierda",RASANTE!F261&lt;=PERALTE!$AB$6),IF(RASANTE!F261&lt;=PERALTE!$Q$6,-2,IF(RASANTE!F261&lt;=PERALTE!$U$6,(10/(PERALTE!$U$6-PERALTE!$Q$6)*(RASANTE!F261-PERALTE!$Q$6)-2),IF(RASANTE!F261&lt;=PERALTE!$X$6,8,IF(RASANTE!F261&lt;=PERALTE!$AB$6,(10/(PERALTE!$X$6-PERALTE!$AB$6)*(RASANTE!F261-PERALTE!$AB$6)-2))))),IF(AND(AH!$H$10="Derecha",RASANTE!F261&lt;=PERALTE!$AB$8),IF(RASANTE!F261&lt;=PERALTE!$S$8,-2,IF(RASANTE!F261&lt;=PERALTE!$U$8,(-6/(PERALTE!$U$8-PERALTE!$S$8)*(RASANTE!F261-PERALTE!$S$8)-2),IF(RASANTE!F261&lt;=PERALTE!$X$8,-8,IF(RASANTE!F261&lt;=PERALTE!$Z$8,(-6/(PERALTE!$X$8-PERALTE!$Z$8)*(RASANTE!F261-PERALTE!$Z$8)-2),IF(RASANTE!F261&lt;=PERALTE!$AB$8,-2))))),IF(AND(AH!$H$10="Izquierda",RASANTE!F261&lt;=PERALTE!$AB$8),IF(RASANTE!F261&lt;=PERALTE!$Q$8,-2,IF(RASANTE!F261&lt;=PERALTE!$U$8,(10/(PERALTE!$U$8-PERALTE!$Q$8)*(RASANTE!F261-PERALTE!$Q$8)-2),IF(RASANTE!F261&lt;=PERALTE!$X$8,8,IF(RASANTE!F261&lt;=PERALTE!$AB$8,(10/(PERALTE!$X$8-PERALTE!$AB$8)*(RASANTE!F261-PERALTE!$AB$8)-2))))),IF(AND(AH!$H$12="Derecha",RASANTE!F261&lt;=PERALTE!$AB$10),IF(RASANTE!F261&lt;=PERALTE!$S$10,-2,IF(RASANTE!F261&lt;=PERALTE!$U$10,(-6/(PERALTE!$U$10-PERALTE!$S$10)*(RASANTE!F261-PERALTE!$S$10)-2),IF(RASANTE!F261&lt;=PERALTE!$X$10,-8,IF(RASANTE!F261&lt;=PERALTE!$Z$10,(-6/(PERALTE!$X$10-PERALTE!$Z$10)*(RASANTE!F261-PERALTE!$Z$10)-2),IF(RASANTE!F261&lt;=PERALTE!$AB$10,-2))))),IF(AND(AH!$H$12="Izquierda",RASANTE!F261&lt;=PERALTE!$AB$10),IF(RASANTE!F261&lt;=PERALTE!$Q$10,-2,IF(RASANTE!F261&lt;=PERALTE!$U$10,(10/(PERALTE!$U$10-PERALTE!$Q$10)*(RASANTE!F261-PERALTE!$Q$10)-2),IF(RASANTE!F261&lt;=PERALTE!$X$10,8,IF(RASANTE!F261&lt;=PERALTE!$AB$10,(10/(PERALTE!$X$10-PERALTE!$AB$10)*(RASANTE!F261-PERALTE!$AB$10)-2))))),IF(AND(AH!$H$14="Derecha",RASANTE!F261&lt;=PERALTE!$AB$12),IF(RASANTE!F261&lt;=PERALTE!$S$12,-2,IF(RASANTE!F261&lt;=PERALTE!$U$12,(-6/(PERALTE!$U$12-PERALTE!$S$12)*(RASANTE!F261-PERALTE!$S$12)-2),IF(RASANTE!F261&lt;=PERALTE!$X$12,-8,IF(RASANTE!F261&lt;=PERALTE!$Z$12,(-6/(PERALTE!$X$12-PERALTE!$Z$12)*(RASANTE!F261-PERALTE!$Z$12)-2),IF(RASANTE!F261&lt;=PERALTE!$AB$12,-2))))),IF(AND(AH!$H$14="Izquierda",RASANTE!F261&lt;=PERALTE!$AB$12),IF(RASANTE!F261&lt;=PERALTE!$Q$12,-2,IF(RASANTE!F261&lt;=PERALTE!$U$12,(10/(PERALTE!$U$12-PERALTE!$Q$12)*(RASANTE!F261-PERALTE!$Q$12)-2),IF(RASANTE!F261&lt;=PERALTE!$X$12,8,IF(RASANTE!F261&lt;=PERALTE!$AB$12,(10/(PERALTE!$X$12-PERALTE!$AB$12)*(RASANTE!F261-PERALTE!$AB$12)-2))))),IF(AND(AH!$H$16="Derecha",RASANTE!F261&lt;=PERALTE!$AB$14),IF(RASANTE!F261&lt;=PERALTE!$S$14,-2,IF(RASANTE!F261&lt;=PERALTE!$U$14,(-6/(PERALTE!$U$14-PERALTE!$S$14)*(RASANTE!F261-PERALTE!$S$14)-2),IF(RASANTE!F261&lt;=PERALTE!$X$14,-8,IF(RASANTE!F261&lt;=PERALTE!$Z$14,(-6/(PERALTE!$X$14-PERALTE!$Z$14)*(RASANTE!F261-PERALTE!$Z$14)-2),IF(RASANTE!F261&lt;=PERALTE!$AB$14,-2))))),IF(AND(AH!$H$16="Izquierda",RASANTE!F261&lt;=PERALTE!$AB$14),IF(RASANTE!F261&lt;=PERALTE!$Q$14,-2,IF(RASANTE!F261&lt;=PERALTE!$U$14,(10/(PERALTE!$U$14-PERALTE!$Q$14)*(RASANTE!F261-PERALTE!$Q$14)-2),IF(RASANTE!F261&lt;=PERALTE!$X$14,8,IF(RASANTE!F261&lt;=PERALTE!$AB$14,(10/(PERALTE!$X$14-PERALTE!$AB$14)*(RASANTE!F261-PERALTE!$AB$14)-2))))),IF(AND(AH!$H$18="Derecha",RASANTE!F261&lt;=PERALTE!$AB$16),IF(RASANTE!F261&lt;=PERALTE!$S$16,-2,IF(RASANTE!F261&lt;=PERALTE!$U$16,(-6/(PERALTE!$U$16-PERALTE!$S$16)*(RASANTE!F261-PERALTE!$S$16)-2),IF(RASANTE!F261&lt;=PERALTE!$X$16,-8,IF(RASANTE!F261&lt;=PERALTE!$Z$16,(-6/(PERALTE!$X$16-PERALTE!$Z$16)*(RASANTE!F261-PERALTE!$Z$16)-2),IF(RASANTE!F261&lt;=PERALTE!$AB$16,-2))))),IF(AND(AH!$H$18="Izquierda",RASANTE!F261&lt;=PERALTE!$AB$16),IF(RASANTE!F261&lt;=PERALTE!$Q$16,-2,IF(RASANTE!F261&lt;=PERALTE!$U$16,(10/(PERALTE!$U$16-PERALTE!$Q$16)*(RASANTE!F261-PERALTE!$Q$16)-2),IF(RASANTE!F261&lt;=PERALTE!$X$16,8,IF(RASANTE!F261&lt;=PERALTE!$AB$16,(10/(PERALTE!$X$16-PERALTE!$AB$16)*(RASANTE!F261-PERALTE!$AB$16)-2))))),IF(AND(AH!$H$20="Derecha",RASANTE!F261&lt;=PERALTE!$AB$18),IF(RASANTE!F261&lt;=PERALTE!$S$18,-2,IF(RASANTE!F261&lt;=PERALTE!$U$18,(-6/(PERALTE!$U$18-PERALTE!$S$18)*(RASANTE!F261-PERALTE!$S$18)-2),IF(RASANTE!F261&lt;=PERALTE!$X$18,-8,IF(RASANTE!F261&lt;=PERALTE!$Z$18,(-6/(PERALTE!$X$18-PERALTE!$Z$18)*(RASANTE!F261-PERALTE!$Z$18)-2),IF(RASANTE!F261&lt;=PERALTE!$AB$18,-2))))),IF(AND(AH!$H$20="Izquierda",RASANTE!F261&lt;=PERALTE!$AB$18),IF(RASANTE!F261&lt;=PERALTE!$Q$18,-2,IF(RASANTE!F261&lt;=PERALTE!$U$18,(10/(PERALTE!$U$18-PERALTE!$Q$18)*(RASANTE!F261-PERALTE!$Q$18)-2),IF(RASANTE!F261&lt;=PERALTE!$X$18,8,IF(RASANTE!F261&lt;=PERALTE!$AB$18,(10/(PERALTE!$X$18-PERALTE!$AB$18)*(RASANTE!F261-PERALTE!$AB$18)-2))))),IF(AND(AH!$H$24="Derecha",RASANTE!F261&lt;=PERALTE!$AB$22),IF(RASANTE!F261&lt;=PERALTE!$S$22,-2,IF(RASANTE!F261&lt;=PERALTE!$U$22,(-6/(PERALTE!$U$22-PERALTE!$S$22)*(RASANTE!F261-PERALTE!$S$22)-2),IF(RASANTE!F261&lt;=PERALTE!$X$22,-8,IF(RASANTE!F261&lt;=PERALTE!$Z$22,(-6/(PERALTE!$X$22-PERALTE!$Z$22)*(RASANTE!F261-PERALTE!$Z$22)-2),IF(RASANTE!F261&lt;=PERALTE!$AB$22,-2))))),IF(AND(AH!$H$24="Izquierda",RASANTE!F261&lt;=PERALTE!$AB$22),IF(RASANTE!F261&lt;=PERALTE!$Q$22,-2,IF(RASANTE!F261&lt;=PERALTE!$U$22,(10/(PERALTE!$U$22-PERALTE!$Q$22)*(RASANTE!F261-PERALTE!$Q$22)-2),IF(RASANTE!F261&lt;=PERALTE!$X$22,8,IF(RASANTE!F261&lt;=PERALTE!$AB$22,(10/(PERALTE!$X$22-PERALTE!$AB$22)*(RASANTE!F261-PERALTE!$AB$22)-2))))),IF(AND(AH!#REF!="Derecha",RASANTE!F261&lt;=PERALTE!#REF!),IF(RASANTE!F261&lt;=PERALTE!#REF!,-2,IF(RASANTE!F261&lt;=PERALTE!#REF!,(-6/(PERALTE!#REF!-PERALTE!#REF!)*(RASANTE!F261-PERALTE!#REF!)-2),IF(RASANTE!F261&lt;=PERALTE!#REF!,-8,IF(RASANTE!F261&lt;=PERALTE!#REF!,(-6/(PERALTE!#REF!-PERALTE!#REF!)*(RASANTE!F261-PERALTE!#REF!)-2),IF(RASANTE!F261&lt;=PERALTE!#REF!,-2))))),IF(AND(AH!#REF!="Izquierda",RASANTE!F261&lt;=PERALTE!#REF!),IF(RASANTE!F261&lt;=PERALTE!#REF!,-2,IF(RASANTE!F261&lt;=PERALTE!#REF!,(10/(PERALTE!#REF!-PERALTE!#REF!)*(RASANTE!F261-PERALTE!#REF!)-2),IF(RASANTE!F261&lt;=PERALTE!#REF!,8,IF(RASANTE!F261&lt;=PERALTE!#REF!,(10/(PERALTE!#REF!-PERALTE!#REF!)*(RASANTE!F261-PERALTE!#REF!)-2))))),IF(AND(AH!#REF!="Derecha",RASANTE!F261&lt;=PERALTE!$AB$26),IF(RASANTE!F261&lt;=PERALTE!$S$26,-2,IF(RASANTE!F261&lt;=PERALTE!$U$26,(-6/(PERALTE!$U$26-PERALTE!$S$26)*(RASANTE!F261-PERALTE!$S$26)-2),IF(RASANTE!F261&lt;=PERALTE!$X$26,-8,IF(RASANTE!F261&lt;=PERALTE!$Z$26,(-6/(PERALTE!$X$26-PERALTE!$Z$26)*(RASANTE!F261-PERALTE!$Z$26)-2),IF(RASANTE!F261&lt;=PERALTE!$AB$26,-2))))),IF(AND(AH!#REF!="Izquierda",RASANTE!F261&lt;=PERALTE!$AB$26),IF(RASANTE!F261&lt;=PERALTE!$Q$26,-2,IF(RASANTE!F261&lt;=PERALTE!$U$26,(10/(PERALTE!$U$26-PERALTE!$Q$26)*(RASANTE!F261-PERALTE!$Q$26)-2),IF(RASANTE!F261&lt;=PERALTE!$X$26,8,IF(RASANTE!F261&lt;=PERALTE!$AB$26,(10/(PERALTE!$X$26-PERALTE!$AB$26)*(RASANTE!F261-PERALTE!$AB$26)-2))))),IF(F261&lt;=PERALTE!#REF!,-2,"Abscisa fuera de la vía")))))))))))))))))))))</f>
        <v>-2</v>
      </c>
      <c r="J261" s="28">
        <f t="shared" si="11"/>
        <v>1635.5625284648982</v>
      </c>
      <c r="K261" s="28">
        <f>+IF(AND(AV!$S$6&lt;F261,F261&lt;=AV!$T$6),AV!$P$6*((AV!$S$6-RASANTE!F261)/(AV!$N$6))^2,IF(AND(AV!$T$6&lt;RASANTE!F261,F261&lt;AV!$U$6),AV!$P$6*((AV!$U$6-RASANTE!F261)/(AV!$O$6))^2,IF(AND(AV!$S$8&lt;F261,F261&lt;=AV!$T$8),AV!$P$8*((AV!$S$8-RASANTE!F261)/(AV!$N$8))^2,IF(AND(AV!$T$8&lt;RASANTE!F261,F261&lt;AV!$U$8),AV!$P$8*((AV!$U$8-RASANTE!F261)/(AV!$O$8))^2,IF(AND(AV!$S$10&lt;F261,F261&lt;=AV!$T$10),AV!$P$10*((AV!$S$10-RASANTE!F261)/(AV!$N$10))^2,IF(AND(AV!$T$10&lt;RASANTE!F261,F261&lt;AV!$U$10),AV!$P$10*((AV!$U$10-RASANTE!F261)/(AV!$O$10))^2,IF(AND(AV!$S$12&lt;F261,F261&lt;=AV!$T$12),AV!$P$12*((AV!$S$12-RASANTE!F261)/(AV!$N$12))^2,IF(AND(AV!$T$12&lt;RASANTE!F261,F261&lt;AV!$U$12),AV!$P$12*((AV!$U$12-RASANTE!F261)/(AV!$O$12))^2,IF(AND(AV!$S$14&lt;F261,F261&lt;=AV!$T$14),AV!$P$14*((AV!$S$14-RASANTE!F261)/(AV!$N$14))^2,IF(AND(AV!$T$14&lt;RASANTE!F261,F261&lt;AV!$U$14),AV!$P$14*((AV!$U$14-RASANTE!F261)/(AV!$O$14))^2,IF(AND(AV!$S$16&lt;F261,F261&lt;=AV!$T$16),AV!$P$16*((AV!$S$16-RASANTE!F261)/(AV!$N$16))^2,IF(AND(AV!$T$16&lt;RASANTE!F261,F261&lt;AV!$U$16),AV!$P$16*((AV!$U$16-RASANTE!F261)/(AV!$O$16))^2,IF(AND(AV!$S$18&lt;F261,F261&lt;=AV!$T$18),AV!$P$18*((AV!$S$18-RASANTE!F261)/(AV!$N$18))^2,IF(AND(AV!$T$18&lt;RASANTE!F261,F261&lt;AV!$U$18),AV!$P$18*((AV!$U$18-RASANTE!F261)/(AV!$O$18))^2,IF(AND(AV!$S$20&lt;F261,F261&lt;=AV!$T$20),AV!$P$20*((AV!$S$20-RASANTE!F261)/(AV!$N$20))^2,IF(AND(AV!$T$20&lt;RASANTE!F261,F261&lt;AV!$U$20),AV!$P$20*((AV!$U$20-RASANTE!F261)/(AV!$O$20))^2,IF(AND(AV!$S$22&lt;F261,F261&lt;=AV!$T$22),AV!$P$22*((AV!$S$22-RASANTE!F261)/(AV!$N$22))^2,IF(AND(AV!$T$22&lt;RASANTE!F261,F261&lt;AV!$U$22),AV!$P$22*((AV!$U$22-RASANTE!F261)/(AV!$O$22))^2,IF(AND(AV!$S$24&lt;F261,F261&lt;=AV!$T$24),AV!$P$24*((AV!$S$24-RASANTE!F261)/(AV!$N$24))^2,IF(AND(AV!$T$24&lt;RASANTE!F261,F261&lt;AV!$U$24),AV!$P$24*((AV!$U$24-RASANTE!F261)/(AV!$O$24))^2,0))))))))))))))))))))</f>
        <v>0</v>
      </c>
      <c r="L261" s="28">
        <f>+M261+H261%*PERALTE!$C$32</f>
        <v>1635.6125565527714</v>
      </c>
      <c r="M261" s="28">
        <f t="shared" si="12"/>
        <v>1635.5625284648982</v>
      </c>
      <c r="N261" s="28">
        <f>+M261+I261%*PERALTE!$C$32</f>
        <v>1635.4925284648982</v>
      </c>
      <c r="O261" s="92"/>
      <c r="P261" s="84"/>
      <c r="Q261" s="84"/>
      <c r="R261" s="84"/>
      <c r="S261" s="84"/>
      <c r="T261" s="84"/>
      <c r="U261" s="84"/>
      <c r="V261" s="84"/>
      <c r="W261" s="84"/>
      <c r="X261" s="84"/>
      <c r="Y261" s="84"/>
    </row>
    <row r="262" spans="1:25" ht="15.75" customHeight="1" x14ac:dyDescent="0.2">
      <c r="A262" s="322" t="s">
        <v>376</v>
      </c>
      <c r="B262" s="86"/>
      <c r="C262" s="86"/>
      <c r="D262" s="86"/>
      <c r="F262" s="34">
        <f>PERALTE!AA18</f>
        <v>1566.4971542692515</v>
      </c>
      <c r="G262" s="88">
        <v>5.4480000000000004</v>
      </c>
      <c r="H262" s="28">
        <f>+IF(AND(AH!$H$8="Izquierda",RASANTE!F262&lt;=PERALTE!$AB$6),IF(RASANTE!F262&lt;=PERALTE!$S$6,-2,IF(RASANTE!F262&lt;=PERALTE!$U$6,(-6/(PERALTE!$U$6-PERALTE!$S$6)*(RASANTE!F262-PERALTE!$S$6)-2),IF(RASANTE!F262&lt;=PERALTE!$X$6,-8,IF(RASANTE!F262&lt;=PERALTE!$Z$6,(-6/(PERALTE!$X$6-PERALTE!$Z$6)*(RASANTE!F262-PERALTE!$Z$6)-2),IF(RASANTE!F262&lt;=PERALTE!$AB$6,-2))))),IF(AND(AH!$H$8="Derecha",RASANTE!F262&lt;=PERALTE!$AB$6),IF(RASANTE!F262&lt;=PERALTE!$Q$6,-2,IF(RASANTE!F262&lt;=PERALTE!$U$6,(10/(PERALTE!$U$6-PERALTE!$Q$6)*(RASANTE!F262-PERALTE!$Q$6)-2),IF(RASANTE!F262&lt;=PERALTE!$X$6,8,IF(RASANTE!F262&lt;=PERALTE!$AB$6,(10/(PERALTE!$X$6-PERALTE!$AB$6)*(RASANTE!F262-PERALTE!$AB$6)-2))))),IF(AND(AH!$H$10="Izquierda",RASANTE!F262&lt;=PERALTE!$AB$8),IF(RASANTE!F262&lt;=PERALTE!$S$8,-2,IF(RASANTE!F262&lt;=PERALTE!$U$8,(-6/(PERALTE!$U$8-PERALTE!$S$8)*(RASANTE!F262-PERALTE!$S$8)-2),IF(RASANTE!F262&lt;=PERALTE!$X$8,-8,IF(RASANTE!F262&lt;=PERALTE!$Z$8,(-6/(PERALTE!$X$8-PERALTE!$Z$8)*(RASANTE!F262-PERALTE!$Z$8)-2),IF(RASANTE!F262&lt;=PERALTE!$AB$8,-2))))),IF(AND(AH!$H$10="Derecha",RASANTE!F262&lt;=PERALTE!$AB$8),IF(RASANTE!F262&lt;=PERALTE!$Q$8,-2,IF(RASANTE!F262&lt;=PERALTE!$U$8,(10/(PERALTE!$U$8-PERALTE!$Q$8)*(RASANTE!F262-PERALTE!$Q$8)-2),IF(RASANTE!F262&lt;=PERALTE!$X$8,8,IF(RASANTE!F262&lt;=PERALTE!$AB$8,(10/(PERALTE!$X$8-PERALTE!$AB$8)*(RASANTE!F262-PERALTE!$AB$8)-2))))),IF(AND(AH!$H$12="Izquierda",RASANTE!F262&lt;=PERALTE!$AB$10),IF(RASANTE!F262&lt;=PERALTE!$S$10,-2,IF(RASANTE!F262&lt;=PERALTE!$U$10,(-6/(PERALTE!$U$10-PERALTE!$S$10)*(RASANTE!F262-PERALTE!$S$10)-2),IF(RASANTE!F262&lt;=PERALTE!$X$10,-8,IF(RASANTE!F262&lt;=PERALTE!$Z$10,(-6/(PERALTE!$X$10-PERALTE!$Z$10)*(RASANTE!F262-PERALTE!$Z$10)-2),IF(RASANTE!F262&lt;=PERALTE!$AB$10,-2))))),IF(AND(AH!$H$12="Derecha",RASANTE!F262&lt;=PERALTE!$AB$10),IF(RASANTE!F262&lt;=PERALTE!$Q$10,-2,IF(RASANTE!F262&lt;=PERALTE!$U$10,(10/(PERALTE!$U$10-PERALTE!$Q$10)*(RASANTE!F262-PERALTE!$Q$10)-2),IF(RASANTE!F262&lt;=PERALTE!$X$10,8,IF(RASANTE!F262&lt;=PERALTE!$AB$10,(10/(PERALTE!$X$10-PERALTE!$AB$10)*(RASANTE!F262-PERALTE!$AB$10)-2))))),IF(AND(AH!$H$14="Izquierda",RASANTE!F262&lt;=PERALTE!$AB$12),IF(RASANTE!F262&lt;=PERALTE!$S$12,-2,IF(RASANTE!F262&lt;=PERALTE!$U$12,(-6/(PERALTE!$U$12-PERALTE!$S$12)*(RASANTE!F262-PERALTE!$S$12)-2),IF(RASANTE!F262&lt;=PERALTE!$X$12,-8,IF(RASANTE!F262&lt;=PERALTE!$Z$12,(-6/(PERALTE!$X$12-PERALTE!$Z$12)*(RASANTE!F262-PERALTE!$Z$12)-2),IF(RASANTE!F262&lt;=PERALTE!$AB$12,-2))))),IF(AND(AH!$H$14="Derecha",RASANTE!F262&lt;=PERALTE!$AB$12),IF(RASANTE!F262&lt;=PERALTE!$Q$12,-2,IF(RASANTE!F262&lt;=PERALTE!$U$12,(10/(PERALTE!$U$12-PERALTE!$Q$12)*(RASANTE!F262-PERALTE!$Q$12)-2),IF(RASANTE!F262&lt;=PERALTE!$X$12,8,IF(RASANTE!F262&lt;=PERALTE!$AB$12,(10/(PERALTE!$X$12-PERALTE!$AB$12)*(RASANTE!F262-PERALTE!$AB$12)-2))))),IF(AND(AH!$H$16="Izquierda",RASANTE!F262&lt;=PERALTE!$AB$14),IF(RASANTE!F262&lt;=PERALTE!$S$14,-2,IF(RASANTE!F262&lt;=PERALTE!$U$14,(-6/(PERALTE!$U$14-PERALTE!$S$14)*(RASANTE!F262-PERALTE!$S$14)-2),IF(RASANTE!F262&lt;=PERALTE!$X$14,-8,IF(RASANTE!F262&lt;=PERALTE!$Z$14,(-6/(PERALTE!$X$14-PERALTE!$Z$14)*(RASANTE!F262-PERALTE!$Z$14)-2),IF(RASANTE!F262&lt;=PERALTE!$AB$14,-2))))),IF(AND(AH!$H$16="Derecha",RASANTE!F262&lt;=PERALTE!$AB$14),IF(RASANTE!F262&lt;=PERALTE!$Q$14,-2,IF(RASANTE!F262&lt;=PERALTE!$U$14,(10/(PERALTE!$U$14-PERALTE!$Q$14)*(RASANTE!F262-PERALTE!$Q$14)-2),IF(RASANTE!F262&lt;=PERALTE!$X$14,8,IF(RASANTE!F262&lt;=PERALTE!$AB$14,(10/(PERALTE!$X$14-PERALTE!$AB$14)*(RASANTE!F262-PERALTE!$AB$14)-2))))),IF(AND(AH!$H$18="Izquierda",RASANTE!F262&lt;=PERALTE!$AB$16),IF(RASANTE!F262&lt;=PERALTE!$S$16,-2,IF(RASANTE!F262&lt;=PERALTE!$U$16,(-6/(PERALTE!$U$16-PERALTE!$S$16)*(RASANTE!F262-PERALTE!$S$16)-2),IF(RASANTE!F262&lt;=PERALTE!$X$16,-8,IF(RASANTE!F262&lt;=PERALTE!$Z$16,(-6/(PERALTE!$X$16-PERALTE!$Z$16)*(RASANTE!F262-PERALTE!$Z$16)-2),IF(RASANTE!F262&lt;=PERALTE!$AB$16,-2))))),IF(AND(AH!$H$18="Derecha",RASANTE!F262&lt;=PERALTE!$AB$16),IF(RASANTE!F262&lt;=PERALTE!$Q$16,-2,IF(RASANTE!F262&lt;=PERALTE!$U$16,(10/(PERALTE!$U$16-PERALTE!$Q$16)*(RASANTE!F262-PERALTE!$Q$16)-2),IF(RASANTE!F262&lt;=PERALTE!$X$16,8,IF(RASANTE!F262&lt;=PERALTE!$AB$16,(10/(PERALTE!$X$16-PERALTE!$AB$16)*(RASANTE!F262-PERALTE!$AB$16)-2))))),IF(AND(AH!$H$20="Izquierda",RASANTE!F262&lt;=PERALTE!$AB$18),IF(RASANTE!F262&lt;=PERALTE!$S$18,-2,IF(RASANTE!F262&lt;=PERALTE!$U$18,(-6/(PERALTE!$U$18-PERALTE!$S$18)*(RASANTE!F262-PERALTE!$S$18)-2),IF(RASANTE!F262&lt;=PERALTE!$X$18,-8,IF(RASANTE!F262&lt;=PERALTE!$Z$18,(-6/(PERALTE!$X$18-PERALTE!$Z$18)*(RASANTE!F262-PERALTE!$Z$18)-2),IF(RASANTE!F262&lt;=PERALTE!$AB$18,-2))))),IF(AND(AH!$H$20="Derecha",RASANTE!F262&lt;=PERALTE!$AB$18),IF(RASANTE!F262&lt;=PERALTE!$Q$18,-2,IF(RASANTE!F262&lt;=PERALTE!$U$18,(10/(PERALTE!$U$18-PERALTE!$Q$18)*(RASANTE!F262-PERALTE!$Q$18)-2),IF(RASANTE!F262&lt;=PERALTE!$X$18,8,IF(RASANTE!F262&lt;=PERALTE!$AB$18,(10/(PERALTE!$X$18-PERALTE!$AB$18)*(RASANTE!F262-PERALTE!$AB$18)-2))))),IF(AND(AH!$H$24="Izquierda",RASANTE!F262&lt;=PERALTE!$AB$22),IF(RASANTE!F262&lt;=PERALTE!$S$22,-2,IF(RASANTE!F262&lt;=PERALTE!$U$22,(-6/(PERALTE!$U$22-PERALTE!$S$22)*(RASANTE!F262-PERALTE!$S$22)-2),IF(RASANTE!F262&lt;=PERALTE!$X$22,-8,IF(RASANTE!F262&lt;=PERALTE!$Z$22,(-6/(PERALTE!$X$22-PERALTE!$Z$22)*(RASANTE!F262-PERALTE!$Z$22)-2),IF(RASANTE!F262&lt;=PERALTE!$AB$22,-2))))),IF(AND(AH!$H$24="Derecha",RASANTE!F262&lt;=PERALTE!$AB$22),IF(RASANTE!F262&lt;=PERALTE!$Q$22,-2,IF(RASANTE!F262&lt;=PERALTE!$U$22,(10/(PERALTE!$U$22-PERALTE!$Q$22)*(RASANTE!F262-PERALTE!$Q$22)-2),IF(RASANTE!F262&lt;=PERALTE!$X$22,8,IF(RASANTE!F262&lt;=PERALTE!$AB$22,(10/(PERALTE!$X$22-PERALTE!$AB$22)*(RASANTE!F262-PERALTE!$AB$22)-2))))),IF(AND(AH!#REF!="Izquierda",RASANTE!F262&lt;=PERALTE!#REF!),IF(RASANTE!F262&lt;=PERALTE!#REF!,-2,IF(RASANTE!F262&lt;=PERALTE!#REF!,(-6/(PERALTE!#REF!-PERALTE!#REF!)*(RASANTE!F262-PERALTE!#REF!)-2),IF(RASANTE!F262&lt;=PERALTE!#REF!,-8,IF(RASANTE!F262&lt;=PERALTE!#REF!,(-6/(PERALTE!#REF!-PERALTE!#REF!)*(RASANTE!F262-PERALTE!#REF!)-2),IF(RASANTE!F262&lt;=PERALTE!#REF!,-2))))),IF(AND(AH!#REF!="Derecha",RASANTE!F262&lt;=PERALTE!#REF!),IF(RASANTE!F262&lt;=PERALTE!#REF!,-2,IF(RASANTE!F262&lt;=PERALTE!#REF!,(10/(PERALTE!#REF!-PERALTE!#REF!)*(RASANTE!F262-PERALTE!#REF!)-2),IF(RASANTE!F262&lt;=PERALTE!#REF!,8,IF(RASANTE!F262&lt;=PERALTE!#REF!,(10/(PERALTE!#REF!-PERALTE!#REF!)*(RASANTE!F262-PERALTE!#REF!)-2))))),IF(AND(AH!#REF!="Izquierda",RASANTE!F262&lt;=PERALTE!$AB$26),IF(RASANTE!F262&lt;=PERALTE!$S$26,-2,IF(RASANTE!F262&lt;=PERALTE!$U$26,(-6/(PERALTE!$U$26-PERALTE!$S$26)*(RASANTE!F262-PERALTE!$S$26)-2),IF(RASANTE!F262&lt;=PERALTE!$X$26,-8,IF(RASANTE!F262&lt;=PERALTE!$Z$26,(-6/(PERALTE!$X$26-PERALTE!$Z$26)*(RASANTE!F262-PERALTE!$Z$26)-2),IF(RASANTE!F262&lt;=PERALTE!$AB$26,-2))))),IF(AND(AH!#REF!="Derecha",RASANTE!F262&lt;=PERALTE!$AB$26),IF(RASANTE!F262&lt;=PERALTE!$Q$26,-2,IF(RASANTE!F262&lt;=PERALTE!$U$26,(10/(PERALTE!$U$26-PERALTE!$Q$26)*(RASANTE!F262-PERALTE!$Q$26)-2),IF(RASANTE!F262&lt;=PERALTE!$X$26,8,IF(RASANTE!F262&lt;=PERALTE!$AB$26,(10/(PERALTE!$X$26-PERALTE!$AB$26)*(RASANTE!F262-PERALTE!$AB$26)-2))))),IF(F262&lt;=PERALTE!#REF!,-2,"Abscisa fuera de la vía")))))))))))))))))))))</f>
        <v>-1.021405182655144E-14</v>
      </c>
      <c r="I262" s="28">
        <f>+IF(AND(AH!$H$8="Derecha",RASANTE!F262&lt;=PERALTE!$AB$6),IF(RASANTE!F262&lt;=PERALTE!$S$6,-2,IF(RASANTE!F262&lt;=PERALTE!$U$6,(-6/(PERALTE!$U$6-PERALTE!$S$6)*(RASANTE!F262-PERALTE!$S$6)-2),IF(RASANTE!F262&lt;=PERALTE!$X$6,-8,IF(RASANTE!F262&lt;=PERALTE!$Z$6,(-6/(PERALTE!$X$6-PERALTE!$Z$6)*(RASANTE!F262-PERALTE!$Z$6)-2),IF(RASANTE!F262&lt;=PERALTE!$AB$6,-2))))),IF(AND(AH!$H$8="Izquierda",RASANTE!F262&lt;=PERALTE!$AB$6),IF(RASANTE!F262&lt;=PERALTE!$Q$6,-2,IF(RASANTE!F262&lt;=PERALTE!$U$6,(10/(PERALTE!$U$6-PERALTE!$Q$6)*(RASANTE!F262-PERALTE!$Q$6)-2),IF(RASANTE!F262&lt;=PERALTE!$X$6,8,IF(RASANTE!F262&lt;=PERALTE!$AB$6,(10/(PERALTE!$X$6-PERALTE!$AB$6)*(RASANTE!F262-PERALTE!$AB$6)-2))))),IF(AND(AH!$H$10="Derecha",RASANTE!F262&lt;=PERALTE!$AB$8),IF(RASANTE!F262&lt;=PERALTE!$S$8,-2,IF(RASANTE!F262&lt;=PERALTE!$U$8,(-6/(PERALTE!$U$8-PERALTE!$S$8)*(RASANTE!F262-PERALTE!$S$8)-2),IF(RASANTE!F262&lt;=PERALTE!$X$8,-8,IF(RASANTE!F262&lt;=PERALTE!$Z$8,(-6/(PERALTE!$X$8-PERALTE!$Z$8)*(RASANTE!F262-PERALTE!$Z$8)-2),IF(RASANTE!F262&lt;=PERALTE!$AB$8,-2))))),IF(AND(AH!$H$10="Izquierda",RASANTE!F262&lt;=PERALTE!$AB$8),IF(RASANTE!F262&lt;=PERALTE!$Q$8,-2,IF(RASANTE!F262&lt;=PERALTE!$U$8,(10/(PERALTE!$U$8-PERALTE!$Q$8)*(RASANTE!F262-PERALTE!$Q$8)-2),IF(RASANTE!F262&lt;=PERALTE!$X$8,8,IF(RASANTE!F262&lt;=PERALTE!$AB$8,(10/(PERALTE!$X$8-PERALTE!$AB$8)*(RASANTE!F262-PERALTE!$AB$8)-2))))),IF(AND(AH!$H$12="Derecha",RASANTE!F262&lt;=PERALTE!$AB$10),IF(RASANTE!F262&lt;=PERALTE!$S$10,-2,IF(RASANTE!F262&lt;=PERALTE!$U$10,(-6/(PERALTE!$U$10-PERALTE!$S$10)*(RASANTE!F262-PERALTE!$S$10)-2),IF(RASANTE!F262&lt;=PERALTE!$X$10,-8,IF(RASANTE!F262&lt;=PERALTE!$Z$10,(-6/(PERALTE!$X$10-PERALTE!$Z$10)*(RASANTE!F262-PERALTE!$Z$10)-2),IF(RASANTE!F262&lt;=PERALTE!$AB$10,-2))))),IF(AND(AH!$H$12="Izquierda",RASANTE!F262&lt;=PERALTE!$AB$10),IF(RASANTE!F262&lt;=PERALTE!$Q$10,-2,IF(RASANTE!F262&lt;=PERALTE!$U$10,(10/(PERALTE!$U$10-PERALTE!$Q$10)*(RASANTE!F262-PERALTE!$Q$10)-2),IF(RASANTE!F262&lt;=PERALTE!$X$10,8,IF(RASANTE!F262&lt;=PERALTE!$AB$10,(10/(PERALTE!$X$10-PERALTE!$AB$10)*(RASANTE!F262-PERALTE!$AB$10)-2))))),IF(AND(AH!$H$14="Derecha",RASANTE!F262&lt;=PERALTE!$AB$12),IF(RASANTE!F262&lt;=PERALTE!$S$12,-2,IF(RASANTE!F262&lt;=PERALTE!$U$12,(-6/(PERALTE!$U$12-PERALTE!$S$12)*(RASANTE!F262-PERALTE!$S$12)-2),IF(RASANTE!F262&lt;=PERALTE!$X$12,-8,IF(RASANTE!F262&lt;=PERALTE!$Z$12,(-6/(PERALTE!$X$12-PERALTE!$Z$12)*(RASANTE!F262-PERALTE!$Z$12)-2),IF(RASANTE!F262&lt;=PERALTE!$AB$12,-2))))),IF(AND(AH!$H$14="Izquierda",RASANTE!F262&lt;=PERALTE!$AB$12),IF(RASANTE!F262&lt;=PERALTE!$Q$12,-2,IF(RASANTE!F262&lt;=PERALTE!$U$12,(10/(PERALTE!$U$12-PERALTE!$Q$12)*(RASANTE!F262-PERALTE!$Q$12)-2),IF(RASANTE!F262&lt;=PERALTE!$X$12,8,IF(RASANTE!F262&lt;=PERALTE!$AB$12,(10/(PERALTE!$X$12-PERALTE!$AB$12)*(RASANTE!F262-PERALTE!$AB$12)-2))))),IF(AND(AH!$H$16="Derecha",RASANTE!F262&lt;=PERALTE!$AB$14),IF(RASANTE!F262&lt;=PERALTE!$S$14,-2,IF(RASANTE!F262&lt;=PERALTE!$U$14,(-6/(PERALTE!$U$14-PERALTE!$S$14)*(RASANTE!F262-PERALTE!$S$14)-2),IF(RASANTE!F262&lt;=PERALTE!$X$14,-8,IF(RASANTE!F262&lt;=PERALTE!$Z$14,(-6/(PERALTE!$X$14-PERALTE!$Z$14)*(RASANTE!F262-PERALTE!$Z$14)-2),IF(RASANTE!F262&lt;=PERALTE!$AB$14,-2))))),IF(AND(AH!$H$16="Izquierda",RASANTE!F262&lt;=PERALTE!$AB$14),IF(RASANTE!F262&lt;=PERALTE!$Q$14,-2,IF(RASANTE!F262&lt;=PERALTE!$U$14,(10/(PERALTE!$U$14-PERALTE!$Q$14)*(RASANTE!F262-PERALTE!$Q$14)-2),IF(RASANTE!F262&lt;=PERALTE!$X$14,8,IF(RASANTE!F262&lt;=PERALTE!$AB$14,(10/(PERALTE!$X$14-PERALTE!$AB$14)*(RASANTE!F262-PERALTE!$AB$14)-2))))),IF(AND(AH!$H$18="Derecha",RASANTE!F262&lt;=PERALTE!$AB$16),IF(RASANTE!F262&lt;=PERALTE!$S$16,-2,IF(RASANTE!F262&lt;=PERALTE!$U$16,(-6/(PERALTE!$U$16-PERALTE!$S$16)*(RASANTE!F262-PERALTE!$S$16)-2),IF(RASANTE!F262&lt;=PERALTE!$X$16,-8,IF(RASANTE!F262&lt;=PERALTE!$Z$16,(-6/(PERALTE!$X$16-PERALTE!$Z$16)*(RASANTE!F262-PERALTE!$Z$16)-2),IF(RASANTE!F262&lt;=PERALTE!$AB$16,-2))))),IF(AND(AH!$H$18="Izquierda",RASANTE!F262&lt;=PERALTE!$AB$16),IF(RASANTE!F262&lt;=PERALTE!$Q$16,-2,IF(RASANTE!F262&lt;=PERALTE!$U$16,(10/(PERALTE!$U$16-PERALTE!$Q$16)*(RASANTE!F262-PERALTE!$Q$16)-2),IF(RASANTE!F262&lt;=PERALTE!$X$16,8,IF(RASANTE!F262&lt;=PERALTE!$AB$16,(10/(PERALTE!$X$16-PERALTE!$AB$16)*(RASANTE!F262-PERALTE!$AB$16)-2))))),IF(AND(AH!$H$20="Derecha",RASANTE!F262&lt;=PERALTE!$AB$18),IF(RASANTE!F262&lt;=PERALTE!$S$18,-2,IF(RASANTE!F262&lt;=PERALTE!$U$18,(-6/(PERALTE!$U$18-PERALTE!$S$18)*(RASANTE!F262-PERALTE!$S$18)-2),IF(RASANTE!F262&lt;=PERALTE!$X$18,-8,IF(RASANTE!F262&lt;=PERALTE!$Z$18,(-6/(PERALTE!$X$18-PERALTE!$Z$18)*(RASANTE!F262-PERALTE!$Z$18)-2),IF(RASANTE!F262&lt;=PERALTE!$AB$18,-2))))),IF(AND(AH!$H$20="Izquierda",RASANTE!F262&lt;=PERALTE!$AB$18),IF(RASANTE!F262&lt;=PERALTE!$Q$18,-2,IF(RASANTE!F262&lt;=PERALTE!$U$18,(10/(PERALTE!$U$18-PERALTE!$Q$18)*(RASANTE!F262-PERALTE!$Q$18)-2),IF(RASANTE!F262&lt;=PERALTE!$X$18,8,IF(RASANTE!F262&lt;=PERALTE!$AB$18,(10/(PERALTE!$X$18-PERALTE!$AB$18)*(RASANTE!F262-PERALTE!$AB$18)-2))))),IF(AND(AH!$H$24="Derecha",RASANTE!F262&lt;=PERALTE!$AB$22),IF(RASANTE!F262&lt;=PERALTE!$S$22,-2,IF(RASANTE!F262&lt;=PERALTE!$U$22,(-6/(PERALTE!$U$22-PERALTE!$S$22)*(RASANTE!F262-PERALTE!$S$22)-2),IF(RASANTE!F262&lt;=PERALTE!$X$22,-8,IF(RASANTE!F262&lt;=PERALTE!$Z$22,(-6/(PERALTE!$X$22-PERALTE!$Z$22)*(RASANTE!F262-PERALTE!$Z$22)-2),IF(RASANTE!F262&lt;=PERALTE!$AB$22,-2))))),IF(AND(AH!$H$24="Izquierda",RASANTE!F262&lt;=PERALTE!$AB$22),IF(RASANTE!F262&lt;=PERALTE!$Q$22,-2,IF(RASANTE!F262&lt;=PERALTE!$U$22,(10/(PERALTE!$U$22-PERALTE!$Q$22)*(RASANTE!F262-PERALTE!$Q$22)-2),IF(RASANTE!F262&lt;=PERALTE!$X$22,8,IF(RASANTE!F262&lt;=PERALTE!$AB$22,(10/(PERALTE!$X$22-PERALTE!$AB$22)*(RASANTE!F262-PERALTE!$AB$22)-2))))),IF(AND(AH!#REF!="Derecha",RASANTE!F262&lt;=PERALTE!#REF!),IF(RASANTE!F262&lt;=PERALTE!#REF!,-2,IF(RASANTE!F262&lt;=PERALTE!#REF!,(-6/(PERALTE!#REF!-PERALTE!#REF!)*(RASANTE!F262-PERALTE!#REF!)-2),IF(RASANTE!F262&lt;=PERALTE!#REF!,-8,IF(RASANTE!F262&lt;=PERALTE!#REF!,(-6/(PERALTE!#REF!-PERALTE!#REF!)*(RASANTE!F262-PERALTE!#REF!)-2),IF(RASANTE!F262&lt;=PERALTE!#REF!,-2))))),IF(AND(AH!#REF!="Izquierda",RASANTE!F262&lt;=PERALTE!#REF!),IF(RASANTE!F262&lt;=PERALTE!#REF!,-2,IF(RASANTE!F262&lt;=PERALTE!#REF!,(10/(PERALTE!#REF!-PERALTE!#REF!)*(RASANTE!F262-PERALTE!#REF!)-2),IF(RASANTE!F262&lt;=PERALTE!#REF!,8,IF(RASANTE!F262&lt;=PERALTE!#REF!,(10/(PERALTE!#REF!-PERALTE!#REF!)*(RASANTE!F262-PERALTE!#REF!)-2))))),IF(AND(AH!#REF!="Derecha",RASANTE!F262&lt;=PERALTE!$AB$26),IF(RASANTE!F262&lt;=PERALTE!$S$26,-2,IF(RASANTE!F262&lt;=PERALTE!$U$26,(-6/(PERALTE!$U$26-PERALTE!$S$26)*(RASANTE!F262-PERALTE!$S$26)-2),IF(RASANTE!F262&lt;=PERALTE!$X$26,-8,IF(RASANTE!F262&lt;=PERALTE!$Z$26,(-6/(PERALTE!$X$26-PERALTE!$Z$26)*(RASANTE!F262-PERALTE!$Z$26)-2),IF(RASANTE!F262&lt;=PERALTE!$AB$26,-2))))),IF(AND(AH!#REF!="Izquierda",RASANTE!F262&lt;=PERALTE!$AB$26),IF(RASANTE!F262&lt;=PERALTE!$Q$26,-2,IF(RASANTE!F262&lt;=PERALTE!$U$26,(10/(PERALTE!$U$26-PERALTE!$Q$26)*(RASANTE!F262-PERALTE!$Q$26)-2),IF(RASANTE!F262&lt;=PERALTE!$X$26,8,IF(RASANTE!F262&lt;=PERALTE!$AB$26,(10/(PERALTE!$X$26-PERALTE!$AB$26)*(RASANTE!F262-PERALTE!$AB$26)-2))))),IF(F262&lt;=PERALTE!#REF!,-2,"Abscisa fuera de la vía")))))))))))))))))))))</f>
        <v>-2</v>
      </c>
      <c r="J262" s="28">
        <f t="shared" si="11"/>
        <v>1635.916493429487</v>
      </c>
      <c r="K262" s="28">
        <f>+IF(AND(AV!$S$6&lt;F262,F262&lt;=AV!$T$6),AV!$P$6*((AV!$S$6-RASANTE!F262)/(AV!$N$6))^2,IF(AND(AV!$T$6&lt;RASANTE!F262,F262&lt;AV!$U$6),AV!$P$6*((AV!$U$6-RASANTE!F262)/(AV!$O$6))^2,IF(AND(AV!$S$8&lt;F262,F262&lt;=AV!$T$8),AV!$P$8*((AV!$S$8-RASANTE!F262)/(AV!$N$8))^2,IF(AND(AV!$T$8&lt;RASANTE!F262,F262&lt;AV!$U$8),AV!$P$8*((AV!$U$8-RASANTE!F262)/(AV!$O$8))^2,IF(AND(AV!$S$10&lt;F262,F262&lt;=AV!$T$10),AV!$P$10*((AV!$S$10-RASANTE!F262)/(AV!$N$10))^2,IF(AND(AV!$T$10&lt;RASANTE!F262,F262&lt;AV!$U$10),AV!$P$10*((AV!$U$10-RASANTE!F262)/(AV!$O$10))^2,IF(AND(AV!$S$12&lt;F262,F262&lt;=AV!$T$12),AV!$P$12*((AV!$S$12-RASANTE!F262)/(AV!$N$12))^2,IF(AND(AV!$T$12&lt;RASANTE!F262,F262&lt;AV!$U$12),AV!$P$12*((AV!$U$12-RASANTE!F262)/(AV!$O$12))^2,IF(AND(AV!$S$14&lt;F262,F262&lt;=AV!$T$14),AV!$P$14*((AV!$S$14-RASANTE!F262)/(AV!$N$14))^2,IF(AND(AV!$T$14&lt;RASANTE!F262,F262&lt;AV!$U$14),AV!$P$14*((AV!$U$14-RASANTE!F262)/(AV!$O$14))^2,IF(AND(AV!$S$16&lt;F262,F262&lt;=AV!$T$16),AV!$P$16*((AV!$S$16-RASANTE!F262)/(AV!$N$16))^2,IF(AND(AV!$T$16&lt;RASANTE!F262,F262&lt;AV!$U$16),AV!$P$16*((AV!$U$16-RASANTE!F262)/(AV!$O$16))^2,IF(AND(AV!$S$18&lt;F262,F262&lt;=AV!$T$18),AV!$P$18*((AV!$S$18-RASANTE!F262)/(AV!$N$18))^2,IF(AND(AV!$T$18&lt;RASANTE!F262,F262&lt;AV!$U$18),AV!$P$18*((AV!$U$18-RASANTE!F262)/(AV!$O$18))^2,IF(AND(AV!$S$20&lt;F262,F262&lt;=AV!$T$20),AV!$P$20*((AV!$S$20-RASANTE!F262)/(AV!$N$20))^2,IF(AND(AV!$T$20&lt;RASANTE!F262,F262&lt;AV!$U$20),AV!$P$20*((AV!$U$20-RASANTE!F262)/(AV!$O$20))^2,IF(AND(AV!$S$22&lt;F262,F262&lt;=AV!$T$22),AV!$P$22*((AV!$S$22-RASANTE!F262)/(AV!$N$22))^2,IF(AND(AV!$T$22&lt;RASANTE!F262,F262&lt;AV!$U$22),AV!$P$22*((AV!$U$22-RASANTE!F262)/(AV!$O$22))^2,IF(AND(AV!$S$24&lt;F262,F262&lt;=AV!$T$24),AV!$P$24*((AV!$S$24-RASANTE!F262)/(AV!$N$24))^2,IF(AND(AV!$T$24&lt;RASANTE!F262,F262&lt;AV!$U$24),AV!$P$24*((AV!$U$24-RASANTE!F262)/(AV!$O$24))^2,0))))))))))))))))))))</f>
        <v>0</v>
      </c>
      <c r="L262" s="28">
        <f>+M262+H262%*PERALTE!$C$32</f>
        <v>1635.916493429487</v>
      </c>
      <c r="M262" s="28">
        <f t="shared" si="12"/>
        <v>1635.916493429487</v>
      </c>
      <c r="N262" s="28">
        <f>+M262+I262%*PERALTE!$C$32</f>
        <v>1635.8464934294871</v>
      </c>
      <c r="O262" s="92"/>
      <c r="P262" s="84"/>
      <c r="Q262" s="84"/>
      <c r="R262" s="84"/>
      <c r="S262" s="84"/>
      <c r="T262" s="84"/>
      <c r="U262" s="84"/>
      <c r="V262" s="84"/>
      <c r="W262" s="84"/>
      <c r="X262" s="84"/>
      <c r="Y262" s="84"/>
    </row>
    <row r="263" spans="1:25" ht="15.75" customHeight="1" x14ac:dyDescent="0.2">
      <c r="A263" s="322"/>
      <c r="B263" s="86"/>
      <c r="C263" s="86"/>
      <c r="D263" s="86"/>
      <c r="E263" s="91"/>
      <c r="F263" s="34">
        <v>1570</v>
      </c>
      <c r="G263" s="88">
        <v>5.4480000000000004</v>
      </c>
      <c r="H263" s="28">
        <f>+IF(AND(AH!$H$8="Izquierda",RASANTE!F263&lt;=PERALTE!$AB$6),IF(RASANTE!F263&lt;=PERALTE!$S$6,-2,IF(RASANTE!F263&lt;=PERALTE!$U$6,(-6/(PERALTE!$U$6-PERALTE!$S$6)*(RASANTE!F263-PERALTE!$S$6)-2),IF(RASANTE!F263&lt;=PERALTE!$X$6,-8,IF(RASANTE!F263&lt;=PERALTE!$Z$6,(-6/(PERALTE!$X$6-PERALTE!$Z$6)*(RASANTE!F263-PERALTE!$Z$6)-2),IF(RASANTE!F263&lt;=PERALTE!$AB$6,-2))))),IF(AND(AH!$H$8="Derecha",RASANTE!F263&lt;=PERALTE!$AB$6),IF(RASANTE!F263&lt;=PERALTE!$Q$6,-2,IF(RASANTE!F263&lt;=PERALTE!$U$6,(10/(PERALTE!$U$6-PERALTE!$Q$6)*(RASANTE!F263-PERALTE!$Q$6)-2),IF(RASANTE!F263&lt;=PERALTE!$X$6,8,IF(RASANTE!F263&lt;=PERALTE!$AB$6,(10/(PERALTE!$X$6-PERALTE!$AB$6)*(RASANTE!F263-PERALTE!$AB$6)-2))))),IF(AND(AH!$H$10="Izquierda",RASANTE!F263&lt;=PERALTE!$AB$8),IF(RASANTE!F263&lt;=PERALTE!$S$8,-2,IF(RASANTE!F263&lt;=PERALTE!$U$8,(-6/(PERALTE!$U$8-PERALTE!$S$8)*(RASANTE!F263-PERALTE!$S$8)-2),IF(RASANTE!F263&lt;=PERALTE!$X$8,-8,IF(RASANTE!F263&lt;=PERALTE!$Z$8,(-6/(PERALTE!$X$8-PERALTE!$Z$8)*(RASANTE!F263-PERALTE!$Z$8)-2),IF(RASANTE!F263&lt;=PERALTE!$AB$8,-2))))),IF(AND(AH!$H$10="Derecha",RASANTE!F263&lt;=PERALTE!$AB$8),IF(RASANTE!F263&lt;=PERALTE!$Q$8,-2,IF(RASANTE!F263&lt;=PERALTE!$U$8,(10/(PERALTE!$U$8-PERALTE!$Q$8)*(RASANTE!F263-PERALTE!$Q$8)-2),IF(RASANTE!F263&lt;=PERALTE!$X$8,8,IF(RASANTE!F263&lt;=PERALTE!$AB$8,(10/(PERALTE!$X$8-PERALTE!$AB$8)*(RASANTE!F263-PERALTE!$AB$8)-2))))),IF(AND(AH!$H$12="Izquierda",RASANTE!F263&lt;=PERALTE!$AB$10),IF(RASANTE!F263&lt;=PERALTE!$S$10,-2,IF(RASANTE!F263&lt;=PERALTE!$U$10,(-6/(PERALTE!$U$10-PERALTE!$S$10)*(RASANTE!F263-PERALTE!$S$10)-2),IF(RASANTE!F263&lt;=PERALTE!$X$10,-8,IF(RASANTE!F263&lt;=PERALTE!$Z$10,(-6/(PERALTE!$X$10-PERALTE!$Z$10)*(RASANTE!F263-PERALTE!$Z$10)-2),IF(RASANTE!F263&lt;=PERALTE!$AB$10,-2))))),IF(AND(AH!$H$12="Derecha",RASANTE!F263&lt;=PERALTE!$AB$10),IF(RASANTE!F263&lt;=PERALTE!$Q$10,-2,IF(RASANTE!F263&lt;=PERALTE!$U$10,(10/(PERALTE!$U$10-PERALTE!$Q$10)*(RASANTE!F263-PERALTE!$Q$10)-2),IF(RASANTE!F263&lt;=PERALTE!$X$10,8,IF(RASANTE!F263&lt;=PERALTE!$AB$10,(10/(PERALTE!$X$10-PERALTE!$AB$10)*(RASANTE!F263-PERALTE!$AB$10)-2))))),IF(AND(AH!$H$14="Izquierda",RASANTE!F263&lt;=PERALTE!$AB$12),IF(RASANTE!F263&lt;=PERALTE!$S$12,-2,IF(RASANTE!F263&lt;=PERALTE!$U$12,(-6/(PERALTE!$U$12-PERALTE!$S$12)*(RASANTE!F263-PERALTE!$S$12)-2),IF(RASANTE!F263&lt;=PERALTE!$X$12,-8,IF(RASANTE!F263&lt;=PERALTE!$Z$12,(-6/(PERALTE!$X$12-PERALTE!$Z$12)*(RASANTE!F263-PERALTE!$Z$12)-2),IF(RASANTE!F263&lt;=PERALTE!$AB$12,-2))))),IF(AND(AH!$H$14="Derecha",RASANTE!F263&lt;=PERALTE!$AB$12),IF(RASANTE!F263&lt;=PERALTE!$Q$12,-2,IF(RASANTE!F263&lt;=PERALTE!$U$12,(10/(PERALTE!$U$12-PERALTE!$Q$12)*(RASANTE!F263-PERALTE!$Q$12)-2),IF(RASANTE!F263&lt;=PERALTE!$X$12,8,IF(RASANTE!F263&lt;=PERALTE!$AB$12,(10/(PERALTE!$X$12-PERALTE!$AB$12)*(RASANTE!F263-PERALTE!$AB$12)-2))))),IF(AND(AH!$H$16="Izquierda",RASANTE!F263&lt;=PERALTE!$AB$14),IF(RASANTE!F263&lt;=PERALTE!$S$14,-2,IF(RASANTE!F263&lt;=PERALTE!$U$14,(-6/(PERALTE!$U$14-PERALTE!$S$14)*(RASANTE!F263-PERALTE!$S$14)-2),IF(RASANTE!F263&lt;=PERALTE!$X$14,-8,IF(RASANTE!F263&lt;=PERALTE!$Z$14,(-6/(PERALTE!$X$14-PERALTE!$Z$14)*(RASANTE!F263-PERALTE!$Z$14)-2),IF(RASANTE!F263&lt;=PERALTE!$AB$14,-2))))),IF(AND(AH!$H$16="Derecha",RASANTE!F263&lt;=PERALTE!$AB$14),IF(RASANTE!F263&lt;=PERALTE!$Q$14,-2,IF(RASANTE!F263&lt;=PERALTE!$U$14,(10/(PERALTE!$U$14-PERALTE!$Q$14)*(RASANTE!F263-PERALTE!$Q$14)-2),IF(RASANTE!F263&lt;=PERALTE!$X$14,8,IF(RASANTE!F263&lt;=PERALTE!$AB$14,(10/(PERALTE!$X$14-PERALTE!$AB$14)*(RASANTE!F263-PERALTE!$AB$14)-2))))),IF(AND(AH!$H$18="Izquierda",RASANTE!F263&lt;=PERALTE!$AB$16),IF(RASANTE!F263&lt;=PERALTE!$S$16,-2,IF(RASANTE!F263&lt;=PERALTE!$U$16,(-6/(PERALTE!$U$16-PERALTE!$S$16)*(RASANTE!F263-PERALTE!$S$16)-2),IF(RASANTE!F263&lt;=PERALTE!$X$16,-8,IF(RASANTE!F263&lt;=PERALTE!$Z$16,(-6/(PERALTE!$X$16-PERALTE!$Z$16)*(RASANTE!F263-PERALTE!$Z$16)-2),IF(RASANTE!F263&lt;=PERALTE!$AB$16,-2))))),IF(AND(AH!$H$18="Derecha",RASANTE!F263&lt;=PERALTE!$AB$16),IF(RASANTE!F263&lt;=PERALTE!$Q$16,-2,IF(RASANTE!F263&lt;=PERALTE!$U$16,(10/(PERALTE!$U$16-PERALTE!$Q$16)*(RASANTE!F263-PERALTE!$Q$16)-2),IF(RASANTE!F263&lt;=PERALTE!$X$16,8,IF(RASANTE!F263&lt;=PERALTE!$AB$16,(10/(PERALTE!$X$16-PERALTE!$AB$16)*(RASANTE!F263-PERALTE!$AB$16)-2))))),IF(AND(AH!$H$20="Izquierda",RASANTE!F263&lt;=PERALTE!$AB$18),IF(RASANTE!F263&lt;=PERALTE!$S$18,-2,IF(RASANTE!F263&lt;=PERALTE!$U$18,(-6/(PERALTE!$U$18-PERALTE!$S$18)*(RASANTE!F263-PERALTE!$S$18)-2),IF(RASANTE!F263&lt;=PERALTE!$X$18,-8,IF(RASANTE!F263&lt;=PERALTE!$Z$18,(-6/(PERALTE!$X$18-PERALTE!$Z$18)*(RASANTE!F263-PERALTE!$Z$18)-2),IF(RASANTE!F263&lt;=PERALTE!$AB$18,-2))))),IF(AND(AH!$H$20="Derecha",RASANTE!F263&lt;=PERALTE!$AB$18),IF(RASANTE!F263&lt;=PERALTE!$Q$18,-2,IF(RASANTE!F263&lt;=PERALTE!$U$18,(10/(PERALTE!$U$18-PERALTE!$Q$18)*(RASANTE!F263-PERALTE!$Q$18)-2),IF(RASANTE!F263&lt;=PERALTE!$X$18,8,IF(RASANTE!F263&lt;=PERALTE!$AB$18,(10/(PERALTE!$X$18-PERALTE!$AB$18)*(RASANTE!F263-PERALTE!$AB$18)-2))))),IF(AND(AH!$H$24="Izquierda",RASANTE!F263&lt;=PERALTE!$AB$22),IF(RASANTE!F263&lt;=PERALTE!$S$22,-2,IF(RASANTE!F263&lt;=PERALTE!$U$22,(-6/(PERALTE!$U$22-PERALTE!$S$22)*(RASANTE!F263-PERALTE!$S$22)-2),IF(RASANTE!F263&lt;=PERALTE!$X$22,-8,IF(RASANTE!F263&lt;=PERALTE!$Z$22,(-6/(PERALTE!$X$22-PERALTE!$Z$22)*(RASANTE!F263-PERALTE!$Z$22)-2),IF(RASANTE!F263&lt;=PERALTE!$AB$22,-2))))),IF(AND(AH!$H$24="Derecha",RASANTE!F263&lt;=PERALTE!$AB$22),IF(RASANTE!F263&lt;=PERALTE!$Q$22,-2,IF(RASANTE!F263&lt;=PERALTE!$U$22,(10/(PERALTE!$U$22-PERALTE!$Q$22)*(RASANTE!F263-PERALTE!$Q$22)-2),IF(RASANTE!F263&lt;=PERALTE!$X$22,8,IF(RASANTE!F263&lt;=PERALTE!$AB$22,(10/(PERALTE!$X$22-PERALTE!$AB$22)*(RASANTE!F263-PERALTE!$AB$22)-2))))),IF(AND(AH!#REF!="Izquierda",RASANTE!F263&lt;=PERALTE!#REF!),IF(RASANTE!F263&lt;=PERALTE!#REF!,-2,IF(RASANTE!F263&lt;=PERALTE!#REF!,(-6/(PERALTE!#REF!-PERALTE!#REF!)*(RASANTE!F263-PERALTE!#REF!)-2),IF(RASANTE!F263&lt;=PERALTE!#REF!,-8,IF(RASANTE!F263&lt;=PERALTE!#REF!,(-6/(PERALTE!#REF!-PERALTE!#REF!)*(RASANTE!F263-PERALTE!#REF!)-2),IF(RASANTE!F263&lt;=PERALTE!#REF!,-2))))),IF(AND(AH!#REF!="Derecha",RASANTE!F263&lt;=PERALTE!#REF!),IF(RASANTE!F263&lt;=PERALTE!#REF!,-2,IF(RASANTE!F263&lt;=PERALTE!#REF!,(10/(PERALTE!#REF!-PERALTE!#REF!)*(RASANTE!F263-PERALTE!#REF!)-2),IF(RASANTE!F263&lt;=PERALTE!#REF!,8,IF(RASANTE!F263&lt;=PERALTE!#REF!,(10/(PERALTE!#REF!-PERALTE!#REF!)*(RASANTE!F263-PERALTE!#REF!)-2))))),IF(AND(AH!#REF!="Izquierda",RASANTE!F263&lt;=PERALTE!$AB$26),IF(RASANTE!F263&lt;=PERALTE!$S$26,-2,IF(RASANTE!F263&lt;=PERALTE!$U$26,(-6/(PERALTE!$U$26-PERALTE!$S$26)*(RASANTE!F263-PERALTE!$S$26)-2),IF(RASANTE!F263&lt;=PERALTE!$X$26,-8,IF(RASANTE!F263&lt;=PERALTE!$Z$26,(-6/(PERALTE!$X$26-PERALTE!$Z$26)*(RASANTE!F263-PERALTE!$Z$26)-2),IF(RASANTE!F263&lt;=PERALTE!$AB$26,-2))))),IF(AND(AH!#REF!="Derecha",RASANTE!F263&lt;=PERALTE!$AB$26),IF(RASANTE!F263&lt;=PERALTE!$Q$26,-2,IF(RASANTE!F263&lt;=PERALTE!$U$26,(10/(PERALTE!$U$26-PERALTE!$Q$26)*(RASANTE!F263-PERALTE!$Q$26)-2),IF(RASANTE!F263&lt;=PERALTE!$X$26,8,IF(RASANTE!F263&lt;=PERALTE!$AB$26,(10/(PERALTE!$X$26-PERALTE!$AB$26)*(RASANTE!F263-PERALTE!$AB$26)-2))))),IF(F263&lt;=PERALTE!#REF!,-2,"Abscisa fuera de la vía")))))))))))))))))))))</f>
        <v>-0.77062606076468421</v>
      </c>
      <c r="I263" s="28">
        <f>+IF(AND(AH!$H$8="Derecha",RASANTE!F263&lt;=PERALTE!$AB$6),IF(RASANTE!F263&lt;=PERALTE!$S$6,-2,IF(RASANTE!F263&lt;=PERALTE!$U$6,(-6/(PERALTE!$U$6-PERALTE!$S$6)*(RASANTE!F263-PERALTE!$S$6)-2),IF(RASANTE!F263&lt;=PERALTE!$X$6,-8,IF(RASANTE!F263&lt;=PERALTE!$Z$6,(-6/(PERALTE!$X$6-PERALTE!$Z$6)*(RASANTE!F263-PERALTE!$Z$6)-2),IF(RASANTE!F263&lt;=PERALTE!$AB$6,-2))))),IF(AND(AH!$H$8="Izquierda",RASANTE!F263&lt;=PERALTE!$AB$6),IF(RASANTE!F263&lt;=PERALTE!$Q$6,-2,IF(RASANTE!F263&lt;=PERALTE!$U$6,(10/(PERALTE!$U$6-PERALTE!$Q$6)*(RASANTE!F263-PERALTE!$Q$6)-2),IF(RASANTE!F263&lt;=PERALTE!$X$6,8,IF(RASANTE!F263&lt;=PERALTE!$AB$6,(10/(PERALTE!$X$6-PERALTE!$AB$6)*(RASANTE!F263-PERALTE!$AB$6)-2))))),IF(AND(AH!$H$10="Derecha",RASANTE!F263&lt;=PERALTE!$AB$8),IF(RASANTE!F263&lt;=PERALTE!$S$8,-2,IF(RASANTE!F263&lt;=PERALTE!$U$8,(-6/(PERALTE!$U$8-PERALTE!$S$8)*(RASANTE!F263-PERALTE!$S$8)-2),IF(RASANTE!F263&lt;=PERALTE!$X$8,-8,IF(RASANTE!F263&lt;=PERALTE!$Z$8,(-6/(PERALTE!$X$8-PERALTE!$Z$8)*(RASANTE!F263-PERALTE!$Z$8)-2),IF(RASANTE!F263&lt;=PERALTE!$AB$8,-2))))),IF(AND(AH!$H$10="Izquierda",RASANTE!F263&lt;=PERALTE!$AB$8),IF(RASANTE!F263&lt;=PERALTE!$Q$8,-2,IF(RASANTE!F263&lt;=PERALTE!$U$8,(10/(PERALTE!$U$8-PERALTE!$Q$8)*(RASANTE!F263-PERALTE!$Q$8)-2),IF(RASANTE!F263&lt;=PERALTE!$X$8,8,IF(RASANTE!F263&lt;=PERALTE!$AB$8,(10/(PERALTE!$X$8-PERALTE!$AB$8)*(RASANTE!F263-PERALTE!$AB$8)-2))))),IF(AND(AH!$H$12="Derecha",RASANTE!F263&lt;=PERALTE!$AB$10),IF(RASANTE!F263&lt;=PERALTE!$S$10,-2,IF(RASANTE!F263&lt;=PERALTE!$U$10,(-6/(PERALTE!$U$10-PERALTE!$S$10)*(RASANTE!F263-PERALTE!$S$10)-2),IF(RASANTE!F263&lt;=PERALTE!$X$10,-8,IF(RASANTE!F263&lt;=PERALTE!$Z$10,(-6/(PERALTE!$X$10-PERALTE!$Z$10)*(RASANTE!F263-PERALTE!$Z$10)-2),IF(RASANTE!F263&lt;=PERALTE!$AB$10,-2))))),IF(AND(AH!$H$12="Izquierda",RASANTE!F263&lt;=PERALTE!$AB$10),IF(RASANTE!F263&lt;=PERALTE!$Q$10,-2,IF(RASANTE!F263&lt;=PERALTE!$U$10,(10/(PERALTE!$U$10-PERALTE!$Q$10)*(RASANTE!F263-PERALTE!$Q$10)-2),IF(RASANTE!F263&lt;=PERALTE!$X$10,8,IF(RASANTE!F263&lt;=PERALTE!$AB$10,(10/(PERALTE!$X$10-PERALTE!$AB$10)*(RASANTE!F263-PERALTE!$AB$10)-2))))),IF(AND(AH!$H$14="Derecha",RASANTE!F263&lt;=PERALTE!$AB$12),IF(RASANTE!F263&lt;=PERALTE!$S$12,-2,IF(RASANTE!F263&lt;=PERALTE!$U$12,(-6/(PERALTE!$U$12-PERALTE!$S$12)*(RASANTE!F263-PERALTE!$S$12)-2),IF(RASANTE!F263&lt;=PERALTE!$X$12,-8,IF(RASANTE!F263&lt;=PERALTE!$Z$12,(-6/(PERALTE!$X$12-PERALTE!$Z$12)*(RASANTE!F263-PERALTE!$Z$12)-2),IF(RASANTE!F263&lt;=PERALTE!$AB$12,-2))))),IF(AND(AH!$H$14="Izquierda",RASANTE!F263&lt;=PERALTE!$AB$12),IF(RASANTE!F263&lt;=PERALTE!$Q$12,-2,IF(RASANTE!F263&lt;=PERALTE!$U$12,(10/(PERALTE!$U$12-PERALTE!$Q$12)*(RASANTE!F263-PERALTE!$Q$12)-2),IF(RASANTE!F263&lt;=PERALTE!$X$12,8,IF(RASANTE!F263&lt;=PERALTE!$AB$12,(10/(PERALTE!$X$12-PERALTE!$AB$12)*(RASANTE!F263-PERALTE!$AB$12)-2))))),IF(AND(AH!$H$16="Derecha",RASANTE!F263&lt;=PERALTE!$AB$14),IF(RASANTE!F263&lt;=PERALTE!$S$14,-2,IF(RASANTE!F263&lt;=PERALTE!$U$14,(-6/(PERALTE!$U$14-PERALTE!$S$14)*(RASANTE!F263-PERALTE!$S$14)-2),IF(RASANTE!F263&lt;=PERALTE!$X$14,-8,IF(RASANTE!F263&lt;=PERALTE!$Z$14,(-6/(PERALTE!$X$14-PERALTE!$Z$14)*(RASANTE!F263-PERALTE!$Z$14)-2),IF(RASANTE!F263&lt;=PERALTE!$AB$14,-2))))),IF(AND(AH!$H$16="Izquierda",RASANTE!F263&lt;=PERALTE!$AB$14),IF(RASANTE!F263&lt;=PERALTE!$Q$14,-2,IF(RASANTE!F263&lt;=PERALTE!$U$14,(10/(PERALTE!$U$14-PERALTE!$Q$14)*(RASANTE!F263-PERALTE!$Q$14)-2),IF(RASANTE!F263&lt;=PERALTE!$X$14,8,IF(RASANTE!F263&lt;=PERALTE!$AB$14,(10/(PERALTE!$X$14-PERALTE!$AB$14)*(RASANTE!F263-PERALTE!$AB$14)-2))))),IF(AND(AH!$H$18="Derecha",RASANTE!F263&lt;=PERALTE!$AB$16),IF(RASANTE!F263&lt;=PERALTE!$S$16,-2,IF(RASANTE!F263&lt;=PERALTE!$U$16,(-6/(PERALTE!$U$16-PERALTE!$S$16)*(RASANTE!F263-PERALTE!$S$16)-2),IF(RASANTE!F263&lt;=PERALTE!$X$16,-8,IF(RASANTE!F263&lt;=PERALTE!$Z$16,(-6/(PERALTE!$X$16-PERALTE!$Z$16)*(RASANTE!F263-PERALTE!$Z$16)-2),IF(RASANTE!F263&lt;=PERALTE!$AB$16,-2))))),IF(AND(AH!$H$18="Izquierda",RASANTE!F263&lt;=PERALTE!$AB$16),IF(RASANTE!F263&lt;=PERALTE!$Q$16,-2,IF(RASANTE!F263&lt;=PERALTE!$U$16,(10/(PERALTE!$U$16-PERALTE!$Q$16)*(RASANTE!F263-PERALTE!$Q$16)-2),IF(RASANTE!F263&lt;=PERALTE!$X$16,8,IF(RASANTE!F263&lt;=PERALTE!$AB$16,(10/(PERALTE!$X$16-PERALTE!$AB$16)*(RASANTE!F263-PERALTE!$AB$16)-2))))),IF(AND(AH!$H$20="Derecha",RASANTE!F263&lt;=PERALTE!$AB$18),IF(RASANTE!F263&lt;=PERALTE!$S$18,-2,IF(RASANTE!F263&lt;=PERALTE!$U$18,(-6/(PERALTE!$U$18-PERALTE!$S$18)*(RASANTE!F263-PERALTE!$S$18)-2),IF(RASANTE!F263&lt;=PERALTE!$X$18,-8,IF(RASANTE!F263&lt;=PERALTE!$Z$18,(-6/(PERALTE!$X$18-PERALTE!$Z$18)*(RASANTE!F263-PERALTE!$Z$18)-2),IF(RASANTE!F263&lt;=PERALTE!$AB$18,-2))))),IF(AND(AH!$H$20="Izquierda",RASANTE!F263&lt;=PERALTE!$AB$18),IF(RASANTE!F263&lt;=PERALTE!$Q$18,-2,IF(RASANTE!F263&lt;=PERALTE!$U$18,(10/(PERALTE!$U$18-PERALTE!$Q$18)*(RASANTE!F263-PERALTE!$Q$18)-2),IF(RASANTE!F263&lt;=PERALTE!$X$18,8,IF(RASANTE!F263&lt;=PERALTE!$AB$18,(10/(PERALTE!$X$18-PERALTE!$AB$18)*(RASANTE!F263-PERALTE!$AB$18)-2))))),IF(AND(AH!$H$24="Derecha",RASANTE!F263&lt;=PERALTE!$AB$22),IF(RASANTE!F263&lt;=PERALTE!$S$22,-2,IF(RASANTE!F263&lt;=PERALTE!$U$22,(-6/(PERALTE!$U$22-PERALTE!$S$22)*(RASANTE!F263-PERALTE!$S$22)-2),IF(RASANTE!F263&lt;=PERALTE!$X$22,-8,IF(RASANTE!F263&lt;=PERALTE!$Z$22,(-6/(PERALTE!$X$22-PERALTE!$Z$22)*(RASANTE!F263-PERALTE!$Z$22)-2),IF(RASANTE!F263&lt;=PERALTE!$AB$22,-2))))),IF(AND(AH!$H$24="Izquierda",RASANTE!F263&lt;=PERALTE!$AB$22),IF(RASANTE!F263&lt;=PERALTE!$Q$22,-2,IF(RASANTE!F263&lt;=PERALTE!$U$22,(10/(PERALTE!$U$22-PERALTE!$Q$22)*(RASANTE!F263-PERALTE!$Q$22)-2),IF(RASANTE!F263&lt;=PERALTE!$X$22,8,IF(RASANTE!F263&lt;=PERALTE!$AB$22,(10/(PERALTE!$X$22-PERALTE!$AB$22)*(RASANTE!F263-PERALTE!$AB$22)-2))))),IF(AND(AH!#REF!="Derecha",RASANTE!F263&lt;=PERALTE!#REF!),IF(RASANTE!F263&lt;=PERALTE!#REF!,-2,IF(RASANTE!F263&lt;=PERALTE!#REF!,(-6/(PERALTE!#REF!-PERALTE!#REF!)*(RASANTE!F263-PERALTE!#REF!)-2),IF(RASANTE!F263&lt;=PERALTE!#REF!,-8,IF(RASANTE!F263&lt;=PERALTE!#REF!,(-6/(PERALTE!#REF!-PERALTE!#REF!)*(RASANTE!F263-PERALTE!#REF!)-2),IF(RASANTE!F263&lt;=PERALTE!#REF!,-2))))),IF(AND(AH!#REF!="Izquierda",RASANTE!F263&lt;=PERALTE!#REF!),IF(RASANTE!F263&lt;=PERALTE!#REF!,-2,IF(RASANTE!F263&lt;=PERALTE!#REF!,(10/(PERALTE!#REF!-PERALTE!#REF!)*(RASANTE!F263-PERALTE!#REF!)-2),IF(RASANTE!F263&lt;=PERALTE!#REF!,8,IF(RASANTE!F263&lt;=PERALTE!#REF!,(10/(PERALTE!#REF!-PERALTE!#REF!)*(RASANTE!F263-PERALTE!#REF!)-2))))),IF(AND(AH!#REF!="Derecha",RASANTE!F263&lt;=PERALTE!$AB$26),IF(RASANTE!F263&lt;=PERALTE!$S$26,-2,IF(RASANTE!F263&lt;=PERALTE!$U$26,(-6/(PERALTE!$U$26-PERALTE!$S$26)*(RASANTE!F263-PERALTE!$S$26)-2),IF(RASANTE!F263&lt;=PERALTE!$X$26,-8,IF(RASANTE!F263&lt;=PERALTE!$Z$26,(-6/(PERALTE!$X$26-PERALTE!$Z$26)*(RASANTE!F263-PERALTE!$Z$26)-2),IF(RASANTE!F263&lt;=PERALTE!$AB$26,-2))))),IF(AND(AH!#REF!="Izquierda",RASANTE!F263&lt;=PERALTE!$AB$26),IF(RASANTE!F263&lt;=PERALTE!$Q$26,-2,IF(RASANTE!F263&lt;=PERALTE!$U$26,(10/(PERALTE!$U$26-PERALTE!$Q$26)*(RASANTE!F263-PERALTE!$Q$26)-2),IF(RASANTE!F263&lt;=PERALTE!$X$26,8,IF(RASANTE!F263&lt;=PERALTE!$AB$26,(10/(PERALTE!$X$26-PERALTE!$AB$26)*(RASANTE!F263-PERALTE!$AB$26)-2))))),IF(F263&lt;=PERALTE!#REF!,-2,"Abscisa fuera de la vía")))))))))))))))))))))</f>
        <v>-2</v>
      </c>
      <c r="J263" s="28">
        <f t="shared" si="11"/>
        <v>1636.1073284648983</v>
      </c>
      <c r="K263" s="28">
        <f>+IF(AND(AV!$S$6&lt;F263,F263&lt;=AV!$T$6),AV!$P$6*((AV!$S$6-RASANTE!F263)/(AV!$N$6))^2,IF(AND(AV!$T$6&lt;RASANTE!F263,F263&lt;AV!$U$6),AV!$P$6*((AV!$U$6-RASANTE!F263)/(AV!$O$6))^2,IF(AND(AV!$S$8&lt;F263,F263&lt;=AV!$T$8),AV!$P$8*((AV!$S$8-RASANTE!F263)/(AV!$N$8))^2,IF(AND(AV!$T$8&lt;RASANTE!F263,F263&lt;AV!$U$8),AV!$P$8*((AV!$U$8-RASANTE!F263)/(AV!$O$8))^2,IF(AND(AV!$S$10&lt;F263,F263&lt;=AV!$T$10),AV!$P$10*((AV!$S$10-RASANTE!F263)/(AV!$N$10))^2,IF(AND(AV!$T$10&lt;RASANTE!F263,F263&lt;AV!$U$10),AV!$P$10*((AV!$U$10-RASANTE!F263)/(AV!$O$10))^2,IF(AND(AV!$S$12&lt;F263,F263&lt;=AV!$T$12),AV!$P$12*((AV!$S$12-RASANTE!F263)/(AV!$N$12))^2,IF(AND(AV!$T$12&lt;RASANTE!F263,F263&lt;AV!$U$12),AV!$P$12*((AV!$U$12-RASANTE!F263)/(AV!$O$12))^2,IF(AND(AV!$S$14&lt;F263,F263&lt;=AV!$T$14),AV!$P$14*((AV!$S$14-RASANTE!F263)/(AV!$N$14))^2,IF(AND(AV!$T$14&lt;RASANTE!F263,F263&lt;AV!$U$14),AV!$P$14*((AV!$U$14-RASANTE!F263)/(AV!$O$14))^2,IF(AND(AV!$S$16&lt;F263,F263&lt;=AV!$T$16),AV!$P$16*((AV!$S$16-RASANTE!F263)/(AV!$N$16))^2,IF(AND(AV!$T$16&lt;RASANTE!F263,F263&lt;AV!$U$16),AV!$P$16*((AV!$U$16-RASANTE!F263)/(AV!$O$16))^2,IF(AND(AV!$S$18&lt;F263,F263&lt;=AV!$T$18),AV!$P$18*((AV!$S$18-RASANTE!F263)/(AV!$N$18))^2,IF(AND(AV!$T$18&lt;RASANTE!F263,F263&lt;AV!$U$18),AV!$P$18*((AV!$U$18-RASANTE!F263)/(AV!$O$18))^2,IF(AND(AV!$S$20&lt;F263,F263&lt;=AV!$T$20),AV!$P$20*((AV!$S$20-RASANTE!F263)/(AV!$N$20))^2,IF(AND(AV!$T$20&lt;RASANTE!F263,F263&lt;AV!$U$20),AV!$P$20*((AV!$U$20-RASANTE!F263)/(AV!$O$20))^2,IF(AND(AV!$S$22&lt;F263,F263&lt;=AV!$T$22),AV!$P$22*((AV!$S$22-RASANTE!F263)/(AV!$N$22))^2,IF(AND(AV!$T$22&lt;RASANTE!F263,F263&lt;AV!$U$22),AV!$P$22*((AV!$U$22-RASANTE!F263)/(AV!$O$22))^2,IF(AND(AV!$S$24&lt;F263,F263&lt;=AV!$T$24),AV!$P$24*((AV!$S$24-RASANTE!F263)/(AV!$N$24))^2,IF(AND(AV!$T$24&lt;RASANTE!F263,F263&lt;AV!$U$24),AV!$P$24*((AV!$U$24-RASANTE!F263)/(AV!$O$24))^2,0))))))))))))))))))))</f>
        <v>0</v>
      </c>
      <c r="L263" s="28">
        <f>+M263+H263%*PERALTE!$C$32</f>
        <v>1636.0803565527715</v>
      </c>
      <c r="M263" s="28">
        <f t="shared" si="12"/>
        <v>1636.1073284648983</v>
      </c>
      <c r="N263" s="28">
        <f>+M263+I263%*PERALTE!$C$32</f>
        <v>1636.0373284648983</v>
      </c>
      <c r="O263" s="92"/>
      <c r="P263" s="84"/>
      <c r="Q263" s="84"/>
      <c r="R263" s="84"/>
      <c r="S263" s="84"/>
      <c r="T263" s="84"/>
      <c r="U263" s="84"/>
      <c r="V263" s="84"/>
      <c r="W263" s="84"/>
      <c r="X263" s="84"/>
      <c r="Y263" s="84"/>
    </row>
    <row r="264" spans="1:25" ht="15.75" customHeight="1" x14ac:dyDescent="0.2">
      <c r="A264" s="322" t="s">
        <v>377</v>
      </c>
      <c r="B264" s="86"/>
      <c r="C264" s="86"/>
      <c r="D264" s="86"/>
      <c r="F264" s="34">
        <f>PERALTE!AB18</f>
        <v>1575.5880633601605</v>
      </c>
      <c r="G264" s="88">
        <v>5.4480000000000004</v>
      </c>
      <c r="H264" s="28">
        <f>+IF(AND(AH!$H$8="Izquierda",RASANTE!F264&lt;=PERALTE!$AB$6),IF(RASANTE!F264&lt;=PERALTE!$S$6,-2,IF(RASANTE!F264&lt;=PERALTE!$U$6,(-6/(PERALTE!$U$6-PERALTE!$S$6)*(RASANTE!F264-PERALTE!$S$6)-2),IF(RASANTE!F264&lt;=PERALTE!$X$6,-8,IF(RASANTE!F264&lt;=PERALTE!$Z$6,(-6/(PERALTE!$X$6-PERALTE!$Z$6)*(RASANTE!F264-PERALTE!$Z$6)-2),IF(RASANTE!F264&lt;=PERALTE!$AB$6,-2))))),IF(AND(AH!$H$8="Derecha",RASANTE!F264&lt;=PERALTE!$AB$6),IF(RASANTE!F264&lt;=PERALTE!$Q$6,-2,IF(RASANTE!F264&lt;=PERALTE!$U$6,(10/(PERALTE!$U$6-PERALTE!$Q$6)*(RASANTE!F264-PERALTE!$Q$6)-2),IF(RASANTE!F264&lt;=PERALTE!$X$6,8,IF(RASANTE!F264&lt;=PERALTE!$AB$6,(10/(PERALTE!$X$6-PERALTE!$AB$6)*(RASANTE!F264-PERALTE!$AB$6)-2))))),IF(AND(AH!$H$10="Izquierda",RASANTE!F264&lt;=PERALTE!$AB$8),IF(RASANTE!F264&lt;=PERALTE!$S$8,-2,IF(RASANTE!F264&lt;=PERALTE!$U$8,(-6/(PERALTE!$U$8-PERALTE!$S$8)*(RASANTE!F264-PERALTE!$S$8)-2),IF(RASANTE!F264&lt;=PERALTE!$X$8,-8,IF(RASANTE!F264&lt;=PERALTE!$Z$8,(-6/(PERALTE!$X$8-PERALTE!$Z$8)*(RASANTE!F264-PERALTE!$Z$8)-2),IF(RASANTE!F264&lt;=PERALTE!$AB$8,-2))))),IF(AND(AH!$H$10="Derecha",RASANTE!F264&lt;=PERALTE!$AB$8),IF(RASANTE!F264&lt;=PERALTE!$Q$8,-2,IF(RASANTE!F264&lt;=PERALTE!$U$8,(10/(PERALTE!$U$8-PERALTE!$Q$8)*(RASANTE!F264-PERALTE!$Q$8)-2),IF(RASANTE!F264&lt;=PERALTE!$X$8,8,IF(RASANTE!F264&lt;=PERALTE!$AB$8,(10/(PERALTE!$X$8-PERALTE!$AB$8)*(RASANTE!F264-PERALTE!$AB$8)-2))))),IF(AND(AH!$H$12="Izquierda",RASANTE!F264&lt;=PERALTE!$AB$10),IF(RASANTE!F264&lt;=PERALTE!$S$10,-2,IF(RASANTE!F264&lt;=PERALTE!$U$10,(-6/(PERALTE!$U$10-PERALTE!$S$10)*(RASANTE!F264-PERALTE!$S$10)-2),IF(RASANTE!F264&lt;=PERALTE!$X$10,-8,IF(RASANTE!F264&lt;=PERALTE!$Z$10,(-6/(PERALTE!$X$10-PERALTE!$Z$10)*(RASANTE!F264-PERALTE!$Z$10)-2),IF(RASANTE!F264&lt;=PERALTE!$AB$10,-2))))),IF(AND(AH!$H$12="Derecha",RASANTE!F264&lt;=PERALTE!$AB$10),IF(RASANTE!F264&lt;=PERALTE!$Q$10,-2,IF(RASANTE!F264&lt;=PERALTE!$U$10,(10/(PERALTE!$U$10-PERALTE!$Q$10)*(RASANTE!F264-PERALTE!$Q$10)-2),IF(RASANTE!F264&lt;=PERALTE!$X$10,8,IF(RASANTE!F264&lt;=PERALTE!$AB$10,(10/(PERALTE!$X$10-PERALTE!$AB$10)*(RASANTE!F264-PERALTE!$AB$10)-2))))),IF(AND(AH!$H$14="Izquierda",RASANTE!F264&lt;=PERALTE!$AB$12),IF(RASANTE!F264&lt;=PERALTE!$S$12,-2,IF(RASANTE!F264&lt;=PERALTE!$U$12,(-6/(PERALTE!$U$12-PERALTE!$S$12)*(RASANTE!F264-PERALTE!$S$12)-2),IF(RASANTE!F264&lt;=PERALTE!$X$12,-8,IF(RASANTE!F264&lt;=PERALTE!$Z$12,(-6/(PERALTE!$X$12-PERALTE!$Z$12)*(RASANTE!F264-PERALTE!$Z$12)-2),IF(RASANTE!F264&lt;=PERALTE!$AB$12,-2))))),IF(AND(AH!$H$14="Derecha",RASANTE!F264&lt;=PERALTE!$AB$12),IF(RASANTE!F264&lt;=PERALTE!$Q$12,-2,IF(RASANTE!F264&lt;=PERALTE!$U$12,(10/(PERALTE!$U$12-PERALTE!$Q$12)*(RASANTE!F264-PERALTE!$Q$12)-2),IF(RASANTE!F264&lt;=PERALTE!$X$12,8,IF(RASANTE!F264&lt;=PERALTE!$AB$12,(10/(PERALTE!$X$12-PERALTE!$AB$12)*(RASANTE!F264-PERALTE!$AB$12)-2))))),IF(AND(AH!$H$16="Izquierda",RASANTE!F264&lt;=PERALTE!$AB$14),IF(RASANTE!F264&lt;=PERALTE!$S$14,-2,IF(RASANTE!F264&lt;=PERALTE!$U$14,(-6/(PERALTE!$U$14-PERALTE!$S$14)*(RASANTE!F264-PERALTE!$S$14)-2),IF(RASANTE!F264&lt;=PERALTE!$X$14,-8,IF(RASANTE!F264&lt;=PERALTE!$Z$14,(-6/(PERALTE!$X$14-PERALTE!$Z$14)*(RASANTE!F264-PERALTE!$Z$14)-2),IF(RASANTE!F264&lt;=PERALTE!$AB$14,-2))))),IF(AND(AH!$H$16="Derecha",RASANTE!F264&lt;=PERALTE!$AB$14),IF(RASANTE!F264&lt;=PERALTE!$Q$14,-2,IF(RASANTE!F264&lt;=PERALTE!$U$14,(10/(PERALTE!$U$14-PERALTE!$Q$14)*(RASANTE!F264-PERALTE!$Q$14)-2),IF(RASANTE!F264&lt;=PERALTE!$X$14,8,IF(RASANTE!F264&lt;=PERALTE!$AB$14,(10/(PERALTE!$X$14-PERALTE!$AB$14)*(RASANTE!F264-PERALTE!$AB$14)-2))))),IF(AND(AH!$H$18="Izquierda",RASANTE!F264&lt;=PERALTE!$AB$16),IF(RASANTE!F264&lt;=PERALTE!$S$16,-2,IF(RASANTE!F264&lt;=PERALTE!$U$16,(-6/(PERALTE!$U$16-PERALTE!$S$16)*(RASANTE!F264-PERALTE!$S$16)-2),IF(RASANTE!F264&lt;=PERALTE!$X$16,-8,IF(RASANTE!F264&lt;=PERALTE!$Z$16,(-6/(PERALTE!$X$16-PERALTE!$Z$16)*(RASANTE!F264-PERALTE!$Z$16)-2),IF(RASANTE!F264&lt;=PERALTE!$AB$16,-2))))),IF(AND(AH!$H$18="Derecha",RASANTE!F264&lt;=PERALTE!$AB$16),IF(RASANTE!F264&lt;=PERALTE!$Q$16,-2,IF(RASANTE!F264&lt;=PERALTE!$U$16,(10/(PERALTE!$U$16-PERALTE!$Q$16)*(RASANTE!F264-PERALTE!$Q$16)-2),IF(RASANTE!F264&lt;=PERALTE!$X$16,8,IF(RASANTE!F264&lt;=PERALTE!$AB$16,(10/(PERALTE!$X$16-PERALTE!$AB$16)*(RASANTE!F264-PERALTE!$AB$16)-2))))),IF(AND(AH!$H$20="Izquierda",RASANTE!F264&lt;=PERALTE!$AB$18),IF(RASANTE!F264&lt;=PERALTE!$S$18,-2,IF(RASANTE!F264&lt;=PERALTE!$U$18,(-6/(PERALTE!$U$18-PERALTE!$S$18)*(RASANTE!F264-PERALTE!$S$18)-2),IF(RASANTE!F264&lt;=PERALTE!$X$18,-8,IF(RASANTE!F264&lt;=PERALTE!$Z$18,(-6/(PERALTE!$X$18-PERALTE!$Z$18)*(RASANTE!F264-PERALTE!$Z$18)-2),IF(RASANTE!F264&lt;=PERALTE!$AB$18,-2))))),IF(AND(AH!$H$20="Derecha",RASANTE!F264&lt;=PERALTE!$AB$18),IF(RASANTE!F264&lt;=PERALTE!$Q$18,-2,IF(RASANTE!F264&lt;=PERALTE!$U$18,(10/(PERALTE!$U$18-PERALTE!$Q$18)*(RASANTE!F264-PERALTE!$Q$18)-2),IF(RASANTE!F264&lt;=PERALTE!$X$18,8,IF(RASANTE!F264&lt;=PERALTE!$AB$18,(10/(PERALTE!$X$18-PERALTE!$AB$18)*(RASANTE!F264-PERALTE!$AB$18)-2))))),IF(AND(AH!$H$24="Izquierda",RASANTE!F264&lt;=PERALTE!$AB$22),IF(RASANTE!F264&lt;=PERALTE!$S$22,-2,IF(RASANTE!F264&lt;=PERALTE!$U$22,(-6/(PERALTE!$U$22-PERALTE!$S$22)*(RASANTE!F264-PERALTE!$S$22)-2),IF(RASANTE!F264&lt;=PERALTE!$X$22,-8,IF(RASANTE!F264&lt;=PERALTE!$Z$22,(-6/(PERALTE!$X$22-PERALTE!$Z$22)*(RASANTE!F264-PERALTE!$Z$22)-2),IF(RASANTE!F264&lt;=PERALTE!$AB$22,-2))))),IF(AND(AH!$H$24="Derecha",RASANTE!F264&lt;=PERALTE!$AB$22),IF(RASANTE!F264&lt;=PERALTE!$Q$22,-2,IF(RASANTE!F264&lt;=PERALTE!$U$22,(10/(PERALTE!$U$22-PERALTE!$Q$22)*(RASANTE!F264-PERALTE!$Q$22)-2),IF(RASANTE!F264&lt;=PERALTE!$X$22,8,IF(RASANTE!F264&lt;=PERALTE!$AB$22,(10/(PERALTE!$X$22-PERALTE!$AB$22)*(RASANTE!F264-PERALTE!$AB$22)-2))))),IF(AND(AH!#REF!="Izquierda",RASANTE!F264&lt;=PERALTE!#REF!),IF(RASANTE!F264&lt;=PERALTE!#REF!,-2,IF(RASANTE!F264&lt;=PERALTE!#REF!,(-6/(PERALTE!#REF!-PERALTE!#REF!)*(RASANTE!F264-PERALTE!#REF!)-2),IF(RASANTE!F264&lt;=PERALTE!#REF!,-8,IF(RASANTE!F264&lt;=PERALTE!#REF!,(-6/(PERALTE!#REF!-PERALTE!#REF!)*(RASANTE!F264-PERALTE!#REF!)-2),IF(RASANTE!F264&lt;=PERALTE!#REF!,-2))))),IF(AND(AH!#REF!="Derecha",RASANTE!F264&lt;=PERALTE!#REF!),IF(RASANTE!F264&lt;=PERALTE!#REF!,-2,IF(RASANTE!F264&lt;=PERALTE!#REF!,(10/(PERALTE!#REF!-PERALTE!#REF!)*(RASANTE!F264-PERALTE!#REF!)-2),IF(RASANTE!F264&lt;=PERALTE!#REF!,8,IF(RASANTE!F264&lt;=PERALTE!#REF!,(10/(PERALTE!#REF!-PERALTE!#REF!)*(RASANTE!F264-PERALTE!#REF!)-2))))),IF(AND(AH!#REF!="Izquierda",RASANTE!F264&lt;=PERALTE!$AB$26),IF(RASANTE!F264&lt;=PERALTE!$S$26,-2,IF(RASANTE!F264&lt;=PERALTE!$U$26,(-6/(PERALTE!$U$26-PERALTE!$S$26)*(RASANTE!F264-PERALTE!$S$26)-2),IF(RASANTE!F264&lt;=PERALTE!$X$26,-8,IF(RASANTE!F264&lt;=PERALTE!$Z$26,(-6/(PERALTE!$X$26-PERALTE!$Z$26)*(RASANTE!F264-PERALTE!$Z$26)-2),IF(RASANTE!F264&lt;=PERALTE!$AB$26,-2))))),IF(AND(AH!#REF!="Derecha",RASANTE!F264&lt;=PERALTE!$AB$26),IF(RASANTE!F264&lt;=PERALTE!$Q$26,-2,IF(RASANTE!F264&lt;=PERALTE!$U$26,(10/(PERALTE!$U$26-PERALTE!$Q$26)*(RASANTE!F264-PERALTE!$Q$26)-2),IF(RASANTE!F264&lt;=PERALTE!$X$26,8,IF(RASANTE!F264&lt;=PERALTE!$AB$26,(10/(PERALTE!$X$26-PERALTE!$AB$26)*(RASANTE!F264-PERALTE!$AB$26)-2))))),IF(F264&lt;=PERALTE!#REF!,-2,"Abscisa fuera de la vía")))))))))))))))))))))</f>
        <v>-2</v>
      </c>
      <c r="I264" s="28">
        <f>+IF(AND(AH!$H$8="Derecha",RASANTE!F264&lt;=PERALTE!$AB$6),IF(RASANTE!F264&lt;=PERALTE!$S$6,-2,IF(RASANTE!F264&lt;=PERALTE!$U$6,(-6/(PERALTE!$U$6-PERALTE!$S$6)*(RASANTE!F264-PERALTE!$S$6)-2),IF(RASANTE!F264&lt;=PERALTE!$X$6,-8,IF(RASANTE!F264&lt;=PERALTE!$Z$6,(-6/(PERALTE!$X$6-PERALTE!$Z$6)*(RASANTE!F264-PERALTE!$Z$6)-2),IF(RASANTE!F264&lt;=PERALTE!$AB$6,-2))))),IF(AND(AH!$H$8="Izquierda",RASANTE!F264&lt;=PERALTE!$AB$6),IF(RASANTE!F264&lt;=PERALTE!$Q$6,-2,IF(RASANTE!F264&lt;=PERALTE!$U$6,(10/(PERALTE!$U$6-PERALTE!$Q$6)*(RASANTE!F264-PERALTE!$Q$6)-2),IF(RASANTE!F264&lt;=PERALTE!$X$6,8,IF(RASANTE!F264&lt;=PERALTE!$AB$6,(10/(PERALTE!$X$6-PERALTE!$AB$6)*(RASANTE!F264-PERALTE!$AB$6)-2))))),IF(AND(AH!$H$10="Derecha",RASANTE!F264&lt;=PERALTE!$AB$8),IF(RASANTE!F264&lt;=PERALTE!$S$8,-2,IF(RASANTE!F264&lt;=PERALTE!$U$8,(-6/(PERALTE!$U$8-PERALTE!$S$8)*(RASANTE!F264-PERALTE!$S$8)-2),IF(RASANTE!F264&lt;=PERALTE!$X$8,-8,IF(RASANTE!F264&lt;=PERALTE!$Z$8,(-6/(PERALTE!$X$8-PERALTE!$Z$8)*(RASANTE!F264-PERALTE!$Z$8)-2),IF(RASANTE!F264&lt;=PERALTE!$AB$8,-2))))),IF(AND(AH!$H$10="Izquierda",RASANTE!F264&lt;=PERALTE!$AB$8),IF(RASANTE!F264&lt;=PERALTE!$Q$8,-2,IF(RASANTE!F264&lt;=PERALTE!$U$8,(10/(PERALTE!$U$8-PERALTE!$Q$8)*(RASANTE!F264-PERALTE!$Q$8)-2),IF(RASANTE!F264&lt;=PERALTE!$X$8,8,IF(RASANTE!F264&lt;=PERALTE!$AB$8,(10/(PERALTE!$X$8-PERALTE!$AB$8)*(RASANTE!F264-PERALTE!$AB$8)-2))))),IF(AND(AH!$H$12="Derecha",RASANTE!F264&lt;=PERALTE!$AB$10),IF(RASANTE!F264&lt;=PERALTE!$S$10,-2,IF(RASANTE!F264&lt;=PERALTE!$U$10,(-6/(PERALTE!$U$10-PERALTE!$S$10)*(RASANTE!F264-PERALTE!$S$10)-2),IF(RASANTE!F264&lt;=PERALTE!$X$10,-8,IF(RASANTE!F264&lt;=PERALTE!$Z$10,(-6/(PERALTE!$X$10-PERALTE!$Z$10)*(RASANTE!F264-PERALTE!$Z$10)-2),IF(RASANTE!F264&lt;=PERALTE!$AB$10,-2))))),IF(AND(AH!$H$12="Izquierda",RASANTE!F264&lt;=PERALTE!$AB$10),IF(RASANTE!F264&lt;=PERALTE!$Q$10,-2,IF(RASANTE!F264&lt;=PERALTE!$U$10,(10/(PERALTE!$U$10-PERALTE!$Q$10)*(RASANTE!F264-PERALTE!$Q$10)-2),IF(RASANTE!F264&lt;=PERALTE!$X$10,8,IF(RASANTE!F264&lt;=PERALTE!$AB$10,(10/(PERALTE!$X$10-PERALTE!$AB$10)*(RASANTE!F264-PERALTE!$AB$10)-2))))),IF(AND(AH!$H$14="Derecha",RASANTE!F264&lt;=PERALTE!$AB$12),IF(RASANTE!F264&lt;=PERALTE!$S$12,-2,IF(RASANTE!F264&lt;=PERALTE!$U$12,(-6/(PERALTE!$U$12-PERALTE!$S$12)*(RASANTE!F264-PERALTE!$S$12)-2),IF(RASANTE!F264&lt;=PERALTE!$X$12,-8,IF(RASANTE!F264&lt;=PERALTE!$Z$12,(-6/(PERALTE!$X$12-PERALTE!$Z$12)*(RASANTE!F264-PERALTE!$Z$12)-2),IF(RASANTE!F264&lt;=PERALTE!$AB$12,-2))))),IF(AND(AH!$H$14="Izquierda",RASANTE!F264&lt;=PERALTE!$AB$12),IF(RASANTE!F264&lt;=PERALTE!$Q$12,-2,IF(RASANTE!F264&lt;=PERALTE!$U$12,(10/(PERALTE!$U$12-PERALTE!$Q$12)*(RASANTE!F264-PERALTE!$Q$12)-2),IF(RASANTE!F264&lt;=PERALTE!$X$12,8,IF(RASANTE!F264&lt;=PERALTE!$AB$12,(10/(PERALTE!$X$12-PERALTE!$AB$12)*(RASANTE!F264-PERALTE!$AB$12)-2))))),IF(AND(AH!$H$16="Derecha",RASANTE!F264&lt;=PERALTE!$AB$14),IF(RASANTE!F264&lt;=PERALTE!$S$14,-2,IF(RASANTE!F264&lt;=PERALTE!$U$14,(-6/(PERALTE!$U$14-PERALTE!$S$14)*(RASANTE!F264-PERALTE!$S$14)-2),IF(RASANTE!F264&lt;=PERALTE!$X$14,-8,IF(RASANTE!F264&lt;=PERALTE!$Z$14,(-6/(PERALTE!$X$14-PERALTE!$Z$14)*(RASANTE!F264-PERALTE!$Z$14)-2),IF(RASANTE!F264&lt;=PERALTE!$AB$14,-2))))),IF(AND(AH!$H$16="Izquierda",RASANTE!F264&lt;=PERALTE!$AB$14),IF(RASANTE!F264&lt;=PERALTE!$Q$14,-2,IF(RASANTE!F264&lt;=PERALTE!$U$14,(10/(PERALTE!$U$14-PERALTE!$Q$14)*(RASANTE!F264-PERALTE!$Q$14)-2),IF(RASANTE!F264&lt;=PERALTE!$X$14,8,IF(RASANTE!F264&lt;=PERALTE!$AB$14,(10/(PERALTE!$X$14-PERALTE!$AB$14)*(RASANTE!F264-PERALTE!$AB$14)-2))))),IF(AND(AH!$H$18="Derecha",RASANTE!F264&lt;=PERALTE!$AB$16),IF(RASANTE!F264&lt;=PERALTE!$S$16,-2,IF(RASANTE!F264&lt;=PERALTE!$U$16,(-6/(PERALTE!$U$16-PERALTE!$S$16)*(RASANTE!F264-PERALTE!$S$16)-2),IF(RASANTE!F264&lt;=PERALTE!$X$16,-8,IF(RASANTE!F264&lt;=PERALTE!$Z$16,(-6/(PERALTE!$X$16-PERALTE!$Z$16)*(RASANTE!F264-PERALTE!$Z$16)-2),IF(RASANTE!F264&lt;=PERALTE!$AB$16,-2))))),IF(AND(AH!$H$18="Izquierda",RASANTE!F264&lt;=PERALTE!$AB$16),IF(RASANTE!F264&lt;=PERALTE!$Q$16,-2,IF(RASANTE!F264&lt;=PERALTE!$U$16,(10/(PERALTE!$U$16-PERALTE!$Q$16)*(RASANTE!F264-PERALTE!$Q$16)-2),IF(RASANTE!F264&lt;=PERALTE!$X$16,8,IF(RASANTE!F264&lt;=PERALTE!$AB$16,(10/(PERALTE!$X$16-PERALTE!$AB$16)*(RASANTE!F264-PERALTE!$AB$16)-2))))),IF(AND(AH!$H$20="Derecha",RASANTE!F264&lt;=PERALTE!$AB$18),IF(RASANTE!F264&lt;=PERALTE!$S$18,-2,IF(RASANTE!F264&lt;=PERALTE!$U$18,(-6/(PERALTE!$U$18-PERALTE!$S$18)*(RASANTE!F264-PERALTE!$S$18)-2),IF(RASANTE!F264&lt;=PERALTE!$X$18,-8,IF(RASANTE!F264&lt;=PERALTE!$Z$18,(-6/(PERALTE!$X$18-PERALTE!$Z$18)*(RASANTE!F264-PERALTE!$Z$18)-2),IF(RASANTE!F264&lt;=PERALTE!$AB$18,-2))))),IF(AND(AH!$H$20="Izquierda",RASANTE!F264&lt;=PERALTE!$AB$18),IF(RASANTE!F264&lt;=PERALTE!$Q$18,-2,IF(RASANTE!F264&lt;=PERALTE!$U$18,(10/(PERALTE!$U$18-PERALTE!$Q$18)*(RASANTE!F264-PERALTE!$Q$18)-2),IF(RASANTE!F264&lt;=PERALTE!$X$18,8,IF(RASANTE!F264&lt;=PERALTE!$AB$18,(10/(PERALTE!$X$18-PERALTE!$AB$18)*(RASANTE!F264-PERALTE!$AB$18)-2))))),IF(AND(AH!$H$24="Derecha",RASANTE!F264&lt;=PERALTE!$AB$22),IF(RASANTE!F264&lt;=PERALTE!$S$22,-2,IF(RASANTE!F264&lt;=PERALTE!$U$22,(-6/(PERALTE!$U$22-PERALTE!$S$22)*(RASANTE!F264-PERALTE!$S$22)-2),IF(RASANTE!F264&lt;=PERALTE!$X$22,-8,IF(RASANTE!F264&lt;=PERALTE!$Z$22,(-6/(PERALTE!$X$22-PERALTE!$Z$22)*(RASANTE!F264-PERALTE!$Z$22)-2),IF(RASANTE!F264&lt;=PERALTE!$AB$22,-2))))),IF(AND(AH!$H$24="Izquierda",RASANTE!F264&lt;=PERALTE!$AB$22),IF(RASANTE!F264&lt;=PERALTE!$Q$22,-2,IF(RASANTE!F264&lt;=PERALTE!$U$22,(10/(PERALTE!$U$22-PERALTE!$Q$22)*(RASANTE!F264-PERALTE!$Q$22)-2),IF(RASANTE!F264&lt;=PERALTE!$X$22,8,IF(RASANTE!F264&lt;=PERALTE!$AB$22,(10/(PERALTE!$X$22-PERALTE!$AB$22)*(RASANTE!F264-PERALTE!$AB$22)-2))))),IF(AND(AH!#REF!="Derecha",RASANTE!F264&lt;=PERALTE!#REF!),IF(RASANTE!F264&lt;=PERALTE!#REF!,-2,IF(RASANTE!F264&lt;=PERALTE!#REF!,(-6/(PERALTE!#REF!-PERALTE!#REF!)*(RASANTE!F264-PERALTE!#REF!)-2),IF(RASANTE!F264&lt;=PERALTE!#REF!,-8,IF(RASANTE!F264&lt;=PERALTE!#REF!,(-6/(PERALTE!#REF!-PERALTE!#REF!)*(RASANTE!F264-PERALTE!#REF!)-2),IF(RASANTE!F264&lt;=PERALTE!#REF!,-2))))),IF(AND(AH!#REF!="Izquierda",RASANTE!F264&lt;=PERALTE!#REF!),IF(RASANTE!F264&lt;=PERALTE!#REF!,-2,IF(RASANTE!F264&lt;=PERALTE!#REF!,(10/(PERALTE!#REF!-PERALTE!#REF!)*(RASANTE!F264-PERALTE!#REF!)-2),IF(RASANTE!F264&lt;=PERALTE!#REF!,8,IF(RASANTE!F264&lt;=PERALTE!#REF!,(10/(PERALTE!#REF!-PERALTE!#REF!)*(RASANTE!F264-PERALTE!#REF!)-2))))),IF(AND(AH!#REF!="Derecha",RASANTE!F264&lt;=PERALTE!$AB$26),IF(RASANTE!F264&lt;=PERALTE!$S$26,-2,IF(RASANTE!F264&lt;=PERALTE!$U$26,(-6/(PERALTE!$U$26-PERALTE!$S$26)*(RASANTE!F264-PERALTE!$S$26)-2),IF(RASANTE!F264&lt;=PERALTE!$X$26,-8,IF(RASANTE!F264&lt;=PERALTE!$Z$26,(-6/(PERALTE!$X$26-PERALTE!$Z$26)*(RASANTE!F264-PERALTE!$Z$26)-2),IF(RASANTE!F264&lt;=PERALTE!$AB$26,-2))))),IF(AND(AH!#REF!="Izquierda",RASANTE!F264&lt;=PERALTE!$AB$26),IF(RASANTE!F264&lt;=PERALTE!$Q$26,-2,IF(RASANTE!F264&lt;=PERALTE!$U$26,(10/(PERALTE!$U$26-PERALTE!$Q$26)*(RASANTE!F264-PERALTE!$Q$26)-2),IF(RASANTE!F264&lt;=PERALTE!$X$26,8,IF(RASANTE!F264&lt;=PERALTE!$AB$26,(10/(PERALTE!$X$26-PERALTE!$AB$26)*(RASANTE!F264-PERALTE!$AB$26)-2))))),IF(F264&lt;=PERALTE!#REF!,-2,"Abscisa fuera de la vía")))))))))))))))))))))</f>
        <v>-2</v>
      </c>
      <c r="J264" s="28">
        <f t="shared" ref="J264:J301" si="13">J263+((F264-F263)*G263/100)</f>
        <v>1636.4117661567598</v>
      </c>
      <c r="K264" s="28">
        <f>+IF(AND(AV!$S$6&lt;F264,F264&lt;=AV!$T$6),AV!$P$6*((AV!$S$6-RASANTE!F264)/(AV!$N$6))^2,IF(AND(AV!$T$6&lt;RASANTE!F264,F264&lt;AV!$U$6),AV!$P$6*((AV!$U$6-RASANTE!F264)/(AV!$O$6))^2,IF(AND(AV!$S$8&lt;F264,F264&lt;=AV!$T$8),AV!$P$8*((AV!$S$8-RASANTE!F264)/(AV!$N$8))^2,IF(AND(AV!$T$8&lt;RASANTE!F264,F264&lt;AV!$U$8),AV!$P$8*((AV!$U$8-RASANTE!F264)/(AV!$O$8))^2,IF(AND(AV!$S$10&lt;F264,F264&lt;=AV!$T$10),AV!$P$10*((AV!$S$10-RASANTE!F264)/(AV!$N$10))^2,IF(AND(AV!$T$10&lt;RASANTE!F264,F264&lt;AV!$U$10),AV!$P$10*((AV!$U$10-RASANTE!F264)/(AV!$O$10))^2,IF(AND(AV!$S$12&lt;F264,F264&lt;=AV!$T$12),AV!$P$12*((AV!$S$12-RASANTE!F264)/(AV!$N$12))^2,IF(AND(AV!$T$12&lt;RASANTE!F264,F264&lt;AV!$U$12),AV!$P$12*((AV!$U$12-RASANTE!F264)/(AV!$O$12))^2,IF(AND(AV!$S$14&lt;F264,F264&lt;=AV!$T$14),AV!$P$14*((AV!$S$14-RASANTE!F264)/(AV!$N$14))^2,IF(AND(AV!$T$14&lt;RASANTE!F264,F264&lt;AV!$U$14),AV!$P$14*((AV!$U$14-RASANTE!F264)/(AV!$O$14))^2,IF(AND(AV!$S$16&lt;F264,F264&lt;=AV!$T$16),AV!$P$16*((AV!$S$16-RASANTE!F264)/(AV!$N$16))^2,IF(AND(AV!$T$16&lt;RASANTE!F264,F264&lt;AV!$U$16),AV!$P$16*((AV!$U$16-RASANTE!F264)/(AV!$O$16))^2,IF(AND(AV!$S$18&lt;F264,F264&lt;=AV!$T$18),AV!$P$18*((AV!$S$18-RASANTE!F264)/(AV!$N$18))^2,IF(AND(AV!$T$18&lt;RASANTE!F264,F264&lt;AV!$U$18),AV!$P$18*((AV!$U$18-RASANTE!F264)/(AV!$O$18))^2,IF(AND(AV!$S$20&lt;F264,F264&lt;=AV!$T$20),AV!$P$20*((AV!$S$20-RASANTE!F264)/(AV!$N$20))^2,IF(AND(AV!$T$20&lt;RASANTE!F264,F264&lt;AV!$U$20),AV!$P$20*((AV!$U$20-RASANTE!F264)/(AV!$O$20))^2,IF(AND(AV!$S$22&lt;F264,F264&lt;=AV!$T$22),AV!$P$22*((AV!$S$22-RASANTE!F264)/(AV!$N$22))^2,IF(AND(AV!$T$22&lt;RASANTE!F264,F264&lt;AV!$U$22),AV!$P$22*((AV!$U$22-RASANTE!F264)/(AV!$O$22))^2,IF(AND(AV!$S$24&lt;F264,F264&lt;=AV!$T$24),AV!$P$24*((AV!$S$24-RASANTE!F264)/(AV!$N$24))^2,IF(AND(AV!$T$24&lt;RASANTE!F264,F264&lt;AV!$U$24),AV!$P$24*((AV!$U$24-RASANTE!F264)/(AV!$O$24))^2,0))))))))))))))))))))</f>
        <v>0</v>
      </c>
      <c r="L264" s="28">
        <f>+M264+H264%*PERALTE!$C$32</f>
        <v>1636.3417661567598</v>
      </c>
      <c r="M264" s="28">
        <f t="shared" si="12"/>
        <v>1636.4117661567598</v>
      </c>
      <c r="N264" s="28">
        <f>+M264+I264%*PERALTE!$C$32</f>
        <v>1636.3417661567598</v>
      </c>
      <c r="O264" s="92"/>
      <c r="P264" s="84"/>
      <c r="Q264" s="84"/>
      <c r="R264" s="84"/>
      <c r="S264" s="84"/>
      <c r="T264" s="84"/>
      <c r="U264" s="84"/>
      <c r="V264" s="84"/>
      <c r="W264" s="84"/>
      <c r="X264" s="84"/>
      <c r="Y264" s="84"/>
    </row>
    <row r="265" spans="1:25" ht="15.75" customHeight="1" x14ac:dyDescent="0.2">
      <c r="A265" s="322"/>
      <c r="B265" s="86"/>
      <c r="C265" s="86"/>
      <c r="D265" s="86"/>
      <c r="E265" s="91"/>
      <c r="F265" s="34">
        <v>1580</v>
      </c>
      <c r="G265" s="88">
        <v>5.4480000000000004</v>
      </c>
      <c r="H265" s="28">
        <f>+IF(AND(AH!$H$8="Izquierda",RASANTE!F204&lt;=PERALTE!$AB$6),IF(RASANTE!F204&lt;=PERALTE!$S$6,-2,IF(RASANTE!F204&lt;=PERALTE!$U$6,(-6/(PERALTE!$U$6-PERALTE!$S$6)*(RASANTE!F204-PERALTE!$S$6)-2),IF(RASANTE!F204&lt;=PERALTE!$X$6,-8,IF(RASANTE!F204&lt;=PERALTE!$Z$6,(-6/(PERALTE!$X$6-PERALTE!$Z$6)*(RASANTE!F204-PERALTE!$Z$6)-2),IF(RASANTE!F204&lt;=PERALTE!$AB$6,-2))))),IF(AND(AH!$H$8="Derecha",RASANTE!F204&lt;=PERALTE!$AB$6),IF(RASANTE!F204&lt;=PERALTE!$Q$6,-2,IF(RASANTE!F204&lt;=PERALTE!$U$6,(10/(PERALTE!$U$6-PERALTE!$Q$6)*(RASANTE!F204-PERALTE!$Q$6)-2),IF(RASANTE!F204&lt;=PERALTE!$X$6,8,IF(RASANTE!F204&lt;=PERALTE!$AB$6,(10/(PERALTE!$X$6-PERALTE!$AB$6)*(RASANTE!F204-PERALTE!$AB$6)-2))))),IF(AND(AH!$H$10="Izquierda",RASANTE!F204&lt;=PERALTE!$AB$8),IF(RASANTE!F204&lt;=PERALTE!$S$8,-2,IF(RASANTE!F204&lt;=PERALTE!$U$8,(-6/(PERALTE!$U$8-PERALTE!$S$8)*(RASANTE!F204-PERALTE!$S$8)-2),IF(RASANTE!F204&lt;=PERALTE!$X$8,-8,IF(RASANTE!F204&lt;=PERALTE!$Z$8,(-6/(PERALTE!$X$8-PERALTE!$Z$8)*(RASANTE!F204-PERALTE!$Z$8)-2),IF(RASANTE!F204&lt;=PERALTE!$AB$8,-2))))),IF(AND(AH!$H$10="Derecha",RASANTE!F204&lt;=PERALTE!$AB$8),IF(RASANTE!F204&lt;=PERALTE!$Q$8,-2,IF(RASANTE!F204&lt;=PERALTE!$U$8,(10/(PERALTE!$U$8-PERALTE!$Q$8)*(RASANTE!F204-PERALTE!$Q$8)-2),IF(RASANTE!F204&lt;=PERALTE!$X$8,8,IF(RASANTE!F204&lt;=PERALTE!$AB$8,(10/(PERALTE!$X$8-PERALTE!$AB$8)*(RASANTE!F204-PERALTE!$AB$8)-2))))),IF(AND(AH!$H$12="Izquierda",RASANTE!F204&lt;=PERALTE!$AB$10),IF(RASANTE!F204&lt;=PERALTE!$S$10,-2,IF(RASANTE!F204&lt;=PERALTE!$U$10,(-6/(PERALTE!$U$10-PERALTE!$S$10)*(RASANTE!F204-PERALTE!$S$10)-2),IF(RASANTE!F204&lt;=PERALTE!$X$10,-8,IF(RASANTE!F204&lt;=PERALTE!$Z$10,(-6/(PERALTE!$X$10-PERALTE!$Z$10)*(RASANTE!F204-PERALTE!$Z$10)-2),IF(RASANTE!F204&lt;=PERALTE!$AB$10,-2))))),IF(AND(AH!$H$12="Derecha",RASANTE!F204&lt;=PERALTE!$AB$10),IF(RASANTE!F204&lt;=PERALTE!$Q$10,-2,IF(RASANTE!F204&lt;=PERALTE!$U$10,(10/(PERALTE!$U$10-PERALTE!$Q$10)*(RASANTE!F204-PERALTE!$Q$10)-2),IF(RASANTE!F204&lt;=PERALTE!$X$10,8,IF(RASANTE!F204&lt;=PERALTE!$AB$10,(10/(PERALTE!$X$10-PERALTE!$AB$10)*(RASANTE!F204-PERALTE!$AB$10)-2))))),IF(AND(AH!$H$14="Izquierda",RASANTE!F204&lt;=PERALTE!$AB$12),IF(RASANTE!F204&lt;=PERALTE!$S$12,-2,IF(RASANTE!F204&lt;=PERALTE!$U$12,(-6/(PERALTE!$U$12-PERALTE!$S$12)*(RASANTE!F204-PERALTE!$S$12)-2),IF(RASANTE!F204&lt;=PERALTE!$X$12,-8,IF(RASANTE!F204&lt;=PERALTE!$Z$12,(-6/(PERALTE!$X$12-PERALTE!$Z$12)*(RASANTE!F204-PERALTE!$Z$12)-2),IF(RASANTE!F204&lt;=PERALTE!$AB$12,-2))))),IF(AND(AH!$H$14="Derecha",RASANTE!F204&lt;=PERALTE!$AB$12),IF(RASANTE!F204&lt;=PERALTE!$Q$12,-2,IF(RASANTE!F204&lt;=PERALTE!$U$12,(10/(PERALTE!$U$12-PERALTE!$Q$12)*(RASANTE!F204-PERALTE!$Q$12)-2),IF(RASANTE!F204&lt;=PERALTE!$X$12,8,IF(RASANTE!F204&lt;=PERALTE!$AB$12,(10/(PERALTE!$X$12-PERALTE!$AB$12)*(RASANTE!F204-PERALTE!$AB$12)-2))))),IF(AND(AH!$H$16="Izquierda",RASANTE!F204&lt;=PERALTE!$AB$14),IF(RASANTE!F204&lt;=PERALTE!$S$14,-2,IF(RASANTE!F204&lt;=PERALTE!$U$14,(-6/(PERALTE!$U$14-PERALTE!$S$14)*(RASANTE!F204-PERALTE!$S$14)-2),IF(RASANTE!F204&lt;=PERALTE!$X$14,-8,IF(RASANTE!F204&lt;=PERALTE!$Z$14,(-6/(PERALTE!$X$14-PERALTE!$Z$14)*(RASANTE!F204-PERALTE!$Z$14)-2),IF(RASANTE!F204&lt;=PERALTE!$AB$14,-2))))),IF(AND(AH!$H$16="Derecha",RASANTE!F204&lt;=PERALTE!$AB$14),IF(RASANTE!F204&lt;=PERALTE!$Q$14,-2,IF(RASANTE!F204&lt;=PERALTE!$U$14,(10/(PERALTE!$U$14-PERALTE!$Q$14)*(RASANTE!F204-PERALTE!$Q$14)-2),IF(RASANTE!F204&lt;=PERALTE!$X$14,8,IF(RASANTE!F204&lt;=PERALTE!$AB$14,(10/(PERALTE!$X$14-PERALTE!$AB$14)*(RASANTE!F204-PERALTE!$AB$14)-2))))),IF(AND(AH!$H$18="Izquierda",RASANTE!F204&lt;=PERALTE!$AB$16),IF(RASANTE!F204&lt;=PERALTE!$S$16,-2,IF(RASANTE!F204&lt;=PERALTE!$U$16,(-6/(PERALTE!$U$16-PERALTE!$S$16)*(RASANTE!F204-PERALTE!$S$16)-2),IF(RASANTE!F204&lt;=PERALTE!$X$16,-8,IF(RASANTE!F204&lt;=PERALTE!$Z$16,(-6/(PERALTE!$X$16-PERALTE!$Z$16)*(RASANTE!F204-PERALTE!$Z$16)-2),IF(RASANTE!F204&lt;=PERALTE!$AB$16,-2))))),IF(AND(AH!$H$18="Derecha",RASANTE!F204&lt;=PERALTE!$AB$16),IF(RASANTE!F204&lt;=PERALTE!$Q$16,-2,IF(RASANTE!F204&lt;=PERALTE!$U$16,(10/(PERALTE!$U$16-PERALTE!$Q$16)*(RASANTE!F204-PERALTE!$Q$16)-2),IF(RASANTE!F204&lt;=PERALTE!$X$16,8,IF(RASANTE!F204&lt;=PERALTE!$AB$16,(10/(PERALTE!$X$16-PERALTE!$AB$16)*(RASANTE!F204-PERALTE!$AB$16)-2))))),IF(AND(AH!$H$20="Izquierda",RASANTE!F204&lt;=PERALTE!$AB$18),IF(RASANTE!F204&lt;=PERALTE!$S$18,-2,IF(RASANTE!F204&lt;=PERALTE!$U$18,(-6/(PERALTE!$U$18-PERALTE!$S$18)*(RASANTE!F204-PERALTE!$S$18)-2),IF(RASANTE!F204&lt;=PERALTE!$X$18,-8,IF(RASANTE!F204&lt;=PERALTE!$Z$18,(-6/(PERALTE!$X$18-PERALTE!$Z$18)*(RASANTE!F204-PERALTE!$Z$18)-2),IF(RASANTE!F204&lt;=PERALTE!$AB$18,-2))))),IF(AND(AH!$H$20="Derecha",RASANTE!F204&lt;=PERALTE!$AB$18),IF(RASANTE!F204&lt;=PERALTE!$Q$18,-2,IF(RASANTE!F204&lt;=PERALTE!$U$18,(10/(PERALTE!$U$18-PERALTE!$Q$18)*(RASANTE!F204-PERALTE!$Q$18)-2),IF(RASANTE!F204&lt;=PERALTE!$X$18,8,IF(RASANTE!F204&lt;=PERALTE!$AB$18,(10/(PERALTE!$X$18-PERALTE!$AB$18)*(RASANTE!F204-PERALTE!$AB$18)-2))))),IF(AND(AH!$H$24="Izquierda",RASANTE!F204&lt;=PERALTE!$AB$22),IF(RASANTE!F204&lt;=PERALTE!$S$22,-2,IF(RASANTE!F204&lt;=PERALTE!$U$22,(-6/(PERALTE!$U$22-PERALTE!$S$22)*(RASANTE!F204-PERALTE!$S$22)-2),IF(RASANTE!F204&lt;=PERALTE!$X$22,-8,IF(RASANTE!F204&lt;=PERALTE!$Z$22,(-6/(PERALTE!$X$22-PERALTE!$Z$22)*(RASANTE!F204-PERALTE!$Z$22)-2),IF(RASANTE!F204&lt;=PERALTE!$AB$22,-2))))),IF(AND(AH!$H$24="Derecha",RASANTE!F204&lt;=PERALTE!$AB$22),IF(RASANTE!F204&lt;=PERALTE!$Q$22,-2,IF(RASANTE!F204&lt;=PERALTE!$U$22,(10/(PERALTE!$U$22-PERALTE!$Q$22)*(RASANTE!F204-PERALTE!$Q$22)-2),IF(RASANTE!F204&lt;=PERALTE!$X$22,8,IF(RASANTE!F204&lt;=PERALTE!$AB$22,(10/(PERALTE!$X$22-PERALTE!$AB$22)*(RASANTE!F204-PERALTE!$AB$22)-2))))),IF(AND(AH!#REF!="Izquierda",RASANTE!F204&lt;=PERALTE!#REF!),IF(RASANTE!F204&lt;=PERALTE!#REF!,-2,IF(RASANTE!F204&lt;=PERALTE!#REF!,(-6/(PERALTE!#REF!-PERALTE!#REF!)*(RASANTE!F204-PERALTE!#REF!)-2),IF(RASANTE!F204&lt;=PERALTE!#REF!,-8,IF(RASANTE!F204&lt;=PERALTE!#REF!,(-6/(PERALTE!#REF!-PERALTE!#REF!)*(RASANTE!F204-PERALTE!#REF!)-2),IF(RASANTE!F204&lt;=PERALTE!#REF!,-2))))),IF(AND(AH!#REF!="Derecha",RASANTE!F204&lt;=PERALTE!#REF!),IF(RASANTE!F204&lt;=PERALTE!#REF!,-2,IF(RASANTE!F204&lt;=PERALTE!#REF!,(10/(PERALTE!#REF!-PERALTE!#REF!)*(RASANTE!F204-PERALTE!#REF!)-2),IF(RASANTE!F204&lt;=PERALTE!#REF!,8,IF(RASANTE!F204&lt;=PERALTE!#REF!,(10/(PERALTE!#REF!-PERALTE!#REF!)*(RASANTE!F204-PERALTE!#REF!)-2))))),IF(AND(AH!#REF!="Izquierda",RASANTE!F204&lt;=PERALTE!$AB$26),IF(RASANTE!F204&lt;=PERALTE!$S$26,-2,IF(RASANTE!F204&lt;=PERALTE!$U$26,(-6/(PERALTE!$U$26-PERALTE!$S$26)*(RASANTE!F204-PERALTE!$S$26)-2),IF(RASANTE!F204&lt;=PERALTE!$X$26,-8,IF(RASANTE!F204&lt;=PERALTE!$Z$26,(-6/(PERALTE!$X$26-PERALTE!$Z$26)*(RASANTE!F204-PERALTE!$Z$26)-2),IF(RASANTE!F204&lt;=PERALTE!$AB$26,-2))))),IF(AND(AH!#REF!="Derecha",RASANTE!F204&lt;=PERALTE!$AB$26),IF(RASANTE!F204&lt;=PERALTE!$Q$26,-2,IF(RASANTE!F204&lt;=PERALTE!$U$26,(10/(PERALTE!$U$26-PERALTE!$Q$26)*(RASANTE!F204-PERALTE!$Q$26)-2),IF(RASANTE!F204&lt;=PERALTE!$X$26,8,IF(RASANTE!F204&lt;=PERALTE!$AB$26,(10/(PERALTE!$X$26-PERALTE!$AB$26)*(RASANTE!F204-PERALTE!$AB$26)-2))))),IF(F204&lt;=PERALTE!#REF!,-2,"Abscisa fuera de la vía")))))))))))))))))))))</f>
        <v>-2</v>
      </c>
      <c r="I265" s="28">
        <f>+IF(AND(AH!$H$8="Derecha",RASANTE!F259&lt;=PERALTE!$AB$6),IF(RASANTE!F259&lt;=PERALTE!$S$6,-2,IF(RASANTE!F259&lt;=PERALTE!$U$6,(-6/(PERALTE!$U$6-PERALTE!$S$6)*(RASANTE!F259-PERALTE!$S$6)-2),IF(RASANTE!F259&lt;=PERALTE!$X$6,-8,IF(RASANTE!F259&lt;=PERALTE!$Z$6,(-6/(PERALTE!$X$6-PERALTE!$Z$6)*(RASANTE!F259-PERALTE!$Z$6)-2),IF(RASANTE!F259&lt;=PERALTE!$AB$6,-2))))),IF(AND(AH!$H$8="Izquierda",RASANTE!F259&lt;=PERALTE!$AB$6),IF(RASANTE!F259&lt;=PERALTE!$Q$6,-2,IF(RASANTE!F259&lt;=PERALTE!$U$6,(10/(PERALTE!$U$6-PERALTE!$Q$6)*(RASANTE!F259-PERALTE!$Q$6)-2),IF(RASANTE!F259&lt;=PERALTE!$X$6,8,IF(RASANTE!F259&lt;=PERALTE!$AB$6,(10/(PERALTE!$X$6-PERALTE!$AB$6)*(RASANTE!F259-PERALTE!$AB$6)-2))))),IF(AND(AH!$H$10="Derecha",RASANTE!F259&lt;=PERALTE!$AB$8),IF(RASANTE!F259&lt;=PERALTE!$S$8,-2,IF(RASANTE!F259&lt;=PERALTE!$U$8,(-6/(PERALTE!$U$8-PERALTE!$S$8)*(RASANTE!F259-PERALTE!$S$8)-2),IF(RASANTE!F259&lt;=PERALTE!$X$8,-8,IF(RASANTE!F259&lt;=PERALTE!$Z$8,(-6/(PERALTE!$X$8-PERALTE!$Z$8)*(RASANTE!F259-PERALTE!$Z$8)-2),IF(RASANTE!F259&lt;=PERALTE!$AB$8,-2))))),IF(AND(AH!$H$10="Izquierda",RASANTE!F259&lt;=PERALTE!$AB$8),IF(RASANTE!F259&lt;=PERALTE!$Q$8,-2,IF(RASANTE!F259&lt;=PERALTE!$U$8,(10/(PERALTE!$U$8-PERALTE!$Q$8)*(RASANTE!F259-PERALTE!$Q$8)-2),IF(RASANTE!F259&lt;=PERALTE!$X$8,8,IF(RASANTE!F259&lt;=PERALTE!$AB$8,(10/(PERALTE!$X$8-PERALTE!$AB$8)*(RASANTE!F259-PERALTE!$AB$8)-2))))),IF(AND(AH!$H$12="Derecha",RASANTE!F259&lt;=PERALTE!$AB$10),IF(RASANTE!F259&lt;=PERALTE!$S$10,-2,IF(RASANTE!F259&lt;=PERALTE!$U$10,(-6/(PERALTE!$U$10-PERALTE!$S$10)*(RASANTE!F259-PERALTE!$S$10)-2),IF(RASANTE!F259&lt;=PERALTE!$X$10,-8,IF(RASANTE!F259&lt;=PERALTE!$Z$10,(-6/(PERALTE!$X$10-PERALTE!$Z$10)*(RASANTE!F259-PERALTE!$Z$10)-2),IF(RASANTE!F259&lt;=PERALTE!$AB$10,-2))))),IF(AND(AH!$H$12="Izquierda",RASANTE!F259&lt;=PERALTE!$AB$10),IF(RASANTE!F259&lt;=PERALTE!$Q$10,-2,IF(RASANTE!F259&lt;=PERALTE!$U$10,(10/(PERALTE!$U$10-PERALTE!$Q$10)*(RASANTE!F259-PERALTE!$Q$10)-2),IF(RASANTE!F259&lt;=PERALTE!$X$10,8,IF(RASANTE!F259&lt;=PERALTE!$AB$10,(10/(PERALTE!$X$10-PERALTE!$AB$10)*(RASANTE!F259-PERALTE!$AB$10)-2))))),IF(AND(AH!$H$14="Derecha",RASANTE!F259&lt;=PERALTE!$AB$12),IF(RASANTE!F259&lt;=PERALTE!$S$12,-2,IF(RASANTE!F259&lt;=PERALTE!$U$12,(-6/(PERALTE!$U$12-PERALTE!$S$12)*(RASANTE!F259-PERALTE!$S$12)-2),IF(RASANTE!F259&lt;=PERALTE!$X$12,-8,IF(RASANTE!F259&lt;=PERALTE!$Z$12,(-6/(PERALTE!$X$12-PERALTE!$Z$12)*(RASANTE!F259-PERALTE!$Z$12)-2),IF(RASANTE!F259&lt;=PERALTE!$AB$12,-2))))),IF(AND(AH!$H$14="Izquierda",RASANTE!F259&lt;=PERALTE!$AB$12),IF(RASANTE!F259&lt;=PERALTE!$Q$12,-2,IF(RASANTE!F259&lt;=PERALTE!$U$12,(10/(PERALTE!$U$12-PERALTE!$Q$12)*(RASANTE!F259-PERALTE!$Q$12)-2),IF(RASANTE!F259&lt;=PERALTE!$X$12,8,IF(RASANTE!F259&lt;=PERALTE!$AB$12,(10/(PERALTE!$X$12-PERALTE!$AB$12)*(RASANTE!F259-PERALTE!$AB$12)-2))))),IF(AND(AH!$H$16="Derecha",RASANTE!F259&lt;=PERALTE!$AB$14),IF(RASANTE!F259&lt;=PERALTE!$S$14,-2,IF(RASANTE!F259&lt;=PERALTE!$U$14,(-6/(PERALTE!$U$14-PERALTE!$S$14)*(RASANTE!F259-PERALTE!$S$14)-2),IF(RASANTE!F259&lt;=PERALTE!$X$14,-8,IF(RASANTE!F259&lt;=PERALTE!$Z$14,(-6/(PERALTE!$X$14-PERALTE!$Z$14)*(RASANTE!F259-PERALTE!$Z$14)-2),IF(RASANTE!F259&lt;=PERALTE!$AB$14,-2))))),IF(AND(AH!$H$16="Izquierda",RASANTE!F259&lt;=PERALTE!$AB$14),IF(RASANTE!F259&lt;=PERALTE!$Q$14,-2,IF(RASANTE!F259&lt;=PERALTE!$U$14,(10/(PERALTE!$U$14-PERALTE!$Q$14)*(RASANTE!F259-PERALTE!$Q$14)-2),IF(RASANTE!F259&lt;=PERALTE!$X$14,8,IF(RASANTE!F259&lt;=PERALTE!$AB$14,(10/(PERALTE!$X$14-PERALTE!$AB$14)*(RASANTE!F259-PERALTE!$AB$14)-2))))),IF(AND(AH!$H$18="Derecha",RASANTE!F259&lt;=PERALTE!$AB$16),IF(RASANTE!F259&lt;=PERALTE!$S$16,-2,IF(RASANTE!F259&lt;=PERALTE!$U$16,(-6/(PERALTE!$U$16-PERALTE!$S$16)*(RASANTE!F259-PERALTE!$S$16)-2),IF(RASANTE!F259&lt;=PERALTE!$X$16,-8,IF(RASANTE!F259&lt;=PERALTE!$Z$16,(-6/(PERALTE!$X$16-PERALTE!$Z$16)*(RASANTE!F259-PERALTE!$Z$16)-2),IF(RASANTE!F259&lt;=PERALTE!$AB$16,-2))))),IF(AND(AH!$H$18="Izquierda",RASANTE!F259&lt;=PERALTE!$AB$16),IF(RASANTE!F259&lt;=PERALTE!$Q$16,-2,IF(RASANTE!F259&lt;=PERALTE!$U$16,(10/(PERALTE!$U$16-PERALTE!$Q$16)*(RASANTE!F259-PERALTE!$Q$16)-2),IF(RASANTE!F259&lt;=PERALTE!$X$16,8,IF(RASANTE!F259&lt;=PERALTE!$AB$16,(10/(PERALTE!$X$16-PERALTE!$AB$16)*(RASANTE!F259-PERALTE!$AB$16)-2))))),IF(AND(AH!$H$20="Derecha",RASANTE!F259&lt;=PERALTE!$AB$18),IF(RASANTE!F259&lt;=PERALTE!$S$18,-2,IF(RASANTE!F259&lt;=PERALTE!$U$18,(-6/(PERALTE!$U$18-PERALTE!$S$18)*(RASANTE!F259-PERALTE!$S$18)-2),IF(RASANTE!F259&lt;=PERALTE!$X$18,-8,IF(RASANTE!F259&lt;=PERALTE!$Z$18,(-6/(PERALTE!$X$18-PERALTE!$Z$18)*(RASANTE!F259-PERALTE!$Z$18)-2),IF(RASANTE!F259&lt;=PERALTE!$AB$18,-2))))),IF(AND(AH!$H$20="Izquierda",RASANTE!F259&lt;=PERALTE!$AB$18),IF(RASANTE!F259&lt;=PERALTE!$Q$18,-2,IF(RASANTE!F259&lt;=PERALTE!$U$18,(10/(PERALTE!$U$18-PERALTE!$Q$18)*(RASANTE!F259-PERALTE!$Q$18)-2),IF(RASANTE!F259&lt;=PERALTE!$X$18,8,IF(RASANTE!F259&lt;=PERALTE!$AB$18,(10/(PERALTE!$X$18-PERALTE!$AB$18)*(RASANTE!F259-PERALTE!$AB$18)-2))))),IF(AND(AH!$H$24="Derecha",RASANTE!F259&lt;=PERALTE!$AB$22),IF(RASANTE!F259&lt;=PERALTE!$S$22,-2,IF(RASANTE!F259&lt;=PERALTE!$U$22,(-6/(PERALTE!$U$22-PERALTE!$S$22)*(RASANTE!F259-PERALTE!$S$22)-2),IF(RASANTE!F259&lt;=PERALTE!$X$22,-8,IF(RASANTE!F259&lt;=PERALTE!$Z$22,(-6/(PERALTE!$X$22-PERALTE!$Z$22)*(RASANTE!F259-PERALTE!$Z$22)-2),IF(RASANTE!F259&lt;=PERALTE!$AB$22,-2))))),IF(AND(AH!$H$24="Izquierda",RASANTE!F259&lt;=PERALTE!$AB$22),IF(RASANTE!F259&lt;=PERALTE!$Q$22,-2,IF(RASANTE!F259&lt;=PERALTE!$U$22,(10/(PERALTE!$U$22-PERALTE!$Q$22)*(RASANTE!F259-PERALTE!$Q$22)-2),IF(RASANTE!F259&lt;=PERALTE!$X$22,8,IF(RASANTE!F259&lt;=PERALTE!$AB$22,(10/(PERALTE!$X$22-PERALTE!$AB$22)*(RASANTE!F259-PERALTE!$AB$22)-2))))),IF(AND(AH!#REF!="Derecha",RASANTE!F259&lt;=PERALTE!#REF!),IF(RASANTE!F259&lt;=PERALTE!#REF!,-2,IF(RASANTE!F259&lt;=PERALTE!#REF!,(-6/(PERALTE!#REF!-PERALTE!#REF!)*(RASANTE!F259-PERALTE!#REF!)-2),IF(RASANTE!F259&lt;=PERALTE!#REF!,-8,IF(RASANTE!F259&lt;=PERALTE!#REF!,(-6/(PERALTE!#REF!-PERALTE!#REF!)*(RASANTE!F259-PERALTE!#REF!)-2),IF(RASANTE!F259&lt;=PERALTE!#REF!,-2))))),IF(AND(AH!#REF!="Izquierda",RASANTE!F259&lt;=PERALTE!#REF!),IF(RASANTE!F259&lt;=PERALTE!#REF!,-2,IF(RASANTE!F259&lt;=PERALTE!#REF!,(10/(PERALTE!#REF!-PERALTE!#REF!)*(RASANTE!F259-PERALTE!#REF!)-2),IF(RASANTE!F259&lt;=PERALTE!#REF!,8,IF(RASANTE!F259&lt;=PERALTE!#REF!,(10/(PERALTE!#REF!-PERALTE!#REF!)*(RASANTE!F259-PERALTE!#REF!)-2))))),IF(AND(AH!#REF!="Derecha",RASANTE!F259&lt;=PERALTE!$AB$26),IF(RASANTE!F259&lt;=PERALTE!$S$26,-2,IF(RASANTE!F259&lt;=PERALTE!$U$26,(-6/(PERALTE!$U$26-PERALTE!$S$26)*(RASANTE!F259-PERALTE!$S$26)-2),IF(RASANTE!F259&lt;=PERALTE!$X$26,-8,IF(RASANTE!F259&lt;=PERALTE!$Z$26,(-6/(PERALTE!$X$26-PERALTE!$Z$26)*(RASANTE!F259-PERALTE!$Z$26)-2),IF(RASANTE!F259&lt;=PERALTE!$AB$26,-2))))),IF(AND(AH!#REF!="Izquierda",RASANTE!F259&lt;=PERALTE!$AB$26),IF(RASANTE!F259&lt;=PERALTE!$Q$26,-2,IF(RASANTE!F259&lt;=PERALTE!$U$26,(10/(PERALTE!$U$26-PERALTE!$Q$26)*(RASANTE!F259-PERALTE!$Q$26)-2),IF(RASANTE!F259&lt;=PERALTE!$X$26,8,IF(RASANTE!F259&lt;=PERALTE!$AB$26,(10/(PERALTE!$X$26-PERALTE!$AB$26)*(RASANTE!F259-PERALTE!$AB$26)-2))))),IF(F259&lt;=PERALTE!#REF!,-2,"Abscisa fuera de la vía")))))))))))))))))))))</f>
        <v>-2</v>
      </c>
      <c r="J265" s="28">
        <f t="shared" si="13"/>
        <v>1636.6521284648982</v>
      </c>
      <c r="K265" s="28">
        <f>+IF(AND(AV!$S$6&lt;F265,F265&lt;=AV!$T$6),AV!$P$6*((AV!$S$6-RASANTE!F265)/(AV!$N$6))^2,IF(AND(AV!$T$6&lt;RASANTE!F265,F265&lt;AV!$U$6),AV!$P$6*((AV!$U$6-RASANTE!F265)/(AV!$O$6))^2,IF(AND(AV!$S$8&lt;F265,F265&lt;=AV!$T$8),AV!$P$8*((AV!$S$8-RASANTE!F265)/(AV!$N$8))^2,IF(AND(AV!$T$8&lt;RASANTE!F265,F265&lt;AV!$U$8),AV!$P$8*((AV!$U$8-RASANTE!F265)/(AV!$O$8))^2,IF(AND(AV!$S$10&lt;F265,F265&lt;=AV!$T$10),AV!$P$10*((AV!$S$10-RASANTE!F265)/(AV!$N$10))^2,IF(AND(AV!$T$10&lt;RASANTE!F265,F265&lt;AV!$U$10),AV!$P$10*((AV!$U$10-RASANTE!F265)/(AV!$O$10))^2,IF(AND(AV!$S$12&lt;F265,F265&lt;=AV!$T$12),AV!$P$12*((AV!$S$12-RASANTE!F265)/(AV!$N$12))^2,IF(AND(AV!$T$12&lt;RASANTE!F265,F265&lt;AV!$U$12),AV!$P$12*((AV!$U$12-RASANTE!F265)/(AV!$O$12))^2,IF(AND(AV!$S$14&lt;F265,F265&lt;=AV!$T$14),AV!$P$14*((AV!$S$14-RASANTE!F265)/(AV!$N$14))^2,IF(AND(AV!$T$14&lt;RASANTE!F265,F265&lt;AV!$U$14),AV!$P$14*((AV!$U$14-RASANTE!F265)/(AV!$O$14))^2,IF(AND(AV!$S$16&lt;F265,F265&lt;=AV!$T$16),AV!$P$16*((AV!$S$16-RASANTE!F265)/(AV!$N$16))^2,IF(AND(AV!$T$16&lt;RASANTE!F265,F265&lt;AV!$U$16),AV!$P$16*((AV!$U$16-RASANTE!F265)/(AV!$O$16))^2,IF(AND(AV!$S$18&lt;F265,F265&lt;=AV!$T$18),AV!$P$18*((AV!$S$18-RASANTE!F265)/(AV!$N$18))^2,IF(AND(AV!$T$18&lt;RASANTE!F265,F265&lt;AV!$U$18),AV!$P$18*((AV!$U$18-RASANTE!F265)/(AV!$O$18))^2,IF(AND(AV!$S$20&lt;F265,F265&lt;=AV!$T$20),AV!$P$20*((AV!$S$20-RASANTE!F265)/(AV!$N$20))^2,IF(AND(AV!$T$20&lt;RASANTE!F265,F265&lt;AV!$U$20),AV!$P$20*((AV!$U$20-RASANTE!F265)/(AV!$O$20))^2,IF(AND(AV!$S$22&lt;F265,F265&lt;=AV!$T$22),AV!$P$22*((AV!$S$22-RASANTE!F265)/(AV!$N$22))^2,IF(AND(AV!$T$22&lt;RASANTE!F265,F265&lt;AV!$U$22),AV!$P$22*((AV!$U$22-RASANTE!F265)/(AV!$O$22))^2,IF(AND(AV!$S$24&lt;F265,F265&lt;=AV!$T$24),AV!$P$24*((AV!$S$24-RASANTE!F265)/(AV!$N$24))^2,IF(AND(AV!$T$24&lt;RASANTE!F265,F265&lt;AV!$U$24),AV!$P$24*((AV!$U$24-RASANTE!F265)/(AV!$O$24))^2,0))))))))))))))))))))</f>
        <v>0</v>
      </c>
      <c r="L265" s="28">
        <f>+M265+H265%*PERALTE!$C$32</f>
        <v>1636.5821284648982</v>
      </c>
      <c r="M265" s="28">
        <f t="shared" si="12"/>
        <v>1636.6521284648982</v>
      </c>
      <c r="N265" s="28">
        <f>+M265+I265%*PERALTE!$C$32</f>
        <v>1636.5821284648982</v>
      </c>
      <c r="O265" s="92"/>
      <c r="P265" s="84"/>
      <c r="Q265" s="84"/>
      <c r="R265" s="84"/>
      <c r="S265" s="84"/>
      <c r="T265" s="84"/>
      <c r="U265" s="84"/>
      <c r="V265" s="84"/>
      <c r="W265" s="84"/>
      <c r="X265" s="84"/>
      <c r="Y265" s="84"/>
    </row>
    <row r="266" spans="1:25" ht="15.75" customHeight="1" x14ac:dyDescent="0.2">
      <c r="A266" s="322"/>
      <c r="B266" s="86"/>
      <c r="C266" s="86"/>
      <c r="D266" s="86"/>
      <c r="E266" s="91"/>
      <c r="F266" s="34">
        <v>1590</v>
      </c>
      <c r="G266" s="88">
        <v>5.4480000000000004</v>
      </c>
      <c r="H266" s="28">
        <f>+IF(AND(AH!$H$8="Izquierda",RASANTE!F205&lt;=PERALTE!$AB$6),IF(RASANTE!F205&lt;=PERALTE!$S$6,-2,IF(RASANTE!F205&lt;=PERALTE!$U$6,(-6/(PERALTE!$U$6-PERALTE!$S$6)*(RASANTE!F205-PERALTE!$S$6)-2),IF(RASANTE!F205&lt;=PERALTE!$X$6,-8,IF(RASANTE!F205&lt;=PERALTE!$Z$6,(-6/(PERALTE!$X$6-PERALTE!$Z$6)*(RASANTE!F205-PERALTE!$Z$6)-2),IF(RASANTE!F205&lt;=PERALTE!$AB$6,-2))))),IF(AND(AH!$H$8="Derecha",RASANTE!F205&lt;=PERALTE!$AB$6),IF(RASANTE!F205&lt;=PERALTE!$Q$6,-2,IF(RASANTE!F205&lt;=PERALTE!$U$6,(10/(PERALTE!$U$6-PERALTE!$Q$6)*(RASANTE!F205-PERALTE!$Q$6)-2),IF(RASANTE!F205&lt;=PERALTE!$X$6,8,IF(RASANTE!F205&lt;=PERALTE!$AB$6,(10/(PERALTE!$X$6-PERALTE!$AB$6)*(RASANTE!F205-PERALTE!$AB$6)-2))))),IF(AND(AH!$H$10="Izquierda",RASANTE!F205&lt;=PERALTE!$AB$8),IF(RASANTE!F205&lt;=PERALTE!$S$8,-2,IF(RASANTE!F205&lt;=PERALTE!$U$8,(-6/(PERALTE!$U$8-PERALTE!$S$8)*(RASANTE!F205-PERALTE!$S$8)-2),IF(RASANTE!F205&lt;=PERALTE!$X$8,-8,IF(RASANTE!F205&lt;=PERALTE!$Z$8,(-6/(PERALTE!$X$8-PERALTE!$Z$8)*(RASANTE!F205-PERALTE!$Z$8)-2),IF(RASANTE!F205&lt;=PERALTE!$AB$8,-2))))),IF(AND(AH!$H$10="Derecha",RASANTE!F205&lt;=PERALTE!$AB$8),IF(RASANTE!F205&lt;=PERALTE!$Q$8,-2,IF(RASANTE!F205&lt;=PERALTE!$U$8,(10/(PERALTE!$U$8-PERALTE!$Q$8)*(RASANTE!F205-PERALTE!$Q$8)-2),IF(RASANTE!F205&lt;=PERALTE!$X$8,8,IF(RASANTE!F205&lt;=PERALTE!$AB$8,(10/(PERALTE!$X$8-PERALTE!$AB$8)*(RASANTE!F205-PERALTE!$AB$8)-2))))),IF(AND(AH!$H$12="Izquierda",RASANTE!F205&lt;=PERALTE!$AB$10),IF(RASANTE!F205&lt;=PERALTE!$S$10,-2,IF(RASANTE!F205&lt;=PERALTE!$U$10,(-6/(PERALTE!$U$10-PERALTE!$S$10)*(RASANTE!F205-PERALTE!$S$10)-2),IF(RASANTE!F205&lt;=PERALTE!$X$10,-8,IF(RASANTE!F205&lt;=PERALTE!$Z$10,(-6/(PERALTE!$X$10-PERALTE!$Z$10)*(RASANTE!F205-PERALTE!$Z$10)-2),IF(RASANTE!F205&lt;=PERALTE!$AB$10,-2))))),IF(AND(AH!$H$12="Derecha",RASANTE!F205&lt;=PERALTE!$AB$10),IF(RASANTE!F205&lt;=PERALTE!$Q$10,-2,IF(RASANTE!F205&lt;=PERALTE!$U$10,(10/(PERALTE!$U$10-PERALTE!$Q$10)*(RASANTE!F205-PERALTE!$Q$10)-2),IF(RASANTE!F205&lt;=PERALTE!$X$10,8,IF(RASANTE!F205&lt;=PERALTE!$AB$10,(10/(PERALTE!$X$10-PERALTE!$AB$10)*(RASANTE!F205-PERALTE!$AB$10)-2))))),IF(AND(AH!$H$14="Izquierda",RASANTE!F205&lt;=PERALTE!$AB$12),IF(RASANTE!F205&lt;=PERALTE!$S$12,-2,IF(RASANTE!F205&lt;=PERALTE!$U$12,(-6/(PERALTE!$U$12-PERALTE!$S$12)*(RASANTE!F205-PERALTE!$S$12)-2),IF(RASANTE!F205&lt;=PERALTE!$X$12,-8,IF(RASANTE!F205&lt;=PERALTE!$Z$12,(-6/(PERALTE!$X$12-PERALTE!$Z$12)*(RASANTE!F205-PERALTE!$Z$12)-2),IF(RASANTE!F205&lt;=PERALTE!$AB$12,-2))))),IF(AND(AH!$H$14="Derecha",RASANTE!F205&lt;=PERALTE!$AB$12),IF(RASANTE!F205&lt;=PERALTE!$Q$12,-2,IF(RASANTE!F205&lt;=PERALTE!$U$12,(10/(PERALTE!$U$12-PERALTE!$Q$12)*(RASANTE!F205-PERALTE!$Q$12)-2),IF(RASANTE!F205&lt;=PERALTE!$X$12,8,IF(RASANTE!F205&lt;=PERALTE!$AB$12,(10/(PERALTE!$X$12-PERALTE!$AB$12)*(RASANTE!F205-PERALTE!$AB$12)-2))))),IF(AND(AH!$H$16="Izquierda",RASANTE!F205&lt;=PERALTE!$AB$14),IF(RASANTE!F205&lt;=PERALTE!$S$14,-2,IF(RASANTE!F205&lt;=PERALTE!$U$14,(-6/(PERALTE!$U$14-PERALTE!$S$14)*(RASANTE!F205-PERALTE!$S$14)-2),IF(RASANTE!F205&lt;=PERALTE!$X$14,-8,IF(RASANTE!F205&lt;=PERALTE!$Z$14,(-6/(PERALTE!$X$14-PERALTE!$Z$14)*(RASANTE!F205-PERALTE!$Z$14)-2),IF(RASANTE!F205&lt;=PERALTE!$AB$14,-2))))),IF(AND(AH!$H$16="Derecha",RASANTE!F205&lt;=PERALTE!$AB$14),IF(RASANTE!F205&lt;=PERALTE!$Q$14,-2,IF(RASANTE!F205&lt;=PERALTE!$U$14,(10/(PERALTE!$U$14-PERALTE!$Q$14)*(RASANTE!F205-PERALTE!$Q$14)-2),IF(RASANTE!F205&lt;=PERALTE!$X$14,8,IF(RASANTE!F205&lt;=PERALTE!$AB$14,(10/(PERALTE!$X$14-PERALTE!$AB$14)*(RASANTE!F205-PERALTE!$AB$14)-2))))),IF(AND(AH!$H$18="Izquierda",RASANTE!F205&lt;=PERALTE!$AB$16),IF(RASANTE!F205&lt;=PERALTE!$S$16,-2,IF(RASANTE!F205&lt;=PERALTE!$U$16,(-6/(PERALTE!$U$16-PERALTE!$S$16)*(RASANTE!F205-PERALTE!$S$16)-2),IF(RASANTE!F205&lt;=PERALTE!$X$16,-8,IF(RASANTE!F205&lt;=PERALTE!$Z$16,(-6/(PERALTE!$X$16-PERALTE!$Z$16)*(RASANTE!F205-PERALTE!$Z$16)-2),IF(RASANTE!F205&lt;=PERALTE!$AB$16,-2))))),IF(AND(AH!$H$18="Derecha",RASANTE!F205&lt;=PERALTE!$AB$16),IF(RASANTE!F205&lt;=PERALTE!$Q$16,-2,IF(RASANTE!F205&lt;=PERALTE!$U$16,(10/(PERALTE!$U$16-PERALTE!$Q$16)*(RASANTE!F205-PERALTE!$Q$16)-2),IF(RASANTE!F205&lt;=PERALTE!$X$16,8,IF(RASANTE!F205&lt;=PERALTE!$AB$16,(10/(PERALTE!$X$16-PERALTE!$AB$16)*(RASANTE!F205-PERALTE!$AB$16)-2))))),IF(AND(AH!$H$20="Izquierda",RASANTE!F205&lt;=PERALTE!$AB$18),IF(RASANTE!F205&lt;=PERALTE!$S$18,-2,IF(RASANTE!F205&lt;=PERALTE!$U$18,(-6/(PERALTE!$U$18-PERALTE!$S$18)*(RASANTE!F205-PERALTE!$S$18)-2),IF(RASANTE!F205&lt;=PERALTE!$X$18,-8,IF(RASANTE!F205&lt;=PERALTE!$Z$18,(-6/(PERALTE!$X$18-PERALTE!$Z$18)*(RASANTE!F205-PERALTE!$Z$18)-2),IF(RASANTE!F205&lt;=PERALTE!$AB$18,-2))))),IF(AND(AH!$H$20="Derecha",RASANTE!F205&lt;=PERALTE!$AB$18),IF(RASANTE!F205&lt;=PERALTE!$Q$18,-2,IF(RASANTE!F205&lt;=PERALTE!$U$18,(10/(PERALTE!$U$18-PERALTE!$Q$18)*(RASANTE!F205-PERALTE!$Q$18)-2),IF(RASANTE!F205&lt;=PERALTE!$X$18,8,IF(RASANTE!F205&lt;=PERALTE!$AB$18,(10/(PERALTE!$X$18-PERALTE!$AB$18)*(RASANTE!F205-PERALTE!$AB$18)-2))))),IF(AND(AH!$H$24="Izquierda",RASANTE!F205&lt;=PERALTE!$AB$22),IF(RASANTE!F205&lt;=PERALTE!$S$22,-2,IF(RASANTE!F205&lt;=PERALTE!$U$22,(-6/(PERALTE!$U$22-PERALTE!$S$22)*(RASANTE!F205-PERALTE!$S$22)-2),IF(RASANTE!F205&lt;=PERALTE!$X$22,-8,IF(RASANTE!F205&lt;=PERALTE!$Z$22,(-6/(PERALTE!$X$22-PERALTE!$Z$22)*(RASANTE!F205-PERALTE!$Z$22)-2),IF(RASANTE!F205&lt;=PERALTE!$AB$22,-2))))),IF(AND(AH!$H$24="Derecha",RASANTE!F205&lt;=PERALTE!$AB$22),IF(RASANTE!F205&lt;=PERALTE!$Q$22,-2,IF(RASANTE!F205&lt;=PERALTE!$U$22,(10/(PERALTE!$U$22-PERALTE!$Q$22)*(RASANTE!F205-PERALTE!$Q$22)-2),IF(RASANTE!F205&lt;=PERALTE!$X$22,8,IF(RASANTE!F205&lt;=PERALTE!$AB$22,(10/(PERALTE!$X$22-PERALTE!$AB$22)*(RASANTE!F205-PERALTE!$AB$22)-2))))),IF(AND(AH!#REF!="Izquierda",RASANTE!F205&lt;=PERALTE!#REF!),IF(RASANTE!F205&lt;=PERALTE!#REF!,-2,IF(RASANTE!F205&lt;=PERALTE!#REF!,(-6/(PERALTE!#REF!-PERALTE!#REF!)*(RASANTE!F205-PERALTE!#REF!)-2),IF(RASANTE!F205&lt;=PERALTE!#REF!,-8,IF(RASANTE!F205&lt;=PERALTE!#REF!,(-6/(PERALTE!#REF!-PERALTE!#REF!)*(RASANTE!F205-PERALTE!#REF!)-2),IF(RASANTE!F205&lt;=PERALTE!#REF!,-2))))),IF(AND(AH!#REF!="Derecha",RASANTE!F205&lt;=PERALTE!#REF!),IF(RASANTE!F205&lt;=PERALTE!#REF!,-2,IF(RASANTE!F205&lt;=PERALTE!#REF!,(10/(PERALTE!#REF!-PERALTE!#REF!)*(RASANTE!F205-PERALTE!#REF!)-2),IF(RASANTE!F205&lt;=PERALTE!#REF!,8,IF(RASANTE!F205&lt;=PERALTE!#REF!,(10/(PERALTE!#REF!-PERALTE!#REF!)*(RASANTE!F205-PERALTE!#REF!)-2))))),IF(AND(AH!#REF!="Izquierda",RASANTE!F205&lt;=PERALTE!$AB$26),IF(RASANTE!F205&lt;=PERALTE!$S$26,-2,IF(RASANTE!F205&lt;=PERALTE!$U$26,(-6/(PERALTE!$U$26-PERALTE!$S$26)*(RASANTE!F205-PERALTE!$S$26)-2),IF(RASANTE!F205&lt;=PERALTE!$X$26,-8,IF(RASANTE!F205&lt;=PERALTE!$Z$26,(-6/(PERALTE!$X$26-PERALTE!$Z$26)*(RASANTE!F205-PERALTE!$Z$26)-2),IF(RASANTE!F205&lt;=PERALTE!$AB$26,-2))))),IF(AND(AH!#REF!="Derecha",RASANTE!F205&lt;=PERALTE!$AB$26),IF(RASANTE!F205&lt;=PERALTE!$Q$26,-2,IF(RASANTE!F205&lt;=PERALTE!$U$26,(10/(PERALTE!$U$26-PERALTE!$Q$26)*(RASANTE!F205-PERALTE!$Q$26)-2),IF(RASANTE!F205&lt;=PERALTE!$X$26,8,IF(RASANTE!F205&lt;=PERALTE!$AB$26,(10/(PERALTE!$X$26-PERALTE!$AB$26)*(RASANTE!F205-PERALTE!$AB$26)-2))))),IF(F205&lt;=PERALTE!#REF!,-2,"Abscisa fuera de la vía")))))))))))))))))))))</f>
        <v>-2</v>
      </c>
      <c r="I266" s="28">
        <f>+IF(AND(AH!$H$8="Derecha",RASANTE!F260&lt;=PERALTE!$AB$6),IF(RASANTE!F260&lt;=PERALTE!$S$6,-2,IF(RASANTE!F260&lt;=PERALTE!$U$6,(-6/(PERALTE!$U$6-PERALTE!$S$6)*(RASANTE!F260-PERALTE!$S$6)-2),IF(RASANTE!F260&lt;=PERALTE!$X$6,-8,IF(RASANTE!F260&lt;=PERALTE!$Z$6,(-6/(PERALTE!$X$6-PERALTE!$Z$6)*(RASANTE!F260-PERALTE!$Z$6)-2),IF(RASANTE!F260&lt;=PERALTE!$AB$6,-2))))),IF(AND(AH!$H$8="Izquierda",RASANTE!F260&lt;=PERALTE!$AB$6),IF(RASANTE!F260&lt;=PERALTE!$Q$6,-2,IF(RASANTE!F260&lt;=PERALTE!$U$6,(10/(PERALTE!$U$6-PERALTE!$Q$6)*(RASANTE!F260-PERALTE!$Q$6)-2),IF(RASANTE!F260&lt;=PERALTE!$X$6,8,IF(RASANTE!F260&lt;=PERALTE!$AB$6,(10/(PERALTE!$X$6-PERALTE!$AB$6)*(RASANTE!F260-PERALTE!$AB$6)-2))))),IF(AND(AH!$H$10="Derecha",RASANTE!F260&lt;=PERALTE!$AB$8),IF(RASANTE!F260&lt;=PERALTE!$S$8,-2,IF(RASANTE!F260&lt;=PERALTE!$U$8,(-6/(PERALTE!$U$8-PERALTE!$S$8)*(RASANTE!F260-PERALTE!$S$8)-2),IF(RASANTE!F260&lt;=PERALTE!$X$8,-8,IF(RASANTE!F260&lt;=PERALTE!$Z$8,(-6/(PERALTE!$X$8-PERALTE!$Z$8)*(RASANTE!F260-PERALTE!$Z$8)-2),IF(RASANTE!F260&lt;=PERALTE!$AB$8,-2))))),IF(AND(AH!$H$10="Izquierda",RASANTE!F260&lt;=PERALTE!$AB$8),IF(RASANTE!F260&lt;=PERALTE!$Q$8,-2,IF(RASANTE!F260&lt;=PERALTE!$U$8,(10/(PERALTE!$U$8-PERALTE!$Q$8)*(RASANTE!F260-PERALTE!$Q$8)-2),IF(RASANTE!F260&lt;=PERALTE!$X$8,8,IF(RASANTE!F260&lt;=PERALTE!$AB$8,(10/(PERALTE!$X$8-PERALTE!$AB$8)*(RASANTE!F260-PERALTE!$AB$8)-2))))),IF(AND(AH!$H$12="Derecha",RASANTE!F260&lt;=PERALTE!$AB$10),IF(RASANTE!F260&lt;=PERALTE!$S$10,-2,IF(RASANTE!F260&lt;=PERALTE!$U$10,(-6/(PERALTE!$U$10-PERALTE!$S$10)*(RASANTE!F260-PERALTE!$S$10)-2),IF(RASANTE!F260&lt;=PERALTE!$X$10,-8,IF(RASANTE!F260&lt;=PERALTE!$Z$10,(-6/(PERALTE!$X$10-PERALTE!$Z$10)*(RASANTE!F260-PERALTE!$Z$10)-2),IF(RASANTE!F260&lt;=PERALTE!$AB$10,-2))))),IF(AND(AH!$H$12="Izquierda",RASANTE!F260&lt;=PERALTE!$AB$10),IF(RASANTE!F260&lt;=PERALTE!$Q$10,-2,IF(RASANTE!F260&lt;=PERALTE!$U$10,(10/(PERALTE!$U$10-PERALTE!$Q$10)*(RASANTE!F260-PERALTE!$Q$10)-2),IF(RASANTE!F260&lt;=PERALTE!$X$10,8,IF(RASANTE!F260&lt;=PERALTE!$AB$10,(10/(PERALTE!$X$10-PERALTE!$AB$10)*(RASANTE!F260-PERALTE!$AB$10)-2))))),IF(AND(AH!$H$14="Derecha",RASANTE!F260&lt;=PERALTE!$AB$12),IF(RASANTE!F260&lt;=PERALTE!$S$12,-2,IF(RASANTE!F260&lt;=PERALTE!$U$12,(-6/(PERALTE!$U$12-PERALTE!$S$12)*(RASANTE!F260-PERALTE!$S$12)-2),IF(RASANTE!F260&lt;=PERALTE!$X$12,-8,IF(RASANTE!F260&lt;=PERALTE!$Z$12,(-6/(PERALTE!$X$12-PERALTE!$Z$12)*(RASANTE!F260-PERALTE!$Z$12)-2),IF(RASANTE!F260&lt;=PERALTE!$AB$12,-2))))),IF(AND(AH!$H$14="Izquierda",RASANTE!F260&lt;=PERALTE!$AB$12),IF(RASANTE!F260&lt;=PERALTE!$Q$12,-2,IF(RASANTE!F260&lt;=PERALTE!$U$12,(10/(PERALTE!$U$12-PERALTE!$Q$12)*(RASANTE!F260-PERALTE!$Q$12)-2),IF(RASANTE!F260&lt;=PERALTE!$X$12,8,IF(RASANTE!F260&lt;=PERALTE!$AB$12,(10/(PERALTE!$X$12-PERALTE!$AB$12)*(RASANTE!F260-PERALTE!$AB$12)-2))))),IF(AND(AH!$H$16="Derecha",RASANTE!F260&lt;=PERALTE!$AB$14),IF(RASANTE!F260&lt;=PERALTE!$S$14,-2,IF(RASANTE!F260&lt;=PERALTE!$U$14,(-6/(PERALTE!$U$14-PERALTE!$S$14)*(RASANTE!F260-PERALTE!$S$14)-2),IF(RASANTE!F260&lt;=PERALTE!$X$14,-8,IF(RASANTE!F260&lt;=PERALTE!$Z$14,(-6/(PERALTE!$X$14-PERALTE!$Z$14)*(RASANTE!F260-PERALTE!$Z$14)-2),IF(RASANTE!F260&lt;=PERALTE!$AB$14,-2))))),IF(AND(AH!$H$16="Izquierda",RASANTE!F260&lt;=PERALTE!$AB$14),IF(RASANTE!F260&lt;=PERALTE!$Q$14,-2,IF(RASANTE!F260&lt;=PERALTE!$U$14,(10/(PERALTE!$U$14-PERALTE!$Q$14)*(RASANTE!F260-PERALTE!$Q$14)-2),IF(RASANTE!F260&lt;=PERALTE!$X$14,8,IF(RASANTE!F260&lt;=PERALTE!$AB$14,(10/(PERALTE!$X$14-PERALTE!$AB$14)*(RASANTE!F260-PERALTE!$AB$14)-2))))),IF(AND(AH!$H$18="Derecha",RASANTE!F260&lt;=PERALTE!$AB$16),IF(RASANTE!F260&lt;=PERALTE!$S$16,-2,IF(RASANTE!F260&lt;=PERALTE!$U$16,(-6/(PERALTE!$U$16-PERALTE!$S$16)*(RASANTE!F260-PERALTE!$S$16)-2),IF(RASANTE!F260&lt;=PERALTE!$X$16,-8,IF(RASANTE!F260&lt;=PERALTE!$Z$16,(-6/(PERALTE!$X$16-PERALTE!$Z$16)*(RASANTE!F260-PERALTE!$Z$16)-2),IF(RASANTE!F260&lt;=PERALTE!$AB$16,-2))))),IF(AND(AH!$H$18="Izquierda",RASANTE!F260&lt;=PERALTE!$AB$16),IF(RASANTE!F260&lt;=PERALTE!$Q$16,-2,IF(RASANTE!F260&lt;=PERALTE!$U$16,(10/(PERALTE!$U$16-PERALTE!$Q$16)*(RASANTE!F260-PERALTE!$Q$16)-2),IF(RASANTE!F260&lt;=PERALTE!$X$16,8,IF(RASANTE!F260&lt;=PERALTE!$AB$16,(10/(PERALTE!$X$16-PERALTE!$AB$16)*(RASANTE!F260-PERALTE!$AB$16)-2))))),IF(AND(AH!$H$20="Derecha",RASANTE!F260&lt;=PERALTE!$AB$18),IF(RASANTE!F260&lt;=PERALTE!$S$18,-2,IF(RASANTE!F260&lt;=PERALTE!$U$18,(-6/(PERALTE!$U$18-PERALTE!$S$18)*(RASANTE!F260-PERALTE!$S$18)-2),IF(RASANTE!F260&lt;=PERALTE!$X$18,-8,IF(RASANTE!F260&lt;=PERALTE!$Z$18,(-6/(PERALTE!$X$18-PERALTE!$Z$18)*(RASANTE!F260-PERALTE!$Z$18)-2),IF(RASANTE!F260&lt;=PERALTE!$AB$18,-2))))),IF(AND(AH!$H$20="Izquierda",RASANTE!F260&lt;=PERALTE!$AB$18),IF(RASANTE!F260&lt;=PERALTE!$Q$18,-2,IF(RASANTE!F260&lt;=PERALTE!$U$18,(10/(PERALTE!$U$18-PERALTE!$Q$18)*(RASANTE!F260-PERALTE!$Q$18)-2),IF(RASANTE!F260&lt;=PERALTE!$X$18,8,IF(RASANTE!F260&lt;=PERALTE!$AB$18,(10/(PERALTE!$X$18-PERALTE!$AB$18)*(RASANTE!F260-PERALTE!$AB$18)-2))))),IF(AND(AH!$H$24="Derecha",RASANTE!F260&lt;=PERALTE!$AB$22),IF(RASANTE!F260&lt;=PERALTE!$S$22,-2,IF(RASANTE!F260&lt;=PERALTE!$U$22,(-6/(PERALTE!$U$22-PERALTE!$S$22)*(RASANTE!F260-PERALTE!$S$22)-2),IF(RASANTE!F260&lt;=PERALTE!$X$22,-8,IF(RASANTE!F260&lt;=PERALTE!$Z$22,(-6/(PERALTE!$X$22-PERALTE!$Z$22)*(RASANTE!F260-PERALTE!$Z$22)-2),IF(RASANTE!F260&lt;=PERALTE!$AB$22,-2))))),IF(AND(AH!$H$24="Izquierda",RASANTE!F260&lt;=PERALTE!$AB$22),IF(RASANTE!F260&lt;=PERALTE!$Q$22,-2,IF(RASANTE!F260&lt;=PERALTE!$U$22,(10/(PERALTE!$U$22-PERALTE!$Q$22)*(RASANTE!F260-PERALTE!$Q$22)-2),IF(RASANTE!F260&lt;=PERALTE!$X$22,8,IF(RASANTE!F260&lt;=PERALTE!$AB$22,(10/(PERALTE!$X$22-PERALTE!$AB$22)*(RASANTE!F260-PERALTE!$AB$22)-2))))),IF(AND(AH!#REF!="Derecha",RASANTE!F260&lt;=PERALTE!#REF!),IF(RASANTE!F260&lt;=PERALTE!#REF!,-2,IF(RASANTE!F260&lt;=PERALTE!#REF!,(-6/(PERALTE!#REF!-PERALTE!#REF!)*(RASANTE!F260-PERALTE!#REF!)-2),IF(RASANTE!F260&lt;=PERALTE!#REF!,-8,IF(RASANTE!F260&lt;=PERALTE!#REF!,(-6/(PERALTE!#REF!-PERALTE!#REF!)*(RASANTE!F260-PERALTE!#REF!)-2),IF(RASANTE!F260&lt;=PERALTE!#REF!,-2))))),IF(AND(AH!#REF!="Izquierda",RASANTE!F260&lt;=PERALTE!#REF!),IF(RASANTE!F260&lt;=PERALTE!#REF!,-2,IF(RASANTE!F260&lt;=PERALTE!#REF!,(10/(PERALTE!#REF!-PERALTE!#REF!)*(RASANTE!F260-PERALTE!#REF!)-2),IF(RASANTE!F260&lt;=PERALTE!#REF!,8,IF(RASANTE!F260&lt;=PERALTE!#REF!,(10/(PERALTE!#REF!-PERALTE!#REF!)*(RASANTE!F260-PERALTE!#REF!)-2))))),IF(AND(AH!#REF!="Derecha",RASANTE!F260&lt;=PERALTE!$AB$26),IF(RASANTE!F260&lt;=PERALTE!$S$26,-2,IF(RASANTE!F260&lt;=PERALTE!$U$26,(-6/(PERALTE!$U$26-PERALTE!$S$26)*(RASANTE!F260-PERALTE!$S$26)-2),IF(RASANTE!F260&lt;=PERALTE!$X$26,-8,IF(RASANTE!F260&lt;=PERALTE!$Z$26,(-6/(PERALTE!$X$26-PERALTE!$Z$26)*(RASANTE!F260-PERALTE!$Z$26)-2),IF(RASANTE!F260&lt;=PERALTE!$AB$26,-2))))),IF(AND(AH!#REF!="Izquierda",RASANTE!F260&lt;=PERALTE!$AB$26),IF(RASANTE!F260&lt;=PERALTE!$Q$26,-2,IF(RASANTE!F260&lt;=PERALTE!$U$26,(10/(PERALTE!$U$26-PERALTE!$Q$26)*(RASANTE!F260-PERALTE!$Q$26)-2),IF(RASANTE!F260&lt;=PERALTE!$X$26,8,IF(RASANTE!F260&lt;=PERALTE!$AB$26,(10/(PERALTE!$X$26-PERALTE!$AB$26)*(RASANTE!F260-PERALTE!$AB$26)-2))))),IF(F260&lt;=PERALTE!#REF!,-2,"Abscisa fuera de la vía")))))))))))))))))))))</f>
        <v>-2</v>
      </c>
      <c r="J266" s="28">
        <f t="shared" si="13"/>
        <v>1637.1969284648981</v>
      </c>
      <c r="K266" s="28">
        <f>+IF(AND(AV!$S$6&lt;F266,F266&lt;=AV!$T$6),AV!$P$6*((AV!$S$6-RASANTE!F266)/(AV!$N$6))^2,IF(AND(AV!$T$6&lt;RASANTE!F266,F266&lt;AV!$U$6),AV!$P$6*((AV!$U$6-RASANTE!F266)/(AV!$O$6))^2,IF(AND(AV!$S$8&lt;F266,F266&lt;=AV!$T$8),AV!$P$8*((AV!$S$8-RASANTE!F266)/(AV!$N$8))^2,IF(AND(AV!$T$8&lt;RASANTE!F266,F266&lt;AV!$U$8),AV!$P$8*((AV!$U$8-RASANTE!F266)/(AV!$O$8))^2,IF(AND(AV!$S$10&lt;F266,F266&lt;=AV!$T$10),AV!$P$10*((AV!$S$10-RASANTE!F266)/(AV!$N$10))^2,IF(AND(AV!$T$10&lt;RASANTE!F266,F266&lt;AV!$U$10),AV!$P$10*((AV!$U$10-RASANTE!F266)/(AV!$O$10))^2,IF(AND(AV!$S$12&lt;F266,F266&lt;=AV!$T$12),AV!$P$12*((AV!$S$12-RASANTE!F266)/(AV!$N$12))^2,IF(AND(AV!$T$12&lt;RASANTE!F266,F266&lt;AV!$U$12),AV!$P$12*((AV!$U$12-RASANTE!F266)/(AV!$O$12))^2,IF(AND(AV!$S$14&lt;F266,F266&lt;=AV!$T$14),AV!$P$14*((AV!$S$14-RASANTE!F266)/(AV!$N$14))^2,IF(AND(AV!$T$14&lt;RASANTE!F266,F266&lt;AV!$U$14),AV!$P$14*((AV!$U$14-RASANTE!F266)/(AV!$O$14))^2,IF(AND(AV!$S$16&lt;F266,F266&lt;=AV!$T$16),AV!$P$16*((AV!$S$16-RASANTE!F266)/(AV!$N$16))^2,IF(AND(AV!$T$16&lt;RASANTE!F266,F266&lt;AV!$U$16),AV!$P$16*((AV!$U$16-RASANTE!F266)/(AV!$O$16))^2,IF(AND(AV!$S$18&lt;F266,F266&lt;=AV!$T$18),AV!$P$18*((AV!$S$18-RASANTE!F266)/(AV!$N$18))^2,IF(AND(AV!$T$18&lt;RASANTE!F266,F266&lt;AV!$U$18),AV!$P$18*((AV!$U$18-RASANTE!F266)/(AV!$O$18))^2,IF(AND(AV!$S$20&lt;F266,F266&lt;=AV!$T$20),AV!$P$20*((AV!$S$20-RASANTE!F266)/(AV!$N$20))^2,IF(AND(AV!$T$20&lt;RASANTE!F266,F266&lt;AV!$U$20),AV!$P$20*((AV!$U$20-RASANTE!F266)/(AV!$O$20))^2,IF(AND(AV!$S$22&lt;F266,F266&lt;=AV!$T$22),AV!$P$22*((AV!$S$22-RASANTE!F266)/(AV!$N$22))^2,IF(AND(AV!$T$22&lt;RASANTE!F266,F266&lt;AV!$U$22),AV!$P$22*((AV!$U$22-RASANTE!F266)/(AV!$O$22))^2,IF(AND(AV!$S$24&lt;F266,F266&lt;=AV!$T$24),AV!$P$24*((AV!$S$24-RASANTE!F266)/(AV!$N$24))^2,IF(AND(AV!$T$24&lt;RASANTE!F266,F266&lt;AV!$U$24),AV!$P$24*((AV!$U$24-RASANTE!F266)/(AV!$O$24))^2,0))))))))))))))))))))</f>
        <v>0</v>
      </c>
      <c r="L266" s="28">
        <f>+M266+H266%*PERALTE!$C$32</f>
        <v>1637.1269284648981</v>
      </c>
      <c r="M266" s="28">
        <f t="shared" si="12"/>
        <v>1637.1969284648981</v>
      </c>
      <c r="N266" s="28">
        <f>+M266+I266%*PERALTE!$C$32</f>
        <v>1637.1269284648981</v>
      </c>
      <c r="O266" s="92"/>
      <c r="P266" s="84"/>
      <c r="Q266" s="84"/>
      <c r="R266" s="84"/>
      <c r="S266" s="84"/>
      <c r="T266" s="84"/>
      <c r="U266" s="84"/>
      <c r="V266" s="84"/>
      <c r="W266" s="84"/>
      <c r="X266" s="84"/>
      <c r="Y266" s="84"/>
    </row>
    <row r="267" spans="1:25" ht="15.75" customHeight="1" x14ac:dyDescent="0.2">
      <c r="A267" s="91"/>
      <c r="B267" s="86"/>
      <c r="C267" s="86"/>
      <c r="D267" s="86"/>
      <c r="E267" s="91"/>
      <c r="F267" s="34">
        <v>1600</v>
      </c>
      <c r="G267" s="88">
        <v>5.4480000000000004</v>
      </c>
      <c r="H267" s="28">
        <f>+IF(AND(AH!$H$8="Izquierda",RASANTE!F206&lt;=PERALTE!$AB$6),IF(RASANTE!F206&lt;=PERALTE!$S$6,-2,IF(RASANTE!F206&lt;=PERALTE!$U$6,(-6/(PERALTE!$U$6-PERALTE!$S$6)*(RASANTE!F206-PERALTE!$S$6)-2),IF(RASANTE!F206&lt;=PERALTE!$X$6,-8,IF(RASANTE!F206&lt;=PERALTE!$Z$6,(-6/(PERALTE!$X$6-PERALTE!$Z$6)*(RASANTE!F206-PERALTE!$Z$6)-2),IF(RASANTE!F206&lt;=PERALTE!$AB$6,-2))))),IF(AND(AH!$H$8="Derecha",RASANTE!F206&lt;=PERALTE!$AB$6),IF(RASANTE!F206&lt;=PERALTE!$Q$6,-2,IF(RASANTE!F206&lt;=PERALTE!$U$6,(10/(PERALTE!$U$6-PERALTE!$Q$6)*(RASANTE!F206-PERALTE!$Q$6)-2),IF(RASANTE!F206&lt;=PERALTE!$X$6,8,IF(RASANTE!F206&lt;=PERALTE!$AB$6,(10/(PERALTE!$X$6-PERALTE!$AB$6)*(RASANTE!F206-PERALTE!$AB$6)-2))))),IF(AND(AH!$H$10="Izquierda",RASANTE!F206&lt;=PERALTE!$AB$8),IF(RASANTE!F206&lt;=PERALTE!$S$8,-2,IF(RASANTE!F206&lt;=PERALTE!$U$8,(-6/(PERALTE!$U$8-PERALTE!$S$8)*(RASANTE!F206-PERALTE!$S$8)-2),IF(RASANTE!F206&lt;=PERALTE!$X$8,-8,IF(RASANTE!F206&lt;=PERALTE!$Z$8,(-6/(PERALTE!$X$8-PERALTE!$Z$8)*(RASANTE!F206-PERALTE!$Z$8)-2),IF(RASANTE!F206&lt;=PERALTE!$AB$8,-2))))),IF(AND(AH!$H$10="Derecha",RASANTE!F206&lt;=PERALTE!$AB$8),IF(RASANTE!F206&lt;=PERALTE!$Q$8,-2,IF(RASANTE!F206&lt;=PERALTE!$U$8,(10/(PERALTE!$U$8-PERALTE!$Q$8)*(RASANTE!F206-PERALTE!$Q$8)-2),IF(RASANTE!F206&lt;=PERALTE!$X$8,8,IF(RASANTE!F206&lt;=PERALTE!$AB$8,(10/(PERALTE!$X$8-PERALTE!$AB$8)*(RASANTE!F206-PERALTE!$AB$8)-2))))),IF(AND(AH!$H$12="Izquierda",RASANTE!F206&lt;=PERALTE!$AB$10),IF(RASANTE!F206&lt;=PERALTE!$S$10,-2,IF(RASANTE!F206&lt;=PERALTE!$U$10,(-6/(PERALTE!$U$10-PERALTE!$S$10)*(RASANTE!F206-PERALTE!$S$10)-2),IF(RASANTE!F206&lt;=PERALTE!$X$10,-8,IF(RASANTE!F206&lt;=PERALTE!$Z$10,(-6/(PERALTE!$X$10-PERALTE!$Z$10)*(RASANTE!F206-PERALTE!$Z$10)-2),IF(RASANTE!F206&lt;=PERALTE!$AB$10,-2))))),IF(AND(AH!$H$12="Derecha",RASANTE!F206&lt;=PERALTE!$AB$10),IF(RASANTE!F206&lt;=PERALTE!$Q$10,-2,IF(RASANTE!F206&lt;=PERALTE!$U$10,(10/(PERALTE!$U$10-PERALTE!$Q$10)*(RASANTE!F206-PERALTE!$Q$10)-2),IF(RASANTE!F206&lt;=PERALTE!$X$10,8,IF(RASANTE!F206&lt;=PERALTE!$AB$10,(10/(PERALTE!$X$10-PERALTE!$AB$10)*(RASANTE!F206-PERALTE!$AB$10)-2))))),IF(AND(AH!$H$14="Izquierda",RASANTE!F206&lt;=PERALTE!$AB$12),IF(RASANTE!F206&lt;=PERALTE!$S$12,-2,IF(RASANTE!F206&lt;=PERALTE!$U$12,(-6/(PERALTE!$U$12-PERALTE!$S$12)*(RASANTE!F206-PERALTE!$S$12)-2),IF(RASANTE!F206&lt;=PERALTE!$X$12,-8,IF(RASANTE!F206&lt;=PERALTE!$Z$12,(-6/(PERALTE!$X$12-PERALTE!$Z$12)*(RASANTE!F206-PERALTE!$Z$12)-2),IF(RASANTE!F206&lt;=PERALTE!$AB$12,-2))))),IF(AND(AH!$H$14="Derecha",RASANTE!F206&lt;=PERALTE!$AB$12),IF(RASANTE!F206&lt;=PERALTE!$Q$12,-2,IF(RASANTE!F206&lt;=PERALTE!$U$12,(10/(PERALTE!$U$12-PERALTE!$Q$12)*(RASANTE!F206-PERALTE!$Q$12)-2),IF(RASANTE!F206&lt;=PERALTE!$X$12,8,IF(RASANTE!F206&lt;=PERALTE!$AB$12,(10/(PERALTE!$X$12-PERALTE!$AB$12)*(RASANTE!F206-PERALTE!$AB$12)-2))))),IF(AND(AH!$H$16="Izquierda",RASANTE!F206&lt;=PERALTE!$AB$14),IF(RASANTE!F206&lt;=PERALTE!$S$14,-2,IF(RASANTE!F206&lt;=PERALTE!$U$14,(-6/(PERALTE!$U$14-PERALTE!$S$14)*(RASANTE!F206-PERALTE!$S$14)-2),IF(RASANTE!F206&lt;=PERALTE!$X$14,-8,IF(RASANTE!F206&lt;=PERALTE!$Z$14,(-6/(PERALTE!$X$14-PERALTE!$Z$14)*(RASANTE!F206-PERALTE!$Z$14)-2),IF(RASANTE!F206&lt;=PERALTE!$AB$14,-2))))),IF(AND(AH!$H$16="Derecha",RASANTE!F206&lt;=PERALTE!$AB$14),IF(RASANTE!F206&lt;=PERALTE!$Q$14,-2,IF(RASANTE!F206&lt;=PERALTE!$U$14,(10/(PERALTE!$U$14-PERALTE!$Q$14)*(RASANTE!F206-PERALTE!$Q$14)-2),IF(RASANTE!F206&lt;=PERALTE!$X$14,8,IF(RASANTE!F206&lt;=PERALTE!$AB$14,(10/(PERALTE!$X$14-PERALTE!$AB$14)*(RASANTE!F206-PERALTE!$AB$14)-2))))),IF(AND(AH!$H$18="Izquierda",RASANTE!F206&lt;=PERALTE!$AB$16),IF(RASANTE!F206&lt;=PERALTE!$S$16,-2,IF(RASANTE!F206&lt;=PERALTE!$U$16,(-6/(PERALTE!$U$16-PERALTE!$S$16)*(RASANTE!F206-PERALTE!$S$16)-2),IF(RASANTE!F206&lt;=PERALTE!$X$16,-8,IF(RASANTE!F206&lt;=PERALTE!$Z$16,(-6/(PERALTE!$X$16-PERALTE!$Z$16)*(RASANTE!F206-PERALTE!$Z$16)-2),IF(RASANTE!F206&lt;=PERALTE!$AB$16,-2))))),IF(AND(AH!$H$18="Derecha",RASANTE!F206&lt;=PERALTE!$AB$16),IF(RASANTE!F206&lt;=PERALTE!$Q$16,-2,IF(RASANTE!F206&lt;=PERALTE!$U$16,(10/(PERALTE!$U$16-PERALTE!$Q$16)*(RASANTE!F206-PERALTE!$Q$16)-2),IF(RASANTE!F206&lt;=PERALTE!$X$16,8,IF(RASANTE!F206&lt;=PERALTE!$AB$16,(10/(PERALTE!$X$16-PERALTE!$AB$16)*(RASANTE!F206-PERALTE!$AB$16)-2))))),IF(AND(AH!$H$20="Izquierda",RASANTE!F206&lt;=PERALTE!$AB$18),IF(RASANTE!F206&lt;=PERALTE!$S$18,-2,IF(RASANTE!F206&lt;=PERALTE!$U$18,(-6/(PERALTE!$U$18-PERALTE!$S$18)*(RASANTE!F206-PERALTE!$S$18)-2),IF(RASANTE!F206&lt;=PERALTE!$X$18,-8,IF(RASANTE!F206&lt;=PERALTE!$Z$18,(-6/(PERALTE!$X$18-PERALTE!$Z$18)*(RASANTE!F206-PERALTE!$Z$18)-2),IF(RASANTE!F206&lt;=PERALTE!$AB$18,-2))))),IF(AND(AH!$H$20="Derecha",RASANTE!F206&lt;=PERALTE!$AB$18),IF(RASANTE!F206&lt;=PERALTE!$Q$18,-2,IF(RASANTE!F206&lt;=PERALTE!$U$18,(10/(PERALTE!$U$18-PERALTE!$Q$18)*(RASANTE!F206-PERALTE!$Q$18)-2),IF(RASANTE!F206&lt;=PERALTE!$X$18,8,IF(RASANTE!F206&lt;=PERALTE!$AB$18,(10/(PERALTE!$X$18-PERALTE!$AB$18)*(RASANTE!F206-PERALTE!$AB$18)-2))))),IF(AND(AH!$H$24="Izquierda",RASANTE!F206&lt;=PERALTE!$AB$22),IF(RASANTE!F206&lt;=PERALTE!$S$22,-2,IF(RASANTE!F206&lt;=PERALTE!$U$22,(-6/(PERALTE!$U$22-PERALTE!$S$22)*(RASANTE!F206-PERALTE!$S$22)-2),IF(RASANTE!F206&lt;=PERALTE!$X$22,-8,IF(RASANTE!F206&lt;=PERALTE!$Z$22,(-6/(PERALTE!$X$22-PERALTE!$Z$22)*(RASANTE!F206-PERALTE!$Z$22)-2),IF(RASANTE!F206&lt;=PERALTE!$AB$22,-2))))),IF(AND(AH!$H$24="Derecha",RASANTE!F206&lt;=PERALTE!$AB$22),IF(RASANTE!F206&lt;=PERALTE!$Q$22,-2,IF(RASANTE!F206&lt;=PERALTE!$U$22,(10/(PERALTE!$U$22-PERALTE!$Q$22)*(RASANTE!F206-PERALTE!$Q$22)-2),IF(RASANTE!F206&lt;=PERALTE!$X$22,8,IF(RASANTE!F206&lt;=PERALTE!$AB$22,(10/(PERALTE!$X$22-PERALTE!$AB$22)*(RASANTE!F206-PERALTE!$AB$22)-2))))),IF(AND(AH!#REF!="Izquierda",RASANTE!F206&lt;=PERALTE!#REF!),IF(RASANTE!F206&lt;=PERALTE!#REF!,-2,IF(RASANTE!F206&lt;=PERALTE!#REF!,(-6/(PERALTE!#REF!-PERALTE!#REF!)*(RASANTE!F206-PERALTE!#REF!)-2),IF(RASANTE!F206&lt;=PERALTE!#REF!,-8,IF(RASANTE!F206&lt;=PERALTE!#REF!,(-6/(PERALTE!#REF!-PERALTE!#REF!)*(RASANTE!F206-PERALTE!#REF!)-2),IF(RASANTE!F206&lt;=PERALTE!#REF!,-2))))),IF(AND(AH!#REF!="Derecha",RASANTE!F206&lt;=PERALTE!#REF!),IF(RASANTE!F206&lt;=PERALTE!#REF!,-2,IF(RASANTE!F206&lt;=PERALTE!#REF!,(10/(PERALTE!#REF!-PERALTE!#REF!)*(RASANTE!F206-PERALTE!#REF!)-2),IF(RASANTE!F206&lt;=PERALTE!#REF!,8,IF(RASANTE!F206&lt;=PERALTE!#REF!,(10/(PERALTE!#REF!-PERALTE!#REF!)*(RASANTE!F206-PERALTE!#REF!)-2))))),IF(AND(AH!#REF!="Izquierda",RASANTE!F206&lt;=PERALTE!$AB$26),IF(RASANTE!F206&lt;=PERALTE!$S$26,-2,IF(RASANTE!F206&lt;=PERALTE!$U$26,(-6/(PERALTE!$U$26-PERALTE!$S$26)*(RASANTE!F206-PERALTE!$S$26)-2),IF(RASANTE!F206&lt;=PERALTE!$X$26,-8,IF(RASANTE!F206&lt;=PERALTE!$Z$26,(-6/(PERALTE!$X$26-PERALTE!$Z$26)*(RASANTE!F206-PERALTE!$Z$26)-2),IF(RASANTE!F206&lt;=PERALTE!$AB$26,-2))))),IF(AND(AH!#REF!="Derecha",RASANTE!F206&lt;=PERALTE!$AB$26),IF(RASANTE!F206&lt;=PERALTE!$Q$26,-2,IF(RASANTE!F206&lt;=PERALTE!$U$26,(10/(PERALTE!$U$26-PERALTE!$Q$26)*(RASANTE!F206-PERALTE!$Q$26)-2),IF(RASANTE!F206&lt;=PERALTE!$X$26,8,IF(RASANTE!F206&lt;=PERALTE!$AB$26,(10/(PERALTE!$X$26-PERALTE!$AB$26)*(RASANTE!F206-PERALTE!$AB$26)-2))))),IF(F206&lt;=PERALTE!#REF!,-2,"Abscisa fuera de la vía")))))))))))))))))))))</f>
        <v>-2</v>
      </c>
      <c r="I267" s="28">
        <f>+IF(AND(AH!$H$8="Derecha",RASANTE!F261&lt;=PERALTE!$AB$6),IF(RASANTE!F261&lt;=PERALTE!$S$6,-2,IF(RASANTE!F261&lt;=PERALTE!$U$6,(-6/(PERALTE!$U$6-PERALTE!$S$6)*(RASANTE!F261-PERALTE!$S$6)-2),IF(RASANTE!F261&lt;=PERALTE!$X$6,-8,IF(RASANTE!F261&lt;=PERALTE!$Z$6,(-6/(PERALTE!$X$6-PERALTE!$Z$6)*(RASANTE!F261-PERALTE!$Z$6)-2),IF(RASANTE!F261&lt;=PERALTE!$AB$6,-2))))),IF(AND(AH!$H$8="Izquierda",RASANTE!F261&lt;=PERALTE!$AB$6),IF(RASANTE!F261&lt;=PERALTE!$Q$6,-2,IF(RASANTE!F261&lt;=PERALTE!$U$6,(10/(PERALTE!$U$6-PERALTE!$Q$6)*(RASANTE!F261-PERALTE!$Q$6)-2),IF(RASANTE!F261&lt;=PERALTE!$X$6,8,IF(RASANTE!F261&lt;=PERALTE!$AB$6,(10/(PERALTE!$X$6-PERALTE!$AB$6)*(RASANTE!F261-PERALTE!$AB$6)-2))))),IF(AND(AH!$H$10="Derecha",RASANTE!F261&lt;=PERALTE!$AB$8),IF(RASANTE!F261&lt;=PERALTE!$S$8,-2,IF(RASANTE!F261&lt;=PERALTE!$U$8,(-6/(PERALTE!$U$8-PERALTE!$S$8)*(RASANTE!F261-PERALTE!$S$8)-2),IF(RASANTE!F261&lt;=PERALTE!$X$8,-8,IF(RASANTE!F261&lt;=PERALTE!$Z$8,(-6/(PERALTE!$X$8-PERALTE!$Z$8)*(RASANTE!F261-PERALTE!$Z$8)-2),IF(RASANTE!F261&lt;=PERALTE!$AB$8,-2))))),IF(AND(AH!$H$10="Izquierda",RASANTE!F261&lt;=PERALTE!$AB$8),IF(RASANTE!F261&lt;=PERALTE!$Q$8,-2,IF(RASANTE!F261&lt;=PERALTE!$U$8,(10/(PERALTE!$U$8-PERALTE!$Q$8)*(RASANTE!F261-PERALTE!$Q$8)-2),IF(RASANTE!F261&lt;=PERALTE!$X$8,8,IF(RASANTE!F261&lt;=PERALTE!$AB$8,(10/(PERALTE!$X$8-PERALTE!$AB$8)*(RASANTE!F261-PERALTE!$AB$8)-2))))),IF(AND(AH!$H$12="Derecha",RASANTE!F261&lt;=PERALTE!$AB$10),IF(RASANTE!F261&lt;=PERALTE!$S$10,-2,IF(RASANTE!F261&lt;=PERALTE!$U$10,(-6/(PERALTE!$U$10-PERALTE!$S$10)*(RASANTE!F261-PERALTE!$S$10)-2),IF(RASANTE!F261&lt;=PERALTE!$X$10,-8,IF(RASANTE!F261&lt;=PERALTE!$Z$10,(-6/(PERALTE!$X$10-PERALTE!$Z$10)*(RASANTE!F261-PERALTE!$Z$10)-2),IF(RASANTE!F261&lt;=PERALTE!$AB$10,-2))))),IF(AND(AH!$H$12="Izquierda",RASANTE!F261&lt;=PERALTE!$AB$10),IF(RASANTE!F261&lt;=PERALTE!$Q$10,-2,IF(RASANTE!F261&lt;=PERALTE!$U$10,(10/(PERALTE!$U$10-PERALTE!$Q$10)*(RASANTE!F261-PERALTE!$Q$10)-2),IF(RASANTE!F261&lt;=PERALTE!$X$10,8,IF(RASANTE!F261&lt;=PERALTE!$AB$10,(10/(PERALTE!$X$10-PERALTE!$AB$10)*(RASANTE!F261-PERALTE!$AB$10)-2))))),IF(AND(AH!$H$14="Derecha",RASANTE!F261&lt;=PERALTE!$AB$12),IF(RASANTE!F261&lt;=PERALTE!$S$12,-2,IF(RASANTE!F261&lt;=PERALTE!$U$12,(-6/(PERALTE!$U$12-PERALTE!$S$12)*(RASANTE!F261-PERALTE!$S$12)-2),IF(RASANTE!F261&lt;=PERALTE!$X$12,-8,IF(RASANTE!F261&lt;=PERALTE!$Z$12,(-6/(PERALTE!$X$12-PERALTE!$Z$12)*(RASANTE!F261-PERALTE!$Z$12)-2),IF(RASANTE!F261&lt;=PERALTE!$AB$12,-2))))),IF(AND(AH!$H$14="Izquierda",RASANTE!F261&lt;=PERALTE!$AB$12),IF(RASANTE!F261&lt;=PERALTE!$Q$12,-2,IF(RASANTE!F261&lt;=PERALTE!$U$12,(10/(PERALTE!$U$12-PERALTE!$Q$12)*(RASANTE!F261-PERALTE!$Q$12)-2),IF(RASANTE!F261&lt;=PERALTE!$X$12,8,IF(RASANTE!F261&lt;=PERALTE!$AB$12,(10/(PERALTE!$X$12-PERALTE!$AB$12)*(RASANTE!F261-PERALTE!$AB$12)-2))))),IF(AND(AH!$H$16="Derecha",RASANTE!F261&lt;=PERALTE!$AB$14),IF(RASANTE!F261&lt;=PERALTE!$S$14,-2,IF(RASANTE!F261&lt;=PERALTE!$U$14,(-6/(PERALTE!$U$14-PERALTE!$S$14)*(RASANTE!F261-PERALTE!$S$14)-2),IF(RASANTE!F261&lt;=PERALTE!$X$14,-8,IF(RASANTE!F261&lt;=PERALTE!$Z$14,(-6/(PERALTE!$X$14-PERALTE!$Z$14)*(RASANTE!F261-PERALTE!$Z$14)-2),IF(RASANTE!F261&lt;=PERALTE!$AB$14,-2))))),IF(AND(AH!$H$16="Izquierda",RASANTE!F261&lt;=PERALTE!$AB$14),IF(RASANTE!F261&lt;=PERALTE!$Q$14,-2,IF(RASANTE!F261&lt;=PERALTE!$U$14,(10/(PERALTE!$U$14-PERALTE!$Q$14)*(RASANTE!F261-PERALTE!$Q$14)-2),IF(RASANTE!F261&lt;=PERALTE!$X$14,8,IF(RASANTE!F261&lt;=PERALTE!$AB$14,(10/(PERALTE!$X$14-PERALTE!$AB$14)*(RASANTE!F261-PERALTE!$AB$14)-2))))),IF(AND(AH!$H$18="Derecha",RASANTE!F261&lt;=PERALTE!$AB$16),IF(RASANTE!F261&lt;=PERALTE!$S$16,-2,IF(RASANTE!F261&lt;=PERALTE!$U$16,(-6/(PERALTE!$U$16-PERALTE!$S$16)*(RASANTE!F261-PERALTE!$S$16)-2),IF(RASANTE!F261&lt;=PERALTE!$X$16,-8,IF(RASANTE!F261&lt;=PERALTE!$Z$16,(-6/(PERALTE!$X$16-PERALTE!$Z$16)*(RASANTE!F261-PERALTE!$Z$16)-2),IF(RASANTE!F261&lt;=PERALTE!$AB$16,-2))))),IF(AND(AH!$H$18="Izquierda",RASANTE!F261&lt;=PERALTE!$AB$16),IF(RASANTE!F261&lt;=PERALTE!$Q$16,-2,IF(RASANTE!F261&lt;=PERALTE!$U$16,(10/(PERALTE!$U$16-PERALTE!$Q$16)*(RASANTE!F261-PERALTE!$Q$16)-2),IF(RASANTE!F261&lt;=PERALTE!$X$16,8,IF(RASANTE!F261&lt;=PERALTE!$AB$16,(10/(PERALTE!$X$16-PERALTE!$AB$16)*(RASANTE!F261-PERALTE!$AB$16)-2))))),IF(AND(AH!$H$20="Derecha",RASANTE!F261&lt;=PERALTE!$AB$18),IF(RASANTE!F261&lt;=PERALTE!$S$18,-2,IF(RASANTE!F261&lt;=PERALTE!$U$18,(-6/(PERALTE!$U$18-PERALTE!$S$18)*(RASANTE!F261-PERALTE!$S$18)-2),IF(RASANTE!F261&lt;=PERALTE!$X$18,-8,IF(RASANTE!F261&lt;=PERALTE!$Z$18,(-6/(PERALTE!$X$18-PERALTE!$Z$18)*(RASANTE!F261-PERALTE!$Z$18)-2),IF(RASANTE!F261&lt;=PERALTE!$AB$18,-2))))),IF(AND(AH!$H$20="Izquierda",RASANTE!F261&lt;=PERALTE!$AB$18),IF(RASANTE!F261&lt;=PERALTE!$Q$18,-2,IF(RASANTE!F261&lt;=PERALTE!$U$18,(10/(PERALTE!$U$18-PERALTE!$Q$18)*(RASANTE!F261-PERALTE!$Q$18)-2),IF(RASANTE!F261&lt;=PERALTE!$X$18,8,IF(RASANTE!F261&lt;=PERALTE!$AB$18,(10/(PERALTE!$X$18-PERALTE!$AB$18)*(RASANTE!F261-PERALTE!$AB$18)-2))))),IF(AND(AH!$H$24="Derecha",RASANTE!F261&lt;=PERALTE!$AB$22),IF(RASANTE!F261&lt;=PERALTE!$S$22,-2,IF(RASANTE!F261&lt;=PERALTE!$U$22,(-6/(PERALTE!$U$22-PERALTE!$S$22)*(RASANTE!F261-PERALTE!$S$22)-2),IF(RASANTE!F261&lt;=PERALTE!$X$22,-8,IF(RASANTE!F261&lt;=PERALTE!$Z$22,(-6/(PERALTE!$X$22-PERALTE!$Z$22)*(RASANTE!F261-PERALTE!$Z$22)-2),IF(RASANTE!F261&lt;=PERALTE!$AB$22,-2))))),IF(AND(AH!$H$24="Izquierda",RASANTE!F261&lt;=PERALTE!$AB$22),IF(RASANTE!F261&lt;=PERALTE!$Q$22,-2,IF(RASANTE!F261&lt;=PERALTE!$U$22,(10/(PERALTE!$U$22-PERALTE!$Q$22)*(RASANTE!F261-PERALTE!$Q$22)-2),IF(RASANTE!F261&lt;=PERALTE!$X$22,8,IF(RASANTE!F261&lt;=PERALTE!$AB$22,(10/(PERALTE!$X$22-PERALTE!$AB$22)*(RASANTE!F261-PERALTE!$AB$22)-2))))),IF(AND(AH!#REF!="Derecha",RASANTE!F261&lt;=PERALTE!#REF!),IF(RASANTE!F261&lt;=PERALTE!#REF!,-2,IF(RASANTE!F261&lt;=PERALTE!#REF!,(-6/(PERALTE!#REF!-PERALTE!#REF!)*(RASANTE!F261-PERALTE!#REF!)-2),IF(RASANTE!F261&lt;=PERALTE!#REF!,-8,IF(RASANTE!F261&lt;=PERALTE!#REF!,(-6/(PERALTE!#REF!-PERALTE!#REF!)*(RASANTE!F261-PERALTE!#REF!)-2),IF(RASANTE!F261&lt;=PERALTE!#REF!,-2))))),IF(AND(AH!#REF!="Izquierda",RASANTE!F261&lt;=PERALTE!#REF!),IF(RASANTE!F261&lt;=PERALTE!#REF!,-2,IF(RASANTE!F261&lt;=PERALTE!#REF!,(10/(PERALTE!#REF!-PERALTE!#REF!)*(RASANTE!F261-PERALTE!#REF!)-2),IF(RASANTE!F261&lt;=PERALTE!#REF!,8,IF(RASANTE!F261&lt;=PERALTE!#REF!,(10/(PERALTE!#REF!-PERALTE!#REF!)*(RASANTE!F261-PERALTE!#REF!)-2))))),IF(AND(AH!#REF!="Derecha",RASANTE!F261&lt;=PERALTE!$AB$26),IF(RASANTE!F261&lt;=PERALTE!$S$26,-2,IF(RASANTE!F261&lt;=PERALTE!$U$26,(-6/(PERALTE!$U$26-PERALTE!$S$26)*(RASANTE!F261-PERALTE!$S$26)-2),IF(RASANTE!F261&lt;=PERALTE!$X$26,-8,IF(RASANTE!F261&lt;=PERALTE!$Z$26,(-6/(PERALTE!$X$26-PERALTE!$Z$26)*(RASANTE!F261-PERALTE!$Z$26)-2),IF(RASANTE!F261&lt;=PERALTE!$AB$26,-2))))),IF(AND(AH!#REF!="Izquierda",RASANTE!F261&lt;=PERALTE!$AB$26),IF(RASANTE!F261&lt;=PERALTE!$Q$26,-2,IF(RASANTE!F261&lt;=PERALTE!$U$26,(10/(PERALTE!$U$26-PERALTE!$Q$26)*(RASANTE!F261-PERALTE!$Q$26)-2),IF(RASANTE!F261&lt;=PERALTE!$X$26,8,IF(RASANTE!F261&lt;=PERALTE!$AB$26,(10/(PERALTE!$X$26-PERALTE!$AB$26)*(RASANTE!F261-PERALTE!$AB$26)-2))))),IF(F261&lt;=PERALTE!#REF!,-2,"Abscisa fuera de la vía")))))))))))))))))))))</f>
        <v>-2</v>
      </c>
      <c r="J267" s="28">
        <f t="shared" si="13"/>
        <v>1637.741728464898</v>
      </c>
      <c r="K267" s="28">
        <f>+IF(AND(AV!$S$6&lt;F267,F267&lt;=AV!$T$6),AV!$P$6*((AV!$S$6-RASANTE!F267)/(AV!$N$6))^2,IF(AND(AV!$T$6&lt;RASANTE!F267,F267&lt;AV!$U$6),AV!$P$6*((AV!$U$6-RASANTE!F267)/(AV!$O$6))^2,IF(AND(AV!$S$8&lt;F267,F267&lt;=AV!$T$8),AV!$P$8*((AV!$S$8-RASANTE!F267)/(AV!$N$8))^2,IF(AND(AV!$T$8&lt;RASANTE!F267,F267&lt;AV!$U$8),AV!$P$8*((AV!$U$8-RASANTE!F267)/(AV!$O$8))^2,IF(AND(AV!$S$10&lt;F267,F267&lt;=AV!$T$10),AV!$P$10*((AV!$S$10-RASANTE!F267)/(AV!$N$10))^2,IF(AND(AV!$T$10&lt;RASANTE!F267,F267&lt;AV!$U$10),AV!$P$10*((AV!$U$10-RASANTE!F267)/(AV!$O$10))^2,IF(AND(AV!$S$12&lt;F267,F267&lt;=AV!$T$12),AV!$P$12*((AV!$S$12-RASANTE!F267)/(AV!$N$12))^2,IF(AND(AV!$T$12&lt;RASANTE!F267,F267&lt;AV!$U$12),AV!$P$12*((AV!$U$12-RASANTE!F267)/(AV!$O$12))^2,IF(AND(AV!$S$14&lt;F267,F267&lt;=AV!$T$14),AV!$P$14*((AV!$S$14-RASANTE!F267)/(AV!$N$14))^2,IF(AND(AV!$T$14&lt;RASANTE!F267,F267&lt;AV!$U$14),AV!$P$14*((AV!$U$14-RASANTE!F267)/(AV!$O$14))^2,IF(AND(AV!$S$16&lt;F267,F267&lt;=AV!$T$16),AV!$P$16*((AV!$S$16-RASANTE!F267)/(AV!$N$16))^2,IF(AND(AV!$T$16&lt;RASANTE!F267,F267&lt;AV!$U$16),AV!$P$16*((AV!$U$16-RASANTE!F267)/(AV!$O$16))^2,IF(AND(AV!$S$18&lt;F267,F267&lt;=AV!$T$18),AV!$P$18*((AV!$S$18-RASANTE!F267)/(AV!$N$18))^2,IF(AND(AV!$T$18&lt;RASANTE!F267,F267&lt;AV!$U$18),AV!$P$18*((AV!$U$18-RASANTE!F267)/(AV!$O$18))^2,IF(AND(AV!$S$20&lt;F267,F267&lt;=AV!$T$20),AV!$P$20*((AV!$S$20-RASANTE!F267)/(AV!$N$20))^2,IF(AND(AV!$T$20&lt;RASANTE!F267,F267&lt;AV!$U$20),AV!$P$20*((AV!$U$20-RASANTE!F267)/(AV!$O$20))^2,IF(AND(AV!$S$22&lt;F267,F267&lt;=AV!$T$22),AV!$P$22*((AV!$S$22-RASANTE!F267)/(AV!$N$22))^2,IF(AND(AV!$T$22&lt;RASANTE!F267,F267&lt;AV!$U$22),AV!$P$22*((AV!$U$22-RASANTE!F267)/(AV!$O$22))^2,IF(AND(AV!$S$24&lt;F267,F267&lt;=AV!$T$24),AV!$P$24*((AV!$S$24-RASANTE!F267)/(AV!$N$24))^2,IF(AND(AV!$T$24&lt;RASANTE!F267,F267&lt;AV!$U$24),AV!$P$24*((AV!$U$24-RASANTE!F267)/(AV!$O$24))^2,0))))))))))))))))))))</f>
        <v>0</v>
      </c>
      <c r="L267" s="28">
        <f>+M267+H267%*PERALTE!$C$32</f>
        <v>1637.671728464898</v>
      </c>
      <c r="M267" s="28">
        <f t="shared" si="12"/>
        <v>1637.741728464898</v>
      </c>
      <c r="N267" s="28">
        <f>+M267+I267%*PERALTE!$C$32</f>
        <v>1637.671728464898</v>
      </c>
      <c r="O267" s="92"/>
      <c r="P267" s="84"/>
      <c r="Q267" s="84"/>
      <c r="R267" s="84"/>
      <c r="S267" s="84"/>
      <c r="T267" s="84"/>
      <c r="U267" s="84"/>
      <c r="V267" s="84"/>
      <c r="W267" s="84"/>
      <c r="X267" s="84"/>
      <c r="Y267" s="84"/>
    </row>
    <row r="268" spans="1:25" ht="15.75" customHeight="1" x14ac:dyDescent="0.2">
      <c r="A268" s="322"/>
      <c r="B268" s="86"/>
      <c r="C268" s="86"/>
      <c r="D268" s="86"/>
      <c r="E268" s="91"/>
      <c r="F268" s="34">
        <v>1610</v>
      </c>
      <c r="G268" s="88">
        <v>5.4480000000000004</v>
      </c>
      <c r="H268" s="28">
        <f>+IF(AND(AH!$H$8="Izquierda",RASANTE!F207&lt;=PERALTE!$AB$6),IF(RASANTE!F207&lt;=PERALTE!$S$6,-2,IF(RASANTE!F207&lt;=PERALTE!$U$6,(-6/(PERALTE!$U$6-PERALTE!$S$6)*(RASANTE!F207-PERALTE!$S$6)-2),IF(RASANTE!F207&lt;=PERALTE!$X$6,-8,IF(RASANTE!F207&lt;=PERALTE!$Z$6,(-6/(PERALTE!$X$6-PERALTE!$Z$6)*(RASANTE!F207-PERALTE!$Z$6)-2),IF(RASANTE!F207&lt;=PERALTE!$AB$6,-2))))),IF(AND(AH!$H$8="Derecha",RASANTE!F207&lt;=PERALTE!$AB$6),IF(RASANTE!F207&lt;=PERALTE!$Q$6,-2,IF(RASANTE!F207&lt;=PERALTE!$U$6,(10/(PERALTE!$U$6-PERALTE!$Q$6)*(RASANTE!F207-PERALTE!$Q$6)-2),IF(RASANTE!F207&lt;=PERALTE!$X$6,8,IF(RASANTE!F207&lt;=PERALTE!$AB$6,(10/(PERALTE!$X$6-PERALTE!$AB$6)*(RASANTE!F207-PERALTE!$AB$6)-2))))),IF(AND(AH!$H$10="Izquierda",RASANTE!F207&lt;=PERALTE!$AB$8),IF(RASANTE!F207&lt;=PERALTE!$S$8,-2,IF(RASANTE!F207&lt;=PERALTE!$U$8,(-6/(PERALTE!$U$8-PERALTE!$S$8)*(RASANTE!F207-PERALTE!$S$8)-2),IF(RASANTE!F207&lt;=PERALTE!$X$8,-8,IF(RASANTE!F207&lt;=PERALTE!$Z$8,(-6/(PERALTE!$X$8-PERALTE!$Z$8)*(RASANTE!F207-PERALTE!$Z$8)-2),IF(RASANTE!F207&lt;=PERALTE!$AB$8,-2))))),IF(AND(AH!$H$10="Derecha",RASANTE!F207&lt;=PERALTE!$AB$8),IF(RASANTE!F207&lt;=PERALTE!$Q$8,-2,IF(RASANTE!F207&lt;=PERALTE!$U$8,(10/(PERALTE!$U$8-PERALTE!$Q$8)*(RASANTE!F207-PERALTE!$Q$8)-2),IF(RASANTE!F207&lt;=PERALTE!$X$8,8,IF(RASANTE!F207&lt;=PERALTE!$AB$8,(10/(PERALTE!$X$8-PERALTE!$AB$8)*(RASANTE!F207-PERALTE!$AB$8)-2))))),IF(AND(AH!$H$12="Izquierda",RASANTE!F207&lt;=PERALTE!$AB$10),IF(RASANTE!F207&lt;=PERALTE!$S$10,-2,IF(RASANTE!F207&lt;=PERALTE!$U$10,(-6/(PERALTE!$U$10-PERALTE!$S$10)*(RASANTE!F207-PERALTE!$S$10)-2),IF(RASANTE!F207&lt;=PERALTE!$X$10,-8,IF(RASANTE!F207&lt;=PERALTE!$Z$10,(-6/(PERALTE!$X$10-PERALTE!$Z$10)*(RASANTE!F207-PERALTE!$Z$10)-2),IF(RASANTE!F207&lt;=PERALTE!$AB$10,-2))))),IF(AND(AH!$H$12="Derecha",RASANTE!F207&lt;=PERALTE!$AB$10),IF(RASANTE!F207&lt;=PERALTE!$Q$10,-2,IF(RASANTE!F207&lt;=PERALTE!$U$10,(10/(PERALTE!$U$10-PERALTE!$Q$10)*(RASANTE!F207-PERALTE!$Q$10)-2),IF(RASANTE!F207&lt;=PERALTE!$X$10,8,IF(RASANTE!F207&lt;=PERALTE!$AB$10,(10/(PERALTE!$X$10-PERALTE!$AB$10)*(RASANTE!F207-PERALTE!$AB$10)-2))))),IF(AND(AH!$H$14="Izquierda",RASANTE!F207&lt;=PERALTE!$AB$12),IF(RASANTE!F207&lt;=PERALTE!$S$12,-2,IF(RASANTE!F207&lt;=PERALTE!$U$12,(-6/(PERALTE!$U$12-PERALTE!$S$12)*(RASANTE!F207-PERALTE!$S$12)-2),IF(RASANTE!F207&lt;=PERALTE!$X$12,-8,IF(RASANTE!F207&lt;=PERALTE!$Z$12,(-6/(PERALTE!$X$12-PERALTE!$Z$12)*(RASANTE!F207-PERALTE!$Z$12)-2),IF(RASANTE!F207&lt;=PERALTE!$AB$12,-2))))),IF(AND(AH!$H$14="Derecha",RASANTE!F207&lt;=PERALTE!$AB$12),IF(RASANTE!F207&lt;=PERALTE!$Q$12,-2,IF(RASANTE!F207&lt;=PERALTE!$U$12,(10/(PERALTE!$U$12-PERALTE!$Q$12)*(RASANTE!F207-PERALTE!$Q$12)-2),IF(RASANTE!F207&lt;=PERALTE!$X$12,8,IF(RASANTE!F207&lt;=PERALTE!$AB$12,(10/(PERALTE!$X$12-PERALTE!$AB$12)*(RASANTE!F207-PERALTE!$AB$12)-2))))),IF(AND(AH!$H$16="Izquierda",RASANTE!F207&lt;=PERALTE!$AB$14),IF(RASANTE!F207&lt;=PERALTE!$S$14,-2,IF(RASANTE!F207&lt;=PERALTE!$U$14,(-6/(PERALTE!$U$14-PERALTE!$S$14)*(RASANTE!F207-PERALTE!$S$14)-2),IF(RASANTE!F207&lt;=PERALTE!$X$14,-8,IF(RASANTE!F207&lt;=PERALTE!$Z$14,(-6/(PERALTE!$X$14-PERALTE!$Z$14)*(RASANTE!F207-PERALTE!$Z$14)-2),IF(RASANTE!F207&lt;=PERALTE!$AB$14,-2))))),IF(AND(AH!$H$16="Derecha",RASANTE!F207&lt;=PERALTE!$AB$14),IF(RASANTE!F207&lt;=PERALTE!$Q$14,-2,IF(RASANTE!F207&lt;=PERALTE!$U$14,(10/(PERALTE!$U$14-PERALTE!$Q$14)*(RASANTE!F207-PERALTE!$Q$14)-2),IF(RASANTE!F207&lt;=PERALTE!$X$14,8,IF(RASANTE!F207&lt;=PERALTE!$AB$14,(10/(PERALTE!$X$14-PERALTE!$AB$14)*(RASANTE!F207-PERALTE!$AB$14)-2))))),IF(AND(AH!$H$18="Izquierda",RASANTE!F207&lt;=PERALTE!$AB$16),IF(RASANTE!F207&lt;=PERALTE!$S$16,-2,IF(RASANTE!F207&lt;=PERALTE!$U$16,(-6/(PERALTE!$U$16-PERALTE!$S$16)*(RASANTE!F207-PERALTE!$S$16)-2),IF(RASANTE!F207&lt;=PERALTE!$X$16,-8,IF(RASANTE!F207&lt;=PERALTE!$Z$16,(-6/(PERALTE!$X$16-PERALTE!$Z$16)*(RASANTE!F207-PERALTE!$Z$16)-2),IF(RASANTE!F207&lt;=PERALTE!$AB$16,-2))))),IF(AND(AH!$H$18="Derecha",RASANTE!F207&lt;=PERALTE!$AB$16),IF(RASANTE!F207&lt;=PERALTE!$Q$16,-2,IF(RASANTE!F207&lt;=PERALTE!$U$16,(10/(PERALTE!$U$16-PERALTE!$Q$16)*(RASANTE!F207-PERALTE!$Q$16)-2),IF(RASANTE!F207&lt;=PERALTE!$X$16,8,IF(RASANTE!F207&lt;=PERALTE!$AB$16,(10/(PERALTE!$X$16-PERALTE!$AB$16)*(RASANTE!F207-PERALTE!$AB$16)-2))))),IF(AND(AH!$H$20="Izquierda",RASANTE!F207&lt;=PERALTE!$AB$18),IF(RASANTE!F207&lt;=PERALTE!$S$18,-2,IF(RASANTE!F207&lt;=PERALTE!$U$18,(-6/(PERALTE!$U$18-PERALTE!$S$18)*(RASANTE!F207-PERALTE!$S$18)-2),IF(RASANTE!F207&lt;=PERALTE!$X$18,-8,IF(RASANTE!F207&lt;=PERALTE!$Z$18,(-6/(PERALTE!$X$18-PERALTE!$Z$18)*(RASANTE!F207-PERALTE!$Z$18)-2),IF(RASANTE!F207&lt;=PERALTE!$AB$18,-2))))),IF(AND(AH!$H$20="Derecha",RASANTE!F207&lt;=PERALTE!$AB$18),IF(RASANTE!F207&lt;=PERALTE!$Q$18,-2,IF(RASANTE!F207&lt;=PERALTE!$U$18,(10/(PERALTE!$U$18-PERALTE!$Q$18)*(RASANTE!F207-PERALTE!$Q$18)-2),IF(RASANTE!F207&lt;=PERALTE!$X$18,8,IF(RASANTE!F207&lt;=PERALTE!$AB$18,(10/(PERALTE!$X$18-PERALTE!$AB$18)*(RASANTE!F207-PERALTE!$AB$18)-2))))),IF(AND(AH!$H$24="Izquierda",RASANTE!F207&lt;=PERALTE!$AB$22),IF(RASANTE!F207&lt;=PERALTE!$S$22,-2,IF(RASANTE!F207&lt;=PERALTE!$U$22,(-6/(PERALTE!$U$22-PERALTE!$S$22)*(RASANTE!F207-PERALTE!$S$22)-2),IF(RASANTE!F207&lt;=PERALTE!$X$22,-8,IF(RASANTE!F207&lt;=PERALTE!$Z$22,(-6/(PERALTE!$X$22-PERALTE!$Z$22)*(RASANTE!F207-PERALTE!$Z$22)-2),IF(RASANTE!F207&lt;=PERALTE!$AB$22,-2))))),IF(AND(AH!$H$24="Derecha",RASANTE!F207&lt;=PERALTE!$AB$22),IF(RASANTE!F207&lt;=PERALTE!$Q$22,-2,IF(RASANTE!F207&lt;=PERALTE!$U$22,(10/(PERALTE!$U$22-PERALTE!$Q$22)*(RASANTE!F207-PERALTE!$Q$22)-2),IF(RASANTE!F207&lt;=PERALTE!$X$22,8,IF(RASANTE!F207&lt;=PERALTE!$AB$22,(10/(PERALTE!$X$22-PERALTE!$AB$22)*(RASANTE!F207-PERALTE!$AB$22)-2))))),IF(AND(AH!#REF!="Izquierda",RASANTE!F207&lt;=PERALTE!#REF!),IF(RASANTE!F207&lt;=PERALTE!#REF!,-2,IF(RASANTE!F207&lt;=PERALTE!#REF!,(-6/(PERALTE!#REF!-PERALTE!#REF!)*(RASANTE!F207-PERALTE!#REF!)-2),IF(RASANTE!F207&lt;=PERALTE!#REF!,-8,IF(RASANTE!F207&lt;=PERALTE!#REF!,(-6/(PERALTE!#REF!-PERALTE!#REF!)*(RASANTE!F207-PERALTE!#REF!)-2),IF(RASANTE!F207&lt;=PERALTE!#REF!,-2))))),IF(AND(AH!#REF!="Derecha",RASANTE!F207&lt;=PERALTE!#REF!),IF(RASANTE!F207&lt;=PERALTE!#REF!,-2,IF(RASANTE!F207&lt;=PERALTE!#REF!,(10/(PERALTE!#REF!-PERALTE!#REF!)*(RASANTE!F207-PERALTE!#REF!)-2),IF(RASANTE!F207&lt;=PERALTE!#REF!,8,IF(RASANTE!F207&lt;=PERALTE!#REF!,(10/(PERALTE!#REF!-PERALTE!#REF!)*(RASANTE!F207-PERALTE!#REF!)-2))))),IF(AND(AH!#REF!="Izquierda",RASANTE!F207&lt;=PERALTE!$AB$26),IF(RASANTE!F207&lt;=PERALTE!$S$26,-2,IF(RASANTE!F207&lt;=PERALTE!$U$26,(-6/(PERALTE!$U$26-PERALTE!$S$26)*(RASANTE!F207-PERALTE!$S$26)-2),IF(RASANTE!F207&lt;=PERALTE!$X$26,-8,IF(RASANTE!F207&lt;=PERALTE!$Z$26,(-6/(PERALTE!$X$26-PERALTE!$Z$26)*(RASANTE!F207-PERALTE!$Z$26)-2),IF(RASANTE!F207&lt;=PERALTE!$AB$26,-2))))),IF(AND(AH!#REF!="Derecha",RASANTE!F207&lt;=PERALTE!$AB$26),IF(RASANTE!F207&lt;=PERALTE!$Q$26,-2,IF(RASANTE!F207&lt;=PERALTE!$U$26,(10/(PERALTE!$U$26-PERALTE!$Q$26)*(RASANTE!F207-PERALTE!$Q$26)-2),IF(RASANTE!F207&lt;=PERALTE!$X$26,8,IF(RASANTE!F207&lt;=PERALTE!$AB$26,(10/(PERALTE!$X$26-PERALTE!$AB$26)*(RASANTE!F207-PERALTE!$AB$26)-2))))),IF(F207&lt;=PERALTE!#REF!,-2,"Abscisa fuera de la vía")))))))))))))))))))))</f>
        <v>-2</v>
      </c>
      <c r="I268" s="28">
        <f>+IF(AND(AH!$H$8="Derecha",RASANTE!F262&lt;=PERALTE!$AB$6),IF(RASANTE!F262&lt;=PERALTE!$S$6,-2,IF(RASANTE!F262&lt;=PERALTE!$U$6,(-6/(PERALTE!$U$6-PERALTE!$S$6)*(RASANTE!F262-PERALTE!$S$6)-2),IF(RASANTE!F262&lt;=PERALTE!$X$6,-8,IF(RASANTE!F262&lt;=PERALTE!$Z$6,(-6/(PERALTE!$X$6-PERALTE!$Z$6)*(RASANTE!F262-PERALTE!$Z$6)-2),IF(RASANTE!F262&lt;=PERALTE!$AB$6,-2))))),IF(AND(AH!$H$8="Izquierda",RASANTE!F262&lt;=PERALTE!$AB$6),IF(RASANTE!F262&lt;=PERALTE!$Q$6,-2,IF(RASANTE!F262&lt;=PERALTE!$U$6,(10/(PERALTE!$U$6-PERALTE!$Q$6)*(RASANTE!F262-PERALTE!$Q$6)-2),IF(RASANTE!F262&lt;=PERALTE!$X$6,8,IF(RASANTE!F262&lt;=PERALTE!$AB$6,(10/(PERALTE!$X$6-PERALTE!$AB$6)*(RASANTE!F262-PERALTE!$AB$6)-2))))),IF(AND(AH!$H$10="Derecha",RASANTE!F262&lt;=PERALTE!$AB$8),IF(RASANTE!F262&lt;=PERALTE!$S$8,-2,IF(RASANTE!F262&lt;=PERALTE!$U$8,(-6/(PERALTE!$U$8-PERALTE!$S$8)*(RASANTE!F262-PERALTE!$S$8)-2),IF(RASANTE!F262&lt;=PERALTE!$X$8,-8,IF(RASANTE!F262&lt;=PERALTE!$Z$8,(-6/(PERALTE!$X$8-PERALTE!$Z$8)*(RASANTE!F262-PERALTE!$Z$8)-2),IF(RASANTE!F262&lt;=PERALTE!$AB$8,-2))))),IF(AND(AH!$H$10="Izquierda",RASANTE!F262&lt;=PERALTE!$AB$8),IF(RASANTE!F262&lt;=PERALTE!$Q$8,-2,IF(RASANTE!F262&lt;=PERALTE!$U$8,(10/(PERALTE!$U$8-PERALTE!$Q$8)*(RASANTE!F262-PERALTE!$Q$8)-2),IF(RASANTE!F262&lt;=PERALTE!$X$8,8,IF(RASANTE!F262&lt;=PERALTE!$AB$8,(10/(PERALTE!$X$8-PERALTE!$AB$8)*(RASANTE!F262-PERALTE!$AB$8)-2))))),IF(AND(AH!$H$12="Derecha",RASANTE!F262&lt;=PERALTE!$AB$10),IF(RASANTE!F262&lt;=PERALTE!$S$10,-2,IF(RASANTE!F262&lt;=PERALTE!$U$10,(-6/(PERALTE!$U$10-PERALTE!$S$10)*(RASANTE!F262-PERALTE!$S$10)-2),IF(RASANTE!F262&lt;=PERALTE!$X$10,-8,IF(RASANTE!F262&lt;=PERALTE!$Z$10,(-6/(PERALTE!$X$10-PERALTE!$Z$10)*(RASANTE!F262-PERALTE!$Z$10)-2),IF(RASANTE!F262&lt;=PERALTE!$AB$10,-2))))),IF(AND(AH!$H$12="Izquierda",RASANTE!F262&lt;=PERALTE!$AB$10),IF(RASANTE!F262&lt;=PERALTE!$Q$10,-2,IF(RASANTE!F262&lt;=PERALTE!$U$10,(10/(PERALTE!$U$10-PERALTE!$Q$10)*(RASANTE!F262-PERALTE!$Q$10)-2),IF(RASANTE!F262&lt;=PERALTE!$X$10,8,IF(RASANTE!F262&lt;=PERALTE!$AB$10,(10/(PERALTE!$X$10-PERALTE!$AB$10)*(RASANTE!F262-PERALTE!$AB$10)-2))))),IF(AND(AH!$H$14="Derecha",RASANTE!F262&lt;=PERALTE!$AB$12),IF(RASANTE!F262&lt;=PERALTE!$S$12,-2,IF(RASANTE!F262&lt;=PERALTE!$U$12,(-6/(PERALTE!$U$12-PERALTE!$S$12)*(RASANTE!F262-PERALTE!$S$12)-2),IF(RASANTE!F262&lt;=PERALTE!$X$12,-8,IF(RASANTE!F262&lt;=PERALTE!$Z$12,(-6/(PERALTE!$X$12-PERALTE!$Z$12)*(RASANTE!F262-PERALTE!$Z$12)-2),IF(RASANTE!F262&lt;=PERALTE!$AB$12,-2))))),IF(AND(AH!$H$14="Izquierda",RASANTE!F262&lt;=PERALTE!$AB$12),IF(RASANTE!F262&lt;=PERALTE!$Q$12,-2,IF(RASANTE!F262&lt;=PERALTE!$U$12,(10/(PERALTE!$U$12-PERALTE!$Q$12)*(RASANTE!F262-PERALTE!$Q$12)-2),IF(RASANTE!F262&lt;=PERALTE!$X$12,8,IF(RASANTE!F262&lt;=PERALTE!$AB$12,(10/(PERALTE!$X$12-PERALTE!$AB$12)*(RASANTE!F262-PERALTE!$AB$12)-2))))),IF(AND(AH!$H$16="Derecha",RASANTE!F262&lt;=PERALTE!$AB$14),IF(RASANTE!F262&lt;=PERALTE!$S$14,-2,IF(RASANTE!F262&lt;=PERALTE!$U$14,(-6/(PERALTE!$U$14-PERALTE!$S$14)*(RASANTE!F262-PERALTE!$S$14)-2),IF(RASANTE!F262&lt;=PERALTE!$X$14,-8,IF(RASANTE!F262&lt;=PERALTE!$Z$14,(-6/(PERALTE!$X$14-PERALTE!$Z$14)*(RASANTE!F262-PERALTE!$Z$14)-2),IF(RASANTE!F262&lt;=PERALTE!$AB$14,-2))))),IF(AND(AH!$H$16="Izquierda",RASANTE!F262&lt;=PERALTE!$AB$14),IF(RASANTE!F262&lt;=PERALTE!$Q$14,-2,IF(RASANTE!F262&lt;=PERALTE!$U$14,(10/(PERALTE!$U$14-PERALTE!$Q$14)*(RASANTE!F262-PERALTE!$Q$14)-2),IF(RASANTE!F262&lt;=PERALTE!$X$14,8,IF(RASANTE!F262&lt;=PERALTE!$AB$14,(10/(PERALTE!$X$14-PERALTE!$AB$14)*(RASANTE!F262-PERALTE!$AB$14)-2))))),IF(AND(AH!$H$18="Derecha",RASANTE!F262&lt;=PERALTE!$AB$16),IF(RASANTE!F262&lt;=PERALTE!$S$16,-2,IF(RASANTE!F262&lt;=PERALTE!$U$16,(-6/(PERALTE!$U$16-PERALTE!$S$16)*(RASANTE!F262-PERALTE!$S$16)-2),IF(RASANTE!F262&lt;=PERALTE!$X$16,-8,IF(RASANTE!F262&lt;=PERALTE!$Z$16,(-6/(PERALTE!$X$16-PERALTE!$Z$16)*(RASANTE!F262-PERALTE!$Z$16)-2),IF(RASANTE!F262&lt;=PERALTE!$AB$16,-2))))),IF(AND(AH!$H$18="Izquierda",RASANTE!F262&lt;=PERALTE!$AB$16),IF(RASANTE!F262&lt;=PERALTE!$Q$16,-2,IF(RASANTE!F262&lt;=PERALTE!$U$16,(10/(PERALTE!$U$16-PERALTE!$Q$16)*(RASANTE!F262-PERALTE!$Q$16)-2),IF(RASANTE!F262&lt;=PERALTE!$X$16,8,IF(RASANTE!F262&lt;=PERALTE!$AB$16,(10/(PERALTE!$X$16-PERALTE!$AB$16)*(RASANTE!F262-PERALTE!$AB$16)-2))))),IF(AND(AH!$H$20="Derecha",RASANTE!F262&lt;=PERALTE!$AB$18),IF(RASANTE!F262&lt;=PERALTE!$S$18,-2,IF(RASANTE!F262&lt;=PERALTE!$U$18,(-6/(PERALTE!$U$18-PERALTE!$S$18)*(RASANTE!F262-PERALTE!$S$18)-2),IF(RASANTE!F262&lt;=PERALTE!$X$18,-8,IF(RASANTE!F262&lt;=PERALTE!$Z$18,(-6/(PERALTE!$X$18-PERALTE!$Z$18)*(RASANTE!F262-PERALTE!$Z$18)-2),IF(RASANTE!F262&lt;=PERALTE!$AB$18,-2))))),IF(AND(AH!$H$20="Izquierda",RASANTE!F262&lt;=PERALTE!$AB$18),IF(RASANTE!F262&lt;=PERALTE!$Q$18,-2,IF(RASANTE!F262&lt;=PERALTE!$U$18,(10/(PERALTE!$U$18-PERALTE!$Q$18)*(RASANTE!F262-PERALTE!$Q$18)-2),IF(RASANTE!F262&lt;=PERALTE!$X$18,8,IF(RASANTE!F262&lt;=PERALTE!$AB$18,(10/(PERALTE!$X$18-PERALTE!$AB$18)*(RASANTE!F262-PERALTE!$AB$18)-2))))),IF(AND(AH!$H$24="Derecha",RASANTE!F262&lt;=PERALTE!$AB$22),IF(RASANTE!F262&lt;=PERALTE!$S$22,-2,IF(RASANTE!F262&lt;=PERALTE!$U$22,(-6/(PERALTE!$U$22-PERALTE!$S$22)*(RASANTE!F262-PERALTE!$S$22)-2),IF(RASANTE!F262&lt;=PERALTE!$X$22,-8,IF(RASANTE!F262&lt;=PERALTE!$Z$22,(-6/(PERALTE!$X$22-PERALTE!$Z$22)*(RASANTE!F262-PERALTE!$Z$22)-2),IF(RASANTE!F262&lt;=PERALTE!$AB$22,-2))))),IF(AND(AH!$H$24="Izquierda",RASANTE!F262&lt;=PERALTE!$AB$22),IF(RASANTE!F262&lt;=PERALTE!$Q$22,-2,IF(RASANTE!F262&lt;=PERALTE!$U$22,(10/(PERALTE!$U$22-PERALTE!$Q$22)*(RASANTE!F262-PERALTE!$Q$22)-2),IF(RASANTE!F262&lt;=PERALTE!$X$22,8,IF(RASANTE!F262&lt;=PERALTE!$AB$22,(10/(PERALTE!$X$22-PERALTE!$AB$22)*(RASANTE!F262-PERALTE!$AB$22)-2))))),IF(AND(AH!#REF!="Derecha",RASANTE!F262&lt;=PERALTE!#REF!),IF(RASANTE!F262&lt;=PERALTE!#REF!,-2,IF(RASANTE!F262&lt;=PERALTE!#REF!,(-6/(PERALTE!#REF!-PERALTE!#REF!)*(RASANTE!F262-PERALTE!#REF!)-2),IF(RASANTE!F262&lt;=PERALTE!#REF!,-8,IF(RASANTE!F262&lt;=PERALTE!#REF!,(-6/(PERALTE!#REF!-PERALTE!#REF!)*(RASANTE!F262-PERALTE!#REF!)-2),IF(RASANTE!F262&lt;=PERALTE!#REF!,-2))))),IF(AND(AH!#REF!="Izquierda",RASANTE!F262&lt;=PERALTE!#REF!),IF(RASANTE!F262&lt;=PERALTE!#REF!,-2,IF(RASANTE!F262&lt;=PERALTE!#REF!,(10/(PERALTE!#REF!-PERALTE!#REF!)*(RASANTE!F262-PERALTE!#REF!)-2),IF(RASANTE!F262&lt;=PERALTE!#REF!,8,IF(RASANTE!F262&lt;=PERALTE!#REF!,(10/(PERALTE!#REF!-PERALTE!#REF!)*(RASANTE!F262-PERALTE!#REF!)-2))))),IF(AND(AH!#REF!="Derecha",RASANTE!F262&lt;=PERALTE!$AB$26),IF(RASANTE!F262&lt;=PERALTE!$S$26,-2,IF(RASANTE!F262&lt;=PERALTE!$U$26,(-6/(PERALTE!$U$26-PERALTE!$S$26)*(RASANTE!F262-PERALTE!$S$26)-2),IF(RASANTE!F262&lt;=PERALTE!$X$26,-8,IF(RASANTE!F262&lt;=PERALTE!$Z$26,(-6/(PERALTE!$X$26-PERALTE!$Z$26)*(RASANTE!F262-PERALTE!$Z$26)-2),IF(RASANTE!F262&lt;=PERALTE!$AB$26,-2))))),IF(AND(AH!#REF!="Izquierda",RASANTE!F262&lt;=PERALTE!$AB$26),IF(RASANTE!F262&lt;=PERALTE!$Q$26,-2,IF(RASANTE!F262&lt;=PERALTE!$U$26,(10/(PERALTE!$U$26-PERALTE!$Q$26)*(RASANTE!F262-PERALTE!$Q$26)-2),IF(RASANTE!F262&lt;=PERALTE!$X$26,8,IF(RASANTE!F262&lt;=PERALTE!$AB$26,(10/(PERALTE!$X$26-PERALTE!$AB$26)*(RASANTE!F262-PERALTE!$AB$26)-2))))),IF(F262&lt;=PERALTE!#REF!,-2,"Abscisa fuera de la vía")))))))))))))))))))))</f>
        <v>-2</v>
      </c>
      <c r="J268" s="28">
        <f t="shared" si="13"/>
        <v>1638.2865284648979</v>
      </c>
      <c r="K268" s="28">
        <f>+IF(AND(AV!$S$6&lt;F268,F268&lt;=AV!$T$6),AV!$P$6*((AV!$S$6-RASANTE!F268)/(AV!$N$6))^2,IF(AND(AV!$T$6&lt;RASANTE!F268,F268&lt;AV!$U$6),AV!$P$6*((AV!$U$6-RASANTE!F268)/(AV!$O$6))^2,IF(AND(AV!$S$8&lt;F268,F268&lt;=AV!$T$8),AV!$P$8*((AV!$S$8-RASANTE!F268)/(AV!$N$8))^2,IF(AND(AV!$T$8&lt;RASANTE!F268,F268&lt;AV!$U$8),AV!$P$8*((AV!$U$8-RASANTE!F268)/(AV!$O$8))^2,IF(AND(AV!$S$10&lt;F268,F268&lt;=AV!$T$10),AV!$P$10*((AV!$S$10-RASANTE!F268)/(AV!$N$10))^2,IF(AND(AV!$T$10&lt;RASANTE!F268,F268&lt;AV!$U$10),AV!$P$10*((AV!$U$10-RASANTE!F268)/(AV!$O$10))^2,IF(AND(AV!$S$12&lt;F268,F268&lt;=AV!$T$12),AV!$P$12*((AV!$S$12-RASANTE!F268)/(AV!$N$12))^2,IF(AND(AV!$T$12&lt;RASANTE!F268,F268&lt;AV!$U$12),AV!$P$12*((AV!$U$12-RASANTE!F268)/(AV!$O$12))^2,IF(AND(AV!$S$14&lt;F268,F268&lt;=AV!$T$14),AV!$P$14*((AV!$S$14-RASANTE!F268)/(AV!$N$14))^2,IF(AND(AV!$T$14&lt;RASANTE!F268,F268&lt;AV!$U$14),AV!$P$14*((AV!$U$14-RASANTE!F268)/(AV!$O$14))^2,IF(AND(AV!$S$16&lt;F268,F268&lt;=AV!$T$16),AV!$P$16*((AV!$S$16-RASANTE!F268)/(AV!$N$16))^2,IF(AND(AV!$T$16&lt;RASANTE!F268,F268&lt;AV!$U$16),AV!$P$16*((AV!$U$16-RASANTE!F268)/(AV!$O$16))^2,IF(AND(AV!$S$18&lt;F268,F268&lt;=AV!$T$18),AV!$P$18*((AV!$S$18-RASANTE!F268)/(AV!$N$18))^2,IF(AND(AV!$T$18&lt;RASANTE!F268,F268&lt;AV!$U$18),AV!$P$18*((AV!$U$18-RASANTE!F268)/(AV!$O$18))^2,IF(AND(AV!$S$20&lt;F268,F268&lt;=AV!$T$20),AV!$P$20*((AV!$S$20-RASANTE!F268)/(AV!$N$20))^2,IF(AND(AV!$T$20&lt;RASANTE!F268,F268&lt;AV!$U$20),AV!$P$20*((AV!$U$20-RASANTE!F268)/(AV!$O$20))^2,IF(AND(AV!$S$22&lt;F268,F268&lt;=AV!$T$22),AV!$P$22*((AV!$S$22-RASANTE!F268)/(AV!$N$22))^2,IF(AND(AV!$T$22&lt;RASANTE!F268,F268&lt;AV!$U$22),AV!$P$22*((AV!$U$22-RASANTE!F268)/(AV!$O$22))^2,IF(AND(AV!$S$24&lt;F268,F268&lt;=AV!$T$24),AV!$P$24*((AV!$S$24-RASANTE!F268)/(AV!$N$24))^2,IF(AND(AV!$T$24&lt;RASANTE!F268,F268&lt;AV!$U$24),AV!$P$24*((AV!$U$24-RASANTE!F268)/(AV!$O$24))^2,0))))))))))))))))))))</f>
        <v>0</v>
      </c>
      <c r="L268" s="28">
        <f>+M268+H268%*PERALTE!$C$32</f>
        <v>1638.2165284648979</v>
      </c>
      <c r="M268" s="28">
        <f t="shared" si="12"/>
        <v>1638.2865284648979</v>
      </c>
      <c r="N268" s="28">
        <f>+M268+I268%*PERALTE!$C$32</f>
        <v>1638.2165284648979</v>
      </c>
      <c r="O268" s="92"/>
      <c r="P268" s="84"/>
      <c r="Q268" s="84"/>
      <c r="R268" s="84"/>
      <c r="S268" s="84"/>
      <c r="T268" s="84"/>
      <c r="U268" s="84"/>
      <c r="V268" s="84"/>
      <c r="W268" s="84"/>
      <c r="X268" s="84"/>
      <c r="Y268" s="84"/>
    </row>
    <row r="269" spans="1:25" ht="15.75" customHeight="1" x14ac:dyDescent="0.2">
      <c r="A269" s="322"/>
      <c r="B269" s="86"/>
      <c r="C269" s="86"/>
      <c r="D269" s="86"/>
      <c r="E269" s="91"/>
      <c r="F269" s="318">
        <v>1620</v>
      </c>
      <c r="G269" s="88">
        <v>5.4480000000000004</v>
      </c>
      <c r="H269" s="28">
        <f>+IF(AND(AH!$H$8="Izquierda",RASANTE!F208&lt;=PERALTE!$AB$6),IF(RASANTE!F208&lt;=PERALTE!$S$6,-2,IF(RASANTE!F208&lt;=PERALTE!$U$6,(-6/(PERALTE!$U$6-PERALTE!$S$6)*(RASANTE!F208-PERALTE!$S$6)-2),IF(RASANTE!F208&lt;=PERALTE!$X$6,-8,IF(RASANTE!F208&lt;=PERALTE!$Z$6,(-6/(PERALTE!$X$6-PERALTE!$Z$6)*(RASANTE!F208-PERALTE!$Z$6)-2),IF(RASANTE!F208&lt;=PERALTE!$AB$6,-2))))),IF(AND(AH!$H$8="Derecha",RASANTE!F208&lt;=PERALTE!$AB$6),IF(RASANTE!F208&lt;=PERALTE!$Q$6,-2,IF(RASANTE!F208&lt;=PERALTE!$U$6,(10/(PERALTE!$U$6-PERALTE!$Q$6)*(RASANTE!F208-PERALTE!$Q$6)-2),IF(RASANTE!F208&lt;=PERALTE!$X$6,8,IF(RASANTE!F208&lt;=PERALTE!$AB$6,(10/(PERALTE!$X$6-PERALTE!$AB$6)*(RASANTE!F208-PERALTE!$AB$6)-2))))),IF(AND(AH!$H$10="Izquierda",RASANTE!F208&lt;=PERALTE!$AB$8),IF(RASANTE!F208&lt;=PERALTE!$S$8,-2,IF(RASANTE!F208&lt;=PERALTE!$U$8,(-6/(PERALTE!$U$8-PERALTE!$S$8)*(RASANTE!F208-PERALTE!$S$8)-2),IF(RASANTE!F208&lt;=PERALTE!$X$8,-8,IF(RASANTE!F208&lt;=PERALTE!$Z$8,(-6/(PERALTE!$X$8-PERALTE!$Z$8)*(RASANTE!F208-PERALTE!$Z$8)-2),IF(RASANTE!F208&lt;=PERALTE!$AB$8,-2))))),IF(AND(AH!$H$10="Derecha",RASANTE!F208&lt;=PERALTE!$AB$8),IF(RASANTE!F208&lt;=PERALTE!$Q$8,-2,IF(RASANTE!F208&lt;=PERALTE!$U$8,(10/(PERALTE!$U$8-PERALTE!$Q$8)*(RASANTE!F208-PERALTE!$Q$8)-2),IF(RASANTE!F208&lt;=PERALTE!$X$8,8,IF(RASANTE!F208&lt;=PERALTE!$AB$8,(10/(PERALTE!$X$8-PERALTE!$AB$8)*(RASANTE!F208-PERALTE!$AB$8)-2))))),IF(AND(AH!$H$12="Izquierda",RASANTE!F208&lt;=PERALTE!$AB$10),IF(RASANTE!F208&lt;=PERALTE!$S$10,-2,IF(RASANTE!F208&lt;=PERALTE!$U$10,(-6/(PERALTE!$U$10-PERALTE!$S$10)*(RASANTE!F208-PERALTE!$S$10)-2),IF(RASANTE!F208&lt;=PERALTE!$X$10,-8,IF(RASANTE!F208&lt;=PERALTE!$Z$10,(-6/(PERALTE!$X$10-PERALTE!$Z$10)*(RASANTE!F208-PERALTE!$Z$10)-2),IF(RASANTE!F208&lt;=PERALTE!$AB$10,-2))))),IF(AND(AH!$H$12="Derecha",RASANTE!F208&lt;=PERALTE!$AB$10),IF(RASANTE!F208&lt;=PERALTE!$Q$10,-2,IF(RASANTE!F208&lt;=PERALTE!$U$10,(10/(PERALTE!$U$10-PERALTE!$Q$10)*(RASANTE!F208-PERALTE!$Q$10)-2),IF(RASANTE!F208&lt;=PERALTE!$X$10,8,IF(RASANTE!F208&lt;=PERALTE!$AB$10,(10/(PERALTE!$X$10-PERALTE!$AB$10)*(RASANTE!F208-PERALTE!$AB$10)-2))))),IF(AND(AH!$H$14="Izquierda",RASANTE!F208&lt;=PERALTE!$AB$12),IF(RASANTE!F208&lt;=PERALTE!$S$12,-2,IF(RASANTE!F208&lt;=PERALTE!$U$12,(-6/(PERALTE!$U$12-PERALTE!$S$12)*(RASANTE!F208-PERALTE!$S$12)-2),IF(RASANTE!F208&lt;=PERALTE!$X$12,-8,IF(RASANTE!F208&lt;=PERALTE!$Z$12,(-6/(PERALTE!$X$12-PERALTE!$Z$12)*(RASANTE!F208-PERALTE!$Z$12)-2),IF(RASANTE!F208&lt;=PERALTE!$AB$12,-2))))),IF(AND(AH!$H$14="Derecha",RASANTE!F208&lt;=PERALTE!$AB$12),IF(RASANTE!F208&lt;=PERALTE!$Q$12,-2,IF(RASANTE!F208&lt;=PERALTE!$U$12,(10/(PERALTE!$U$12-PERALTE!$Q$12)*(RASANTE!F208-PERALTE!$Q$12)-2),IF(RASANTE!F208&lt;=PERALTE!$X$12,8,IF(RASANTE!F208&lt;=PERALTE!$AB$12,(10/(PERALTE!$X$12-PERALTE!$AB$12)*(RASANTE!F208-PERALTE!$AB$12)-2))))),IF(AND(AH!$H$16="Izquierda",RASANTE!F208&lt;=PERALTE!$AB$14),IF(RASANTE!F208&lt;=PERALTE!$S$14,-2,IF(RASANTE!F208&lt;=PERALTE!$U$14,(-6/(PERALTE!$U$14-PERALTE!$S$14)*(RASANTE!F208-PERALTE!$S$14)-2),IF(RASANTE!F208&lt;=PERALTE!$X$14,-8,IF(RASANTE!F208&lt;=PERALTE!$Z$14,(-6/(PERALTE!$X$14-PERALTE!$Z$14)*(RASANTE!F208-PERALTE!$Z$14)-2),IF(RASANTE!F208&lt;=PERALTE!$AB$14,-2))))),IF(AND(AH!$H$16="Derecha",RASANTE!F208&lt;=PERALTE!$AB$14),IF(RASANTE!F208&lt;=PERALTE!$Q$14,-2,IF(RASANTE!F208&lt;=PERALTE!$U$14,(10/(PERALTE!$U$14-PERALTE!$Q$14)*(RASANTE!F208-PERALTE!$Q$14)-2),IF(RASANTE!F208&lt;=PERALTE!$X$14,8,IF(RASANTE!F208&lt;=PERALTE!$AB$14,(10/(PERALTE!$X$14-PERALTE!$AB$14)*(RASANTE!F208-PERALTE!$AB$14)-2))))),IF(AND(AH!$H$18="Izquierda",RASANTE!F208&lt;=PERALTE!$AB$16),IF(RASANTE!F208&lt;=PERALTE!$S$16,-2,IF(RASANTE!F208&lt;=PERALTE!$U$16,(-6/(PERALTE!$U$16-PERALTE!$S$16)*(RASANTE!F208-PERALTE!$S$16)-2),IF(RASANTE!F208&lt;=PERALTE!$X$16,-8,IF(RASANTE!F208&lt;=PERALTE!$Z$16,(-6/(PERALTE!$X$16-PERALTE!$Z$16)*(RASANTE!F208-PERALTE!$Z$16)-2),IF(RASANTE!F208&lt;=PERALTE!$AB$16,-2))))),IF(AND(AH!$H$18="Derecha",RASANTE!F208&lt;=PERALTE!$AB$16),IF(RASANTE!F208&lt;=PERALTE!$Q$16,-2,IF(RASANTE!F208&lt;=PERALTE!$U$16,(10/(PERALTE!$U$16-PERALTE!$Q$16)*(RASANTE!F208-PERALTE!$Q$16)-2),IF(RASANTE!F208&lt;=PERALTE!$X$16,8,IF(RASANTE!F208&lt;=PERALTE!$AB$16,(10/(PERALTE!$X$16-PERALTE!$AB$16)*(RASANTE!F208-PERALTE!$AB$16)-2))))),IF(AND(AH!$H$20="Izquierda",RASANTE!F208&lt;=PERALTE!$AB$18),IF(RASANTE!F208&lt;=PERALTE!$S$18,-2,IF(RASANTE!F208&lt;=PERALTE!$U$18,(-6/(PERALTE!$U$18-PERALTE!$S$18)*(RASANTE!F208-PERALTE!$S$18)-2),IF(RASANTE!F208&lt;=PERALTE!$X$18,-8,IF(RASANTE!F208&lt;=PERALTE!$Z$18,(-6/(PERALTE!$X$18-PERALTE!$Z$18)*(RASANTE!F208-PERALTE!$Z$18)-2),IF(RASANTE!F208&lt;=PERALTE!$AB$18,-2))))),IF(AND(AH!$H$20="Derecha",RASANTE!F208&lt;=PERALTE!$AB$18),IF(RASANTE!F208&lt;=PERALTE!$Q$18,-2,IF(RASANTE!F208&lt;=PERALTE!$U$18,(10/(PERALTE!$U$18-PERALTE!$Q$18)*(RASANTE!F208-PERALTE!$Q$18)-2),IF(RASANTE!F208&lt;=PERALTE!$X$18,8,IF(RASANTE!F208&lt;=PERALTE!$AB$18,(10/(PERALTE!$X$18-PERALTE!$AB$18)*(RASANTE!F208-PERALTE!$AB$18)-2))))),IF(AND(AH!$H$24="Izquierda",RASANTE!F208&lt;=PERALTE!$AB$22),IF(RASANTE!F208&lt;=PERALTE!$S$22,-2,IF(RASANTE!F208&lt;=PERALTE!$U$22,(-6/(PERALTE!$U$22-PERALTE!$S$22)*(RASANTE!F208-PERALTE!$S$22)-2),IF(RASANTE!F208&lt;=PERALTE!$X$22,-8,IF(RASANTE!F208&lt;=PERALTE!$Z$22,(-6/(PERALTE!$X$22-PERALTE!$Z$22)*(RASANTE!F208-PERALTE!$Z$22)-2),IF(RASANTE!F208&lt;=PERALTE!$AB$22,-2))))),IF(AND(AH!$H$24="Derecha",RASANTE!F208&lt;=PERALTE!$AB$22),IF(RASANTE!F208&lt;=PERALTE!$Q$22,-2,IF(RASANTE!F208&lt;=PERALTE!$U$22,(10/(PERALTE!$U$22-PERALTE!$Q$22)*(RASANTE!F208-PERALTE!$Q$22)-2),IF(RASANTE!F208&lt;=PERALTE!$X$22,8,IF(RASANTE!F208&lt;=PERALTE!$AB$22,(10/(PERALTE!$X$22-PERALTE!$AB$22)*(RASANTE!F208-PERALTE!$AB$22)-2))))),IF(AND(AH!#REF!="Izquierda",RASANTE!F208&lt;=PERALTE!#REF!),IF(RASANTE!F208&lt;=PERALTE!#REF!,-2,IF(RASANTE!F208&lt;=PERALTE!#REF!,(-6/(PERALTE!#REF!-PERALTE!#REF!)*(RASANTE!F208-PERALTE!#REF!)-2),IF(RASANTE!F208&lt;=PERALTE!#REF!,-8,IF(RASANTE!F208&lt;=PERALTE!#REF!,(-6/(PERALTE!#REF!-PERALTE!#REF!)*(RASANTE!F208-PERALTE!#REF!)-2),IF(RASANTE!F208&lt;=PERALTE!#REF!,-2))))),IF(AND(AH!#REF!="Derecha",RASANTE!F208&lt;=PERALTE!#REF!),IF(RASANTE!F208&lt;=PERALTE!#REF!,-2,IF(RASANTE!F208&lt;=PERALTE!#REF!,(10/(PERALTE!#REF!-PERALTE!#REF!)*(RASANTE!F208-PERALTE!#REF!)-2),IF(RASANTE!F208&lt;=PERALTE!#REF!,8,IF(RASANTE!F208&lt;=PERALTE!#REF!,(10/(PERALTE!#REF!-PERALTE!#REF!)*(RASANTE!F208-PERALTE!#REF!)-2))))),IF(AND(AH!#REF!="Izquierda",RASANTE!F208&lt;=PERALTE!$AB$26),IF(RASANTE!F208&lt;=PERALTE!$S$26,-2,IF(RASANTE!F208&lt;=PERALTE!$U$26,(-6/(PERALTE!$U$26-PERALTE!$S$26)*(RASANTE!F208-PERALTE!$S$26)-2),IF(RASANTE!F208&lt;=PERALTE!$X$26,-8,IF(RASANTE!F208&lt;=PERALTE!$Z$26,(-6/(PERALTE!$X$26-PERALTE!$Z$26)*(RASANTE!F208-PERALTE!$Z$26)-2),IF(RASANTE!F208&lt;=PERALTE!$AB$26,-2))))),IF(AND(AH!#REF!="Derecha",RASANTE!F208&lt;=PERALTE!$AB$26),IF(RASANTE!F208&lt;=PERALTE!$Q$26,-2,IF(RASANTE!F208&lt;=PERALTE!$U$26,(10/(PERALTE!$U$26-PERALTE!$Q$26)*(RASANTE!F208-PERALTE!$Q$26)-2),IF(RASANTE!F208&lt;=PERALTE!$X$26,8,IF(RASANTE!F208&lt;=PERALTE!$AB$26,(10/(PERALTE!$X$26-PERALTE!$AB$26)*(RASANTE!F208-PERALTE!$AB$26)-2))))),IF(F208&lt;=PERALTE!#REF!,-2,"Abscisa fuera de la vía")))))))))))))))))))))</f>
        <v>-2</v>
      </c>
      <c r="I269" s="28">
        <f>+IF(AND(AH!$H$8="Derecha",RASANTE!F263&lt;=PERALTE!$AB$6),IF(RASANTE!F263&lt;=PERALTE!$S$6,-2,IF(RASANTE!F263&lt;=PERALTE!$U$6,(-6/(PERALTE!$U$6-PERALTE!$S$6)*(RASANTE!F263-PERALTE!$S$6)-2),IF(RASANTE!F263&lt;=PERALTE!$X$6,-8,IF(RASANTE!F263&lt;=PERALTE!$Z$6,(-6/(PERALTE!$X$6-PERALTE!$Z$6)*(RASANTE!F263-PERALTE!$Z$6)-2),IF(RASANTE!F263&lt;=PERALTE!$AB$6,-2))))),IF(AND(AH!$H$8="Izquierda",RASANTE!F263&lt;=PERALTE!$AB$6),IF(RASANTE!F263&lt;=PERALTE!$Q$6,-2,IF(RASANTE!F263&lt;=PERALTE!$U$6,(10/(PERALTE!$U$6-PERALTE!$Q$6)*(RASANTE!F263-PERALTE!$Q$6)-2),IF(RASANTE!F263&lt;=PERALTE!$X$6,8,IF(RASANTE!F263&lt;=PERALTE!$AB$6,(10/(PERALTE!$X$6-PERALTE!$AB$6)*(RASANTE!F263-PERALTE!$AB$6)-2))))),IF(AND(AH!$H$10="Derecha",RASANTE!F263&lt;=PERALTE!$AB$8),IF(RASANTE!F263&lt;=PERALTE!$S$8,-2,IF(RASANTE!F263&lt;=PERALTE!$U$8,(-6/(PERALTE!$U$8-PERALTE!$S$8)*(RASANTE!F263-PERALTE!$S$8)-2),IF(RASANTE!F263&lt;=PERALTE!$X$8,-8,IF(RASANTE!F263&lt;=PERALTE!$Z$8,(-6/(PERALTE!$X$8-PERALTE!$Z$8)*(RASANTE!F263-PERALTE!$Z$8)-2),IF(RASANTE!F263&lt;=PERALTE!$AB$8,-2))))),IF(AND(AH!$H$10="Izquierda",RASANTE!F263&lt;=PERALTE!$AB$8),IF(RASANTE!F263&lt;=PERALTE!$Q$8,-2,IF(RASANTE!F263&lt;=PERALTE!$U$8,(10/(PERALTE!$U$8-PERALTE!$Q$8)*(RASANTE!F263-PERALTE!$Q$8)-2),IF(RASANTE!F263&lt;=PERALTE!$X$8,8,IF(RASANTE!F263&lt;=PERALTE!$AB$8,(10/(PERALTE!$X$8-PERALTE!$AB$8)*(RASANTE!F263-PERALTE!$AB$8)-2))))),IF(AND(AH!$H$12="Derecha",RASANTE!F263&lt;=PERALTE!$AB$10),IF(RASANTE!F263&lt;=PERALTE!$S$10,-2,IF(RASANTE!F263&lt;=PERALTE!$U$10,(-6/(PERALTE!$U$10-PERALTE!$S$10)*(RASANTE!F263-PERALTE!$S$10)-2),IF(RASANTE!F263&lt;=PERALTE!$X$10,-8,IF(RASANTE!F263&lt;=PERALTE!$Z$10,(-6/(PERALTE!$X$10-PERALTE!$Z$10)*(RASANTE!F263-PERALTE!$Z$10)-2),IF(RASANTE!F263&lt;=PERALTE!$AB$10,-2))))),IF(AND(AH!$H$12="Izquierda",RASANTE!F263&lt;=PERALTE!$AB$10),IF(RASANTE!F263&lt;=PERALTE!$Q$10,-2,IF(RASANTE!F263&lt;=PERALTE!$U$10,(10/(PERALTE!$U$10-PERALTE!$Q$10)*(RASANTE!F263-PERALTE!$Q$10)-2),IF(RASANTE!F263&lt;=PERALTE!$X$10,8,IF(RASANTE!F263&lt;=PERALTE!$AB$10,(10/(PERALTE!$X$10-PERALTE!$AB$10)*(RASANTE!F263-PERALTE!$AB$10)-2))))),IF(AND(AH!$H$14="Derecha",RASANTE!F263&lt;=PERALTE!$AB$12),IF(RASANTE!F263&lt;=PERALTE!$S$12,-2,IF(RASANTE!F263&lt;=PERALTE!$U$12,(-6/(PERALTE!$U$12-PERALTE!$S$12)*(RASANTE!F263-PERALTE!$S$12)-2),IF(RASANTE!F263&lt;=PERALTE!$X$12,-8,IF(RASANTE!F263&lt;=PERALTE!$Z$12,(-6/(PERALTE!$X$12-PERALTE!$Z$12)*(RASANTE!F263-PERALTE!$Z$12)-2),IF(RASANTE!F263&lt;=PERALTE!$AB$12,-2))))),IF(AND(AH!$H$14="Izquierda",RASANTE!F263&lt;=PERALTE!$AB$12),IF(RASANTE!F263&lt;=PERALTE!$Q$12,-2,IF(RASANTE!F263&lt;=PERALTE!$U$12,(10/(PERALTE!$U$12-PERALTE!$Q$12)*(RASANTE!F263-PERALTE!$Q$12)-2),IF(RASANTE!F263&lt;=PERALTE!$X$12,8,IF(RASANTE!F263&lt;=PERALTE!$AB$12,(10/(PERALTE!$X$12-PERALTE!$AB$12)*(RASANTE!F263-PERALTE!$AB$12)-2))))),IF(AND(AH!$H$16="Derecha",RASANTE!F263&lt;=PERALTE!$AB$14),IF(RASANTE!F263&lt;=PERALTE!$S$14,-2,IF(RASANTE!F263&lt;=PERALTE!$U$14,(-6/(PERALTE!$U$14-PERALTE!$S$14)*(RASANTE!F263-PERALTE!$S$14)-2),IF(RASANTE!F263&lt;=PERALTE!$X$14,-8,IF(RASANTE!F263&lt;=PERALTE!$Z$14,(-6/(PERALTE!$X$14-PERALTE!$Z$14)*(RASANTE!F263-PERALTE!$Z$14)-2),IF(RASANTE!F263&lt;=PERALTE!$AB$14,-2))))),IF(AND(AH!$H$16="Izquierda",RASANTE!F263&lt;=PERALTE!$AB$14),IF(RASANTE!F263&lt;=PERALTE!$Q$14,-2,IF(RASANTE!F263&lt;=PERALTE!$U$14,(10/(PERALTE!$U$14-PERALTE!$Q$14)*(RASANTE!F263-PERALTE!$Q$14)-2),IF(RASANTE!F263&lt;=PERALTE!$X$14,8,IF(RASANTE!F263&lt;=PERALTE!$AB$14,(10/(PERALTE!$X$14-PERALTE!$AB$14)*(RASANTE!F263-PERALTE!$AB$14)-2))))),IF(AND(AH!$H$18="Derecha",RASANTE!F263&lt;=PERALTE!$AB$16),IF(RASANTE!F263&lt;=PERALTE!$S$16,-2,IF(RASANTE!F263&lt;=PERALTE!$U$16,(-6/(PERALTE!$U$16-PERALTE!$S$16)*(RASANTE!F263-PERALTE!$S$16)-2),IF(RASANTE!F263&lt;=PERALTE!$X$16,-8,IF(RASANTE!F263&lt;=PERALTE!$Z$16,(-6/(PERALTE!$X$16-PERALTE!$Z$16)*(RASANTE!F263-PERALTE!$Z$16)-2),IF(RASANTE!F263&lt;=PERALTE!$AB$16,-2))))),IF(AND(AH!$H$18="Izquierda",RASANTE!F263&lt;=PERALTE!$AB$16),IF(RASANTE!F263&lt;=PERALTE!$Q$16,-2,IF(RASANTE!F263&lt;=PERALTE!$U$16,(10/(PERALTE!$U$16-PERALTE!$Q$16)*(RASANTE!F263-PERALTE!$Q$16)-2),IF(RASANTE!F263&lt;=PERALTE!$X$16,8,IF(RASANTE!F263&lt;=PERALTE!$AB$16,(10/(PERALTE!$X$16-PERALTE!$AB$16)*(RASANTE!F263-PERALTE!$AB$16)-2))))),IF(AND(AH!$H$20="Derecha",RASANTE!F263&lt;=PERALTE!$AB$18),IF(RASANTE!F263&lt;=PERALTE!$S$18,-2,IF(RASANTE!F263&lt;=PERALTE!$U$18,(-6/(PERALTE!$U$18-PERALTE!$S$18)*(RASANTE!F263-PERALTE!$S$18)-2),IF(RASANTE!F263&lt;=PERALTE!$X$18,-8,IF(RASANTE!F263&lt;=PERALTE!$Z$18,(-6/(PERALTE!$X$18-PERALTE!$Z$18)*(RASANTE!F263-PERALTE!$Z$18)-2),IF(RASANTE!F263&lt;=PERALTE!$AB$18,-2))))),IF(AND(AH!$H$20="Izquierda",RASANTE!F263&lt;=PERALTE!$AB$18),IF(RASANTE!F263&lt;=PERALTE!$Q$18,-2,IF(RASANTE!F263&lt;=PERALTE!$U$18,(10/(PERALTE!$U$18-PERALTE!$Q$18)*(RASANTE!F263-PERALTE!$Q$18)-2),IF(RASANTE!F263&lt;=PERALTE!$X$18,8,IF(RASANTE!F263&lt;=PERALTE!$AB$18,(10/(PERALTE!$X$18-PERALTE!$AB$18)*(RASANTE!F263-PERALTE!$AB$18)-2))))),IF(AND(AH!$H$24="Derecha",RASANTE!F263&lt;=PERALTE!$AB$22),IF(RASANTE!F263&lt;=PERALTE!$S$22,-2,IF(RASANTE!F263&lt;=PERALTE!$U$22,(-6/(PERALTE!$U$22-PERALTE!$S$22)*(RASANTE!F263-PERALTE!$S$22)-2),IF(RASANTE!F263&lt;=PERALTE!$X$22,-8,IF(RASANTE!F263&lt;=PERALTE!$Z$22,(-6/(PERALTE!$X$22-PERALTE!$Z$22)*(RASANTE!F263-PERALTE!$Z$22)-2),IF(RASANTE!F263&lt;=PERALTE!$AB$22,-2))))),IF(AND(AH!$H$24="Izquierda",RASANTE!F263&lt;=PERALTE!$AB$22),IF(RASANTE!F263&lt;=PERALTE!$Q$22,-2,IF(RASANTE!F263&lt;=PERALTE!$U$22,(10/(PERALTE!$U$22-PERALTE!$Q$22)*(RASANTE!F263-PERALTE!$Q$22)-2),IF(RASANTE!F263&lt;=PERALTE!$X$22,8,IF(RASANTE!F263&lt;=PERALTE!$AB$22,(10/(PERALTE!$X$22-PERALTE!$AB$22)*(RASANTE!F263-PERALTE!$AB$22)-2))))),IF(AND(AH!#REF!="Derecha",RASANTE!F263&lt;=PERALTE!#REF!),IF(RASANTE!F263&lt;=PERALTE!#REF!,-2,IF(RASANTE!F263&lt;=PERALTE!#REF!,(-6/(PERALTE!#REF!-PERALTE!#REF!)*(RASANTE!F263-PERALTE!#REF!)-2),IF(RASANTE!F263&lt;=PERALTE!#REF!,-8,IF(RASANTE!F263&lt;=PERALTE!#REF!,(-6/(PERALTE!#REF!-PERALTE!#REF!)*(RASANTE!F263-PERALTE!#REF!)-2),IF(RASANTE!F263&lt;=PERALTE!#REF!,-2))))),IF(AND(AH!#REF!="Izquierda",RASANTE!F263&lt;=PERALTE!#REF!),IF(RASANTE!F263&lt;=PERALTE!#REF!,-2,IF(RASANTE!F263&lt;=PERALTE!#REF!,(10/(PERALTE!#REF!-PERALTE!#REF!)*(RASANTE!F263-PERALTE!#REF!)-2),IF(RASANTE!F263&lt;=PERALTE!#REF!,8,IF(RASANTE!F263&lt;=PERALTE!#REF!,(10/(PERALTE!#REF!-PERALTE!#REF!)*(RASANTE!F263-PERALTE!#REF!)-2))))),IF(AND(AH!#REF!="Derecha",RASANTE!F263&lt;=PERALTE!$AB$26),IF(RASANTE!F263&lt;=PERALTE!$S$26,-2,IF(RASANTE!F263&lt;=PERALTE!$U$26,(-6/(PERALTE!$U$26-PERALTE!$S$26)*(RASANTE!F263-PERALTE!$S$26)-2),IF(RASANTE!F263&lt;=PERALTE!$X$26,-8,IF(RASANTE!F263&lt;=PERALTE!$Z$26,(-6/(PERALTE!$X$26-PERALTE!$Z$26)*(RASANTE!F263-PERALTE!$Z$26)-2),IF(RASANTE!F263&lt;=PERALTE!$AB$26,-2))))),IF(AND(AH!#REF!="Izquierda",RASANTE!F263&lt;=PERALTE!$AB$26),IF(RASANTE!F263&lt;=PERALTE!$Q$26,-2,IF(RASANTE!F263&lt;=PERALTE!$U$26,(10/(PERALTE!$U$26-PERALTE!$Q$26)*(RASANTE!F263-PERALTE!$Q$26)-2),IF(RASANTE!F263&lt;=PERALTE!$X$26,8,IF(RASANTE!F263&lt;=PERALTE!$AB$26,(10/(PERALTE!$X$26-PERALTE!$AB$26)*(RASANTE!F263-PERALTE!$AB$26)-2))))),IF(F263&lt;=PERALTE!#REF!,-2,"Abscisa fuera de la vía")))))))))))))))))))))</f>
        <v>-2</v>
      </c>
      <c r="J269" s="28">
        <f t="shared" si="13"/>
        <v>1638.8313284648978</v>
      </c>
      <c r="K269" s="28">
        <f>+IF(AND(AV!$S$6&lt;F269,F269&lt;=AV!$T$6),AV!$P$6*((AV!$S$6-RASANTE!F269)/(AV!$N$6))^2,IF(AND(AV!$T$6&lt;RASANTE!F269,F269&lt;AV!$U$6),AV!$P$6*((AV!$U$6-RASANTE!F269)/(AV!$O$6))^2,IF(AND(AV!$S$8&lt;F269,F269&lt;=AV!$T$8),AV!$P$8*((AV!$S$8-RASANTE!F269)/(AV!$N$8))^2,IF(AND(AV!$T$8&lt;RASANTE!F269,F269&lt;AV!$U$8),AV!$P$8*((AV!$U$8-RASANTE!F269)/(AV!$O$8))^2,IF(AND(AV!$S$10&lt;F269,F269&lt;=AV!$T$10),AV!$P$10*((AV!$S$10-RASANTE!F269)/(AV!$N$10))^2,IF(AND(AV!$T$10&lt;RASANTE!F269,F269&lt;AV!$U$10),AV!$P$10*((AV!$U$10-RASANTE!F269)/(AV!$O$10))^2,IF(AND(AV!$S$12&lt;F269,F269&lt;=AV!$T$12),AV!$P$12*((AV!$S$12-RASANTE!F269)/(AV!$N$12))^2,IF(AND(AV!$T$12&lt;RASANTE!F269,F269&lt;AV!$U$12),AV!$P$12*((AV!$U$12-RASANTE!F269)/(AV!$O$12))^2,IF(AND(AV!$S$14&lt;F269,F269&lt;=AV!$T$14),AV!$P$14*((AV!$S$14-RASANTE!F269)/(AV!$N$14))^2,IF(AND(AV!$T$14&lt;RASANTE!F269,F269&lt;AV!$U$14),AV!$P$14*((AV!$U$14-RASANTE!F269)/(AV!$O$14))^2,IF(AND(AV!$S$16&lt;F269,F269&lt;=AV!$T$16),AV!$P$16*((AV!$S$16-RASANTE!F269)/(AV!$N$16))^2,IF(AND(AV!$T$16&lt;RASANTE!F269,F269&lt;AV!$U$16),AV!$P$16*((AV!$U$16-RASANTE!F269)/(AV!$O$16))^2,IF(AND(AV!$S$18&lt;F269,F269&lt;=AV!$T$18),AV!$P$18*((AV!$S$18-RASANTE!F269)/(AV!$N$18))^2,IF(AND(AV!$T$18&lt;RASANTE!F269,F269&lt;AV!$U$18),AV!$P$18*((AV!$U$18-RASANTE!F269)/(AV!$O$18))^2,IF(AND(AV!$S$20&lt;F269,F269&lt;=AV!$T$20),AV!$P$20*((AV!$S$20-RASANTE!F269)/(AV!$N$20))^2,IF(AND(AV!$T$20&lt;RASANTE!F269,F269&lt;AV!$U$20),AV!$P$20*((AV!$U$20-RASANTE!F269)/(AV!$O$20))^2,IF(AND(AV!$S$22&lt;F269,F269&lt;=AV!$T$22),AV!$P$22*((AV!$S$22-RASANTE!F269)/(AV!$N$22))^2,IF(AND(AV!$T$22&lt;RASANTE!F269,F269&lt;AV!$U$22),AV!$P$22*((AV!$U$22-RASANTE!F269)/(AV!$O$22))^2,IF(AND(AV!$S$24&lt;F269,F269&lt;=AV!$T$24),AV!$P$24*((AV!$S$24-RASANTE!F269)/(AV!$N$24))^2,IF(AND(AV!$T$24&lt;RASANTE!F269,F269&lt;AV!$U$24),AV!$P$24*((AV!$U$24-RASANTE!F269)/(AV!$O$24))^2,0))))))))))))))))))))</f>
        <v>0</v>
      </c>
      <c r="L269" s="28">
        <f>+M269+H269%*PERALTE!$C$32</f>
        <v>1638.7613284648978</v>
      </c>
      <c r="M269" s="28">
        <f t="shared" si="12"/>
        <v>1638.8313284648978</v>
      </c>
      <c r="N269" s="28">
        <f>+M269+I269%*PERALTE!$C$32</f>
        <v>1638.7613284648978</v>
      </c>
      <c r="O269" s="92"/>
      <c r="P269" s="84"/>
      <c r="Q269" s="84"/>
      <c r="R269" s="84"/>
      <c r="S269" s="84"/>
      <c r="T269" s="84"/>
      <c r="U269" s="84"/>
      <c r="V269" s="84"/>
      <c r="W269" s="84"/>
      <c r="X269" s="84"/>
      <c r="Y269" s="84"/>
    </row>
    <row r="270" spans="1:25" ht="15.75" customHeight="1" x14ac:dyDescent="0.2">
      <c r="A270" s="302" t="s">
        <v>378</v>
      </c>
      <c r="F270" s="318">
        <f>PERALTE!Q20</f>
        <v>1625.7223680838474</v>
      </c>
      <c r="G270" s="88">
        <v>5.4480000000000004</v>
      </c>
      <c r="H270" s="28">
        <f>+IF(AND(AH!$H$8="Izquierda",RASANTE!F209&lt;=PERALTE!$AB$6),IF(RASANTE!F209&lt;=PERALTE!$S$6,-2,IF(RASANTE!F209&lt;=PERALTE!$U$6,(-6/(PERALTE!$U$6-PERALTE!$S$6)*(RASANTE!F209-PERALTE!$S$6)-2),IF(RASANTE!F209&lt;=PERALTE!$X$6,-8,IF(RASANTE!F209&lt;=PERALTE!$Z$6,(-6/(PERALTE!$X$6-PERALTE!$Z$6)*(RASANTE!F209-PERALTE!$Z$6)-2),IF(RASANTE!F209&lt;=PERALTE!$AB$6,-2))))),IF(AND(AH!$H$8="Derecha",RASANTE!F209&lt;=PERALTE!$AB$6),IF(RASANTE!F209&lt;=PERALTE!$Q$6,-2,IF(RASANTE!F209&lt;=PERALTE!$U$6,(10/(PERALTE!$U$6-PERALTE!$Q$6)*(RASANTE!F209-PERALTE!$Q$6)-2),IF(RASANTE!F209&lt;=PERALTE!$X$6,8,IF(RASANTE!F209&lt;=PERALTE!$AB$6,(10/(PERALTE!$X$6-PERALTE!$AB$6)*(RASANTE!F209-PERALTE!$AB$6)-2))))),IF(AND(AH!$H$10="Izquierda",RASANTE!F209&lt;=PERALTE!$AB$8),IF(RASANTE!F209&lt;=PERALTE!$S$8,-2,IF(RASANTE!F209&lt;=PERALTE!$U$8,(-6/(PERALTE!$U$8-PERALTE!$S$8)*(RASANTE!F209-PERALTE!$S$8)-2),IF(RASANTE!F209&lt;=PERALTE!$X$8,-8,IF(RASANTE!F209&lt;=PERALTE!$Z$8,(-6/(PERALTE!$X$8-PERALTE!$Z$8)*(RASANTE!F209-PERALTE!$Z$8)-2),IF(RASANTE!F209&lt;=PERALTE!$AB$8,-2))))),IF(AND(AH!$H$10="Derecha",RASANTE!F209&lt;=PERALTE!$AB$8),IF(RASANTE!F209&lt;=PERALTE!$Q$8,-2,IF(RASANTE!F209&lt;=PERALTE!$U$8,(10/(PERALTE!$U$8-PERALTE!$Q$8)*(RASANTE!F209-PERALTE!$Q$8)-2),IF(RASANTE!F209&lt;=PERALTE!$X$8,8,IF(RASANTE!F209&lt;=PERALTE!$AB$8,(10/(PERALTE!$X$8-PERALTE!$AB$8)*(RASANTE!F209-PERALTE!$AB$8)-2))))),IF(AND(AH!$H$12="Izquierda",RASANTE!F209&lt;=PERALTE!$AB$10),IF(RASANTE!F209&lt;=PERALTE!$S$10,-2,IF(RASANTE!F209&lt;=PERALTE!$U$10,(-6/(PERALTE!$U$10-PERALTE!$S$10)*(RASANTE!F209-PERALTE!$S$10)-2),IF(RASANTE!F209&lt;=PERALTE!$X$10,-8,IF(RASANTE!F209&lt;=PERALTE!$Z$10,(-6/(PERALTE!$X$10-PERALTE!$Z$10)*(RASANTE!F209-PERALTE!$Z$10)-2),IF(RASANTE!F209&lt;=PERALTE!$AB$10,-2))))),IF(AND(AH!$H$12="Derecha",RASANTE!F209&lt;=PERALTE!$AB$10),IF(RASANTE!F209&lt;=PERALTE!$Q$10,-2,IF(RASANTE!F209&lt;=PERALTE!$U$10,(10/(PERALTE!$U$10-PERALTE!$Q$10)*(RASANTE!F209-PERALTE!$Q$10)-2),IF(RASANTE!F209&lt;=PERALTE!$X$10,8,IF(RASANTE!F209&lt;=PERALTE!$AB$10,(10/(PERALTE!$X$10-PERALTE!$AB$10)*(RASANTE!F209-PERALTE!$AB$10)-2))))),IF(AND(AH!$H$14="Izquierda",RASANTE!F209&lt;=PERALTE!$AB$12),IF(RASANTE!F209&lt;=PERALTE!$S$12,-2,IF(RASANTE!F209&lt;=PERALTE!$U$12,(-6/(PERALTE!$U$12-PERALTE!$S$12)*(RASANTE!F209-PERALTE!$S$12)-2),IF(RASANTE!F209&lt;=PERALTE!$X$12,-8,IF(RASANTE!F209&lt;=PERALTE!$Z$12,(-6/(PERALTE!$X$12-PERALTE!$Z$12)*(RASANTE!F209-PERALTE!$Z$12)-2),IF(RASANTE!F209&lt;=PERALTE!$AB$12,-2))))),IF(AND(AH!$H$14="Derecha",RASANTE!F209&lt;=PERALTE!$AB$12),IF(RASANTE!F209&lt;=PERALTE!$Q$12,-2,IF(RASANTE!F209&lt;=PERALTE!$U$12,(10/(PERALTE!$U$12-PERALTE!$Q$12)*(RASANTE!F209-PERALTE!$Q$12)-2),IF(RASANTE!F209&lt;=PERALTE!$X$12,8,IF(RASANTE!F209&lt;=PERALTE!$AB$12,(10/(PERALTE!$X$12-PERALTE!$AB$12)*(RASANTE!F209-PERALTE!$AB$12)-2))))),IF(AND(AH!$H$16="Izquierda",RASANTE!F209&lt;=PERALTE!$AB$14),IF(RASANTE!F209&lt;=PERALTE!$S$14,-2,IF(RASANTE!F209&lt;=PERALTE!$U$14,(-6/(PERALTE!$U$14-PERALTE!$S$14)*(RASANTE!F209-PERALTE!$S$14)-2),IF(RASANTE!F209&lt;=PERALTE!$X$14,-8,IF(RASANTE!F209&lt;=PERALTE!$Z$14,(-6/(PERALTE!$X$14-PERALTE!$Z$14)*(RASANTE!F209-PERALTE!$Z$14)-2),IF(RASANTE!F209&lt;=PERALTE!$AB$14,-2))))),IF(AND(AH!$H$16="Derecha",RASANTE!F209&lt;=PERALTE!$AB$14),IF(RASANTE!F209&lt;=PERALTE!$Q$14,-2,IF(RASANTE!F209&lt;=PERALTE!$U$14,(10/(PERALTE!$U$14-PERALTE!$Q$14)*(RASANTE!F209-PERALTE!$Q$14)-2),IF(RASANTE!F209&lt;=PERALTE!$X$14,8,IF(RASANTE!F209&lt;=PERALTE!$AB$14,(10/(PERALTE!$X$14-PERALTE!$AB$14)*(RASANTE!F209-PERALTE!$AB$14)-2))))),IF(AND(AH!$H$18="Izquierda",RASANTE!F209&lt;=PERALTE!$AB$16),IF(RASANTE!F209&lt;=PERALTE!$S$16,-2,IF(RASANTE!F209&lt;=PERALTE!$U$16,(-6/(PERALTE!$U$16-PERALTE!$S$16)*(RASANTE!F209-PERALTE!$S$16)-2),IF(RASANTE!F209&lt;=PERALTE!$X$16,-8,IF(RASANTE!F209&lt;=PERALTE!$Z$16,(-6/(PERALTE!$X$16-PERALTE!$Z$16)*(RASANTE!F209-PERALTE!$Z$16)-2),IF(RASANTE!F209&lt;=PERALTE!$AB$16,-2))))),IF(AND(AH!$H$18="Derecha",RASANTE!F209&lt;=PERALTE!$AB$16),IF(RASANTE!F209&lt;=PERALTE!$Q$16,-2,IF(RASANTE!F209&lt;=PERALTE!$U$16,(10/(PERALTE!$U$16-PERALTE!$Q$16)*(RASANTE!F209-PERALTE!$Q$16)-2),IF(RASANTE!F209&lt;=PERALTE!$X$16,8,IF(RASANTE!F209&lt;=PERALTE!$AB$16,(10/(PERALTE!$X$16-PERALTE!$AB$16)*(RASANTE!F209-PERALTE!$AB$16)-2))))),IF(AND(AH!$H$20="Izquierda",RASANTE!F209&lt;=PERALTE!$AB$18),IF(RASANTE!F209&lt;=PERALTE!$S$18,-2,IF(RASANTE!F209&lt;=PERALTE!$U$18,(-6/(PERALTE!$U$18-PERALTE!$S$18)*(RASANTE!F209-PERALTE!$S$18)-2),IF(RASANTE!F209&lt;=PERALTE!$X$18,-8,IF(RASANTE!F209&lt;=PERALTE!$Z$18,(-6/(PERALTE!$X$18-PERALTE!$Z$18)*(RASANTE!F209-PERALTE!$Z$18)-2),IF(RASANTE!F209&lt;=PERALTE!$AB$18,-2))))),IF(AND(AH!$H$20="Derecha",RASANTE!F209&lt;=PERALTE!$AB$18),IF(RASANTE!F209&lt;=PERALTE!$Q$18,-2,IF(RASANTE!F209&lt;=PERALTE!$U$18,(10/(PERALTE!$U$18-PERALTE!$Q$18)*(RASANTE!F209-PERALTE!$Q$18)-2),IF(RASANTE!F209&lt;=PERALTE!$X$18,8,IF(RASANTE!F209&lt;=PERALTE!$AB$18,(10/(PERALTE!$X$18-PERALTE!$AB$18)*(RASANTE!F209-PERALTE!$AB$18)-2))))),IF(AND(AH!$H$24="Izquierda",RASANTE!F209&lt;=PERALTE!$AB$22),IF(RASANTE!F209&lt;=PERALTE!$S$22,-2,IF(RASANTE!F209&lt;=PERALTE!$U$22,(-6/(PERALTE!$U$22-PERALTE!$S$22)*(RASANTE!F209-PERALTE!$S$22)-2),IF(RASANTE!F209&lt;=PERALTE!$X$22,-8,IF(RASANTE!F209&lt;=PERALTE!$Z$22,(-6/(PERALTE!$X$22-PERALTE!$Z$22)*(RASANTE!F209-PERALTE!$Z$22)-2),IF(RASANTE!F209&lt;=PERALTE!$AB$22,-2))))),IF(AND(AH!$H$24="Derecha",RASANTE!F209&lt;=PERALTE!$AB$22),IF(RASANTE!F209&lt;=PERALTE!$Q$22,-2,IF(RASANTE!F209&lt;=PERALTE!$U$22,(10/(PERALTE!$U$22-PERALTE!$Q$22)*(RASANTE!F209-PERALTE!$Q$22)-2),IF(RASANTE!F209&lt;=PERALTE!$X$22,8,IF(RASANTE!F209&lt;=PERALTE!$AB$22,(10/(PERALTE!$X$22-PERALTE!$AB$22)*(RASANTE!F209-PERALTE!$AB$22)-2))))),IF(AND(AH!#REF!="Izquierda",RASANTE!F209&lt;=PERALTE!#REF!),IF(RASANTE!F209&lt;=PERALTE!#REF!,-2,IF(RASANTE!F209&lt;=PERALTE!#REF!,(-6/(PERALTE!#REF!-PERALTE!#REF!)*(RASANTE!F209-PERALTE!#REF!)-2),IF(RASANTE!F209&lt;=PERALTE!#REF!,-8,IF(RASANTE!F209&lt;=PERALTE!#REF!,(-6/(PERALTE!#REF!-PERALTE!#REF!)*(RASANTE!F209-PERALTE!#REF!)-2),IF(RASANTE!F209&lt;=PERALTE!#REF!,-2))))),IF(AND(AH!#REF!="Derecha",RASANTE!F209&lt;=PERALTE!#REF!),IF(RASANTE!F209&lt;=PERALTE!#REF!,-2,IF(RASANTE!F209&lt;=PERALTE!#REF!,(10/(PERALTE!#REF!-PERALTE!#REF!)*(RASANTE!F209-PERALTE!#REF!)-2),IF(RASANTE!F209&lt;=PERALTE!#REF!,8,IF(RASANTE!F209&lt;=PERALTE!#REF!,(10/(PERALTE!#REF!-PERALTE!#REF!)*(RASANTE!F209-PERALTE!#REF!)-2))))),IF(AND(AH!#REF!="Izquierda",RASANTE!F209&lt;=PERALTE!$AB$26),IF(RASANTE!F209&lt;=PERALTE!$S$26,-2,IF(RASANTE!F209&lt;=PERALTE!$U$26,(-6/(PERALTE!$U$26-PERALTE!$S$26)*(RASANTE!F209-PERALTE!$S$26)-2),IF(RASANTE!F209&lt;=PERALTE!$X$26,-8,IF(RASANTE!F209&lt;=PERALTE!$Z$26,(-6/(PERALTE!$X$26-PERALTE!$Z$26)*(RASANTE!F209-PERALTE!$Z$26)-2),IF(RASANTE!F209&lt;=PERALTE!$AB$26,-2))))),IF(AND(AH!#REF!="Derecha",RASANTE!F209&lt;=PERALTE!$AB$26),IF(RASANTE!F209&lt;=PERALTE!$Q$26,-2,IF(RASANTE!F209&lt;=PERALTE!$U$26,(10/(PERALTE!$U$26-PERALTE!$Q$26)*(RASANTE!F209-PERALTE!$Q$26)-2),IF(RASANTE!F209&lt;=PERALTE!$X$26,8,IF(RASANTE!F209&lt;=PERALTE!$AB$26,(10/(PERALTE!$X$26-PERALTE!$AB$26)*(RASANTE!F209-PERALTE!$AB$26)-2))))),IF(F209&lt;=PERALTE!#REF!,-2,"Abscisa fuera de la vía")))))))))))))))))))))</f>
        <v>-2</v>
      </c>
      <c r="I270" s="28">
        <f>+IF(AND(AH!$H$8="Derecha",RASANTE!F264&lt;=PERALTE!$AB$6),IF(RASANTE!F264&lt;=PERALTE!$S$6,-2,IF(RASANTE!F264&lt;=PERALTE!$U$6,(-6/(PERALTE!$U$6-PERALTE!$S$6)*(RASANTE!F264-PERALTE!$S$6)-2),IF(RASANTE!F264&lt;=PERALTE!$X$6,-8,IF(RASANTE!F264&lt;=PERALTE!$Z$6,(-6/(PERALTE!$X$6-PERALTE!$Z$6)*(RASANTE!F264-PERALTE!$Z$6)-2),IF(RASANTE!F264&lt;=PERALTE!$AB$6,-2))))),IF(AND(AH!$H$8="Izquierda",RASANTE!F264&lt;=PERALTE!$AB$6),IF(RASANTE!F264&lt;=PERALTE!$Q$6,-2,IF(RASANTE!F264&lt;=PERALTE!$U$6,(10/(PERALTE!$U$6-PERALTE!$Q$6)*(RASANTE!F264-PERALTE!$Q$6)-2),IF(RASANTE!F264&lt;=PERALTE!$X$6,8,IF(RASANTE!F264&lt;=PERALTE!$AB$6,(10/(PERALTE!$X$6-PERALTE!$AB$6)*(RASANTE!F264-PERALTE!$AB$6)-2))))),IF(AND(AH!$H$10="Derecha",RASANTE!F264&lt;=PERALTE!$AB$8),IF(RASANTE!F264&lt;=PERALTE!$S$8,-2,IF(RASANTE!F264&lt;=PERALTE!$U$8,(-6/(PERALTE!$U$8-PERALTE!$S$8)*(RASANTE!F264-PERALTE!$S$8)-2),IF(RASANTE!F264&lt;=PERALTE!$X$8,-8,IF(RASANTE!F264&lt;=PERALTE!$Z$8,(-6/(PERALTE!$X$8-PERALTE!$Z$8)*(RASANTE!F264-PERALTE!$Z$8)-2),IF(RASANTE!F264&lt;=PERALTE!$AB$8,-2))))),IF(AND(AH!$H$10="Izquierda",RASANTE!F264&lt;=PERALTE!$AB$8),IF(RASANTE!F264&lt;=PERALTE!$Q$8,-2,IF(RASANTE!F264&lt;=PERALTE!$U$8,(10/(PERALTE!$U$8-PERALTE!$Q$8)*(RASANTE!F264-PERALTE!$Q$8)-2),IF(RASANTE!F264&lt;=PERALTE!$X$8,8,IF(RASANTE!F264&lt;=PERALTE!$AB$8,(10/(PERALTE!$X$8-PERALTE!$AB$8)*(RASANTE!F264-PERALTE!$AB$8)-2))))),IF(AND(AH!$H$12="Derecha",RASANTE!F264&lt;=PERALTE!$AB$10),IF(RASANTE!F264&lt;=PERALTE!$S$10,-2,IF(RASANTE!F264&lt;=PERALTE!$U$10,(-6/(PERALTE!$U$10-PERALTE!$S$10)*(RASANTE!F264-PERALTE!$S$10)-2),IF(RASANTE!F264&lt;=PERALTE!$X$10,-8,IF(RASANTE!F264&lt;=PERALTE!$Z$10,(-6/(PERALTE!$X$10-PERALTE!$Z$10)*(RASANTE!F264-PERALTE!$Z$10)-2),IF(RASANTE!F264&lt;=PERALTE!$AB$10,-2))))),IF(AND(AH!$H$12="Izquierda",RASANTE!F264&lt;=PERALTE!$AB$10),IF(RASANTE!F264&lt;=PERALTE!$Q$10,-2,IF(RASANTE!F264&lt;=PERALTE!$U$10,(10/(PERALTE!$U$10-PERALTE!$Q$10)*(RASANTE!F264-PERALTE!$Q$10)-2),IF(RASANTE!F264&lt;=PERALTE!$X$10,8,IF(RASANTE!F264&lt;=PERALTE!$AB$10,(10/(PERALTE!$X$10-PERALTE!$AB$10)*(RASANTE!F264-PERALTE!$AB$10)-2))))),IF(AND(AH!$H$14="Derecha",RASANTE!F264&lt;=PERALTE!$AB$12),IF(RASANTE!F264&lt;=PERALTE!$S$12,-2,IF(RASANTE!F264&lt;=PERALTE!$U$12,(-6/(PERALTE!$U$12-PERALTE!$S$12)*(RASANTE!F264-PERALTE!$S$12)-2),IF(RASANTE!F264&lt;=PERALTE!$X$12,-8,IF(RASANTE!F264&lt;=PERALTE!$Z$12,(-6/(PERALTE!$X$12-PERALTE!$Z$12)*(RASANTE!F264-PERALTE!$Z$12)-2),IF(RASANTE!F264&lt;=PERALTE!$AB$12,-2))))),IF(AND(AH!$H$14="Izquierda",RASANTE!F264&lt;=PERALTE!$AB$12),IF(RASANTE!F264&lt;=PERALTE!$Q$12,-2,IF(RASANTE!F264&lt;=PERALTE!$U$12,(10/(PERALTE!$U$12-PERALTE!$Q$12)*(RASANTE!F264-PERALTE!$Q$12)-2),IF(RASANTE!F264&lt;=PERALTE!$X$12,8,IF(RASANTE!F264&lt;=PERALTE!$AB$12,(10/(PERALTE!$X$12-PERALTE!$AB$12)*(RASANTE!F264-PERALTE!$AB$12)-2))))),IF(AND(AH!$H$16="Derecha",RASANTE!F264&lt;=PERALTE!$AB$14),IF(RASANTE!F264&lt;=PERALTE!$S$14,-2,IF(RASANTE!F264&lt;=PERALTE!$U$14,(-6/(PERALTE!$U$14-PERALTE!$S$14)*(RASANTE!F264-PERALTE!$S$14)-2),IF(RASANTE!F264&lt;=PERALTE!$X$14,-8,IF(RASANTE!F264&lt;=PERALTE!$Z$14,(-6/(PERALTE!$X$14-PERALTE!$Z$14)*(RASANTE!F264-PERALTE!$Z$14)-2),IF(RASANTE!F264&lt;=PERALTE!$AB$14,-2))))),IF(AND(AH!$H$16="Izquierda",RASANTE!F264&lt;=PERALTE!$AB$14),IF(RASANTE!F264&lt;=PERALTE!$Q$14,-2,IF(RASANTE!F264&lt;=PERALTE!$U$14,(10/(PERALTE!$U$14-PERALTE!$Q$14)*(RASANTE!F264-PERALTE!$Q$14)-2),IF(RASANTE!F264&lt;=PERALTE!$X$14,8,IF(RASANTE!F264&lt;=PERALTE!$AB$14,(10/(PERALTE!$X$14-PERALTE!$AB$14)*(RASANTE!F264-PERALTE!$AB$14)-2))))),IF(AND(AH!$H$18="Derecha",RASANTE!F264&lt;=PERALTE!$AB$16),IF(RASANTE!F264&lt;=PERALTE!$S$16,-2,IF(RASANTE!F264&lt;=PERALTE!$U$16,(-6/(PERALTE!$U$16-PERALTE!$S$16)*(RASANTE!F264-PERALTE!$S$16)-2),IF(RASANTE!F264&lt;=PERALTE!$X$16,-8,IF(RASANTE!F264&lt;=PERALTE!$Z$16,(-6/(PERALTE!$X$16-PERALTE!$Z$16)*(RASANTE!F264-PERALTE!$Z$16)-2),IF(RASANTE!F264&lt;=PERALTE!$AB$16,-2))))),IF(AND(AH!$H$18="Izquierda",RASANTE!F264&lt;=PERALTE!$AB$16),IF(RASANTE!F264&lt;=PERALTE!$Q$16,-2,IF(RASANTE!F264&lt;=PERALTE!$U$16,(10/(PERALTE!$U$16-PERALTE!$Q$16)*(RASANTE!F264-PERALTE!$Q$16)-2),IF(RASANTE!F264&lt;=PERALTE!$X$16,8,IF(RASANTE!F264&lt;=PERALTE!$AB$16,(10/(PERALTE!$X$16-PERALTE!$AB$16)*(RASANTE!F264-PERALTE!$AB$16)-2))))),IF(AND(AH!$H$20="Derecha",RASANTE!F264&lt;=PERALTE!$AB$18),IF(RASANTE!F264&lt;=PERALTE!$S$18,-2,IF(RASANTE!F264&lt;=PERALTE!$U$18,(-6/(PERALTE!$U$18-PERALTE!$S$18)*(RASANTE!F264-PERALTE!$S$18)-2),IF(RASANTE!F264&lt;=PERALTE!$X$18,-8,IF(RASANTE!F264&lt;=PERALTE!$Z$18,(-6/(PERALTE!$X$18-PERALTE!$Z$18)*(RASANTE!F264-PERALTE!$Z$18)-2),IF(RASANTE!F264&lt;=PERALTE!$AB$18,-2))))),IF(AND(AH!$H$20="Izquierda",RASANTE!F264&lt;=PERALTE!$AB$18),IF(RASANTE!F264&lt;=PERALTE!$Q$18,-2,IF(RASANTE!F264&lt;=PERALTE!$U$18,(10/(PERALTE!$U$18-PERALTE!$Q$18)*(RASANTE!F264-PERALTE!$Q$18)-2),IF(RASANTE!F264&lt;=PERALTE!$X$18,8,IF(RASANTE!F264&lt;=PERALTE!$AB$18,(10/(PERALTE!$X$18-PERALTE!$AB$18)*(RASANTE!F264-PERALTE!$AB$18)-2))))),IF(AND(AH!$H$24="Derecha",RASANTE!F264&lt;=PERALTE!$AB$22),IF(RASANTE!F264&lt;=PERALTE!$S$22,-2,IF(RASANTE!F264&lt;=PERALTE!$U$22,(-6/(PERALTE!$U$22-PERALTE!$S$22)*(RASANTE!F264-PERALTE!$S$22)-2),IF(RASANTE!F264&lt;=PERALTE!$X$22,-8,IF(RASANTE!F264&lt;=PERALTE!$Z$22,(-6/(PERALTE!$X$22-PERALTE!$Z$22)*(RASANTE!F264-PERALTE!$Z$22)-2),IF(RASANTE!F264&lt;=PERALTE!$AB$22,-2))))),IF(AND(AH!$H$24="Izquierda",RASANTE!F264&lt;=PERALTE!$AB$22),IF(RASANTE!F264&lt;=PERALTE!$Q$22,-2,IF(RASANTE!F264&lt;=PERALTE!$U$22,(10/(PERALTE!$U$22-PERALTE!$Q$22)*(RASANTE!F264-PERALTE!$Q$22)-2),IF(RASANTE!F264&lt;=PERALTE!$X$22,8,IF(RASANTE!F264&lt;=PERALTE!$AB$22,(10/(PERALTE!$X$22-PERALTE!$AB$22)*(RASANTE!F264-PERALTE!$AB$22)-2))))),IF(AND(AH!#REF!="Derecha",RASANTE!F264&lt;=PERALTE!#REF!),IF(RASANTE!F264&lt;=PERALTE!#REF!,-2,IF(RASANTE!F264&lt;=PERALTE!#REF!,(-6/(PERALTE!#REF!-PERALTE!#REF!)*(RASANTE!F264-PERALTE!#REF!)-2),IF(RASANTE!F264&lt;=PERALTE!#REF!,-8,IF(RASANTE!F264&lt;=PERALTE!#REF!,(-6/(PERALTE!#REF!-PERALTE!#REF!)*(RASANTE!F264-PERALTE!#REF!)-2),IF(RASANTE!F264&lt;=PERALTE!#REF!,-2))))),IF(AND(AH!#REF!="Izquierda",RASANTE!F264&lt;=PERALTE!#REF!),IF(RASANTE!F264&lt;=PERALTE!#REF!,-2,IF(RASANTE!F264&lt;=PERALTE!#REF!,(10/(PERALTE!#REF!-PERALTE!#REF!)*(RASANTE!F264-PERALTE!#REF!)-2),IF(RASANTE!F264&lt;=PERALTE!#REF!,8,IF(RASANTE!F264&lt;=PERALTE!#REF!,(10/(PERALTE!#REF!-PERALTE!#REF!)*(RASANTE!F264-PERALTE!#REF!)-2))))),IF(AND(AH!#REF!="Derecha",RASANTE!F264&lt;=PERALTE!$AB$26),IF(RASANTE!F264&lt;=PERALTE!$S$26,-2,IF(RASANTE!F264&lt;=PERALTE!$U$26,(-6/(PERALTE!$U$26-PERALTE!$S$26)*(RASANTE!F264-PERALTE!$S$26)-2),IF(RASANTE!F264&lt;=PERALTE!$X$26,-8,IF(RASANTE!F264&lt;=PERALTE!$Z$26,(-6/(PERALTE!$X$26-PERALTE!$Z$26)*(RASANTE!F264-PERALTE!$Z$26)-2),IF(RASANTE!F264&lt;=PERALTE!$AB$26,-2))))),IF(AND(AH!#REF!="Izquierda",RASANTE!F264&lt;=PERALTE!$AB$26),IF(RASANTE!F264&lt;=PERALTE!$Q$26,-2,IF(RASANTE!F264&lt;=PERALTE!$U$26,(10/(PERALTE!$U$26-PERALTE!$Q$26)*(RASANTE!F264-PERALTE!$Q$26)-2),IF(RASANTE!F264&lt;=PERALTE!$X$26,8,IF(RASANTE!F264&lt;=PERALTE!$AB$26,(10/(PERALTE!$X$26-PERALTE!$AB$26)*(RASANTE!F264-PERALTE!$AB$26)-2))))),IF(F264&lt;=PERALTE!#REF!,-2,"Abscisa fuera de la vía")))))))))))))))))))))</f>
        <v>-2</v>
      </c>
      <c r="J270" s="28">
        <f t="shared" si="13"/>
        <v>1639.1430830781057</v>
      </c>
      <c r="K270" s="28">
        <f>+IF(AND(AV!$S$6&lt;F270,F270&lt;=AV!$T$6),AV!$P$6*((AV!$S$6-RASANTE!F270)/(AV!$N$6))^2,IF(AND(AV!$T$6&lt;RASANTE!F270,F270&lt;AV!$U$6),AV!$P$6*((AV!$U$6-RASANTE!F270)/(AV!$O$6))^2,IF(AND(AV!$S$8&lt;F270,F270&lt;=AV!$T$8),AV!$P$8*((AV!$S$8-RASANTE!F270)/(AV!$N$8))^2,IF(AND(AV!$T$8&lt;RASANTE!F270,F270&lt;AV!$U$8),AV!$P$8*((AV!$U$8-RASANTE!F270)/(AV!$O$8))^2,IF(AND(AV!$S$10&lt;F270,F270&lt;=AV!$T$10),AV!$P$10*((AV!$S$10-RASANTE!F270)/(AV!$N$10))^2,IF(AND(AV!$T$10&lt;RASANTE!F270,F270&lt;AV!$U$10),AV!$P$10*((AV!$U$10-RASANTE!F270)/(AV!$O$10))^2,IF(AND(AV!$S$12&lt;F270,F270&lt;=AV!$T$12),AV!$P$12*((AV!$S$12-RASANTE!F270)/(AV!$N$12))^2,IF(AND(AV!$T$12&lt;RASANTE!F270,F270&lt;AV!$U$12),AV!$P$12*((AV!$U$12-RASANTE!F270)/(AV!$O$12))^2,IF(AND(AV!$S$14&lt;F270,F270&lt;=AV!$T$14),AV!$P$14*((AV!$S$14-RASANTE!F270)/(AV!$N$14))^2,IF(AND(AV!$T$14&lt;RASANTE!F270,F270&lt;AV!$U$14),AV!$P$14*((AV!$U$14-RASANTE!F270)/(AV!$O$14))^2,IF(AND(AV!$S$16&lt;F270,F270&lt;=AV!$T$16),AV!$P$16*((AV!$S$16-RASANTE!F270)/(AV!$N$16))^2,IF(AND(AV!$T$16&lt;RASANTE!F270,F270&lt;AV!$U$16),AV!$P$16*((AV!$U$16-RASANTE!F270)/(AV!$O$16))^2,IF(AND(AV!$S$18&lt;F270,F270&lt;=AV!$T$18),AV!$P$18*((AV!$S$18-RASANTE!F270)/(AV!$N$18))^2,IF(AND(AV!$T$18&lt;RASANTE!F270,F270&lt;AV!$U$18),AV!$P$18*((AV!$U$18-RASANTE!F270)/(AV!$O$18))^2,IF(AND(AV!$S$20&lt;F270,F270&lt;=AV!$T$20),AV!$P$20*((AV!$S$20-RASANTE!F270)/(AV!$N$20))^2,IF(AND(AV!$T$20&lt;RASANTE!F270,F270&lt;AV!$U$20),AV!$P$20*((AV!$U$20-RASANTE!F270)/(AV!$O$20))^2,IF(AND(AV!$S$22&lt;F270,F270&lt;=AV!$T$22),AV!$P$22*((AV!$S$22-RASANTE!F270)/(AV!$N$22))^2,IF(AND(AV!$T$22&lt;RASANTE!F270,F270&lt;AV!$U$22),AV!$P$22*((AV!$U$22-RASANTE!F270)/(AV!$O$22))^2,IF(AND(AV!$S$24&lt;F270,F270&lt;=AV!$T$24),AV!$P$24*((AV!$S$24-RASANTE!F270)/(AV!$N$24))^2,IF(AND(AV!$T$24&lt;RASANTE!F270,F270&lt;AV!$U$24),AV!$P$24*((AV!$U$24-RASANTE!F270)/(AV!$O$24))^2,0))))))))))))))))))))</f>
        <v>0</v>
      </c>
      <c r="L270" s="28">
        <f>+M270+H270%*PERALTE!$C$32</f>
        <v>1639.0730830781058</v>
      </c>
      <c r="M270" s="28">
        <f t="shared" si="12"/>
        <v>1639.1430830781057</v>
      </c>
      <c r="N270" s="28">
        <f>+M270+I270%*PERALTE!$C$32</f>
        <v>1639.0730830781058</v>
      </c>
      <c r="O270" s="92"/>
      <c r="P270" s="84"/>
      <c r="Q270" s="84"/>
      <c r="R270" s="84"/>
      <c r="S270" s="84"/>
      <c r="T270" s="84"/>
      <c r="U270" s="84"/>
      <c r="V270" s="84"/>
      <c r="W270" s="84"/>
      <c r="X270" s="84"/>
      <c r="Y270" s="84"/>
    </row>
    <row r="271" spans="1:25" ht="15.75" customHeight="1" x14ac:dyDescent="0.2">
      <c r="A271" s="322"/>
      <c r="B271" s="86"/>
      <c r="C271" s="86"/>
      <c r="D271" s="86"/>
      <c r="E271" s="91"/>
      <c r="F271" s="319">
        <v>1630</v>
      </c>
      <c r="G271" s="88">
        <v>5.4480000000000004</v>
      </c>
      <c r="H271" s="357">
        <v>-1.0589209784464271</v>
      </c>
      <c r="I271" s="357">
        <v>-2</v>
      </c>
      <c r="J271" s="28">
        <f t="shared" si="13"/>
        <v>1639.3761284648976</v>
      </c>
      <c r="K271" s="28">
        <f>+IF(AND(AV!$S$6&lt;F271,F271&lt;=AV!$T$6),AV!$P$6*((AV!$S$6-RASANTE!F271)/(AV!$N$6))^2,IF(AND(AV!$T$6&lt;RASANTE!F271,F271&lt;AV!$U$6),AV!$P$6*((AV!$U$6-RASANTE!F271)/(AV!$O$6))^2,IF(AND(AV!$S$8&lt;F271,F271&lt;=AV!$T$8),AV!$P$8*((AV!$S$8-RASANTE!F271)/(AV!$N$8))^2,IF(AND(AV!$T$8&lt;RASANTE!F271,F271&lt;AV!$U$8),AV!$P$8*((AV!$U$8-RASANTE!F271)/(AV!$O$8))^2,IF(AND(AV!$S$10&lt;F271,F271&lt;=AV!$T$10),AV!$P$10*((AV!$S$10-RASANTE!F271)/(AV!$N$10))^2,IF(AND(AV!$T$10&lt;RASANTE!F271,F271&lt;AV!$U$10),AV!$P$10*((AV!$U$10-RASANTE!F271)/(AV!$O$10))^2,IF(AND(AV!$S$12&lt;F271,F271&lt;=AV!$T$12),AV!$P$12*((AV!$S$12-RASANTE!F271)/(AV!$N$12))^2,IF(AND(AV!$T$12&lt;RASANTE!F271,F271&lt;AV!$U$12),AV!$P$12*((AV!$U$12-RASANTE!F271)/(AV!$O$12))^2,IF(AND(AV!$S$14&lt;F271,F271&lt;=AV!$T$14),AV!$P$14*((AV!$S$14-RASANTE!F271)/(AV!$N$14))^2,IF(AND(AV!$T$14&lt;RASANTE!F271,F271&lt;AV!$U$14),AV!$P$14*((AV!$U$14-RASANTE!F271)/(AV!$O$14))^2,IF(AND(AV!$S$16&lt;F271,F271&lt;=AV!$T$16),AV!$P$16*((AV!$S$16-RASANTE!F271)/(AV!$N$16))^2,IF(AND(AV!$T$16&lt;RASANTE!F271,F271&lt;AV!$U$16),AV!$P$16*((AV!$U$16-RASANTE!F271)/(AV!$O$16))^2,IF(AND(AV!$S$18&lt;F271,F271&lt;=AV!$T$18),AV!$P$18*((AV!$S$18-RASANTE!F271)/(AV!$N$18))^2,IF(AND(AV!$T$18&lt;RASANTE!F271,F271&lt;AV!$U$18),AV!$P$18*((AV!$U$18-RASANTE!F271)/(AV!$O$18))^2,IF(AND(AV!$S$20&lt;F271,F271&lt;=AV!$T$20),AV!$P$20*((AV!$S$20-RASANTE!F271)/(AV!$N$20))^2,IF(AND(AV!$T$20&lt;RASANTE!F271,F271&lt;AV!$U$20),AV!$P$20*((AV!$U$20-RASANTE!F271)/(AV!$O$20))^2,IF(AND(AV!$S$22&lt;F271,F271&lt;=AV!$T$22),AV!$P$22*((AV!$S$22-RASANTE!F271)/(AV!$N$22))^2,IF(AND(AV!$T$22&lt;RASANTE!F271,F271&lt;AV!$U$22),AV!$P$22*((AV!$U$22-RASANTE!F271)/(AV!$O$22))^2,IF(AND(AV!$S$24&lt;F271,F271&lt;=AV!$T$24),AV!$P$24*((AV!$S$24-RASANTE!F271)/(AV!$N$24))^2,IF(AND(AV!$T$24&lt;RASANTE!F271,F271&lt;AV!$U$24),AV!$P$24*((AV!$U$24-RASANTE!F271)/(AV!$O$24))^2,0))))))))))))))))))))</f>
        <v>0</v>
      </c>
      <c r="L271" s="28">
        <f>+M271+H271%*PERALTE!$C$32</f>
        <v>1639.339066230652</v>
      </c>
      <c r="M271" s="28">
        <f t="shared" si="12"/>
        <v>1639.3761284648976</v>
      </c>
      <c r="N271" s="28">
        <f>+M271+I271%*PERALTE!$C$32</f>
        <v>1639.3061284648977</v>
      </c>
      <c r="O271" s="92"/>
      <c r="P271" s="84"/>
      <c r="Q271" s="84"/>
      <c r="R271" s="84"/>
      <c r="S271" s="84"/>
      <c r="T271" s="84"/>
      <c r="U271" s="84"/>
      <c r="V271" s="84"/>
      <c r="W271" s="84"/>
      <c r="X271" s="84"/>
      <c r="Y271" s="84"/>
    </row>
    <row r="272" spans="1:25" ht="15.75" customHeight="1" x14ac:dyDescent="0.2">
      <c r="A272" s="302" t="s">
        <v>379</v>
      </c>
      <c r="F272" s="319">
        <f>PERALTE!R20</f>
        <v>1634.8132771747564</v>
      </c>
      <c r="G272" s="88">
        <v>5.4480000000000004</v>
      </c>
      <c r="H272" s="28">
        <v>0</v>
      </c>
      <c r="I272" s="357">
        <v>-2</v>
      </c>
      <c r="J272" s="28">
        <f t="shared" si="13"/>
        <v>1639.6383558053783</v>
      </c>
      <c r="K272" s="28">
        <f>+IF(AND(AV!$S$6&lt;F272,F272&lt;=AV!$T$6),AV!$P$6*((AV!$S$6-RASANTE!F272)/(AV!$N$6))^2,IF(AND(AV!$T$6&lt;RASANTE!F272,F272&lt;AV!$U$6),AV!$P$6*((AV!$U$6-RASANTE!F272)/(AV!$O$6))^2,IF(AND(AV!$S$8&lt;F272,F272&lt;=AV!$T$8),AV!$P$8*((AV!$S$8-RASANTE!F272)/(AV!$N$8))^2,IF(AND(AV!$T$8&lt;RASANTE!F272,F272&lt;AV!$U$8),AV!$P$8*((AV!$U$8-RASANTE!F272)/(AV!$O$8))^2,IF(AND(AV!$S$10&lt;F272,F272&lt;=AV!$T$10),AV!$P$10*((AV!$S$10-RASANTE!F272)/(AV!$N$10))^2,IF(AND(AV!$T$10&lt;RASANTE!F272,F272&lt;AV!$U$10),AV!$P$10*((AV!$U$10-RASANTE!F272)/(AV!$O$10))^2,IF(AND(AV!$S$12&lt;F272,F272&lt;=AV!$T$12),AV!$P$12*((AV!$S$12-RASANTE!F272)/(AV!$N$12))^2,IF(AND(AV!$T$12&lt;RASANTE!F272,F272&lt;AV!$U$12),AV!$P$12*((AV!$U$12-RASANTE!F272)/(AV!$O$12))^2,IF(AND(AV!$S$14&lt;F272,F272&lt;=AV!$T$14),AV!$P$14*((AV!$S$14-RASANTE!F272)/(AV!$N$14))^2,IF(AND(AV!$T$14&lt;RASANTE!F272,F272&lt;AV!$U$14),AV!$P$14*((AV!$U$14-RASANTE!F272)/(AV!$O$14))^2,IF(AND(AV!$S$16&lt;F272,F272&lt;=AV!$T$16),AV!$P$16*((AV!$S$16-RASANTE!F272)/(AV!$N$16))^2,IF(AND(AV!$T$16&lt;RASANTE!F272,F272&lt;AV!$U$16),AV!$P$16*((AV!$U$16-RASANTE!F272)/(AV!$O$16))^2,IF(AND(AV!$S$18&lt;F272,F272&lt;=AV!$T$18),AV!$P$18*((AV!$S$18-RASANTE!F272)/(AV!$N$18))^2,IF(AND(AV!$T$18&lt;RASANTE!F272,F272&lt;AV!$U$18),AV!$P$18*((AV!$U$18-RASANTE!F272)/(AV!$O$18))^2,IF(AND(AV!$S$20&lt;F272,F272&lt;=AV!$T$20),AV!$P$20*((AV!$S$20-RASANTE!F272)/(AV!$N$20))^2,IF(AND(AV!$T$20&lt;RASANTE!F272,F272&lt;AV!$U$20),AV!$P$20*((AV!$U$20-RASANTE!F272)/(AV!$O$20))^2,IF(AND(AV!$S$22&lt;F272,F272&lt;=AV!$T$22),AV!$P$22*((AV!$S$22-RASANTE!F272)/(AV!$N$22))^2,IF(AND(AV!$T$22&lt;RASANTE!F272,F272&lt;AV!$U$22),AV!$P$22*((AV!$U$22-RASANTE!F272)/(AV!$O$22))^2,IF(AND(AV!$S$24&lt;F272,F272&lt;=AV!$T$24),AV!$P$24*((AV!$S$24-RASANTE!F272)/(AV!$N$24))^2,IF(AND(AV!$T$24&lt;RASANTE!F272,F272&lt;AV!$U$24),AV!$P$24*((AV!$U$24-RASANTE!F272)/(AV!$O$24))^2,0))))))))))))))))))))</f>
        <v>0</v>
      </c>
      <c r="L272" s="28">
        <f>+M272+H272%*PERALTE!$C$32</f>
        <v>1639.6383558053783</v>
      </c>
      <c r="M272" s="28">
        <f t="shared" si="12"/>
        <v>1639.6383558053783</v>
      </c>
      <c r="N272" s="28">
        <f>+M272+I272%*PERALTE!$C$32</f>
        <v>1639.5683558053784</v>
      </c>
      <c r="O272" s="92"/>
      <c r="P272" s="84"/>
      <c r="Q272" s="84"/>
      <c r="R272" s="84"/>
      <c r="S272" s="84"/>
      <c r="T272" s="84"/>
      <c r="U272" s="84"/>
      <c r="V272" s="84"/>
      <c r="W272" s="84"/>
      <c r="X272" s="84"/>
      <c r="Y272" s="84"/>
    </row>
    <row r="273" spans="1:25" ht="15.75" customHeight="1" x14ac:dyDescent="0.2">
      <c r="A273" s="322"/>
      <c r="B273" s="86"/>
      <c r="C273" s="86"/>
      <c r="D273" s="86"/>
      <c r="E273" s="91"/>
      <c r="F273" s="34">
        <v>1640</v>
      </c>
      <c r="G273" s="88">
        <v>5.4480000000000004</v>
      </c>
      <c r="H273" s="357">
        <v>1.1410790215535815</v>
      </c>
      <c r="I273" s="357">
        <v>-2</v>
      </c>
      <c r="J273" s="28">
        <f t="shared" si="13"/>
        <v>1639.9209284648975</v>
      </c>
      <c r="K273" s="28">
        <f>+IF(AND(AV!$S$6&lt;F273,F273&lt;=AV!$T$6),AV!$P$6*((AV!$S$6-RASANTE!F273)/(AV!$N$6))^2,IF(AND(AV!$T$6&lt;RASANTE!F273,F273&lt;AV!$U$6),AV!$P$6*((AV!$U$6-RASANTE!F273)/(AV!$O$6))^2,IF(AND(AV!$S$8&lt;F273,F273&lt;=AV!$T$8),AV!$P$8*((AV!$S$8-RASANTE!F273)/(AV!$N$8))^2,IF(AND(AV!$T$8&lt;RASANTE!F273,F273&lt;AV!$U$8),AV!$P$8*((AV!$U$8-RASANTE!F273)/(AV!$O$8))^2,IF(AND(AV!$S$10&lt;F273,F273&lt;=AV!$T$10),AV!$P$10*((AV!$S$10-RASANTE!F273)/(AV!$N$10))^2,IF(AND(AV!$T$10&lt;RASANTE!F273,F273&lt;AV!$U$10),AV!$P$10*((AV!$U$10-RASANTE!F273)/(AV!$O$10))^2,IF(AND(AV!$S$12&lt;F273,F273&lt;=AV!$T$12),AV!$P$12*((AV!$S$12-RASANTE!F273)/(AV!$N$12))^2,IF(AND(AV!$T$12&lt;RASANTE!F273,F273&lt;AV!$U$12),AV!$P$12*((AV!$U$12-RASANTE!F273)/(AV!$O$12))^2,IF(AND(AV!$S$14&lt;F273,F273&lt;=AV!$T$14),AV!$P$14*((AV!$S$14-RASANTE!F273)/(AV!$N$14))^2,IF(AND(AV!$T$14&lt;RASANTE!F273,F273&lt;AV!$U$14),AV!$P$14*((AV!$U$14-RASANTE!F273)/(AV!$O$14))^2,IF(AND(AV!$S$16&lt;F273,F273&lt;=AV!$T$16),AV!$P$16*((AV!$S$16-RASANTE!F273)/(AV!$N$16))^2,IF(AND(AV!$T$16&lt;RASANTE!F273,F273&lt;AV!$U$16),AV!$P$16*((AV!$U$16-RASANTE!F273)/(AV!$O$16))^2,IF(AND(AV!$S$18&lt;F273,F273&lt;=AV!$T$18),AV!$P$18*((AV!$S$18-RASANTE!F273)/(AV!$N$18))^2,IF(AND(AV!$T$18&lt;RASANTE!F273,F273&lt;AV!$U$18),AV!$P$18*((AV!$U$18-RASANTE!F273)/(AV!$O$18))^2,IF(AND(AV!$S$20&lt;F273,F273&lt;=AV!$T$20),AV!$P$20*((AV!$S$20-RASANTE!F273)/(AV!$N$20))^2,IF(AND(AV!$T$20&lt;RASANTE!F273,F273&lt;AV!$U$20),AV!$P$20*((AV!$U$20-RASANTE!F273)/(AV!$O$20))^2,IF(AND(AV!$S$22&lt;F273,F273&lt;=AV!$T$22),AV!$P$22*((AV!$S$22-RASANTE!F273)/(AV!$N$22))^2,IF(AND(AV!$T$22&lt;RASANTE!F273,F273&lt;AV!$U$22),AV!$P$22*((AV!$U$22-RASANTE!F273)/(AV!$O$22))^2,IF(AND(AV!$S$24&lt;F273,F273&lt;=AV!$T$24),AV!$P$24*((AV!$S$24-RASANTE!F273)/(AV!$N$24))^2,IF(AND(AV!$T$24&lt;RASANTE!F273,F273&lt;AV!$U$24),AV!$P$24*((AV!$U$24-RASANTE!F273)/(AV!$O$24))^2,0))))))))))))))))))))</f>
        <v>0</v>
      </c>
      <c r="L273" s="28">
        <f>+M273+H273%*PERALTE!$C$32</f>
        <v>1639.9608662306518</v>
      </c>
      <c r="M273" s="28">
        <f t="shared" si="12"/>
        <v>1639.9209284648975</v>
      </c>
      <c r="N273" s="28">
        <f>+M273+I273%*PERALTE!$C$32</f>
        <v>1639.8509284648976</v>
      </c>
      <c r="O273" s="92"/>
      <c r="P273" s="84"/>
      <c r="Q273" s="84"/>
      <c r="R273" s="84"/>
      <c r="S273" s="84"/>
      <c r="T273" s="84"/>
      <c r="U273" s="84"/>
      <c r="V273" s="84"/>
      <c r="W273" s="84"/>
      <c r="X273" s="84"/>
      <c r="Y273" s="84"/>
    </row>
    <row r="274" spans="1:25" ht="15.75" customHeight="1" x14ac:dyDescent="0.2">
      <c r="A274" s="358" t="s">
        <v>385</v>
      </c>
      <c r="F274" s="34">
        <f>PERALTE!S20</f>
        <v>1643.9041862656654</v>
      </c>
      <c r="G274" s="88">
        <v>5.4480000000000004</v>
      </c>
      <c r="H274" s="357">
        <v>1.9999999999999796</v>
      </c>
      <c r="I274" s="357">
        <v>-2</v>
      </c>
      <c r="J274" s="28">
        <f t="shared" si="13"/>
        <v>1640.1336285326511</v>
      </c>
      <c r="K274" s="28">
        <f>+IF(AND(AV!$S$6&lt;F274,F274&lt;=AV!$T$6),AV!$P$6*((AV!$S$6-RASANTE!F274)/(AV!$N$6))^2,IF(AND(AV!$T$6&lt;RASANTE!F274,F274&lt;AV!$U$6),AV!$P$6*((AV!$U$6-RASANTE!F274)/(AV!$O$6))^2,IF(AND(AV!$S$8&lt;F274,F274&lt;=AV!$T$8),AV!$P$8*((AV!$S$8-RASANTE!F274)/(AV!$N$8))^2,IF(AND(AV!$T$8&lt;RASANTE!F274,F274&lt;AV!$U$8),AV!$P$8*((AV!$U$8-RASANTE!F274)/(AV!$O$8))^2,IF(AND(AV!$S$10&lt;F274,F274&lt;=AV!$T$10),AV!$P$10*((AV!$S$10-RASANTE!F274)/(AV!$N$10))^2,IF(AND(AV!$T$10&lt;RASANTE!F274,F274&lt;AV!$U$10),AV!$P$10*((AV!$U$10-RASANTE!F274)/(AV!$O$10))^2,IF(AND(AV!$S$12&lt;F274,F274&lt;=AV!$T$12),AV!$P$12*((AV!$S$12-RASANTE!F274)/(AV!$N$12))^2,IF(AND(AV!$T$12&lt;RASANTE!F274,F274&lt;AV!$U$12),AV!$P$12*((AV!$U$12-RASANTE!F274)/(AV!$O$12))^2,IF(AND(AV!$S$14&lt;F274,F274&lt;=AV!$T$14),AV!$P$14*((AV!$S$14-RASANTE!F274)/(AV!$N$14))^2,IF(AND(AV!$T$14&lt;RASANTE!F274,F274&lt;AV!$U$14),AV!$P$14*((AV!$U$14-RASANTE!F274)/(AV!$O$14))^2,IF(AND(AV!$S$16&lt;F274,F274&lt;=AV!$T$16),AV!$P$16*((AV!$S$16-RASANTE!F274)/(AV!$N$16))^2,IF(AND(AV!$T$16&lt;RASANTE!F274,F274&lt;AV!$U$16),AV!$P$16*((AV!$U$16-RASANTE!F274)/(AV!$O$16))^2,IF(AND(AV!$S$18&lt;F274,F274&lt;=AV!$T$18),AV!$P$18*((AV!$S$18-RASANTE!F274)/(AV!$N$18))^2,IF(AND(AV!$T$18&lt;RASANTE!F274,F274&lt;AV!$U$18),AV!$P$18*((AV!$U$18-RASANTE!F274)/(AV!$O$18))^2,IF(AND(AV!$S$20&lt;F274,F274&lt;=AV!$T$20),AV!$P$20*((AV!$S$20-RASANTE!F274)/(AV!$N$20))^2,IF(AND(AV!$T$20&lt;RASANTE!F274,F274&lt;AV!$U$20),AV!$P$20*((AV!$U$20-RASANTE!F274)/(AV!$O$20))^2,IF(AND(AV!$S$22&lt;F274,F274&lt;=AV!$T$22),AV!$P$22*((AV!$S$22-RASANTE!F274)/(AV!$N$22))^2,IF(AND(AV!$T$22&lt;RASANTE!F274,F274&lt;AV!$U$22),AV!$P$22*((AV!$U$22-RASANTE!F274)/(AV!$O$22))^2,IF(AND(AV!$S$24&lt;F274,F274&lt;=AV!$T$24),AV!$P$24*((AV!$S$24-RASANTE!F274)/(AV!$N$24))^2,IF(AND(AV!$T$24&lt;RASANTE!F274,F274&lt;AV!$U$24),AV!$P$24*((AV!$U$24-RASANTE!F274)/(AV!$O$24))^2,0))))))))))))))))))))</f>
        <v>0</v>
      </c>
      <c r="L274" s="28">
        <f>+M274+H274%*PERALTE!$C$32</f>
        <v>1640.203628532651</v>
      </c>
      <c r="M274" s="28">
        <f t="shared" si="12"/>
        <v>1640.1336285326511</v>
      </c>
      <c r="N274" s="28">
        <f>+M274+I274%*PERALTE!$C$32</f>
        <v>1640.0636285326511</v>
      </c>
      <c r="O274" s="92"/>
      <c r="P274" s="84"/>
      <c r="Q274" s="84"/>
      <c r="R274" s="84"/>
      <c r="S274" s="84"/>
      <c r="T274" s="84"/>
      <c r="U274" s="84"/>
      <c r="V274" s="84"/>
      <c r="W274" s="84"/>
      <c r="X274" s="84"/>
      <c r="Y274" s="84"/>
    </row>
    <row r="275" spans="1:25" ht="15.75" customHeight="1" x14ac:dyDescent="0.2">
      <c r="A275" s="322"/>
      <c r="B275" s="86"/>
      <c r="C275" s="86"/>
      <c r="D275" s="86"/>
      <c r="F275" s="34">
        <v>1650</v>
      </c>
      <c r="G275" s="88">
        <v>5.4480000000000004</v>
      </c>
      <c r="H275" s="357">
        <v>3.3410790215535906</v>
      </c>
      <c r="I275" s="357">
        <v>-3.3410790215536066</v>
      </c>
      <c r="J275" s="28">
        <f t="shared" si="13"/>
        <v>1640.4657284648977</v>
      </c>
      <c r="K275" s="28">
        <f>+IF(AND(AV!$S$6&lt;F275,F275&lt;=AV!$T$6),AV!$P$6*((AV!$S$6-RASANTE!F275)/(AV!$N$6))^2,IF(AND(AV!$T$6&lt;RASANTE!F275,F275&lt;AV!$U$6),AV!$P$6*((AV!$U$6-RASANTE!F275)/(AV!$O$6))^2,IF(AND(AV!$S$8&lt;F275,F275&lt;=AV!$T$8),AV!$P$8*((AV!$S$8-RASANTE!F275)/(AV!$N$8))^2,IF(AND(AV!$T$8&lt;RASANTE!F275,F275&lt;AV!$U$8),AV!$P$8*((AV!$U$8-RASANTE!F275)/(AV!$O$8))^2,IF(AND(AV!$S$10&lt;F275,F275&lt;=AV!$T$10),AV!$P$10*((AV!$S$10-RASANTE!F275)/(AV!$N$10))^2,IF(AND(AV!$T$10&lt;RASANTE!F275,F275&lt;AV!$U$10),AV!$P$10*((AV!$U$10-RASANTE!F275)/(AV!$O$10))^2,IF(AND(AV!$S$12&lt;F275,F275&lt;=AV!$T$12),AV!$P$12*((AV!$S$12-RASANTE!F275)/(AV!$N$12))^2,IF(AND(AV!$T$12&lt;RASANTE!F275,F275&lt;AV!$U$12),AV!$P$12*((AV!$U$12-RASANTE!F275)/(AV!$O$12))^2,IF(AND(AV!$S$14&lt;F275,F275&lt;=AV!$T$14),AV!$P$14*((AV!$S$14-RASANTE!F275)/(AV!$N$14))^2,IF(AND(AV!$T$14&lt;RASANTE!F275,F275&lt;AV!$U$14),AV!$P$14*((AV!$U$14-RASANTE!F275)/(AV!$O$14))^2,IF(AND(AV!$S$16&lt;F275,F275&lt;=AV!$T$16),AV!$P$16*((AV!$S$16-RASANTE!F275)/(AV!$N$16))^2,IF(AND(AV!$T$16&lt;RASANTE!F275,F275&lt;AV!$U$16),AV!$P$16*((AV!$U$16-RASANTE!F275)/(AV!$O$16))^2,IF(AND(AV!$S$18&lt;F275,F275&lt;=AV!$T$18),AV!$P$18*((AV!$S$18-RASANTE!F275)/(AV!$N$18))^2,IF(AND(AV!$T$18&lt;RASANTE!F275,F275&lt;AV!$U$18),AV!$P$18*((AV!$U$18-RASANTE!F275)/(AV!$O$18))^2,IF(AND(AV!$S$20&lt;F275,F275&lt;=AV!$T$20),AV!$P$20*((AV!$S$20-RASANTE!F275)/(AV!$N$20))^2,IF(AND(AV!$T$20&lt;RASANTE!F275,F275&lt;AV!$U$20),AV!$P$20*((AV!$U$20-RASANTE!F275)/(AV!$O$20))^2,IF(AND(AV!$S$22&lt;F275,F275&lt;=AV!$T$22),AV!$P$22*((AV!$S$22-RASANTE!F275)/(AV!$N$22))^2,IF(AND(AV!$T$22&lt;RASANTE!F275,F275&lt;AV!$U$22),AV!$P$22*((AV!$U$22-RASANTE!F275)/(AV!$O$22))^2,IF(AND(AV!$S$24&lt;F275,F275&lt;=AV!$T$24),AV!$P$24*((AV!$S$24-RASANTE!F275)/(AV!$N$24))^2,IF(AND(AV!$T$24&lt;RASANTE!F275,F275&lt;AV!$U$24),AV!$P$24*((AV!$U$24-RASANTE!F275)/(AV!$O$24))^2,0))))))))))))))))))))</f>
        <v>0</v>
      </c>
      <c r="L275" s="28">
        <f>+M275+H275%*PERALTE!$C$32</f>
        <v>1640.582666230652</v>
      </c>
      <c r="M275" s="28">
        <f t="shared" si="12"/>
        <v>1640.4657284648977</v>
      </c>
      <c r="N275" s="28">
        <f>+M275+I275%*PERALTE!$C$32</f>
        <v>1640.3487906991434</v>
      </c>
      <c r="O275" s="92"/>
      <c r="P275" s="84"/>
      <c r="Q275" s="84"/>
      <c r="R275" s="84"/>
      <c r="S275" s="84"/>
      <c r="T275" s="84"/>
      <c r="U275" s="84"/>
      <c r="V275" s="84"/>
      <c r="W275" s="84"/>
      <c r="X275" s="84"/>
      <c r="Y275" s="84"/>
    </row>
    <row r="276" spans="1:25" ht="15.75" customHeight="1" x14ac:dyDescent="0.2">
      <c r="A276" s="90"/>
      <c r="B276" s="86"/>
      <c r="C276" s="86"/>
      <c r="D276" s="86"/>
      <c r="F276" s="34">
        <v>1660</v>
      </c>
      <c r="G276" s="88">
        <v>5.4480000000000004</v>
      </c>
      <c r="H276" s="357">
        <v>5.5410790215535997</v>
      </c>
      <c r="I276" s="357">
        <v>-5.5410790215536085</v>
      </c>
      <c r="J276" s="28">
        <f t="shared" si="13"/>
        <v>1641.0105284648976</v>
      </c>
      <c r="K276" s="28">
        <f>+IF(AND(AV!$S$6&lt;F276,F276&lt;=AV!$T$6),AV!$P$6*((AV!$S$6-RASANTE!F276)/(AV!$N$6))^2,IF(AND(AV!$T$6&lt;RASANTE!F276,F276&lt;AV!$U$6),AV!$P$6*((AV!$U$6-RASANTE!F276)/(AV!$O$6))^2,IF(AND(AV!$S$8&lt;F276,F276&lt;=AV!$T$8),AV!$P$8*((AV!$S$8-RASANTE!F276)/(AV!$N$8))^2,IF(AND(AV!$T$8&lt;RASANTE!F276,F276&lt;AV!$U$8),AV!$P$8*((AV!$U$8-RASANTE!F276)/(AV!$O$8))^2,IF(AND(AV!$S$10&lt;F276,F276&lt;=AV!$T$10),AV!$P$10*((AV!$S$10-RASANTE!F276)/(AV!$N$10))^2,IF(AND(AV!$T$10&lt;RASANTE!F276,F276&lt;AV!$U$10),AV!$P$10*((AV!$U$10-RASANTE!F276)/(AV!$O$10))^2,IF(AND(AV!$S$12&lt;F276,F276&lt;=AV!$T$12),AV!$P$12*((AV!$S$12-RASANTE!F276)/(AV!$N$12))^2,IF(AND(AV!$T$12&lt;RASANTE!F276,F276&lt;AV!$U$12),AV!$P$12*((AV!$U$12-RASANTE!F276)/(AV!$O$12))^2,IF(AND(AV!$S$14&lt;F276,F276&lt;=AV!$T$14),AV!$P$14*((AV!$S$14-RASANTE!F276)/(AV!$N$14))^2,IF(AND(AV!$T$14&lt;RASANTE!F276,F276&lt;AV!$U$14),AV!$P$14*((AV!$U$14-RASANTE!F276)/(AV!$O$14))^2,IF(AND(AV!$S$16&lt;F276,F276&lt;=AV!$T$16),AV!$P$16*((AV!$S$16-RASANTE!F276)/(AV!$N$16))^2,IF(AND(AV!$T$16&lt;RASANTE!F276,F276&lt;AV!$U$16),AV!$P$16*((AV!$U$16-RASANTE!F276)/(AV!$O$16))^2,IF(AND(AV!$S$18&lt;F276,F276&lt;=AV!$T$18),AV!$P$18*((AV!$S$18-RASANTE!F276)/(AV!$N$18))^2,IF(AND(AV!$T$18&lt;RASANTE!F276,F276&lt;AV!$U$18),AV!$P$18*((AV!$U$18-RASANTE!F276)/(AV!$O$18))^2,IF(AND(AV!$S$20&lt;F276,F276&lt;=AV!$T$20),AV!$P$20*((AV!$S$20-RASANTE!F276)/(AV!$N$20))^2,IF(AND(AV!$T$20&lt;RASANTE!F276,F276&lt;AV!$U$20),AV!$P$20*((AV!$U$20-RASANTE!F276)/(AV!$O$20))^2,IF(AND(AV!$S$22&lt;F276,F276&lt;=AV!$T$22),AV!$P$22*((AV!$S$22-RASANTE!F276)/(AV!$N$22))^2,IF(AND(AV!$T$22&lt;RASANTE!F276,F276&lt;AV!$U$22),AV!$P$22*((AV!$U$22-RASANTE!F276)/(AV!$O$22))^2,IF(AND(AV!$S$24&lt;F276,F276&lt;=AV!$T$24),AV!$P$24*((AV!$S$24-RASANTE!F276)/(AV!$N$24))^2,IF(AND(AV!$T$24&lt;RASANTE!F276,F276&lt;AV!$U$24),AV!$P$24*((AV!$U$24-RASANTE!F276)/(AV!$O$24))^2,0))))))))))))))))))))</f>
        <v>0</v>
      </c>
      <c r="L276" s="28">
        <f>+M276+H276%*PERALTE!$C$32</f>
        <v>1641.2044662306519</v>
      </c>
      <c r="M276" s="28">
        <f t="shared" si="12"/>
        <v>1641.0105284648976</v>
      </c>
      <c r="N276" s="28">
        <f>+M276+I276%*PERALTE!$C$32</f>
        <v>1640.8165906991433</v>
      </c>
      <c r="O276" s="92"/>
      <c r="P276" s="84"/>
      <c r="Q276" s="84"/>
      <c r="R276" s="84"/>
      <c r="S276" s="84"/>
      <c r="T276" s="84"/>
      <c r="U276" s="84"/>
      <c r="V276" s="84"/>
      <c r="W276" s="84"/>
      <c r="X276" s="84"/>
      <c r="Y276" s="84"/>
    </row>
    <row r="277" spans="1:25" ht="15.75" customHeight="1" x14ac:dyDescent="0.2">
      <c r="A277" s="90"/>
      <c r="B277" s="86"/>
      <c r="C277" s="86"/>
      <c r="D277" s="86"/>
      <c r="F277" s="34">
        <v>1670</v>
      </c>
      <c r="G277" s="88">
        <v>5.4480000000000004</v>
      </c>
      <c r="H277" s="357">
        <v>7.7410790215536078</v>
      </c>
      <c r="I277" s="357">
        <v>-7.7410790215536096</v>
      </c>
      <c r="J277" s="28">
        <f t="shared" si="13"/>
        <v>1641.5553284648975</v>
      </c>
      <c r="K277" s="28">
        <f>+IF(AND(AV!$S$6&lt;F277,F277&lt;=AV!$T$6),AV!$P$6*((AV!$S$6-RASANTE!F277)/(AV!$N$6))^2,IF(AND(AV!$T$6&lt;RASANTE!F277,F277&lt;AV!$U$6),AV!$P$6*((AV!$U$6-RASANTE!F277)/(AV!$O$6))^2,IF(AND(AV!$S$8&lt;F277,F277&lt;=AV!$T$8),AV!$P$8*((AV!$S$8-RASANTE!F277)/(AV!$N$8))^2,IF(AND(AV!$T$8&lt;RASANTE!F277,F277&lt;AV!$U$8),AV!$P$8*((AV!$U$8-RASANTE!F277)/(AV!$O$8))^2,IF(AND(AV!$S$10&lt;F277,F277&lt;=AV!$T$10),AV!$P$10*((AV!$S$10-RASANTE!F277)/(AV!$N$10))^2,IF(AND(AV!$T$10&lt;RASANTE!F277,F277&lt;AV!$U$10),AV!$P$10*((AV!$U$10-RASANTE!F277)/(AV!$O$10))^2,IF(AND(AV!$S$12&lt;F277,F277&lt;=AV!$T$12),AV!$P$12*((AV!$S$12-RASANTE!F277)/(AV!$N$12))^2,IF(AND(AV!$T$12&lt;RASANTE!F277,F277&lt;AV!$U$12),AV!$P$12*((AV!$U$12-RASANTE!F277)/(AV!$O$12))^2,IF(AND(AV!$S$14&lt;F277,F277&lt;=AV!$T$14),AV!$P$14*((AV!$S$14-RASANTE!F277)/(AV!$N$14))^2,IF(AND(AV!$T$14&lt;RASANTE!F277,F277&lt;AV!$U$14),AV!$P$14*((AV!$U$14-RASANTE!F277)/(AV!$O$14))^2,IF(AND(AV!$S$16&lt;F277,F277&lt;=AV!$T$16),AV!$P$16*((AV!$S$16-RASANTE!F277)/(AV!$N$16))^2,IF(AND(AV!$T$16&lt;RASANTE!F277,F277&lt;AV!$U$16),AV!$P$16*((AV!$U$16-RASANTE!F277)/(AV!$O$16))^2,IF(AND(AV!$S$18&lt;F277,F277&lt;=AV!$T$18),AV!$P$18*((AV!$S$18-RASANTE!F277)/(AV!$N$18))^2,IF(AND(AV!$T$18&lt;RASANTE!F277,F277&lt;AV!$U$18),AV!$P$18*((AV!$U$18-RASANTE!F277)/(AV!$O$18))^2,IF(AND(AV!$S$20&lt;F277,F277&lt;=AV!$T$20),AV!$P$20*((AV!$S$20-RASANTE!F277)/(AV!$N$20))^2,IF(AND(AV!$T$20&lt;RASANTE!F277,F277&lt;AV!$U$20),AV!$P$20*((AV!$U$20-RASANTE!F277)/(AV!$O$20))^2,IF(AND(AV!$S$22&lt;F277,F277&lt;=AV!$T$22),AV!$P$22*((AV!$S$22-RASANTE!F277)/(AV!$N$22))^2,IF(AND(AV!$T$22&lt;RASANTE!F277,F277&lt;AV!$U$22),AV!$P$22*((AV!$U$22-RASANTE!F277)/(AV!$O$22))^2,IF(AND(AV!$S$24&lt;F277,F277&lt;=AV!$T$24),AV!$P$24*((AV!$S$24-RASANTE!F277)/(AV!$N$24))^2,IF(AND(AV!$T$24&lt;RASANTE!F277,F277&lt;AV!$U$24),AV!$P$24*((AV!$U$24-RASANTE!F277)/(AV!$O$24))^2,0))))))))))))))))))))</f>
        <v>0</v>
      </c>
      <c r="L277" s="28">
        <f>+M277+H277%*PERALTE!$C$32</f>
        <v>1641.8262662306518</v>
      </c>
      <c r="M277" s="28">
        <f t="shared" si="12"/>
        <v>1641.5553284648975</v>
      </c>
      <c r="N277" s="28">
        <f>+M277+I277%*PERALTE!$C$32</f>
        <v>1641.2843906991432</v>
      </c>
      <c r="O277" s="92"/>
      <c r="P277" s="84"/>
      <c r="Q277" s="84"/>
      <c r="R277" s="84"/>
      <c r="S277" s="84"/>
      <c r="T277" s="84"/>
      <c r="U277" s="84"/>
      <c r="V277" s="84"/>
      <c r="W277" s="84"/>
      <c r="X277" s="84"/>
      <c r="Y277" s="84"/>
    </row>
    <row r="278" spans="1:25" ht="15.75" customHeight="1" x14ac:dyDescent="0.2">
      <c r="A278" s="323" t="s">
        <v>380</v>
      </c>
      <c r="B278" s="375" t="s">
        <v>231</v>
      </c>
      <c r="C278" s="376"/>
      <c r="D278" s="377"/>
      <c r="F278" s="34">
        <f>PERALTE!V20</f>
        <v>1671.1769135383931</v>
      </c>
      <c r="G278" s="88">
        <v>5.4480000000000004</v>
      </c>
      <c r="H278" s="357">
        <v>8.0000000000000995</v>
      </c>
      <c r="I278" s="357">
        <v>-8.0000000000000995</v>
      </c>
      <c r="J278" s="28">
        <f t="shared" si="13"/>
        <v>1641.6194467144692</v>
      </c>
      <c r="K278" s="28">
        <f>+IF(AND(AV!$S$6&lt;F278,F278&lt;=AV!$T$6),AV!$P$6*((AV!$S$6-RASANTE!F278)/(AV!$N$6))^2,IF(AND(AV!$T$6&lt;RASANTE!F278,F278&lt;AV!$U$6),AV!$P$6*((AV!$U$6-RASANTE!F278)/(AV!$O$6))^2,IF(AND(AV!$S$8&lt;F278,F278&lt;=AV!$T$8),AV!$P$8*((AV!$S$8-RASANTE!F278)/(AV!$N$8))^2,IF(AND(AV!$T$8&lt;RASANTE!F278,F278&lt;AV!$U$8),AV!$P$8*((AV!$U$8-RASANTE!F278)/(AV!$O$8))^2,IF(AND(AV!$S$10&lt;F278,F278&lt;=AV!$T$10),AV!$P$10*((AV!$S$10-RASANTE!F278)/(AV!$N$10))^2,IF(AND(AV!$T$10&lt;RASANTE!F278,F278&lt;AV!$U$10),AV!$P$10*((AV!$U$10-RASANTE!F278)/(AV!$O$10))^2,IF(AND(AV!$S$12&lt;F278,F278&lt;=AV!$T$12),AV!$P$12*((AV!$S$12-RASANTE!F278)/(AV!$N$12))^2,IF(AND(AV!$T$12&lt;RASANTE!F278,F278&lt;AV!$U$12),AV!$P$12*((AV!$U$12-RASANTE!F278)/(AV!$O$12))^2,IF(AND(AV!$S$14&lt;F278,F278&lt;=AV!$T$14),AV!$P$14*((AV!$S$14-RASANTE!F278)/(AV!$N$14))^2,IF(AND(AV!$T$14&lt;RASANTE!F278,F278&lt;AV!$U$14),AV!$P$14*((AV!$U$14-RASANTE!F278)/(AV!$O$14))^2,IF(AND(AV!$S$16&lt;F278,F278&lt;=AV!$T$16),AV!$P$16*((AV!$S$16-RASANTE!F278)/(AV!$N$16))^2,IF(AND(AV!$T$16&lt;RASANTE!F278,F278&lt;AV!$U$16),AV!$P$16*((AV!$U$16-RASANTE!F278)/(AV!$O$16))^2,IF(AND(AV!$S$18&lt;F278,F278&lt;=AV!$T$18),AV!$P$18*((AV!$S$18-RASANTE!F278)/(AV!$N$18))^2,IF(AND(AV!$T$18&lt;RASANTE!F278,F278&lt;AV!$U$18),AV!$P$18*((AV!$U$18-RASANTE!F278)/(AV!$O$18))^2,IF(AND(AV!$S$20&lt;F278,F278&lt;=AV!$T$20),AV!$P$20*((AV!$S$20-RASANTE!F278)/(AV!$N$20))^2,IF(AND(AV!$T$20&lt;RASANTE!F278,F278&lt;AV!$U$20),AV!$P$20*((AV!$U$20-RASANTE!F278)/(AV!$O$20))^2,IF(AND(AV!$S$22&lt;F278,F278&lt;=AV!$T$22),AV!$P$22*((AV!$S$22-RASANTE!F278)/(AV!$N$22))^2,IF(AND(AV!$T$22&lt;RASANTE!F278,F278&lt;AV!$U$22),AV!$P$22*((AV!$U$22-RASANTE!F278)/(AV!$O$22))^2,IF(AND(AV!$S$24&lt;F278,F278&lt;=AV!$T$24),AV!$P$24*((AV!$S$24-RASANTE!F278)/(AV!$N$24))^2,IF(AND(AV!$T$24&lt;RASANTE!F278,F278&lt;AV!$U$24),AV!$P$24*((AV!$U$24-RASANTE!F278)/(AV!$O$24))^2,0))))))))))))))))))))</f>
        <v>0</v>
      </c>
      <c r="L278" s="28">
        <f>+M278+H278%*PERALTE!$C$32</f>
        <v>1641.8994467144691</v>
      </c>
      <c r="M278" s="28">
        <f t="shared" si="12"/>
        <v>1641.6194467144692</v>
      </c>
      <c r="N278" s="28">
        <f>+M278+I278%*PERALTE!$C$32</f>
        <v>1641.3394467144692</v>
      </c>
      <c r="O278" s="92"/>
      <c r="P278" s="84"/>
      <c r="Q278" s="84"/>
      <c r="R278" s="84"/>
      <c r="S278" s="84"/>
      <c r="T278" s="84"/>
      <c r="U278" s="84"/>
      <c r="V278" s="84"/>
      <c r="W278" s="84"/>
      <c r="X278" s="84"/>
      <c r="Y278" s="84"/>
    </row>
    <row r="279" spans="1:25" ht="15.75" customHeight="1" x14ac:dyDescent="0.2">
      <c r="A279" s="204"/>
      <c r="B279" s="181">
        <f>AH!L22</f>
        <v>0.60937650533905108</v>
      </c>
      <c r="C279" s="182">
        <f>AH!V22</f>
        <v>20.892908754481748</v>
      </c>
      <c r="D279" s="183"/>
      <c r="E279" s="91"/>
      <c r="F279" s="34">
        <v>1680</v>
      </c>
      <c r="G279" s="88">
        <v>5.4480000000000004</v>
      </c>
      <c r="H279" s="357">
        <v>8</v>
      </c>
      <c r="I279" s="357">
        <v>-8</v>
      </c>
      <c r="J279" s="28">
        <f t="shared" si="13"/>
        <v>1642.1001284648976</v>
      </c>
      <c r="K279" s="28">
        <f>+IF(AND(AV!$S$6&lt;F279,F279&lt;=AV!$T$6),AV!$P$6*((AV!$S$6-RASANTE!F279)/(AV!$N$6))^2,IF(AND(AV!$T$6&lt;RASANTE!F279,F279&lt;AV!$U$6),AV!$P$6*((AV!$U$6-RASANTE!F279)/(AV!$O$6))^2,IF(AND(AV!$S$8&lt;F279,F279&lt;=AV!$T$8),AV!$P$8*((AV!$S$8-RASANTE!F279)/(AV!$N$8))^2,IF(AND(AV!$T$8&lt;RASANTE!F279,F279&lt;AV!$U$8),AV!$P$8*((AV!$U$8-RASANTE!F279)/(AV!$O$8))^2,IF(AND(AV!$S$10&lt;F279,F279&lt;=AV!$T$10),AV!$P$10*((AV!$S$10-RASANTE!F279)/(AV!$N$10))^2,IF(AND(AV!$T$10&lt;RASANTE!F279,F279&lt;AV!$U$10),AV!$P$10*((AV!$U$10-RASANTE!F279)/(AV!$O$10))^2,IF(AND(AV!$S$12&lt;F279,F279&lt;=AV!$T$12),AV!$P$12*((AV!$S$12-RASANTE!F279)/(AV!$N$12))^2,IF(AND(AV!$T$12&lt;RASANTE!F279,F279&lt;AV!$U$12),AV!$P$12*((AV!$U$12-RASANTE!F279)/(AV!$O$12))^2,IF(AND(AV!$S$14&lt;F279,F279&lt;=AV!$T$14),AV!$P$14*((AV!$S$14-RASANTE!F279)/(AV!$N$14))^2,IF(AND(AV!$T$14&lt;RASANTE!F279,F279&lt;AV!$U$14),AV!$P$14*((AV!$U$14-RASANTE!F279)/(AV!$O$14))^2,IF(AND(AV!$S$16&lt;F279,F279&lt;=AV!$T$16),AV!$P$16*((AV!$S$16-RASANTE!F279)/(AV!$N$16))^2,IF(AND(AV!$T$16&lt;RASANTE!F279,F279&lt;AV!$U$16),AV!$P$16*((AV!$U$16-RASANTE!F279)/(AV!$O$16))^2,IF(AND(AV!$S$18&lt;F279,F279&lt;=AV!$T$18),AV!$P$18*((AV!$S$18-RASANTE!F279)/(AV!$N$18))^2,IF(AND(AV!$T$18&lt;RASANTE!F279,F279&lt;AV!$U$18),AV!$P$18*((AV!$U$18-RASANTE!F279)/(AV!$O$18))^2,IF(AND(AV!$S$20&lt;F279,F279&lt;=AV!$T$20),AV!$P$20*((AV!$S$20-RASANTE!F279)/(AV!$N$20))^2,IF(AND(AV!$T$20&lt;RASANTE!F279,F279&lt;AV!$U$20),AV!$P$20*((AV!$U$20-RASANTE!F279)/(AV!$O$20))^2,IF(AND(AV!$S$22&lt;F279,F279&lt;=AV!$T$22),AV!$P$22*((AV!$S$22-RASANTE!F279)/(AV!$N$22))^2,IF(AND(AV!$T$22&lt;RASANTE!F279,F279&lt;AV!$U$22),AV!$P$22*((AV!$U$22-RASANTE!F279)/(AV!$O$22))^2,IF(AND(AV!$S$24&lt;F279,F279&lt;=AV!$T$24),AV!$P$24*((AV!$S$24-RASANTE!F279)/(AV!$N$24))^2,IF(AND(AV!$T$24&lt;RASANTE!F279,F279&lt;AV!$U$24),AV!$P$24*((AV!$U$24-RASANTE!F279)/(AV!$O$24))^2,0))))))))))))))))))))</f>
        <v>0</v>
      </c>
      <c r="L279" s="28">
        <f>+M279+H279%*PERALTE!$C$32</f>
        <v>1642.3801284648976</v>
      </c>
      <c r="M279" s="28">
        <f t="shared" si="12"/>
        <v>1642.1001284648976</v>
      </c>
      <c r="N279" s="28">
        <f>+M279+I279%*PERALTE!$C$32</f>
        <v>1641.8201284648976</v>
      </c>
      <c r="O279" s="92"/>
      <c r="P279" s="84"/>
      <c r="Q279" s="84"/>
      <c r="R279" s="84"/>
      <c r="S279" s="84"/>
      <c r="T279" s="84"/>
      <c r="U279" s="84"/>
      <c r="V279" s="84"/>
      <c r="W279" s="84"/>
      <c r="X279" s="84"/>
      <c r="Y279" s="84"/>
    </row>
    <row r="280" spans="1:25" ht="15.75" customHeight="1" x14ac:dyDescent="0.2">
      <c r="A280" s="204"/>
      <c r="B280" s="184">
        <f>AH!R22</f>
        <v>0.14583333333333334</v>
      </c>
      <c r="C280" s="185">
        <f>AH!F2</f>
        <v>5</v>
      </c>
      <c r="D280" s="186"/>
      <c r="E280" s="91"/>
      <c r="F280" s="34">
        <v>1690</v>
      </c>
      <c r="G280" s="88">
        <v>5.4480000000000004</v>
      </c>
      <c r="H280" s="357">
        <v>8</v>
      </c>
      <c r="I280" s="357">
        <v>-8</v>
      </c>
      <c r="J280" s="28">
        <f t="shared" si="13"/>
        <v>1642.6449284648975</v>
      </c>
      <c r="K280" s="28">
        <f>+IF(AND(AV!$S$6&lt;F280,F280&lt;=AV!$T$6),AV!$P$6*((AV!$S$6-RASANTE!F280)/(AV!$N$6))^2,IF(AND(AV!$T$6&lt;RASANTE!F280,F280&lt;AV!$U$6),AV!$P$6*((AV!$U$6-RASANTE!F280)/(AV!$O$6))^2,IF(AND(AV!$S$8&lt;F280,F280&lt;=AV!$T$8),AV!$P$8*((AV!$S$8-RASANTE!F280)/(AV!$N$8))^2,IF(AND(AV!$T$8&lt;RASANTE!F280,F280&lt;AV!$U$8),AV!$P$8*((AV!$U$8-RASANTE!F280)/(AV!$O$8))^2,IF(AND(AV!$S$10&lt;F280,F280&lt;=AV!$T$10),AV!$P$10*((AV!$S$10-RASANTE!F280)/(AV!$N$10))^2,IF(AND(AV!$T$10&lt;RASANTE!F280,F280&lt;AV!$U$10),AV!$P$10*((AV!$U$10-RASANTE!F280)/(AV!$O$10))^2,IF(AND(AV!$S$12&lt;F280,F280&lt;=AV!$T$12),AV!$P$12*((AV!$S$12-RASANTE!F280)/(AV!$N$12))^2,IF(AND(AV!$T$12&lt;RASANTE!F280,F280&lt;AV!$U$12),AV!$P$12*((AV!$U$12-RASANTE!F280)/(AV!$O$12))^2,IF(AND(AV!$S$14&lt;F280,F280&lt;=AV!$T$14),AV!$P$14*((AV!$S$14-RASANTE!F280)/(AV!$N$14))^2,IF(AND(AV!$T$14&lt;RASANTE!F280,F280&lt;AV!$U$14),AV!$P$14*((AV!$U$14-RASANTE!F280)/(AV!$O$14))^2,IF(AND(AV!$S$16&lt;F280,F280&lt;=AV!$T$16),AV!$P$16*((AV!$S$16-RASANTE!F280)/(AV!$N$16))^2,IF(AND(AV!$T$16&lt;RASANTE!F280,F280&lt;AV!$U$16),AV!$P$16*((AV!$U$16-RASANTE!F280)/(AV!$O$16))^2,IF(AND(AV!$S$18&lt;F280,F280&lt;=AV!$T$18),AV!$P$18*((AV!$S$18-RASANTE!F280)/(AV!$N$18))^2,IF(AND(AV!$T$18&lt;RASANTE!F280,F280&lt;AV!$U$18),AV!$P$18*((AV!$U$18-RASANTE!F280)/(AV!$O$18))^2,IF(AND(AV!$S$20&lt;F280,F280&lt;=AV!$T$20),AV!$P$20*((AV!$S$20-RASANTE!F280)/(AV!$N$20))^2,IF(AND(AV!$T$20&lt;RASANTE!F280,F280&lt;AV!$U$20),AV!$P$20*((AV!$U$20-RASANTE!F280)/(AV!$O$20))^2,IF(AND(AV!$S$22&lt;F280,F280&lt;=AV!$T$22),AV!$P$22*((AV!$S$22-RASANTE!F280)/(AV!$N$22))^2,IF(AND(AV!$T$22&lt;RASANTE!F280,F280&lt;AV!$U$22),AV!$P$22*((AV!$U$22-RASANTE!F280)/(AV!$O$22))^2,IF(AND(AV!$S$24&lt;F280,F280&lt;=AV!$T$24),AV!$P$24*((AV!$S$24-RASANTE!F280)/(AV!$N$24))^2,IF(AND(AV!$T$24&lt;RASANTE!F280,F280&lt;AV!$U$24),AV!$P$24*((AV!$U$24-RASANTE!F280)/(AV!$O$24))^2,0))))))))))))))))))))</f>
        <v>0</v>
      </c>
      <c r="L280" s="28">
        <f>+M280+H280%*PERALTE!$C$32</f>
        <v>1642.9249284648974</v>
      </c>
      <c r="M280" s="28">
        <f t="shared" si="12"/>
        <v>1642.6449284648975</v>
      </c>
      <c r="N280" s="28">
        <f>+M280+I280%*PERALTE!$C$32</f>
        <v>1642.3649284648975</v>
      </c>
      <c r="O280" s="92"/>
      <c r="P280" s="84"/>
      <c r="Q280" s="84"/>
      <c r="R280" s="84"/>
      <c r="S280" s="84"/>
      <c r="T280" s="84"/>
      <c r="U280" s="84"/>
      <c r="V280" s="84"/>
      <c r="W280" s="84"/>
      <c r="X280" s="84"/>
      <c r="Y280" s="84"/>
    </row>
    <row r="281" spans="1:25" ht="15.75" customHeight="1" x14ac:dyDescent="0.2">
      <c r="A281" s="321" t="s">
        <v>232</v>
      </c>
      <c r="B281" s="187">
        <f>AH!S22</f>
        <v>81.863841334485116</v>
      </c>
      <c r="C281" s="188">
        <f>PERALTE!C34</f>
        <v>8</v>
      </c>
      <c r="D281" s="186"/>
      <c r="F281" s="34">
        <f>PERALTE!W20</f>
        <v>1692.069822292875</v>
      </c>
      <c r="G281" s="88">
        <v>5.4480000000000004</v>
      </c>
      <c r="H281" s="357">
        <v>8</v>
      </c>
      <c r="I281" s="357">
        <v>-8</v>
      </c>
      <c r="J281" s="28">
        <f t="shared" si="13"/>
        <v>1642.7576923834133</v>
      </c>
      <c r="K281" s="28">
        <f>+IF(AND(AV!$S$6&lt;F281,F281&lt;=AV!$T$6),AV!$P$6*((AV!$S$6-RASANTE!F281)/(AV!$N$6))^2,IF(AND(AV!$T$6&lt;RASANTE!F281,F281&lt;AV!$U$6),AV!$P$6*((AV!$U$6-RASANTE!F281)/(AV!$O$6))^2,IF(AND(AV!$S$8&lt;F281,F281&lt;=AV!$T$8),AV!$P$8*((AV!$S$8-RASANTE!F281)/(AV!$N$8))^2,IF(AND(AV!$T$8&lt;RASANTE!F281,F281&lt;AV!$U$8),AV!$P$8*((AV!$U$8-RASANTE!F281)/(AV!$O$8))^2,IF(AND(AV!$S$10&lt;F281,F281&lt;=AV!$T$10),AV!$P$10*((AV!$S$10-RASANTE!F281)/(AV!$N$10))^2,IF(AND(AV!$T$10&lt;RASANTE!F281,F281&lt;AV!$U$10),AV!$P$10*((AV!$U$10-RASANTE!F281)/(AV!$O$10))^2,IF(AND(AV!$S$12&lt;F281,F281&lt;=AV!$T$12),AV!$P$12*((AV!$S$12-RASANTE!F281)/(AV!$N$12))^2,IF(AND(AV!$T$12&lt;RASANTE!F281,F281&lt;AV!$U$12),AV!$P$12*((AV!$U$12-RASANTE!F281)/(AV!$O$12))^2,IF(AND(AV!$S$14&lt;F281,F281&lt;=AV!$T$14),AV!$P$14*((AV!$S$14-RASANTE!F281)/(AV!$N$14))^2,IF(AND(AV!$T$14&lt;RASANTE!F281,F281&lt;AV!$U$14),AV!$P$14*((AV!$U$14-RASANTE!F281)/(AV!$O$14))^2,IF(AND(AV!$S$16&lt;F281,F281&lt;=AV!$T$16),AV!$P$16*((AV!$S$16-RASANTE!F281)/(AV!$N$16))^2,IF(AND(AV!$T$16&lt;RASANTE!F281,F281&lt;AV!$U$16),AV!$P$16*((AV!$U$16-RASANTE!F281)/(AV!$O$16))^2,IF(AND(AV!$S$18&lt;F281,F281&lt;=AV!$T$18),AV!$P$18*((AV!$S$18-RASANTE!F281)/(AV!$N$18))^2,IF(AND(AV!$T$18&lt;RASANTE!F281,F281&lt;AV!$U$18),AV!$P$18*((AV!$U$18-RASANTE!F281)/(AV!$O$18))^2,IF(AND(AV!$S$20&lt;F281,F281&lt;=AV!$T$20),AV!$P$20*((AV!$S$20-RASANTE!F281)/(AV!$N$20))^2,IF(AND(AV!$T$20&lt;RASANTE!F281,F281&lt;AV!$U$20),AV!$P$20*((AV!$U$20-RASANTE!F281)/(AV!$O$20))^2,IF(AND(AV!$S$22&lt;F281,F281&lt;=AV!$T$22),AV!$P$22*((AV!$S$22-RASANTE!F281)/(AV!$N$22))^2,IF(AND(AV!$T$22&lt;RASANTE!F281,F281&lt;AV!$U$22),AV!$P$22*((AV!$U$22-RASANTE!F281)/(AV!$O$22))^2,IF(AND(AV!$S$24&lt;F281,F281&lt;=AV!$T$24),AV!$P$24*((AV!$S$24-RASANTE!F281)/(AV!$N$24))^2,IF(AND(AV!$T$24&lt;RASANTE!F281,F281&lt;AV!$U$24),AV!$P$24*((AV!$U$24-RASANTE!F281)/(AV!$O$24))^2,0))))))))))))))))))))</f>
        <v>0</v>
      </c>
      <c r="L281" s="28">
        <f>+M281+H281%*PERALTE!$C$32</f>
        <v>1643.0376923834133</v>
      </c>
      <c r="M281" s="28">
        <f t="shared" si="12"/>
        <v>1642.7576923834133</v>
      </c>
      <c r="N281" s="28">
        <f>+M281+I281%*PERALTE!$C$32</f>
        <v>1642.4776923834133</v>
      </c>
      <c r="O281" s="92"/>
      <c r="P281" s="84"/>
      <c r="Q281" s="84"/>
      <c r="R281" s="84"/>
      <c r="S281" s="84"/>
      <c r="T281" s="84"/>
      <c r="U281" s="84"/>
      <c r="V281" s="84"/>
      <c r="W281" s="84"/>
      <c r="X281" s="84"/>
      <c r="Y281" s="84"/>
    </row>
    <row r="282" spans="1:25" ht="15.75" customHeight="1" x14ac:dyDescent="0.2">
      <c r="A282" s="322"/>
      <c r="B282" s="354">
        <f>AH!U22</f>
        <v>10.505179687758497</v>
      </c>
      <c r="C282" s="190">
        <f>PERALTE!N20</f>
        <v>36.36363636363636</v>
      </c>
      <c r="D282" s="202"/>
      <c r="E282" s="91"/>
      <c r="F282" s="34">
        <v>1700</v>
      </c>
      <c r="G282" s="88">
        <v>5.4480000000000004</v>
      </c>
      <c r="H282" s="357">
        <v>6.2553609044323828</v>
      </c>
      <c r="I282" s="357">
        <v>-6.2553609044323899</v>
      </c>
      <c r="J282" s="28">
        <f t="shared" si="13"/>
        <v>1643.1897284648976</v>
      </c>
      <c r="K282" s="28">
        <f>+IF(AND(AV!$S$6&lt;F282,F282&lt;=AV!$T$6),AV!$P$6*((AV!$S$6-RASANTE!F282)/(AV!$N$6))^2,IF(AND(AV!$T$6&lt;RASANTE!F282,F282&lt;AV!$U$6),AV!$P$6*((AV!$U$6-RASANTE!F282)/(AV!$O$6))^2,IF(AND(AV!$S$8&lt;F282,F282&lt;=AV!$T$8),AV!$P$8*((AV!$S$8-RASANTE!F282)/(AV!$N$8))^2,IF(AND(AV!$T$8&lt;RASANTE!F282,F282&lt;AV!$U$8),AV!$P$8*((AV!$U$8-RASANTE!F282)/(AV!$O$8))^2,IF(AND(AV!$S$10&lt;F282,F282&lt;=AV!$T$10),AV!$P$10*((AV!$S$10-RASANTE!F282)/(AV!$N$10))^2,IF(AND(AV!$T$10&lt;RASANTE!F282,F282&lt;AV!$U$10),AV!$P$10*((AV!$U$10-RASANTE!F282)/(AV!$O$10))^2,IF(AND(AV!$S$12&lt;F282,F282&lt;=AV!$T$12),AV!$P$12*((AV!$S$12-RASANTE!F282)/(AV!$N$12))^2,IF(AND(AV!$T$12&lt;RASANTE!F282,F282&lt;AV!$U$12),AV!$P$12*((AV!$U$12-RASANTE!F282)/(AV!$O$12))^2,IF(AND(AV!$S$14&lt;F282,F282&lt;=AV!$T$14),AV!$P$14*((AV!$S$14-RASANTE!F282)/(AV!$N$14))^2,IF(AND(AV!$T$14&lt;RASANTE!F282,F282&lt;AV!$U$14),AV!$P$14*((AV!$U$14-RASANTE!F282)/(AV!$O$14))^2,IF(AND(AV!$S$16&lt;F282,F282&lt;=AV!$T$16),AV!$P$16*((AV!$S$16-RASANTE!F282)/(AV!$N$16))^2,IF(AND(AV!$T$16&lt;RASANTE!F282,F282&lt;AV!$U$16),AV!$P$16*((AV!$U$16-RASANTE!F282)/(AV!$O$16))^2,IF(AND(AV!$S$18&lt;F282,F282&lt;=AV!$T$18),AV!$P$18*((AV!$S$18-RASANTE!F282)/(AV!$N$18))^2,IF(AND(AV!$T$18&lt;RASANTE!F282,F282&lt;AV!$U$18),AV!$P$18*((AV!$U$18-RASANTE!F282)/(AV!$O$18))^2,IF(AND(AV!$S$20&lt;F282,F282&lt;=AV!$T$20),AV!$P$20*((AV!$S$20-RASANTE!F282)/(AV!$N$20))^2,IF(AND(AV!$T$20&lt;RASANTE!F282,F282&lt;AV!$U$20),AV!$P$20*((AV!$U$20-RASANTE!F282)/(AV!$O$20))^2,IF(AND(AV!$S$22&lt;F282,F282&lt;=AV!$T$22),AV!$P$22*((AV!$S$22-RASANTE!F282)/(AV!$N$22))^2,IF(AND(AV!$T$22&lt;RASANTE!F282,F282&lt;AV!$U$22),AV!$P$22*((AV!$U$22-RASANTE!F282)/(AV!$O$22))^2,IF(AND(AV!$S$24&lt;F282,F282&lt;=AV!$T$24),AV!$P$24*((AV!$S$24-RASANTE!F282)/(AV!$N$24))^2,IF(AND(AV!$T$24&lt;RASANTE!F282,F282&lt;AV!$U$24),AV!$P$24*((AV!$U$24-RASANTE!F282)/(AV!$O$24))^2,0))))))))))))))))))))</f>
        <v>0</v>
      </c>
      <c r="L282" s="28">
        <f>+M282+H282%*PERALTE!$C$32</f>
        <v>1643.4086660965527</v>
      </c>
      <c r="M282" s="28">
        <f t="shared" si="12"/>
        <v>1643.1897284648976</v>
      </c>
      <c r="N282" s="28">
        <f>+M282+I282%*PERALTE!$C$32</f>
        <v>1642.9707908332425</v>
      </c>
      <c r="O282" s="92"/>
      <c r="P282" s="84"/>
      <c r="Q282" s="84"/>
      <c r="R282" s="84"/>
      <c r="S282" s="84"/>
      <c r="T282" s="84"/>
      <c r="U282" s="84"/>
      <c r="V282" s="84"/>
      <c r="W282" s="84"/>
      <c r="X282" s="84"/>
      <c r="Y282" s="84"/>
    </row>
    <row r="283" spans="1:25" ht="15.75" customHeight="1" x14ac:dyDescent="0.2">
      <c r="A283" s="322"/>
      <c r="B283" s="355"/>
      <c r="C283" s="192" t="str">
        <f>AH!H22</f>
        <v>Derecha</v>
      </c>
      <c r="D283" s="203"/>
      <c r="E283" s="91"/>
      <c r="F283" s="34">
        <v>1710</v>
      </c>
      <c r="G283" s="88">
        <v>5.4480000000000004</v>
      </c>
      <c r="H283" s="357">
        <v>4.0553609044323746</v>
      </c>
      <c r="I283" s="357">
        <v>-4.0553609044323888</v>
      </c>
      <c r="J283" s="28">
        <f t="shared" si="13"/>
        <v>1643.7345284648975</v>
      </c>
      <c r="K283" s="28">
        <f>+IF(AND(AV!$S$6&lt;F283,F283&lt;=AV!$T$6),AV!$P$6*((AV!$S$6-RASANTE!F283)/(AV!$N$6))^2,IF(AND(AV!$T$6&lt;RASANTE!F283,F283&lt;AV!$U$6),AV!$P$6*((AV!$U$6-RASANTE!F283)/(AV!$O$6))^2,IF(AND(AV!$S$8&lt;F283,F283&lt;=AV!$T$8),AV!$P$8*((AV!$S$8-RASANTE!F283)/(AV!$N$8))^2,IF(AND(AV!$T$8&lt;RASANTE!F283,F283&lt;AV!$U$8),AV!$P$8*((AV!$U$8-RASANTE!F283)/(AV!$O$8))^2,IF(AND(AV!$S$10&lt;F283,F283&lt;=AV!$T$10),AV!$P$10*((AV!$S$10-RASANTE!F283)/(AV!$N$10))^2,IF(AND(AV!$T$10&lt;RASANTE!F283,F283&lt;AV!$U$10),AV!$P$10*((AV!$U$10-RASANTE!F283)/(AV!$O$10))^2,IF(AND(AV!$S$12&lt;F283,F283&lt;=AV!$T$12),AV!$P$12*((AV!$S$12-RASANTE!F283)/(AV!$N$12))^2,IF(AND(AV!$T$12&lt;RASANTE!F283,F283&lt;AV!$U$12),AV!$P$12*((AV!$U$12-RASANTE!F283)/(AV!$O$12))^2,IF(AND(AV!$S$14&lt;F283,F283&lt;=AV!$T$14),AV!$P$14*((AV!$S$14-RASANTE!F283)/(AV!$N$14))^2,IF(AND(AV!$T$14&lt;RASANTE!F283,F283&lt;AV!$U$14),AV!$P$14*((AV!$U$14-RASANTE!F283)/(AV!$O$14))^2,IF(AND(AV!$S$16&lt;F283,F283&lt;=AV!$T$16),AV!$P$16*((AV!$S$16-RASANTE!F283)/(AV!$N$16))^2,IF(AND(AV!$T$16&lt;RASANTE!F283,F283&lt;AV!$U$16),AV!$P$16*((AV!$U$16-RASANTE!F283)/(AV!$O$16))^2,IF(AND(AV!$S$18&lt;F283,F283&lt;=AV!$T$18),AV!$P$18*((AV!$S$18-RASANTE!F283)/(AV!$N$18))^2,IF(AND(AV!$T$18&lt;RASANTE!F283,F283&lt;AV!$U$18),AV!$P$18*((AV!$U$18-RASANTE!F283)/(AV!$O$18))^2,IF(AND(AV!$S$20&lt;F283,F283&lt;=AV!$T$20),AV!$P$20*((AV!$S$20-RASANTE!F283)/(AV!$N$20))^2,IF(AND(AV!$T$20&lt;RASANTE!F283,F283&lt;AV!$U$20),AV!$P$20*((AV!$U$20-RASANTE!F283)/(AV!$O$20))^2,IF(AND(AV!$S$22&lt;F283,F283&lt;=AV!$T$22),AV!$P$22*((AV!$S$22-RASANTE!F283)/(AV!$N$22))^2,IF(AND(AV!$T$22&lt;RASANTE!F283,F283&lt;AV!$U$22),AV!$P$22*((AV!$U$22-RASANTE!F283)/(AV!$O$22))^2,IF(AND(AV!$S$24&lt;F283,F283&lt;=AV!$T$24),AV!$P$24*((AV!$S$24-RASANTE!F283)/(AV!$N$24))^2,IF(AND(AV!$T$24&lt;RASANTE!F283,F283&lt;AV!$U$24),AV!$P$24*((AV!$U$24-RASANTE!F283)/(AV!$O$24))^2,0))))))))))))))))))))</f>
        <v>0</v>
      </c>
      <c r="L283" s="28">
        <f>+M283+H283%*PERALTE!$C$32</f>
        <v>1643.8764660965526</v>
      </c>
      <c r="M283" s="28">
        <f t="shared" si="12"/>
        <v>1643.7345284648975</v>
      </c>
      <c r="N283" s="28">
        <f>+M283+I283%*PERALTE!$C$32</f>
        <v>1643.5925908332424</v>
      </c>
      <c r="O283" s="92"/>
      <c r="P283" s="84"/>
      <c r="Q283" s="84"/>
      <c r="R283" s="84"/>
      <c r="S283" s="84"/>
      <c r="T283" s="84"/>
      <c r="U283" s="84"/>
      <c r="V283" s="84"/>
      <c r="W283" s="84"/>
      <c r="X283" s="84"/>
      <c r="Y283" s="84"/>
    </row>
    <row r="284" spans="1:25" ht="15.75" customHeight="1" x14ac:dyDescent="0.2">
      <c r="A284" s="302" t="s">
        <v>381</v>
      </c>
      <c r="B284" s="268"/>
      <c r="F284" s="34">
        <f>PERALTE!Y20</f>
        <v>1710.2516404746927</v>
      </c>
      <c r="G284" s="88">
        <v>5.4480000000000004</v>
      </c>
      <c r="H284" s="357">
        <v>3.9999999999999698</v>
      </c>
      <c r="I284" s="357">
        <v>-3.9999999999999831</v>
      </c>
      <c r="J284" s="28">
        <f t="shared" si="13"/>
        <v>1643.7482378379589</v>
      </c>
      <c r="K284" s="28">
        <f>+IF(AND(AV!$S$6&lt;F284,F284&lt;=AV!$T$6),AV!$P$6*((AV!$S$6-RASANTE!F284)/(AV!$N$6))^2,IF(AND(AV!$T$6&lt;RASANTE!F284,F284&lt;AV!$U$6),AV!$P$6*((AV!$U$6-RASANTE!F284)/(AV!$O$6))^2,IF(AND(AV!$S$8&lt;F284,F284&lt;=AV!$T$8),AV!$P$8*((AV!$S$8-RASANTE!F284)/(AV!$N$8))^2,IF(AND(AV!$T$8&lt;RASANTE!F284,F284&lt;AV!$U$8),AV!$P$8*((AV!$U$8-RASANTE!F284)/(AV!$O$8))^2,IF(AND(AV!$S$10&lt;F284,F284&lt;=AV!$T$10),AV!$P$10*((AV!$S$10-RASANTE!F284)/(AV!$N$10))^2,IF(AND(AV!$T$10&lt;RASANTE!F284,F284&lt;AV!$U$10),AV!$P$10*((AV!$U$10-RASANTE!F284)/(AV!$O$10))^2,IF(AND(AV!$S$12&lt;F284,F284&lt;=AV!$T$12),AV!$P$12*((AV!$S$12-RASANTE!F284)/(AV!$N$12))^2,IF(AND(AV!$T$12&lt;RASANTE!F284,F284&lt;AV!$U$12),AV!$P$12*((AV!$U$12-RASANTE!F284)/(AV!$O$12))^2,IF(AND(AV!$S$14&lt;F284,F284&lt;=AV!$T$14),AV!$P$14*((AV!$S$14-RASANTE!F284)/(AV!$N$14))^2,IF(AND(AV!$T$14&lt;RASANTE!F284,F284&lt;AV!$U$14),AV!$P$14*((AV!$U$14-RASANTE!F284)/(AV!$O$14))^2,IF(AND(AV!$S$16&lt;F284,F284&lt;=AV!$T$16),AV!$P$16*((AV!$S$16-RASANTE!F284)/(AV!$N$16))^2,IF(AND(AV!$T$16&lt;RASANTE!F284,F284&lt;AV!$U$16),AV!$P$16*((AV!$U$16-RASANTE!F284)/(AV!$O$16))^2,IF(AND(AV!$S$18&lt;F284,F284&lt;=AV!$T$18),AV!$P$18*((AV!$S$18-RASANTE!F284)/(AV!$N$18))^2,IF(AND(AV!$T$18&lt;RASANTE!F284,F284&lt;AV!$U$18),AV!$P$18*((AV!$U$18-RASANTE!F284)/(AV!$O$18))^2,IF(AND(AV!$S$20&lt;F284,F284&lt;=AV!$T$20),AV!$P$20*((AV!$S$20-RASANTE!F284)/(AV!$N$20))^2,IF(AND(AV!$T$20&lt;RASANTE!F284,F284&lt;AV!$U$20),AV!$P$20*((AV!$U$20-RASANTE!F284)/(AV!$O$20))^2,IF(AND(AV!$S$22&lt;F284,F284&lt;=AV!$T$22),AV!$P$22*((AV!$S$22-RASANTE!F284)/(AV!$N$22))^2,IF(AND(AV!$T$22&lt;RASANTE!F284,F284&lt;AV!$U$22),AV!$P$22*((AV!$U$22-RASANTE!F284)/(AV!$O$22))^2,IF(AND(AV!$S$24&lt;F284,F284&lt;=AV!$T$24),AV!$P$24*((AV!$S$24-RASANTE!F284)/(AV!$N$24))^2,IF(AND(AV!$T$24&lt;RASANTE!F284,F284&lt;AV!$U$24),AV!$P$24*((AV!$U$24-RASANTE!F284)/(AV!$O$24))^2,0))))))))))))))))))))</f>
        <v>0</v>
      </c>
      <c r="L284" s="28">
        <f>+M284+H284%*PERALTE!$C$32</f>
        <v>1643.888237837959</v>
      </c>
      <c r="M284" s="28">
        <f t="shared" ref="M284:M285" si="14">J284+K284</f>
        <v>1643.7482378379589</v>
      </c>
      <c r="N284" s="28">
        <f>+M284+I284%*PERALTE!$C$32</f>
        <v>1643.6082378379588</v>
      </c>
      <c r="O284" s="92"/>
      <c r="P284" s="84"/>
      <c r="Q284" s="84"/>
      <c r="R284" s="84"/>
      <c r="S284" s="84"/>
      <c r="T284" s="84"/>
      <c r="U284" s="84"/>
      <c r="V284" s="84"/>
      <c r="W284" s="84"/>
      <c r="X284" s="84"/>
      <c r="Y284" s="84"/>
    </row>
    <row r="285" spans="1:25" ht="15.75" customHeight="1" x14ac:dyDescent="0.2">
      <c r="A285" s="302" t="s">
        <v>382</v>
      </c>
      <c r="B285" s="268"/>
      <c r="F285" s="34">
        <f>PERALTE!Z20</f>
        <v>1719.3425495656018</v>
      </c>
      <c r="G285" s="88">
        <v>5.4480000000000004</v>
      </c>
      <c r="H285" s="357">
        <v>1.9999999999999796</v>
      </c>
      <c r="I285" s="357">
        <v>-2</v>
      </c>
      <c r="J285" s="28">
        <f t="shared" si="13"/>
        <v>1644.2435105652316</v>
      </c>
      <c r="K285" s="28">
        <f>+IF(AND(AV!$S$6&lt;F285,F285&lt;=AV!$T$6),AV!$P$6*((AV!$S$6-RASANTE!F285)/(AV!$N$6))^2,IF(AND(AV!$T$6&lt;RASANTE!F285,F285&lt;AV!$U$6),AV!$P$6*((AV!$U$6-RASANTE!F285)/(AV!$O$6))^2,IF(AND(AV!$S$8&lt;F285,F285&lt;=AV!$T$8),AV!$P$8*((AV!$S$8-RASANTE!F285)/(AV!$N$8))^2,IF(AND(AV!$T$8&lt;RASANTE!F285,F285&lt;AV!$U$8),AV!$P$8*((AV!$U$8-RASANTE!F285)/(AV!$O$8))^2,IF(AND(AV!$S$10&lt;F285,F285&lt;=AV!$T$10),AV!$P$10*((AV!$S$10-RASANTE!F285)/(AV!$N$10))^2,IF(AND(AV!$T$10&lt;RASANTE!F285,F285&lt;AV!$U$10),AV!$P$10*((AV!$U$10-RASANTE!F285)/(AV!$O$10))^2,IF(AND(AV!$S$12&lt;F285,F285&lt;=AV!$T$12),AV!$P$12*((AV!$S$12-RASANTE!F285)/(AV!$N$12))^2,IF(AND(AV!$T$12&lt;RASANTE!F285,F285&lt;AV!$U$12),AV!$P$12*((AV!$U$12-RASANTE!F285)/(AV!$O$12))^2,IF(AND(AV!$S$14&lt;F285,F285&lt;=AV!$T$14),AV!$P$14*((AV!$S$14-RASANTE!F285)/(AV!$N$14))^2,IF(AND(AV!$T$14&lt;RASANTE!F285,F285&lt;AV!$U$14),AV!$P$14*((AV!$U$14-RASANTE!F285)/(AV!$O$14))^2,IF(AND(AV!$S$16&lt;F285,F285&lt;=AV!$T$16),AV!$P$16*((AV!$S$16-RASANTE!F285)/(AV!$N$16))^2,IF(AND(AV!$T$16&lt;RASANTE!F285,F285&lt;AV!$U$16),AV!$P$16*((AV!$U$16-RASANTE!F285)/(AV!$O$16))^2,IF(AND(AV!$S$18&lt;F285,F285&lt;=AV!$T$18),AV!$P$18*((AV!$S$18-RASANTE!F285)/(AV!$N$18))^2,IF(AND(AV!$T$18&lt;RASANTE!F285,F285&lt;AV!$U$18),AV!$P$18*((AV!$U$18-RASANTE!F285)/(AV!$O$18))^2,IF(AND(AV!$S$20&lt;F285,F285&lt;=AV!$T$20),AV!$P$20*((AV!$S$20-RASANTE!F285)/(AV!$N$20))^2,IF(AND(AV!$T$20&lt;RASANTE!F285,F285&lt;AV!$U$20),AV!$P$20*((AV!$U$20-RASANTE!F285)/(AV!$O$20))^2,IF(AND(AV!$S$22&lt;F285,F285&lt;=AV!$T$22),AV!$P$22*((AV!$S$22-RASANTE!F285)/(AV!$N$22))^2,IF(AND(AV!$T$22&lt;RASANTE!F285,F285&lt;AV!$U$22),AV!$P$22*((AV!$U$22-RASANTE!F285)/(AV!$O$22))^2,IF(AND(AV!$S$24&lt;F285,F285&lt;=AV!$T$24),AV!$P$24*((AV!$S$24-RASANTE!F285)/(AV!$N$24))^2,IF(AND(AV!$T$24&lt;RASANTE!F285,F285&lt;AV!$U$24),AV!$P$24*((AV!$U$24-RASANTE!F285)/(AV!$O$24))^2,0))))))))))))))))))))</f>
        <v>0</v>
      </c>
      <c r="L285" s="28">
        <f>+M285+H285%*PERALTE!$C$32</f>
        <v>1644.3135105652316</v>
      </c>
      <c r="M285" s="28">
        <f t="shared" si="14"/>
        <v>1644.2435105652316</v>
      </c>
      <c r="N285" s="28">
        <f>+M285+I285%*PERALTE!$C$32</f>
        <v>1644.1735105652317</v>
      </c>
      <c r="O285" s="92"/>
      <c r="P285" s="84"/>
      <c r="Q285" s="84"/>
      <c r="R285" s="84"/>
      <c r="S285" s="84"/>
      <c r="T285" s="84"/>
      <c r="U285" s="84"/>
      <c r="V285" s="84"/>
      <c r="W285" s="84"/>
      <c r="X285" s="84"/>
      <c r="Y285" s="84"/>
    </row>
    <row r="286" spans="1:25" ht="15.75" customHeight="1" x14ac:dyDescent="0.2">
      <c r="A286" s="322"/>
      <c r="B286" s="100"/>
      <c r="C286" s="100"/>
      <c r="D286" s="100"/>
      <c r="E286" s="91"/>
      <c r="F286" s="34">
        <v>1720</v>
      </c>
      <c r="G286" s="88">
        <v>5.4480000000000004</v>
      </c>
      <c r="H286" s="357">
        <v>1.855360904432366</v>
      </c>
      <c r="I286" s="357">
        <v>-2</v>
      </c>
      <c r="J286" s="28">
        <f t="shared" si="13"/>
        <v>1644.2793284648976</v>
      </c>
      <c r="K286" s="28">
        <f>+IF(AND(AV!$S$6&lt;F286,F286&lt;=AV!$T$6),AV!$P$6*((AV!$S$6-RASANTE!F286)/(AV!$N$6))^2,IF(AND(AV!$T$6&lt;RASANTE!F286,F286&lt;AV!$U$6),AV!$P$6*((AV!$U$6-RASANTE!F286)/(AV!$O$6))^2,IF(AND(AV!$S$8&lt;F286,F286&lt;=AV!$T$8),AV!$P$8*((AV!$S$8-RASANTE!F286)/(AV!$N$8))^2,IF(AND(AV!$T$8&lt;RASANTE!F286,F286&lt;AV!$U$8),AV!$P$8*((AV!$U$8-RASANTE!F286)/(AV!$O$8))^2,IF(AND(AV!$S$10&lt;F286,F286&lt;=AV!$T$10),AV!$P$10*((AV!$S$10-RASANTE!F286)/(AV!$N$10))^2,IF(AND(AV!$T$10&lt;RASANTE!F286,F286&lt;AV!$U$10),AV!$P$10*((AV!$U$10-RASANTE!F286)/(AV!$O$10))^2,IF(AND(AV!$S$12&lt;F286,F286&lt;=AV!$T$12),AV!$P$12*((AV!$S$12-RASANTE!F286)/(AV!$N$12))^2,IF(AND(AV!$T$12&lt;RASANTE!F286,F286&lt;AV!$U$12),AV!$P$12*((AV!$U$12-RASANTE!F286)/(AV!$O$12))^2,IF(AND(AV!$S$14&lt;F286,F286&lt;=AV!$T$14),AV!$P$14*((AV!$S$14-RASANTE!F286)/(AV!$N$14))^2,IF(AND(AV!$T$14&lt;RASANTE!F286,F286&lt;AV!$U$14),AV!$P$14*((AV!$U$14-RASANTE!F286)/(AV!$O$14))^2,IF(AND(AV!$S$16&lt;F286,F286&lt;=AV!$T$16),AV!$P$16*((AV!$S$16-RASANTE!F286)/(AV!$N$16))^2,IF(AND(AV!$T$16&lt;RASANTE!F286,F286&lt;AV!$U$16),AV!$P$16*((AV!$U$16-RASANTE!F286)/(AV!$O$16))^2,IF(AND(AV!$S$18&lt;F286,F286&lt;=AV!$T$18),AV!$P$18*((AV!$S$18-RASANTE!F286)/(AV!$N$18))^2,IF(AND(AV!$T$18&lt;RASANTE!F286,F286&lt;AV!$U$18),AV!$P$18*((AV!$U$18-RASANTE!F286)/(AV!$O$18))^2,IF(AND(AV!$S$20&lt;F286,F286&lt;=AV!$T$20),AV!$P$20*((AV!$S$20-RASANTE!F286)/(AV!$N$20))^2,IF(AND(AV!$T$20&lt;RASANTE!F286,F286&lt;AV!$U$20),AV!$P$20*((AV!$U$20-RASANTE!F286)/(AV!$O$20))^2,IF(AND(AV!$S$22&lt;F286,F286&lt;=AV!$T$22),AV!$P$22*((AV!$S$22-RASANTE!F286)/(AV!$N$22))^2,IF(AND(AV!$T$22&lt;RASANTE!F286,F286&lt;AV!$U$22),AV!$P$22*((AV!$U$22-RASANTE!F286)/(AV!$O$22))^2,IF(AND(AV!$S$24&lt;F286,F286&lt;=AV!$T$24),AV!$P$24*((AV!$S$24-RASANTE!F286)/(AV!$N$24))^2,IF(AND(AV!$T$24&lt;RASANTE!F286,F286&lt;AV!$U$24),AV!$P$24*((AV!$U$24-RASANTE!F286)/(AV!$O$24))^2,0))))))))))))))))))))</f>
        <v>0</v>
      </c>
      <c r="L286" s="28">
        <f>+M286+H286%*PERALTE!$C$32</f>
        <v>1644.3442660965527</v>
      </c>
      <c r="M286" s="28">
        <f t="shared" ref="M286:M301" si="15">J286+K286</f>
        <v>1644.2793284648976</v>
      </c>
      <c r="N286" s="28">
        <f>+M286+I286%*PERALTE!$C$32</f>
        <v>1644.2093284648977</v>
      </c>
      <c r="O286" s="92"/>
      <c r="P286" s="84"/>
      <c r="Q286" s="84"/>
      <c r="R286" s="84"/>
      <c r="S286" s="84"/>
      <c r="T286" s="84"/>
      <c r="U286" s="84"/>
      <c r="V286" s="84"/>
      <c r="W286" s="84"/>
      <c r="X286" s="84"/>
      <c r="Y286" s="84"/>
    </row>
    <row r="287" spans="1:25" ht="15.75" customHeight="1" x14ac:dyDescent="0.2">
      <c r="A287" s="302" t="s">
        <v>383</v>
      </c>
      <c r="B287" s="268"/>
      <c r="F287" s="34">
        <f>PERALTE!AA20</f>
        <v>1728.4334586565108</v>
      </c>
      <c r="G287" s="88">
        <v>5.4480000000000004</v>
      </c>
      <c r="H287" s="357">
        <v>-1.021405182655144E-14</v>
      </c>
      <c r="I287" s="357">
        <v>-2</v>
      </c>
      <c r="J287" s="28">
        <f t="shared" si="13"/>
        <v>1644.7387832925044</v>
      </c>
      <c r="K287" s="28">
        <f>+IF(AND(AV!$S$6&lt;F287,F287&lt;=AV!$T$6),AV!$P$6*((AV!$S$6-RASANTE!F287)/(AV!$N$6))^2,IF(AND(AV!$T$6&lt;RASANTE!F287,F287&lt;AV!$U$6),AV!$P$6*((AV!$U$6-RASANTE!F287)/(AV!$O$6))^2,IF(AND(AV!$S$8&lt;F287,F287&lt;=AV!$T$8),AV!$P$8*((AV!$S$8-RASANTE!F287)/(AV!$N$8))^2,IF(AND(AV!$T$8&lt;RASANTE!F287,F287&lt;AV!$U$8),AV!$P$8*((AV!$U$8-RASANTE!F287)/(AV!$O$8))^2,IF(AND(AV!$S$10&lt;F287,F287&lt;=AV!$T$10),AV!$P$10*((AV!$S$10-RASANTE!F287)/(AV!$N$10))^2,IF(AND(AV!$T$10&lt;RASANTE!F287,F287&lt;AV!$U$10),AV!$P$10*((AV!$U$10-RASANTE!F287)/(AV!$O$10))^2,IF(AND(AV!$S$12&lt;F287,F287&lt;=AV!$T$12),AV!$P$12*((AV!$S$12-RASANTE!F287)/(AV!$N$12))^2,IF(AND(AV!$T$12&lt;RASANTE!F287,F287&lt;AV!$U$12),AV!$P$12*((AV!$U$12-RASANTE!F287)/(AV!$O$12))^2,IF(AND(AV!$S$14&lt;F287,F287&lt;=AV!$T$14),AV!$P$14*((AV!$S$14-RASANTE!F287)/(AV!$N$14))^2,IF(AND(AV!$T$14&lt;RASANTE!F287,F287&lt;AV!$U$14),AV!$P$14*((AV!$U$14-RASANTE!F287)/(AV!$O$14))^2,IF(AND(AV!$S$16&lt;F287,F287&lt;=AV!$T$16),AV!$P$16*((AV!$S$16-RASANTE!F287)/(AV!$N$16))^2,IF(AND(AV!$T$16&lt;RASANTE!F287,F287&lt;AV!$U$16),AV!$P$16*((AV!$U$16-RASANTE!F287)/(AV!$O$16))^2,IF(AND(AV!$S$18&lt;F287,F287&lt;=AV!$T$18),AV!$P$18*((AV!$S$18-RASANTE!F287)/(AV!$N$18))^2,IF(AND(AV!$T$18&lt;RASANTE!F287,F287&lt;AV!$U$18),AV!$P$18*((AV!$U$18-RASANTE!F287)/(AV!$O$18))^2,IF(AND(AV!$S$20&lt;F287,F287&lt;=AV!$T$20),AV!$P$20*((AV!$S$20-RASANTE!F287)/(AV!$N$20))^2,IF(AND(AV!$T$20&lt;RASANTE!F287,F287&lt;AV!$U$20),AV!$P$20*((AV!$U$20-RASANTE!F287)/(AV!$O$20))^2,IF(AND(AV!$S$22&lt;F287,F287&lt;=AV!$T$22),AV!$P$22*((AV!$S$22-RASANTE!F287)/(AV!$N$22))^2,IF(AND(AV!$T$22&lt;RASANTE!F287,F287&lt;AV!$U$22),AV!$P$22*((AV!$U$22-RASANTE!F287)/(AV!$O$22))^2,IF(AND(AV!$S$24&lt;F287,F287&lt;=AV!$T$24),AV!$P$24*((AV!$S$24-RASANTE!F287)/(AV!$N$24))^2,IF(AND(AV!$T$24&lt;RASANTE!F287,F287&lt;AV!$U$24),AV!$P$24*((AV!$U$24-RASANTE!F287)/(AV!$O$24))^2,0))))))))))))))))))))</f>
        <v>0</v>
      </c>
      <c r="L287" s="28">
        <f>+M287+H287%*PERALTE!$C$32</f>
        <v>1644.7387832925044</v>
      </c>
      <c r="M287" s="28">
        <f t="shared" si="15"/>
        <v>1644.7387832925044</v>
      </c>
      <c r="N287" s="28">
        <f>+M287+I287%*PERALTE!$C$32</f>
        <v>1644.6687832925045</v>
      </c>
      <c r="O287" s="92"/>
      <c r="P287" s="84"/>
      <c r="Q287" s="84"/>
      <c r="R287" s="84"/>
      <c r="S287" s="84"/>
      <c r="T287" s="84"/>
      <c r="U287" s="84"/>
      <c r="V287" s="84"/>
      <c r="W287" s="84"/>
      <c r="X287" s="84"/>
      <c r="Y287" s="84"/>
    </row>
    <row r="288" spans="1:25" ht="15.75" customHeight="1" x14ac:dyDescent="0.2">
      <c r="A288" s="322"/>
      <c r="B288" s="101"/>
      <c r="C288" s="101"/>
      <c r="D288" s="101"/>
      <c r="E288" s="91"/>
      <c r="F288" s="34">
        <v>1730</v>
      </c>
      <c r="G288" s="88">
        <v>5.4480000000000004</v>
      </c>
      <c r="H288" s="357">
        <v>-0.34463909556764305</v>
      </c>
      <c r="I288" s="357">
        <v>-2</v>
      </c>
      <c r="J288" s="28">
        <f t="shared" si="13"/>
        <v>1644.8241284648977</v>
      </c>
      <c r="K288" s="28">
        <f>+IF(AND(AV!$S$6&lt;F288,F288&lt;=AV!$T$6),AV!$P$6*((AV!$S$6-RASANTE!F288)/(AV!$N$6))^2,IF(AND(AV!$T$6&lt;RASANTE!F288,F288&lt;AV!$U$6),AV!$P$6*((AV!$U$6-RASANTE!F288)/(AV!$O$6))^2,IF(AND(AV!$S$8&lt;F288,F288&lt;=AV!$T$8),AV!$P$8*((AV!$S$8-RASANTE!F288)/(AV!$N$8))^2,IF(AND(AV!$T$8&lt;RASANTE!F288,F288&lt;AV!$U$8),AV!$P$8*((AV!$U$8-RASANTE!F288)/(AV!$O$8))^2,IF(AND(AV!$S$10&lt;F288,F288&lt;=AV!$T$10),AV!$P$10*((AV!$S$10-RASANTE!F288)/(AV!$N$10))^2,IF(AND(AV!$T$10&lt;RASANTE!F288,F288&lt;AV!$U$10),AV!$P$10*((AV!$U$10-RASANTE!F288)/(AV!$O$10))^2,IF(AND(AV!$S$12&lt;F288,F288&lt;=AV!$T$12),AV!$P$12*((AV!$S$12-RASANTE!F288)/(AV!$N$12))^2,IF(AND(AV!$T$12&lt;RASANTE!F288,F288&lt;AV!$U$12),AV!$P$12*((AV!$U$12-RASANTE!F288)/(AV!$O$12))^2,IF(AND(AV!$S$14&lt;F288,F288&lt;=AV!$T$14),AV!$P$14*((AV!$S$14-RASANTE!F288)/(AV!$N$14))^2,IF(AND(AV!$T$14&lt;RASANTE!F288,F288&lt;AV!$U$14),AV!$P$14*((AV!$U$14-RASANTE!F288)/(AV!$O$14))^2,IF(AND(AV!$S$16&lt;F288,F288&lt;=AV!$T$16),AV!$P$16*((AV!$S$16-RASANTE!F288)/(AV!$N$16))^2,IF(AND(AV!$T$16&lt;RASANTE!F288,F288&lt;AV!$U$16),AV!$P$16*((AV!$U$16-RASANTE!F288)/(AV!$O$16))^2,IF(AND(AV!$S$18&lt;F288,F288&lt;=AV!$T$18),AV!$P$18*((AV!$S$18-RASANTE!F288)/(AV!$N$18))^2,IF(AND(AV!$T$18&lt;RASANTE!F288,F288&lt;AV!$U$18),AV!$P$18*((AV!$U$18-RASANTE!F288)/(AV!$O$18))^2,IF(AND(AV!$S$20&lt;F288,F288&lt;=AV!$T$20),AV!$P$20*((AV!$S$20-RASANTE!F288)/(AV!$N$20))^2,IF(AND(AV!$T$20&lt;RASANTE!F288,F288&lt;AV!$U$20),AV!$P$20*((AV!$U$20-RASANTE!F288)/(AV!$O$20))^2,IF(AND(AV!$S$22&lt;F288,F288&lt;=AV!$T$22),AV!$P$22*((AV!$S$22-RASANTE!F288)/(AV!$N$22))^2,IF(AND(AV!$T$22&lt;RASANTE!F288,F288&lt;AV!$U$22),AV!$P$22*((AV!$U$22-RASANTE!F288)/(AV!$O$22))^2,IF(AND(AV!$S$24&lt;F288,F288&lt;=AV!$T$24),AV!$P$24*((AV!$S$24-RASANTE!F288)/(AV!$N$24))^2,IF(AND(AV!$T$24&lt;RASANTE!F288,F288&lt;AV!$U$24),AV!$P$24*((AV!$U$24-RASANTE!F288)/(AV!$O$24))^2,0))))))))))))))))))))</f>
        <v>0</v>
      </c>
      <c r="L288" s="28">
        <f>+M288+H288%*PERALTE!$C$32</f>
        <v>1644.8120660965528</v>
      </c>
      <c r="M288" s="28">
        <f t="shared" si="15"/>
        <v>1644.8241284648977</v>
      </c>
      <c r="N288" s="28">
        <f>+M288+I288%*PERALTE!$C$32</f>
        <v>1644.7541284648978</v>
      </c>
      <c r="O288" s="92"/>
      <c r="P288" s="84"/>
      <c r="Q288" s="84"/>
      <c r="R288" s="84"/>
      <c r="S288" s="84"/>
      <c r="T288" s="84"/>
      <c r="U288" s="84"/>
      <c r="V288" s="84"/>
      <c r="W288" s="84"/>
      <c r="X288" s="84"/>
      <c r="Y288" s="84"/>
    </row>
    <row r="289" spans="1:25" ht="15.75" customHeight="1" x14ac:dyDescent="0.2">
      <c r="A289" s="302" t="s">
        <v>384</v>
      </c>
      <c r="B289" s="268"/>
      <c r="F289" s="34">
        <f>PERALTE!AB20</f>
        <v>1737.5243677474198</v>
      </c>
      <c r="G289" s="88">
        <v>5.4480000000000004</v>
      </c>
      <c r="H289" s="28">
        <f>+IF(AND(AH!$H$8="Izquierda",RASANTE!F203&lt;=PERALTE!$AB$6),IF(RASANTE!F203&lt;=PERALTE!$S$6,-2,IF(RASANTE!F203&lt;=PERALTE!$U$6,(-6/(PERALTE!$U$6-PERALTE!$S$6)*(RASANTE!F203-PERALTE!$S$6)-2),IF(RASANTE!F203&lt;=PERALTE!$X$6,-8,IF(RASANTE!F203&lt;=PERALTE!$Z$6,(-6/(PERALTE!$X$6-PERALTE!$Z$6)*(RASANTE!F203-PERALTE!$Z$6)-2),IF(RASANTE!F203&lt;=PERALTE!$AB$6,-2))))),IF(AND(AH!$H$8="Derecha",RASANTE!F203&lt;=PERALTE!$AB$6),IF(RASANTE!F203&lt;=PERALTE!$Q$6,-2,IF(RASANTE!F203&lt;=PERALTE!$U$6,(10/(PERALTE!$U$6-PERALTE!$Q$6)*(RASANTE!F203-PERALTE!$Q$6)-2),IF(RASANTE!F203&lt;=PERALTE!$X$6,8,IF(RASANTE!F203&lt;=PERALTE!$AB$6,(10/(PERALTE!$X$6-PERALTE!$AB$6)*(RASANTE!F203-PERALTE!$AB$6)-2))))),IF(AND(AH!$H$10="Izquierda",RASANTE!F203&lt;=PERALTE!$AB$8),IF(RASANTE!F203&lt;=PERALTE!$S$8,-2,IF(RASANTE!F203&lt;=PERALTE!$U$8,(-6/(PERALTE!$U$8-PERALTE!$S$8)*(RASANTE!F203-PERALTE!$S$8)-2),IF(RASANTE!F203&lt;=PERALTE!$X$8,-8,IF(RASANTE!F203&lt;=PERALTE!$Z$8,(-6/(PERALTE!$X$8-PERALTE!$Z$8)*(RASANTE!F203-PERALTE!$Z$8)-2),IF(RASANTE!F203&lt;=PERALTE!$AB$8,-2))))),IF(AND(AH!$H$10="Derecha",RASANTE!F203&lt;=PERALTE!$AB$8),IF(RASANTE!F203&lt;=PERALTE!$Q$8,-2,IF(RASANTE!F203&lt;=PERALTE!$U$8,(10/(PERALTE!$U$8-PERALTE!$Q$8)*(RASANTE!F203-PERALTE!$Q$8)-2),IF(RASANTE!F203&lt;=PERALTE!$X$8,8,IF(RASANTE!F203&lt;=PERALTE!$AB$8,(10/(PERALTE!$X$8-PERALTE!$AB$8)*(RASANTE!F203-PERALTE!$AB$8)-2))))),IF(AND(AH!$H$12="Izquierda",RASANTE!F203&lt;=PERALTE!$AB$10),IF(RASANTE!F203&lt;=PERALTE!$S$10,-2,IF(RASANTE!F203&lt;=PERALTE!$U$10,(-6/(PERALTE!$U$10-PERALTE!$S$10)*(RASANTE!F203-PERALTE!$S$10)-2),IF(RASANTE!F203&lt;=PERALTE!$X$10,-8,IF(RASANTE!F203&lt;=PERALTE!$Z$10,(-6/(PERALTE!$X$10-PERALTE!$Z$10)*(RASANTE!F203-PERALTE!$Z$10)-2),IF(RASANTE!F203&lt;=PERALTE!$AB$10,-2))))),IF(AND(AH!$H$12="Derecha",RASANTE!F203&lt;=PERALTE!$AB$10),IF(RASANTE!F203&lt;=PERALTE!$Q$10,-2,IF(RASANTE!F203&lt;=PERALTE!$U$10,(10/(PERALTE!$U$10-PERALTE!$Q$10)*(RASANTE!F203-PERALTE!$Q$10)-2),IF(RASANTE!F203&lt;=PERALTE!$X$10,8,IF(RASANTE!F203&lt;=PERALTE!$AB$10,(10/(PERALTE!$X$10-PERALTE!$AB$10)*(RASANTE!F203-PERALTE!$AB$10)-2))))),IF(AND(AH!$H$14="Izquierda",RASANTE!F203&lt;=PERALTE!$AB$12),IF(RASANTE!F203&lt;=PERALTE!$S$12,-2,IF(RASANTE!F203&lt;=PERALTE!$U$12,(-6/(PERALTE!$U$12-PERALTE!$S$12)*(RASANTE!F203-PERALTE!$S$12)-2),IF(RASANTE!F203&lt;=PERALTE!$X$12,-8,IF(RASANTE!F203&lt;=PERALTE!$Z$12,(-6/(PERALTE!$X$12-PERALTE!$Z$12)*(RASANTE!F203-PERALTE!$Z$12)-2),IF(RASANTE!F203&lt;=PERALTE!$AB$12,-2))))),IF(AND(AH!$H$14="Derecha",RASANTE!F203&lt;=PERALTE!$AB$12),IF(RASANTE!F203&lt;=PERALTE!$Q$12,-2,IF(RASANTE!F203&lt;=PERALTE!$U$12,(10/(PERALTE!$U$12-PERALTE!$Q$12)*(RASANTE!F203-PERALTE!$Q$12)-2),IF(RASANTE!F203&lt;=PERALTE!$X$12,8,IF(RASANTE!F203&lt;=PERALTE!$AB$12,(10/(PERALTE!$X$12-PERALTE!$AB$12)*(RASANTE!F203-PERALTE!$AB$12)-2))))),IF(AND(AH!$H$16="Izquierda",RASANTE!F203&lt;=PERALTE!$AB$14),IF(RASANTE!F203&lt;=PERALTE!$S$14,-2,IF(RASANTE!F203&lt;=PERALTE!$U$14,(-6/(PERALTE!$U$14-PERALTE!$S$14)*(RASANTE!F203-PERALTE!$S$14)-2),IF(RASANTE!F203&lt;=PERALTE!$X$14,-8,IF(RASANTE!F203&lt;=PERALTE!$Z$14,(-6/(PERALTE!$X$14-PERALTE!$Z$14)*(RASANTE!F203-PERALTE!$Z$14)-2),IF(RASANTE!F203&lt;=PERALTE!$AB$14,-2))))),IF(AND(AH!$H$16="Derecha",RASANTE!F203&lt;=PERALTE!$AB$14),IF(RASANTE!F203&lt;=PERALTE!$Q$14,-2,IF(RASANTE!F203&lt;=PERALTE!$U$14,(10/(PERALTE!$U$14-PERALTE!$Q$14)*(RASANTE!F203-PERALTE!$Q$14)-2),IF(RASANTE!F203&lt;=PERALTE!$X$14,8,IF(RASANTE!F203&lt;=PERALTE!$AB$14,(10/(PERALTE!$X$14-PERALTE!$AB$14)*(RASANTE!F203-PERALTE!$AB$14)-2))))),IF(AND(AH!$H$18="Izquierda",RASANTE!F203&lt;=PERALTE!$AB$16),IF(RASANTE!F203&lt;=PERALTE!$S$16,-2,IF(RASANTE!F203&lt;=PERALTE!$U$16,(-6/(PERALTE!$U$16-PERALTE!$S$16)*(RASANTE!F203-PERALTE!$S$16)-2),IF(RASANTE!F203&lt;=PERALTE!$X$16,-8,IF(RASANTE!F203&lt;=PERALTE!$Z$16,(-6/(PERALTE!$X$16-PERALTE!$Z$16)*(RASANTE!F203-PERALTE!$Z$16)-2),IF(RASANTE!F203&lt;=PERALTE!$AB$16,-2))))),IF(AND(AH!$H$18="Derecha",RASANTE!F203&lt;=PERALTE!$AB$16),IF(RASANTE!F203&lt;=PERALTE!$Q$16,-2,IF(RASANTE!F203&lt;=PERALTE!$U$16,(10/(PERALTE!$U$16-PERALTE!$Q$16)*(RASANTE!F203-PERALTE!$Q$16)-2),IF(RASANTE!F203&lt;=PERALTE!$X$16,8,IF(RASANTE!F203&lt;=PERALTE!$AB$16,(10/(PERALTE!$X$16-PERALTE!$AB$16)*(RASANTE!F203-PERALTE!$AB$16)-2))))),IF(AND(AH!$H$20="Izquierda",RASANTE!F203&lt;=PERALTE!$AB$18),IF(RASANTE!F203&lt;=PERALTE!$S$18,-2,IF(RASANTE!F203&lt;=PERALTE!$U$18,(-6/(PERALTE!$U$18-PERALTE!$S$18)*(RASANTE!F203-PERALTE!$S$18)-2),IF(RASANTE!F203&lt;=PERALTE!$X$18,-8,IF(RASANTE!F203&lt;=PERALTE!$Z$18,(-6/(PERALTE!$X$18-PERALTE!$Z$18)*(RASANTE!F203-PERALTE!$Z$18)-2),IF(RASANTE!F203&lt;=PERALTE!$AB$18,-2))))),IF(AND(AH!$H$20="Derecha",RASANTE!F203&lt;=PERALTE!$AB$18),IF(RASANTE!F203&lt;=PERALTE!$Q$18,-2,IF(RASANTE!F203&lt;=PERALTE!$U$18,(10/(PERALTE!$U$18-PERALTE!$Q$18)*(RASANTE!F203-PERALTE!$Q$18)-2),IF(RASANTE!F203&lt;=PERALTE!$X$18,8,IF(RASANTE!F203&lt;=PERALTE!$AB$18,(10/(PERALTE!$X$18-PERALTE!$AB$18)*(RASANTE!F203-PERALTE!$AB$18)-2))))),IF(AND(AH!$H$24="Izquierda",RASANTE!F203&lt;=PERALTE!$AB$22),IF(RASANTE!F203&lt;=PERALTE!$S$22,-2,IF(RASANTE!F203&lt;=PERALTE!$U$22,(-6/(PERALTE!$U$22-PERALTE!$S$22)*(RASANTE!F203-PERALTE!$S$22)-2),IF(RASANTE!F203&lt;=PERALTE!$X$22,-8,IF(RASANTE!F203&lt;=PERALTE!$Z$22,(-6/(PERALTE!$X$22-PERALTE!$Z$22)*(RASANTE!F203-PERALTE!$Z$22)-2),IF(RASANTE!F203&lt;=PERALTE!$AB$22,-2))))),IF(AND(AH!$H$24="Derecha",RASANTE!F203&lt;=PERALTE!$AB$22),IF(RASANTE!F203&lt;=PERALTE!$Q$22,-2,IF(RASANTE!F203&lt;=PERALTE!$U$22,(10/(PERALTE!$U$22-PERALTE!$Q$22)*(RASANTE!F203-PERALTE!$Q$22)-2),IF(RASANTE!F203&lt;=PERALTE!$X$22,8,IF(RASANTE!F203&lt;=PERALTE!$AB$22,(10/(PERALTE!$X$22-PERALTE!$AB$22)*(RASANTE!F203-PERALTE!$AB$22)-2))))),IF(AND(AH!#REF!="Izquierda",RASANTE!F203&lt;=PERALTE!#REF!),IF(RASANTE!F203&lt;=PERALTE!#REF!,-2,IF(RASANTE!F203&lt;=PERALTE!#REF!,(-6/(PERALTE!#REF!-PERALTE!#REF!)*(RASANTE!F203-PERALTE!#REF!)-2),IF(RASANTE!F203&lt;=PERALTE!#REF!,-8,IF(RASANTE!F203&lt;=PERALTE!#REF!,(-6/(PERALTE!#REF!-PERALTE!#REF!)*(RASANTE!F203-PERALTE!#REF!)-2),IF(RASANTE!F203&lt;=PERALTE!#REF!,-2))))),IF(AND(AH!#REF!="Derecha",RASANTE!F203&lt;=PERALTE!#REF!),IF(RASANTE!F203&lt;=PERALTE!#REF!,-2,IF(RASANTE!F203&lt;=PERALTE!#REF!,(10/(PERALTE!#REF!-PERALTE!#REF!)*(RASANTE!F203-PERALTE!#REF!)-2),IF(RASANTE!F203&lt;=PERALTE!#REF!,8,IF(RASANTE!F203&lt;=PERALTE!#REF!,(10/(PERALTE!#REF!-PERALTE!#REF!)*(RASANTE!F203-PERALTE!#REF!)-2))))),IF(AND(AH!#REF!="Izquierda",RASANTE!F203&lt;=PERALTE!$AB$26),IF(RASANTE!F203&lt;=PERALTE!$S$26,-2,IF(RASANTE!F203&lt;=PERALTE!$U$26,(-6/(PERALTE!$U$26-PERALTE!$S$26)*(RASANTE!F203-PERALTE!$S$26)-2),IF(RASANTE!F203&lt;=PERALTE!$X$26,-8,IF(RASANTE!F203&lt;=PERALTE!$Z$26,(-6/(PERALTE!$X$26-PERALTE!$Z$26)*(RASANTE!F203-PERALTE!$Z$26)-2),IF(RASANTE!F203&lt;=PERALTE!$AB$26,-2))))),IF(AND(AH!#REF!="Derecha",RASANTE!F203&lt;=PERALTE!$AB$26),IF(RASANTE!F203&lt;=PERALTE!$Q$26,-2,IF(RASANTE!F203&lt;=PERALTE!$U$26,(10/(PERALTE!$U$26-PERALTE!$Q$26)*(RASANTE!F203-PERALTE!$Q$26)-2),IF(RASANTE!F203&lt;=PERALTE!$X$26,8,IF(RASANTE!F203&lt;=PERALTE!$AB$26,(10/(PERALTE!$X$26-PERALTE!$AB$26)*(RASANTE!F203-PERALTE!$AB$26)-2))))),IF(F203&lt;=PERALTE!#REF!,-2,"Abscisa fuera de la vía")))))))))))))))))))))</f>
        <v>-2</v>
      </c>
      <c r="I289" s="28">
        <f>+IF(AND(AH!$H$8="Derecha",RASANTE!F154&lt;=PERALTE!$AB$6),IF(RASANTE!F154&lt;=PERALTE!$S$6,-2,IF(RASANTE!F154&lt;=PERALTE!$U$6,(-6/(PERALTE!$U$6-PERALTE!$S$6)*(RASANTE!F154-PERALTE!$S$6)-2),IF(RASANTE!F154&lt;=PERALTE!$X$6,-8,IF(RASANTE!F154&lt;=PERALTE!$Z$6,(-6/(PERALTE!$X$6-PERALTE!$Z$6)*(RASANTE!F154-PERALTE!$Z$6)-2),IF(RASANTE!F154&lt;=PERALTE!$AB$6,-2))))),IF(AND(AH!$H$8="Izquierda",RASANTE!F154&lt;=PERALTE!$AB$6),IF(RASANTE!F154&lt;=PERALTE!$Q$6,-2,IF(RASANTE!F154&lt;=PERALTE!$U$6,(10/(PERALTE!$U$6-PERALTE!$Q$6)*(RASANTE!F154-PERALTE!$Q$6)-2),IF(RASANTE!F154&lt;=PERALTE!$X$6,8,IF(RASANTE!F154&lt;=PERALTE!$AB$6,(10/(PERALTE!$X$6-PERALTE!$AB$6)*(RASANTE!F154-PERALTE!$AB$6)-2))))),IF(AND(AH!$H$10="Derecha",RASANTE!F154&lt;=PERALTE!$AB$8),IF(RASANTE!F154&lt;=PERALTE!$S$8,-2,IF(RASANTE!F154&lt;=PERALTE!$U$8,(-6/(PERALTE!$U$8-PERALTE!$S$8)*(RASANTE!F154-PERALTE!$S$8)-2),IF(RASANTE!F154&lt;=PERALTE!$X$8,-8,IF(RASANTE!F154&lt;=PERALTE!$Z$8,(-6/(PERALTE!$X$8-PERALTE!$Z$8)*(RASANTE!F154-PERALTE!$Z$8)-2),IF(RASANTE!F154&lt;=PERALTE!$AB$8,-2))))),IF(AND(AH!$H$10="Izquierda",RASANTE!F154&lt;=PERALTE!$AB$8),IF(RASANTE!F154&lt;=PERALTE!$Q$8,-2,IF(RASANTE!F154&lt;=PERALTE!$U$8,(10/(PERALTE!$U$8-PERALTE!$Q$8)*(RASANTE!F154-PERALTE!$Q$8)-2),IF(RASANTE!F154&lt;=PERALTE!$X$8,8,IF(RASANTE!F154&lt;=PERALTE!$AB$8,(10/(PERALTE!$X$8-PERALTE!$AB$8)*(RASANTE!F154-PERALTE!$AB$8)-2))))),IF(AND(AH!$H$12="Derecha",RASANTE!F154&lt;=PERALTE!$AB$10),IF(RASANTE!F154&lt;=PERALTE!$S$10,-2,IF(RASANTE!F154&lt;=PERALTE!$U$10,(-6/(PERALTE!$U$10-PERALTE!$S$10)*(RASANTE!F154-PERALTE!$S$10)-2),IF(RASANTE!F154&lt;=PERALTE!$X$10,-8,IF(RASANTE!F154&lt;=PERALTE!$Z$10,(-6/(PERALTE!$X$10-PERALTE!$Z$10)*(RASANTE!F154-PERALTE!$Z$10)-2),IF(RASANTE!F154&lt;=PERALTE!$AB$10,-2))))),IF(AND(AH!$H$12="Izquierda",RASANTE!F154&lt;=PERALTE!$AB$10),IF(RASANTE!F154&lt;=PERALTE!$Q$10,-2,IF(RASANTE!F154&lt;=PERALTE!$U$10,(10/(PERALTE!$U$10-PERALTE!$Q$10)*(RASANTE!F154-PERALTE!$Q$10)-2),IF(RASANTE!F154&lt;=PERALTE!$X$10,8,IF(RASANTE!F154&lt;=PERALTE!$AB$10,(10/(PERALTE!$X$10-PERALTE!$AB$10)*(RASANTE!F154-PERALTE!$AB$10)-2))))),IF(AND(AH!$H$14="Derecha",RASANTE!F154&lt;=PERALTE!$AB$12),IF(RASANTE!F154&lt;=PERALTE!$S$12,-2,IF(RASANTE!F154&lt;=PERALTE!$U$12,(-6/(PERALTE!$U$12-PERALTE!$S$12)*(RASANTE!F154-PERALTE!$S$12)-2),IF(RASANTE!F154&lt;=PERALTE!$X$12,-8,IF(RASANTE!F154&lt;=PERALTE!$Z$12,(-6/(PERALTE!$X$12-PERALTE!$Z$12)*(RASANTE!F154-PERALTE!$Z$12)-2),IF(RASANTE!F154&lt;=PERALTE!$AB$12,-2))))),IF(AND(AH!$H$14="Izquierda",RASANTE!F154&lt;=PERALTE!$AB$12),IF(RASANTE!F154&lt;=PERALTE!$Q$12,-2,IF(RASANTE!F154&lt;=PERALTE!$U$12,(10/(PERALTE!$U$12-PERALTE!$Q$12)*(RASANTE!F154-PERALTE!$Q$12)-2),IF(RASANTE!F154&lt;=PERALTE!$X$12,8,IF(RASANTE!F154&lt;=PERALTE!$AB$12,(10/(PERALTE!$X$12-PERALTE!$AB$12)*(RASANTE!F154-PERALTE!$AB$12)-2))))),IF(AND(AH!$H$16="Derecha",RASANTE!F154&lt;=PERALTE!$AB$14),IF(RASANTE!F154&lt;=PERALTE!$S$14,-2,IF(RASANTE!F154&lt;=PERALTE!$U$14,(-6/(PERALTE!$U$14-PERALTE!$S$14)*(RASANTE!F154-PERALTE!$S$14)-2),IF(RASANTE!F154&lt;=PERALTE!$X$14,-8,IF(RASANTE!F154&lt;=PERALTE!$Z$14,(-6/(PERALTE!$X$14-PERALTE!$Z$14)*(RASANTE!F154-PERALTE!$Z$14)-2),IF(RASANTE!F154&lt;=PERALTE!$AB$14,-2))))),IF(AND(AH!$H$16="Izquierda",RASANTE!F154&lt;=PERALTE!$AB$14),IF(RASANTE!F154&lt;=PERALTE!$Q$14,-2,IF(RASANTE!F154&lt;=PERALTE!$U$14,(10/(PERALTE!$U$14-PERALTE!$Q$14)*(RASANTE!F154-PERALTE!$Q$14)-2),IF(RASANTE!F154&lt;=PERALTE!$X$14,8,IF(RASANTE!F154&lt;=PERALTE!$AB$14,(10/(PERALTE!$X$14-PERALTE!$AB$14)*(RASANTE!F154-PERALTE!$AB$14)-2))))),IF(AND(AH!$H$18="Derecha",RASANTE!F154&lt;=PERALTE!$AB$16),IF(RASANTE!F154&lt;=PERALTE!$S$16,-2,IF(RASANTE!F154&lt;=PERALTE!$U$16,(-6/(PERALTE!$U$16-PERALTE!$S$16)*(RASANTE!F154-PERALTE!$S$16)-2),IF(RASANTE!F154&lt;=PERALTE!$X$16,-8,IF(RASANTE!F154&lt;=PERALTE!$Z$16,(-6/(PERALTE!$X$16-PERALTE!$Z$16)*(RASANTE!F154-PERALTE!$Z$16)-2),IF(RASANTE!F154&lt;=PERALTE!$AB$16,-2))))),IF(AND(AH!$H$18="Izquierda",RASANTE!F154&lt;=PERALTE!$AB$16),IF(RASANTE!F154&lt;=PERALTE!$Q$16,-2,IF(RASANTE!F154&lt;=PERALTE!$U$16,(10/(PERALTE!$U$16-PERALTE!$Q$16)*(RASANTE!F154-PERALTE!$Q$16)-2),IF(RASANTE!F154&lt;=PERALTE!$X$16,8,IF(RASANTE!F154&lt;=PERALTE!$AB$16,(10/(PERALTE!$X$16-PERALTE!$AB$16)*(RASANTE!F154-PERALTE!$AB$16)-2))))),IF(AND(AH!$H$20="Derecha",RASANTE!F154&lt;=PERALTE!$AB$18),IF(RASANTE!F154&lt;=PERALTE!$S$18,-2,IF(RASANTE!F154&lt;=PERALTE!$U$18,(-6/(PERALTE!$U$18-PERALTE!$S$18)*(RASANTE!F154-PERALTE!$S$18)-2),IF(RASANTE!F154&lt;=PERALTE!$X$18,-8,IF(RASANTE!F154&lt;=PERALTE!$Z$18,(-6/(PERALTE!$X$18-PERALTE!$Z$18)*(RASANTE!F154-PERALTE!$Z$18)-2),IF(RASANTE!F154&lt;=PERALTE!$AB$18,-2))))),IF(AND(AH!$H$20="Izquierda",RASANTE!F154&lt;=PERALTE!$AB$18),IF(RASANTE!F154&lt;=PERALTE!$Q$18,-2,IF(RASANTE!F154&lt;=PERALTE!$U$18,(10/(PERALTE!$U$18-PERALTE!$Q$18)*(RASANTE!F154-PERALTE!$Q$18)-2),IF(RASANTE!F154&lt;=PERALTE!$X$18,8,IF(RASANTE!F154&lt;=PERALTE!$AB$18,(10/(PERALTE!$X$18-PERALTE!$AB$18)*(RASANTE!F154-PERALTE!$AB$18)-2))))),IF(AND(AH!$H$24="Derecha",RASANTE!F154&lt;=PERALTE!$AB$22),IF(RASANTE!F154&lt;=PERALTE!$S$22,-2,IF(RASANTE!F154&lt;=PERALTE!$U$22,(-6/(PERALTE!$U$22-PERALTE!$S$22)*(RASANTE!F154-PERALTE!$S$22)-2),IF(RASANTE!F154&lt;=PERALTE!$X$22,-8,IF(RASANTE!F154&lt;=PERALTE!$Z$22,(-6/(PERALTE!$X$22-PERALTE!$Z$22)*(RASANTE!F154-PERALTE!$Z$22)-2),IF(RASANTE!F154&lt;=PERALTE!$AB$22,-2))))),IF(AND(AH!$H$24="Izquierda",RASANTE!F154&lt;=PERALTE!$AB$22),IF(RASANTE!F154&lt;=PERALTE!$Q$22,-2,IF(RASANTE!F154&lt;=PERALTE!$U$22,(10/(PERALTE!$U$22-PERALTE!$Q$22)*(RASANTE!F154-PERALTE!$Q$22)-2),IF(RASANTE!F154&lt;=PERALTE!$X$22,8,IF(RASANTE!F154&lt;=PERALTE!$AB$22,(10/(PERALTE!$X$22-PERALTE!$AB$22)*(RASANTE!F154-PERALTE!$AB$22)-2))))),IF(AND(AH!#REF!="Derecha",RASANTE!F154&lt;=PERALTE!#REF!),IF(RASANTE!F154&lt;=PERALTE!#REF!,-2,IF(RASANTE!F154&lt;=PERALTE!#REF!,(-6/(PERALTE!#REF!-PERALTE!#REF!)*(RASANTE!F154-PERALTE!#REF!)-2),IF(RASANTE!F154&lt;=PERALTE!#REF!,-8,IF(RASANTE!F154&lt;=PERALTE!#REF!,(-6/(PERALTE!#REF!-PERALTE!#REF!)*(RASANTE!F154-PERALTE!#REF!)-2),IF(RASANTE!F154&lt;=PERALTE!#REF!,-2))))),IF(AND(AH!#REF!="Izquierda",RASANTE!F154&lt;=PERALTE!#REF!),IF(RASANTE!F154&lt;=PERALTE!#REF!,-2,IF(RASANTE!F154&lt;=PERALTE!#REF!,(10/(PERALTE!#REF!-PERALTE!#REF!)*(RASANTE!F154-PERALTE!#REF!)-2),IF(RASANTE!F154&lt;=PERALTE!#REF!,8,IF(RASANTE!F154&lt;=PERALTE!#REF!,(10/(PERALTE!#REF!-PERALTE!#REF!)*(RASANTE!F154-PERALTE!#REF!)-2))))),IF(AND(AH!#REF!="Derecha",RASANTE!F154&lt;=PERALTE!$AB$26),IF(RASANTE!F154&lt;=PERALTE!$S$26,-2,IF(RASANTE!F154&lt;=PERALTE!$U$26,(-6/(PERALTE!$U$26-PERALTE!$S$26)*(RASANTE!F154-PERALTE!$S$26)-2),IF(RASANTE!F154&lt;=PERALTE!$X$26,-8,IF(RASANTE!F154&lt;=PERALTE!$Z$26,(-6/(PERALTE!$X$26-PERALTE!$Z$26)*(RASANTE!F154-PERALTE!$Z$26)-2),IF(RASANTE!F154&lt;=PERALTE!$AB$26,-2))))),IF(AND(AH!#REF!="Izquierda",RASANTE!F154&lt;=PERALTE!$AB$26),IF(RASANTE!F154&lt;=PERALTE!$Q$26,-2,IF(RASANTE!F154&lt;=PERALTE!$U$26,(10/(PERALTE!$U$26-PERALTE!$Q$26)*(RASANTE!F154-PERALTE!$Q$26)-2),IF(RASANTE!F154&lt;=PERALTE!$X$26,8,IF(RASANTE!F154&lt;=PERALTE!$AB$26,(10/(PERALTE!$X$26-PERALTE!$AB$26)*(RASANTE!F154-PERALTE!$AB$26)-2))))),IF(F154&lt;=PERALTE!#REF!,-2,"Abscisa fuera de la vía")))))))))))))))))))))</f>
        <v>-2</v>
      </c>
      <c r="J289" s="28">
        <f t="shared" si="13"/>
        <v>1645.2340560197772</v>
      </c>
      <c r="K289" s="28">
        <f>+IF(AND(AV!$S$6&lt;F289,F289&lt;=AV!$T$6),AV!$P$6*((AV!$S$6-RASANTE!F289)/(AV!$N$6))^2,IF(AND(AV!$T$6&lt;RASANTE!F289,F289&lt;AV!$U$6),AV!$P$6*((AV!$U$6-RASANTE!F289)/(AV!$O$6))^2,IF(AND(AV!$S$8&lt;F289,F289&lt;=AV!$T$8),AV!$P$8*((AV!$S$8-RASANTE!F289)/(AV!$N$8))^2,IF(AND(AV!$T$8&lt;RASANTE!F289,F289&lt;AV!$U$8),AV!$P$8*((AV!$U$8-RASANTE!F289)/(AV!$O$8))^2,IF(AND(AV!$S$10&lt;F289,F289&lt;=AV!$T$10),AV!$P$10*((AV!$S$10-RASANTE!F289)/(AV!$N$10))^2,IF(AND(AV!$T$10&lt;RASANTE!F289,F289&lt;AV!$U$10),AV!$P$10*((AV!$U$10-RASANTE!F289)/(AV!$O$10))^2,IF(AND(AV!$S$12&lt;F289,F289&lt;=AV!$T$12),AV!$P$12*((AV!$S$12-RASANTE!F289)/(AV!$N$12))^2,IF(AND(AV!$T$12&lt;RASANTE!F289,F289&lt;AV!$U$12),AV!$P$12*((AV!$U$12-RASANTE!F289)/(AV!$O$12))^2,IF(AND(AV!$S$14&lt;F289,F289&lt;=AV!$T$14),AV!$P$14*((AV!$S$14-RASANTE!F289)/(AV!$N$14))^2,IF(AND(AV!$T$14&lt;RASANTE!F289,F289&lt;AV!$U$14),AV!$P$14*((AV!$U$14-RASANTE!F289)/(AV!$O$14))^2,IF(AND(AV!$S$16&lt;F289,F289&lt;=AV!$T$16),AV!$P$16*((AV!$S$16-RASANTE!F289)/(AV!$N$16))^2,IF(AND(AV!$T$16&lt;RASANTE!F289,F289&lt;AV!$U$16),AV!$P$16*((AV!$U$16-RASANTE!F289)/(AV!$O$16))^2,IF(AND(AV!$S$18&lt;F289,F289&lt;=AV!$T$18),AV!$P$18*((AV!$S$18-RASANTE!F289)/(AV!$N$18))^2,IF(AND(AV!$T$18&lt;RASANTE!F289,F289&lt;AV!$U$18),AV!$P$18*((AV!$U$18-RASANTE!F289)/(AV!$O$18))^2,IF(AND(AV!$S$20&lt;F289,F289&lt;=AV!$T$20),AV!$P$20*((AV!$S$20-RASANTE!F289)/(AV!$N$20))^2,IF(AND(AV!$T$20&lt;RASANTE!F289,F289&lt;AV!$U$20),AV!$P$20*((AV!$U$20-RASANTE!F289)/(AV!$O$20))^2,IF(AND(AV!$S$22&lt;F289,F289&lt;=AV!$T$22),AV!$P$22*((AV!$S$22-RASANTE!F289)/(AV!$N$22))^2,IF(AND(AV!$T$22&lt;RASANTE!F289,F289&lt;AV!$U$22),AV!$P$22*((AV!$U$22-RASANTE!F289)/(AV!$O$22))^2,IF(AND(AV!$S$24&lt;F289,F289&lt;=AV!$T$24),AV!$P$24*((AV!$S$24-RASANTE!F289)/(AV!$N$24))^2,IF(AND(AV!$T$24&lt;RASANTE!F289,F289&lt;AV!$U$24),AV!$P$24*((AV!$U$24-RASANTE!F289)/(AV!$O$24))^2,0))))))))))))))))))))</f>
        <v>0</v>
      </c>
      <c r="L289" s="28">
        <f>+M289+H289%*PERALTE!$C$32</f>
        <v>1645.1640560197773</v>
      </c>
      <c r="M289" s="28">
        <f t="shared" si="15"/>
        <v>1645.2340560197772</v>
      </c>
      <c r="N289" s="28">
        <f>+M289+I289%*PERALTE!$C$32</f>
        <v>1645.1640560197773</v>
      </c>
      <c r="O289" s="92"/>
      <c r="P289" s="84"/>
      <c r="Q289" s="84"/>
      <c r="R289" s="84"/>
      <c r="S289" s="84"/>
      <c r="T289" s="84"/>
      <c r="U289" s="84"/>
      <c r="V289" s="84"/>
      <c r="W289" s="84"/>
      <c r="X289" s="84"/>
      <c r="Y289" s="84"/>
    </row>
    <row r="290" spans="1:25" ht="15.75" customHeight="1" x14ac:dyDescent="0.2">
      <c r="A290" s="322"/>
      <c r="B290" s="102"/>
      <c r="C290" s="102"/>
      <c r="D290" s="102"/>
      <c r="E290" s="91"/>
      <c r="F290" s="34">
        <v>1740</v>
      </c>
      <c r="G290" s="88">
        <v>5.4480000000000004</v>
      </c>
      <c r="H290" s="28">
        <f>+IF(AND(AH!$H$8="Izquierda",RASANTE!F204&lt;=PERALTE!$AB$6),IF(RASANTE!F204&lt;=PERALTE!$S$6,-2,IF(RASANTE!F204&lt;=PERALTE!$U$6,(-6/(PERALTE!$U$6-PERALTE!$S$6)*(RASANTE!F204-PERALTE!$S$6)-2),IF(RASANTE!F204&lt;=PERALTE!$X$6,-8,IF(RASANTE!F204&lt;=PERALTE!$Z$6,(-6/(PERALTE!$X$6-PERALTE!$Z$6)*(RASANTE!F204-PERALTE!$Z$6)-2),IF(RASANTE!F204&lt;=PERALTE!$AB$6,-2))))),IF(AND(AH!$H$8="Derecha",RASANTE!F204&lt;=PERALTE!$AB$6),IF(RASANTE!F204&lt;=PERALTE!$Q$6,-2,IF(RASANTE!F204&lt;=PERALTE!$U$6,(10/(PERALTE!$U$6-PERALTE!$Q$6)*(RASANTE!F204-PERALTE!$Q$6)-2),IF(RASANTE!F204&lt;=PERALTE!$X$6,8,IF(RASANTE!F204&lt;=PERALTE!$AB$6,(10/(PERALTE!$X$6-PERALTE!$AB$6)*(RASANTE!F204-PERALTE!$AB$6)-2))))),IF(AND(AH!$H$10="Izquierda",RASANTE!F204&lt;=PERALTE!$AB$8),IF(RASANTE!F204&lt;=PERALTE!$S$8,-2,IF(RASANTE!F204&lt;=PERALTE!$U$8,(-6/(PERALTE!$U$8-PERALTE!$S$8)*(RASANTE!F204-PERALTE!$S$8)-2),IF(RASANTE!F204&lt;=PERALTE!$X$8,-8,IF(RASANTE!F204&lt;=PERALTE!$Z$8,(-6/(PERALTE!$X$8-PERALTE!$Z$8)*(RASANTE!F204-PERALTE!$Z$8)-2),IF(RASANTE!F204&lt;=PERALTE!$AB$8,-2))))),IF(AND(AH!$H$10="Derecha",RASANTE!F204&lt;=PERALTE!$AB$8),IF(RASANTE!F204&lt;=PERALTE!$Q$8,-2,IF(RASANTE!F204&lt;=PERALTE!$U$8,(10/(PERALTE!$U$8-PERALTE!$Q$8)*(RASANTE!F204-PERALTE!$Q$8)-2),IF(RASANTE!F204&lt;=PERALTE!$X$8,8,IF(RASANTE!F204&lt;=PERALTE!$AB$8,(10/(PERALTE!$X$8-PERALTE!$AB$8)*(RASANTE!F204-PERALTE!$AB$8)-2))))),IF(AND(AH!$H$12="Izquierda",RASANTE!F204&lt;=PERALTE!$AB$10),IF(RASANTE!F204&lt;=PERALTE!$S$10,-2,IF(RASANTE!F204&lt;=PERALTE!$U$10,(-6/(PERALTE!$U$10-PERALTE!$S$10)*(RASANTE!F204-PERALTE!$S$10)-2),IF(RASANTE!F204&lt;=PERALTE!$X$10,-8,IF(RASANTE!F204&lt;=PERALTE!$Z$10,(-6/(PERALTE!$X$10-PERALTE!$Z$10)*(RASANTE!F204-PERALTE!$Z$10)-2),IF(RASANTE!F204&lt;=PERALTE!$AB$10,-2))))),IF(AND(AH!$H$12="Derecha",RASANTE!F204&lt;=PERALTE!$AB$10),IF(RASANTE!F204&lt;=PERALTE!$Q$10,-2,IF(RASANTE!F204&lt;=PERALTE!$U$10,(10/(PERALTE!$U$10-PERALTE!$Q$10)*(RASANTE!F204-PERALTE!$Q$10)-2),IF(RASANTE!F204&lt;=PERALTE!$X$10,8,IF(RASANTE!F204&lt;=PERALTE!$AB$10,(10/(PERALTE!$X$10-PERALTE!$AB$10)*(RASANTE!F204-PERALTE!$AB$10)-2))))),IF(AND(AH!$H$14="Izquierda",RASANTE!F204&lt;=PERALTE!$AB$12),IF(RASANTE!F204&lt;=PERALTE!$S$12,-2,IF(RASANTE!F204&lt;=PERALTE!$U$12,(-6/(PERALTE!$U$12-PERALTE!$S$12)*(RASANTE!F204-PERALTE!$S$12)-2),IF(RASANTE!F204&lt;=PERALTE!$X$12,-8,IF(RASANTE!F204&lt;=PERALTE!$Z$12,(-6/(PERALTE!$X$12-PERALTE!$Z$12)*(RASANTE!F204-PERALTE!$Z$12)-2),IF(RASANTE!F204&lt;=PERALTE!$AB$12,-2))))),IF(AND(AH!$H$14="Derecha",RASANTE!F204&lt;=PERALTE!$AB$12),IF(RASANTE!F204&lt;=PERALTE!$Q$12,-2,IF(RASANTE!F204&lt;=PERALTE!$U$12,(10/(PERALTE!$U$12-PERALTE!$Q$12)*(RASANTE!F204-PERALTE!$Q$12)-2),IF(RASANTE!F204&lt;=PERALTE!$X$12,8,IF(RASANTE!F204&lt;=PERALTE!$AB$12,(10/(PERALTE!$X$12-PERALTE!$AB$12)*(RASANTE!F204-PERALTE!$AB$12)-2))))),IF(AND(AH!$H$16="Izquierda",RASANTE!F204&lt;=PERALTE!$AB$14),IF(RASANTE!F204&lt;=PERALTE!$S$14,-2,IF(RASANTE!F204&lt;=PERALTE!$U$14,(-6/(PERALTE!$U$14-PERALTE!$S$14)*(RASANTE!F204-PERALTE!$S$14)-2),IF(RASANTE!F204&lt;=PERALTE!$X$14,-8,IF(RASANTE!F204&lt;=PERALTE!$Z$14,(-6/(PERALTE!$X$14-PERALTE!$Z$14)*(RASANTE!F204-PERALTE!$Z$14)-2),IF(RASANTE!F204&lt;=PERALTE!$AB$14,-2))))),IF(AND(AH!$H$16="Derecha",RASANTE!F204&lt;=PERALTE!$AB$14),IF(RASANTE!F204&lt;=PERALTE!$Q$14,-2,IF(RASANTE!F204&lt;=PERALTE!$U$14,(10/(PERALTE!$U$14-PERALTE!$Q$14)*(RASANTE!F204-PERALTE!$Q$14)-2),IF(RASANTE!F204&lt;=PERALTE!$X$14,8,IF(RASANTE!F204&lt;=PERALTE!$AB$14,(10/(PERALTE!$X$14-PERALTE!$AB$14)*(RASANTE!F204-PERALTE!$AB$14)-2))))),IF(AND(AH!$H$18="Izquierda",RASANTE!F204&lt;=PERALTE!$AB$16),IF(RASANTE!F204&lt;=PERALTE!$S$16,-2,IF(RASANTE!F204&lt;=PERALTE!$U$16,(-6/(PERALTE!$U$16-PERALTE!$S$16)*(RASANTE!F204-PERALTE!$S$16)-2),IF(RASANTE!F204&lt;=PERALTE!$X$16,-8,IF(RASANTE!F204&lt;=PERALTE!$Z$16,(-6/(PERALTE!$X$16-PERALTE!$Z$16)*(RASANTE!F204-PERALTE!$Z$16)-2),IF(RASANTE!F204&lt;=PERALTE!$AB$16,-2))))),IF(AND(AH!$H$18="Derecha",RASANTE!F204&lt;=PERALTE!$AB$16),IF(RASANTE!F204&lt;=PERALTE!$Q$16,-2,IF(RASANTE!F204&lt;=PERALTE!$U$16,(10/(PERALTE!$U$16-PERALTE!$Q$16)*(RASANTE!F204-PERALTE!$Q$16)-2),IF(RASANTE!F204&lt;=PERALTE!$X$16,8,IF(RASANTE!F204&lt;=PERALTE!$AB$16,(10/(PERALTE!$X$16-PERALTE!$AB$16)*(RASANTE!F204-PERALTE!$AB$16)-2))))),IF(AND(AH!$H$20="Izquierda",RASANTE!F204&lt;=PERALTE!$AB$18),IF(RASANTE!F204&lt;=PERALTE!$S$18,-2,IF(RASANTE!F204&lt;=PERALTE!$U$18,(-6/(PERALTE!$U$18-PERALTE!$S$18)*(RASANTE!F204-PERALTE!$S$18)-2),IF(RASANTE!F204&lt;=PERALTE!$X$18,-8,IF(RASANTE!F204&lt;=PERALTE!$Z$18,(-6/(PERALTE!$X$18-PERALTE!$Z$18)*(RASANTE!F204-PERALTE!$Z$18)-2),IF(RASANTE!F204&lt;=PERALTE!$AB$18,-2))))),IF(AND(AH!$H$20="Derecha",RASANTE!F204&lt;=PERALTE!$AB$18),IF(RASANTE!F204&lt;=PERALTE!$Q$18,-2,IF(RASANTE!F204&lt;=PERALTE!$U$18,(10/(PERALTE!$U$18-PERALTE!$Q$18)*(RASANTE!F204-PERALTE!$Q$18)-2),IF(RASANTE!F204&lt;=PERALTE!$X$18,8,IF(RASANTE!F204&lt;=PERALTE!$AB$18,(10/(PERALTE!$X$18-PERALTE!$AB$18)*(RASANTE!F204-PERALTE!$AB$18)-2))))),IF(AND(AH!$H$24="Izquierda",RASANTE!F204&lt;=PERALTE!$AB$22),IF(RASANTE!F204&lt;=PERALTE!$S$22,-2,IF(RASANTE!F204&lt;=PERALTE!$U$22,(-6/(PERALTE!$U$22-PERALTE!$S$22)*(RASANTE!F204-PERALTE!$S$22)-2),IF(RASANTE!F204&lt;=PERALTE!$X$22,-8,IF(RASANTE!F204&lt;=PERALTE!$Z$22,(-6/(PERALTE!$X$22-PERALTE!$Z$22)*(RASANTE!F204-PERALTE!$Z$22)-2),IF(RASANTE!F204&lt;=PERALTE!$AB$22,-2))))),IF(AND(AH!$H$24="Derecha",RASANTE!F204&lt;=PERALTE!$AB$22),IF(RASANTE!F204&lt;=PERALTE!$Q$22,-2,IF(RASANTE!F204&lt;=PERALTE!$U$22,(10/(PERALTE!$U$22-PERALTE!$Q$22)*(RASANTE!F204-PERALTE!$Q$22)-2),IF(RASANTE!F204&lt;=PERALTE!$X$22,8,IF(RASANTE!F204&lt;=PERALTE!$AB$22,(10/(PERALTE!$X$22-PERALTE!$AB$22)*(RASANTE!F204-PERALTE!$AB$22)-2))))),IF(AND(AH!#REF!="Izquierda",RASANTE!F204&lt;=PERALTE!#REF!),IF(RASANTE!F204&lt;=PERALTE!#REF!,-2,IF(RASANTE!F204&lt;=PERALTE!#REF!,(-6/(PERALTE!#REF!-PERALTE!#REF!)*(RASANTE!F204-PERALTE!#REF!)-2),IF(RASANTE!F204&lt;=PERALTE!#REF!,-8,IF(RASANTE!F204&lt;=PERALTE!#REF!,(-6/(PERALTE!#REF!-PERALTE!#REF!)*(RASANTE!F204-PERALTE!#REF!)-2),IF(RASANTE!F204&lt;=PERALTE!#REF!,-2))))),IF(AND(AH!#REF!="Derecha",RASANTE!F204&lt;=PERALTE!#REF!),IF(RASANTE!F204&lt;=PERALTE!#REF!,-2,IF(RASANTE!F204&lt;=PERALTE!#REF!,(10/(PERALTE!#REF!-PERALTE!#REF!)*(RASANTE!F204-PERALTE!#REF!)-2),IF(RASANTE!F204&lt;=PERALTE!#REF!,8,IF(RASANTE!F204&lt;=PERALTE!#REF!,(10/(PERALTE!#REF!-PERALTE!#REF!)*(RASANTE!F204-PERALTE!#REF!)-2))))),IF(AND(AH!#REF!="Izquierda",RASANTE!F204&lt;=PERALTE!$AB$26),IF(RASANTE!F204&lt;=PERALTE!$S$26,-2,IF(RASANTE!F204&lt;=PERALTE!$U$26,(-6/(PERALTE!$U$26-PERALTE!$S$26)*(RASANTE!F204-PERALTE!$S$26)-2),IF(RASANTE!F204&lt;=PERALTE!$X$26,-8,IF(RASANTE!F204&lt;=PERALTE!$Z$26,(-6/(PERALTE!$X$26-PERALTE!$Z$26)*(RASANTE!F204-PERALTE!$Z$26)-2),IF(RASANTE!F204&lt;=PERALTE!$AB$26,-2))))),IF(AND(AH!#REF!="Derecha",RASANTE!F204&lt;=PERALTE!$AB$26),IF(RASANTE!F204&lt;=PERALTE!$Q$26,-2,IF(RASANTE!F204&lt;=PERALTE!$U$26,(10/(PERALTE!$U$26-PERALTE!$Q$26)*(RASANTE!F204-PERALTE!$Q$26)-2),IF(RASANTE!F204&lt;=PERALTE!$X$26,8,IF(RASANTE!F204&lt;=PERALTE!$AB$26,(10/(PERALTE!$X$26-PERALTE!$AB$26)*(RASANTE!F204-PERALTE!$AB$26)-2))))),IF(F204&lt;=PERALTE!#REF!,-2,"Abscisa fuera de la vía")))))))))))))))))))))</f>
        <v>-2</v>
      </c>
      <c r="I290" s="28">
        <f>+IF(AND(AH!$H$8="Derecha",RASANTE!F155&lt;=PERALTE!$AB$6),IF(RASANTE!F155&lt;=PERALTE!$S$6,-2,IF(RASANTE!F155&lt;=PERALTE!$U$6,(-6/(PERALTE!$U$6-PERALTE!$S$6)*(RASANTE!F155-PERALTE!$S$6)-2),IF(RASANTE!F155&lt;=PERALTE!$X$6,-8,IF(RASANTE!F155&lt;=PERALTE!$Z$6,(-6/(PERALTE!$X$6-PERALTE!$Z$6)*(RASANTE!F155-PERALTE!$Z$6)-2),IF(RASANTE!F155&lt;=PERALTE!$AB$6,-2))))),IF(AND(AH!$H$8="Izquierda",RASANTE!F155&lt;=PERALTE!$AB$6),IF(RASANTE!F155&lt;=PERALTE!$Q$6,-2,IF(RASANTE!F155&lt;=PERALTE!$U$6,(10/(PERALTE!$U$6-PERALTE!$Q$6)*(RASANTE!F155-PERALTE!$Q$6)-2),IF(RASANTE!F155&lt;=PERALTE!$X$6,8,IF(RASANTE!F155&lt;=PERALTE!$AB$6,(10/(PERALTE!$X$6-PERALTE!$AB$6)*(RASANTE!F155-PERALTE!$AB$6)-2))))),IF(AND(AH!$H$10="Derecha",RASANTE!F155&lt;=PERALTE!$AB$8),IF(RASANTE!F155&lt;=PERALTE!$S$8,-2,IF(RASANTE!F155&lt;=PERALTE!$U$8,(-6/(PERALTE!$U$8-PERALTE!$S$8)*(RASANTE!F155-PERALTE!$S$8)-2),IF(RASANTE!F155&lt;=PERALTE!$X$8,-8,IF(RASANTE!F155&lt;=PERALTE!$Z$8,(-6/(PERALTE!$X$8-PERALTE!$Z$8)*(RASANTE!F155-PERALTE!$Z$8)-2),IF(RASANTE!F155&lt;=PERALTE!$AB$8,-2))))),IF(AND(AH!$H$10="Izquierda",RASANTE!F155&lt;=PERALTE!$AB$8),IF(RASANTE!F155&lt;=PERALTE!$Q$8,-2,IF(RASANTE!F155&lt;=PERALTE!$U$8,(10/(PERALTE!$U$8-PERALTE!$Q$8)*(RASANTE!F155-PERALTE!$Q$8)-2),IF(RASANTE!F155&lt;=PERALTE!$X$8,8,IF(RASANTE!F155&lt;=PERALTE!$AB$8,(10/(PERALTE!$X$8-PERALTE!$AB$8)*(RASANTE!F155-PERALTE!$AB$8)-2))))),IF(AND(AH!$H$12="Derecha",RASANTE!F155&lt;=PERALTE!$AB$10),IF(RASANTE!F155&lt;=PERALTE!$S$10,-2,IF(RASANTE!F155&lt;=PERALTE!$U$10,(-6/(PERALTE!$U$10-PERALTE!$S$10)*(RASANTE!F155-PERALTE!$S$10)-2),IF(RASANTE!F155&lt;=PERALTE!$X$10,-8,IF(RASANTE!F155&lt;=PERALTE!$Z$10,(-6/(PERALTE!$X$10-PERALTE!$Z$10)*(RASANTE!F155-PERALTE!$Z$10)-2),IF(RASANTE!F155&lt;=PERALTE!$AB$10,-2))))),IF(AND(AH!$H$12="Izquierda",RASANTE!F155&lt;=PERALTE!$AB$10),IF(RASANTE!F155&lt;=PERALTE!$Q$10,-2,IF(RASANTE!F155&lt;=PERALTE!$U$10,(10/(PERALTE!$U$10-PERALTE!$Q$10)*(RASANTE!F155-PERALTE!$Q$10)-2),IF(RASANTE!F155&lt;=PERALTE!$X$10,8,IF(RASANTE!F155&lt;=PERALTE!$AB$10,(10/(PERALTE!$X$10-PERALTE!$AB$10)*(RASANTE!F155-PERALTE!$AB$10)-2))))),IF(AND(AH!$H$14="Derecha",RASANTE!F155&lt;=PERALTE!$AB$12),IF(RASANTE!F155&lt;=PERALTE!$S$12,-2,IF(RASANTE!F155&lt;=PERALTE!$U$12,(-6/(PERALTE!$U$12-PERALTE!$S$12)*(RASANTE!F155-PERALTE!$S$12)-2),IF(RASANTE!F155&lt;=PERALTE!$X$12,-8,IF(RASANTE!F155&lt;=PERALTE!$Z$12,(-6/(PERALTE!$X$12-PERALTE!$Z$12)*(RASANTE!F155-PERALTE!$Z$12)-2),IF(RASANTE!F155&lt;=PERALTE!$AB$12,-2))))),IF(AND(AH!$H$14="Izquierda",RASANTE!F155&lt;=PERALTE!$AB$12),IF(RASANTE!F155&lt;=PERALTE!$Q$12,-2,IF(RASANTE!F155&lt;=PERALTE!$U$12,(10/(PERALTE!$U$12-PERALTE!$Q$12)*(RASANTE!F155-PERALTE!$Q$12)-2),IF(RASANTE!F155&lt;=PERALTE!$X$12,8,IF(RASANTE!F155&lt;=PERALTE!$AB$12,(10/(PERALTE!$X$12-PERALTE!$AB$12)*(RASANTE!F155-PERALTE!$AB$12)-2))))),IF(AND(AH!$H$16="Derecha",RASANTE!F155&lt;=PERALTE!$AB$14),IF(RASANTE!F155&lt;=PERALTE!$S$14,-2,IF(RASANTE!F155&lt;=PERALTE!$U$14,(-6/(PERALTE!$U$14-PERALTE!$S$14)*(RASANTE!F155-PERALTE!$S$14)-2),IF(RASANTE!F155&lt;=PERALTE!$X$14,-8,IF(RASANTE!F155&lt;=PERALTE!$Z$14,(-6/(PERALTE!$X$14-PERALTE!$Z$14)*(RASANTE!F155-PERALTE!$Z$14)-2),IF(RASANTE!F155&lt;=PERALTE!$AB$14,-2))))),IF(AND(AH!$H$16="Izquierda",RASANTE!F155&lt;=PERALTE!$AB$14),IF(RASANTE!F155&lt;=PERALTE!$Q$14,-2,IF(RASANTE!F155&lt;=PERALTE!$U$14,(10/(PERALTE!$U$14-PERALTE!$Q$14)*(RASANTE!F155-PERALTE!$Q$14)-2),IF(RASANTE!F155&lt;=PERALTE!$X$14,8,IF(RASANTE!F155&lt;=PERALTE!$AB$14,(10/(PERALTE!$X$14-PERALTE!$AB$14)*(RASANTE!F155-PERALTE!$AB$14)-2))))),IF(AND(AH!$H$18="Derecha",RASANTE!F155&lt;=PERALTE!$AB$16),IF(RASANTE!F155&lt;=PERALTE!$S$16,-2,IF(RASANTE!F155&lt;=PERALTE!$U$16,(-6/(PERALTE!$U$16-PERALTE!$S$16)*(RASANTE!F155-PERALTE!$S$16)-2),IF(RASANTE!F155&lt;=PERALTE!$X$16,-8,IF(RASANTE!F155&lt;=PERALTE!$Z$16,(-6/(PERALTE!$X$16-PERALTE!$Z$16)*(RASANTE!F155-PERALTE!$Z$16)-2),IF(RASANTE!F155&lt;=PERALTE!$AB$16,-2))))),IF(AND(AH!$H$18="Izquierda",RASANTE!F155&lt;=PERALTE!$AB$16),IF(RASANTE!F155&lt;=PERALTE!$Q$16,-2,IF(RASANTE!F155&lt;=PERALTE!$U$16,(10/(PERALTE!$U$16-PERALTE!$Q$16)*(RASANTE!F155-PERALTE!$Q$16)-2),IF(RASANTE!F155&lt;=PERALTE!$X$16,8,IF(RASANTE!F155&lt;=PERALTE!$AB$16,(10/(PERALTE!$X$16-PERALTE!$AB$16)*(RASANTE!F155-PERALTE!$AB$16)-2))))),IF(AND(AH!$H$20="Derecha",RASANTE!F155&lt;=PERALTE!$AB$18),IF(RASANTE!F155&lt;=PERALTE!$S$18,-2,IF(RASANTE!F155&lt;=PERALTE!$U$18,(-6/(PERALTE!$U$18-PERALTE!$S$18)*(RASANTE!F155-PERALTE!$S$18)-2),IF(RASANTE!F155&lt;=PERALTE!$X$18,-8,IF(RASANTE!F155&lt;=PERALTE!$Z$18,(-6/(PERALTE!$X$18-PERALTE!$Z$18)*(RASANTE!F155-PERALTE!$Z$18)-2),IF(RASANTE!F155&lt;=PERALTE!$AB$18,-2))))),IF(AND(AH!$H$20="Izquierda",RASANTE!F155&lt;=PERALTE!$AB$18),IF(RASANTE!F155&lt;=PERALTE!$Q$18,-2,IF(RASANTE!F155&lt;=PERALTE!$U$18,(10/(PERALTE!$U$18-PERALTE!$Q$18)*(RASANTE!F155-PERALTE!$Q$18)-2),IF(RASANTE!F155&lt;=PERALTE!$X$18,8,IF(RASANTE!F155&lt;=PERALTE!$AB$18,(10/(PERALTE!$X$18-PERALTE!$AB$18)*(RASANTE!F155-PERALTE!$AB$18)-2))))),IF(AND(AH!$H$24="Derecha",RASANTE!F155&lt;=PERALTE!$AB$22),IF(RASANTE!F155&lt;=PERALTE!$S$22,-2,IF(RASANTE!F155&lt;=PERALTE!$U$22,(-6/(PERALTE!$U$22-PERALTE!$S$22)*(RASANTE!F155-PERALTE!$S$22)-2),IF(RASANTE!F155&lt;=PERALTE!$X$22,-8,IF(RASANTE!F155&lt;=PERALTE!$Z$22,(-6/(PERALTE!$X$22-PERALTE!$Z$22)*(RASANTE!F155-PERALTE!$Z$22)-2),IF(RASANTE!F155&lt;=PERALTE!$AB$22,-2))))),IF(AND(AH!$H$24="Izquierda",RASANTE!F155&lt;=PERALTE!$AB$22),IF(RASANTE!F155&lt;=PERALTE!$Q$22,-2,IF(RASANTE!F155&lt;=PERALTE!$U$22,(10/(PERALTE!$U$22-PERALTE!$Q$22)*(RASANTE!F155-PERALTE!$Q$22)-2),IF(RASANTE!F155&lt;=PERALTE!$X$22,8,IF(RASANTE!F155&lt;=PERALTE!$AB$22,(10/(PERALTE!$X$22-PERALTE!$AB$22)*(RASANTE!F155-PERALTE!$AB$22)-2))))),IF(AND(AH!#REF!="Derecha",RASANTE!F155&lt;=PERALTE!#REF!),IF(RASANTE!F155&lt;=PERALTE!#REF!,-2,IF(RASANTE!F155&lt;=PERALTE!#REF!,(-6/(PERALTE!#REF!-PERALTE!#REF!)*(RASANTE!F155-PERALTE!#REF!)-2),IF(RASANTE!F155&lt;=PERALTE!#REF!,-8,IF(RASANTE!F155&lt;=PERALTE!#REF!,(-6/(PERALTE!#REF!-PERALTE!#REF!)*(RASANTE!F155-PERALTE!#REF!)-2),IF(RASANTE!F155&lt;=PERALTE!#REF!,-2))))),IF(AND(AH!#REF!="Izquierda",RASANTE!F155&lt;=PERALTE!#REF!),IF(RASANTE!F155&lt;=PERALTE!#REF!,-2,IF(RASANTE!F155&lt;=PERALTE!#REF!,(10/(PERALTE!#REF!-PERALTE!#REF!)*(RASANTE!F155-PERALTE!#REF!)-2),IF(RASANTE!F155&lt;=PERALTE!#REF!,8,IF(RASANTE!F155&lt;=PERALTE!#REF!,(10/(PERALTE!#REF!-PERALTE!#REF!)*(RASANTE!F155-PERALTE!#REF!)-2))))),IF(AND(AH!#REF!="Derecha",RASANTE!F155&lt;=PERALTE!$AB$26),IF(RASANTE!F155&lt;=PERALTE!$S$26,-2,IF(RASANTE!F155&lt;=PERALTE!$U$26,(-6/(PERALTE!$U$26-PERALTE!$S$26)*(RASANTE!F155-PERALTE!$S$26)-2),IF(RASANTE!F155&lt;=PERALTE!$X$26,-8,IF(RASANTE!F155&lt;=PERALTE!$Z$26,(-6/(PERALTE!$X$26-PERALTE!$Z$26)*(RASANTE!F155-PERALTE!$Z$26)-2),IF(RASANTE!F155&lt;=PERALTE!$AB$26,-2))))),IF(AND(AH!#REF!="Izquierda",RASANTE!F155&lt;=PERALTE!$AB$26),IF(RASANTE!F155&lt;=PERALTE!$Q$26,-2,IF(RASANTE!F155&lt;=PERALTE!$U$26,(10/(PERALTE!$U$26-PERALTE!$Q$26)*(RASANTE!F155-PERALTE!$Q$26)-2),IF(RASANTE!F155&lt;=PERALTE!$X$26,8,IF(RASANTE!F155&lt;=PERALTE!$AB$26,(10/(PERALTE!$X$26-PERALTE!$AB$26)*(RASANTE!F155-PERALTE!$AB$26)-2))))),IF(F155&lt;=PERALTE!#REF!,-2,"Abscisa fuera de la vía")))))))))))))))))))))</f>
        <v>-2</v>
      </c>
      <c r="J290" s="28">
        <f t="shared" si="13"/>
        <v>1645.3689284648979</v>
      </c>
      <c r="K290" s="28">
        <f>+IF(AND(AV!$S$6&lt;F290,F290&lt;=AV!$T$6),AV!$P$6*((AV!$S$6-RASANTE!F290)/(AV!$N$6))^2,IF(AND(AV!$T$6&lt;RASANTE!F290,F290&lt;AV!$U$6),AV!$P$6*((AV!$U$6-RASANTE!F290)/(AV!$O$6))^2,IF(AND(AV!$S$8&lt;F290,F290&lt;=AV!$T$8),AV!$P$8*((AV!$S$8-RASANTE!F290)/(AV!$N$8))^2,IF(AND(AV!$T$8&lt;RASANTE!F290,F290&lt;AV!$U$8),AV!$P$8*((AV!$U$8-RASANTE!F290)/(AV!$O$8))^2,IF(AND(AV!$S$10&lt;F290,F290&lt;=AV!$T$10),AV!$P$10*((AV!$S$10-RASANTE!F290)/(AV!$N$10))^2,IF(AND(AV!$T$10&lt;RASANTE!F290,F290&lt;AV!$U$10),AV!$P$10*((AV!$U$10-RASANTE!F290)/(AV!$O$10))^2,IF(AND(AV!$S$12&lt;F290,F290&lt;=AV!$T$12),AV!$P$12*((AV!$S$12-RASANTE!F290)/(AV!$N$12))^2,IF(AND(AV!$T$12&lt;RASANTE!F290,F290&lt;AV!$U$12),AV!$P$12*((AV!$U$12-RASANTE!F290)/(AV!$O$12))^2,IF(AND(AV!$S$14&lt;F290,F290&lt;=AV!$T$14),AV!$P$14*((AV!$S$14-RASANTE!F290)/(AV!$N$14))^2,IF(AND(AV!$T$14&lt;RASANTE!F290,F290&lt;AV!$U$14),AV!$P$14*((AV!$U$14-RASANTE!F290)/(AV!$O$14))^2,IF(AND(AV!$S$16&lt;F290,F290&lt;=AV!$T$16),AV!$P$16*((AV!$S$16-RASANTE!F290)/(AV!$N$16))^2,IF(AND(AV!$T$16&lt;RASANTE!F290,F290&lt;AV!$U$16),AV!$P$16*((AV!$U$16-RASANTE!F290)/(AV!$O$16))^2,IF(AND(AV!$S$18&lt;F290,F290&lt;=AV!$T$18),AV!$P$18*((AV!$S$18-RASANTE!F290)/(AV!$N$18))^2,IF(AND(AV!$T$18&lt;RASANTE!F290,F290&lt;AV!$U$18),AV!$P$18*((AV!$U$18-RASANTE!F290)/(AV!$O$18))^2,IF(AND(AV!$S$20&lt;F290,F290&lt;=AV!$T$20),AV!$P$20*((AV!$S$20-RASANTE!F290)/(AV!$N$20))^2,IF(AND(AV!$T$20&lt;RASANTE!F290,F290&lt;AV!$U$20),AV!$P$20*((AV!$U$20-RASANTE!F290)/(AV!$O$20))^2,IF(AND(AV!$S$22&lt;F290,F290&lt;=AV!$T$22),AV!$P$22*((AV!$S$22-RASANTE!F290)/(AV!$N$22))^2,IF(AND(AV!$T$22&lt;RASANTE!F290,F290&lt;AV!$U$22),AV!$P$22*((AV!$U$22-RASANTE!F290)/(AV!$O$22))^2,IF(AND(AV!$S$24&lt;F290,F290&lt;=AV!$T$24),AV!$P$24*((AV!$S$24-RASANTE!F290)/(AV!$N$24))^2,IF(AND(AV!$T$24&lt;RASANTE!F290,F290&lt;AV!$U$24),AV!$P$24*((AV!$U$24-RASANTE!F290)/(AV!$O$24))^2,0))))))))))))))))))))</f>
        <v>0</v>
      </c>
      <c r="L290" s="28">
        <f>+M290+H290%*PERALTE!$C$32</f>
        <v>1645.2989284648979</v>
      </c>
      <c r="M290" s="28">
        <f t="shared" si="15"/>
        <v>1645.3689284648979</v>
      </c>
      <c r="N290" s="28">
        <f>+M290+I290%*PERALTE!$C$32</f>
        <v>1645.2989284648979</v>
      </c>
      <c r="O290" s="92"/>
      <c r="P290" s="84"/>
      <c r="Q290" s="84"/>
      <c r="R290" s="84"/>
      <c r="S290" s="84"/>
      <c r="T290" s="84"/>
      <c r="U290" s="84"/>
      <c r="V290" s="84"/>
      <c r="W290" s="84"/>
      <c r="X290" s="84"/>
      <c r="Y290" s="84"/>
    </row>
    <row r="291" spans="1:25" ht="15.75" customHeight="1" x14ac:dyDescent="0.2">
      <c r="A291" s="348"/>
      <c r="B291" s="104"/>
      <c r="C291" s="104"/>
      <c r="D291" s="104"/>
      <c r="E291" s="91"/>
      <c r="F291" s="34">
        <v>1750</v>
      </c>
      <c r="G291" s="88">
        <v>5.4480000000000004</v>
      </c>
      <c r="H291" s="28">
        <f>+IF(AND(AH!$H$8="Izquierda",RASANTE!F205&lt;=PERALTE!$AB$6),IF(RASANTE!F205&lt;=PERALTE!$S$6,-2,IF(RASANTE!F205&lt;=PERALTE!$U$6,(-6/(PERALTE!$U$6-PERALTE!$S$6)*(RASANTE!F205-PERALTE!$S$6)-2),IF(RASANTE!F205&lt;=PERALTE!$X$6,-8,IF(RASANTE!F205&lt;=PERALTE!$Z$6,(-6/(PERALTE!$X$6-PERALTE!$Z$6)*(RASANTE!F205-PERALTE!$Z$6)-2),IF(RASANTE!F205&lt;=PERALTE!$AB$6,-2))))),IF(AND(AH!$H$8="Derecha",RASANTE!F205&lt;=PERALTE!$AB$6),IF(RASANTE!F205&lt;=PERALTE!$Q$6,-2,IF(RASANTE!F205&lt;=PERALTE!$U$6,(10/(PERALTE!$U$6-PERALTE!$Q$6)*(RASANTE!F205-PERALTE!$Q$6)-2),IF(RASANTE!F205&lt;=PERALTE!$X$6,8,IF(RASANTE!F205&lt;=PERALTE!$AB$6,(10/(PERALTE!$X$6-PERALTE!$AB$6)*(RASANTE!F205-PERALTE!$AB$6)-2))))),IF(AND(AH!$H$10="Izquierda",RASANTE!F205&lt;=PERALTE!$AB$8),IF(RASANTE!F205&lt;=PERALTE!$S$8,-2,IF(RASANTE!F205&lt;=PERALTE!$U$8,(-6/(PERALTE!$U$8-PERALTE!$S$8)*(RASANTE!F205-PERALTE!$S$8)-2),IF(RASANTE!F205&lt;=PERALTE!$X$8,-8,IF(RASANTE!F205&lt;=PERALTE!$Z$8,(-6/(PERALTE!$X$8-PERALTE!$Z$8)*(RASANTE!F205-PERALTE!$Z$8)-2),IF(RASANTE!F205&lt;=PERALTE!$AB$8,-2))))),IF(AND(AH!$H$10="Derecha",RASANTE!F205&lt;=PERALTE!$AB$8),IF(RASANTE!F205&lt;=PERALTE!$Q$8,-2,IF(RASANTE!F205&lt;=PERALTE!$U$8,(10/(PERALTE!$U$8-PERALTE!$Q$8)*(RASANTE!F205-PERALTE!$Q$8)-2),IF(RASANTE!F205&lt;=PERALTE!$X$8,8,IF(RASANTE!F205&lt;=PERALTE!$AB$8,(10/(PERALTE!$X$8-PERALTE!$AB$8)*(RASANTE!F205-PERALTE!$AB$8)-2))))),IF(AND(AH!$H$12="Izquierda",RASANTE!F205&lt;=PERALTE!$AB$10),IF(RASANTE!F205&lt;=PERALTE!$S$10,-2,IF(RASANTE!F205&lt;=PERALTE!$U$10,(-6/(PERALTE!$U$10-PERALTE!$S$10)*(RASANTE!F205-PERALTE!$S$10)-2),IF(RASANTE!F205&lt;=PERALTE!$X$10,-8,IF(RASANTE!F205&lt;=PERALTE!$Z$10,(-6/(PERALTE!$X$10-PERALTE!$Z$10)*(RASANTE!F205-PERALTE!$Z$10)-2),IF(RASANTE!F205&lt;=PERALTE!$AB$10,-2))))),IF(AND(AH!$H$12="Derecha",RASANTE!F205&lt;=PERALTE!$AB$10),IF(RASANTE!F205&lt;=PERALTE!$Q$10,-2,IF(RASANTE!F205&lt;=PERALTE!$U$10,(10/(PERALTE!$U$10-PERALTE!$Q$10)*(RASANTE!F205-PERALTE!$Q$10)-2),IF(RASANTE!F205&lt;=PERALTE!$X$10,8,IF(RASANTE!F205&lt;=PERALTE!$AB$10,(10/(PERALTE!$X$10-PERALTE!$AB$10)*(RASANTE!F205-PERALTE!$AB$10)-2))))),IF(AND(AH!$H$14="Izquierda",RASANTE!F205&lt;=PERALTE!$AB$12),IF(RASANTE!F205&lt;=PERALTE!$S$12,-2,IF(RASANTE!F205&lt;=PERALTE!$U$12,(-6/(PERALTE!$U$12-PERALTE!$S$12)*(RASANTE!F205-PERALTE!$S$12)-2),IF(RASANTE!F205&lt;=PERALTE!$X$12,-8,IF(RASANTE!F205&lt;=PERALTE!$Z$12,(-6/(PERALTE!$X$12-PERALTE!$Z$12)*(RASANTE!F205-PERALTE!$Z$12)-2),IF(RASANTE!F205&lt;=PERALTE!$AB$12,-2))))),IF(AND(AH!$H$14="Derecha",RASANTE!F205&lt;=PERALTE!$AB$12),IF(RASANTE!F205&lt;=PERALTE!$Q$12,-2,IF(RASANTE!F205&lt;=PERALTE!$U$12,(10/(PERALTE!$U$12-PERALTE!$Q$12)*(RASANTE!F205-PERALTE!$Q$12)-2),IF(RASANTE!F205&lt;=PERALTE!$X$12,8,IF(RASANTE!F205&lt;=PERALTE!$AB$12,(10/(PERALTE!$X$12-PERALTE!$AB$12)*(RASANTE!F205-PERALTE!$AB$12)-2))))),IF(AND(AH!$H$16="Izquierda",RASANTE!F205&lt;=PERALTE!$AB$14),IF(RASANTE!F205&lt;=PERALTE!$S$14,-2,IF(RASANTE!F205&lt;=PERALTE!$U$14,(-6/(PERALTE!$U$14-PERALTE!$S$14)*(RASANTE!F205-PERALTE!$S$14)-2),IF(RASANTE!F205&lt;=PERALTE!$X$14,-8,IF(RASANTE!F205&lt;=PERALTE!$Z$14,(-6/(PERALTE!$X$14-PERALTE!$Z$14)*(RASANTE!F205-PERALTE!$Z$14)-2),IF(RASANTE!F205&lt;=PERALTE!$AB$14,-2))))),IF(AND(AH!$H$16="Derecha",RASANTE!F205&lt;=PERALTE!$AB$14),IF(RASANTE!F205&lt;=PERALTE!$Q$14,-2,IF(RASANTE!F205&lt;=PERALTE!$U$14,(10/(PERALTE!$U$14-PERALTE!$Q$14)*(RASANTE!F205-PERALTE!$Q$14)-2),IF(RASANTE!F205&lt;=PERALTE!$X$14,8,IF(RASANTE!F205&lt;=PERALTE!$AB$14,(10/(PERALTE!$X$14-PERALTE!$AB$14)*(RASANTE!F205-PERALTE!$AB$14)-2))))),IF(AND(AH!$H$18="Izquierda",RASANTE!F205&lt;=PERALTE!$AB$16),IF(RASANTE!F205&lt;=PERALTE!$S$16,-2,IF(RASANTE!F205&lt;=PERALTE!$U$16,(-6/(PERALTE!$U$16-PERALTE!$S$16)*(RASANTE!F205-PERALTE!$S$16)-2),IF(RASANTE!F205&lt;=PERALTE!$X$16,-8,IF(RASANTE!F205&lt;=PERALTE!$Z$16,(-6/(PERALTE!$X$16-PERALTE!$Z$16)*(RASANTE!F205-PERALTE!$Z$16)-2),IF(RASANTE!F205&lt;=PERALTE!$AB$16,-2))))),IF(AND(AH!$H$18="Derecha",RASANTE!F205&lt;=PERALTE!$AB$16),IF(RASANTE!F205&lt;=PERALTE!$Q$16,-2,IF(RASANTE!F205&lt;=PERALTE!$U$16,(10/(PERALTE!$U$16-PERALTE!$Q$16)*(RASANTE!F205-PERALTE!$Q$16)-2),IF(RASANTE!F205&lt;=PERALTE!$X$16,8,IF(RASANTE!F205&lt;=PERALTE!$AB$16,(10/(PERALTE!$X$16-PERALTE!$AB$16)*(RASANTE!F205-PERALTE!$AB$16)-2))))),IF(AND(AH!$H$20="Izquierda",RASANTE!F205&lt;=PERALTE!$AB$18),IF(RASANTE!F205&lt;=PERALTE!$S$18,-2,IF(RASANTE!F205&lt;=PERALTE!$U$18,(-6/(PERALTE!$U$18-PERALTE!$S$18)*(RASANTE!F205-PERALTE!$S$18)-2),IF(RASANTE!F205&lt;=PERALTE!$X$18,-8,IF(RASANTE!F205&lt;=PERALTE!$Z$18,(-6/(PERALTE!$X$18-PERALTE!$Z$18)*(RASANTE!F205-PERALTE!$Z$18)-2),IF(RASANTE!F205&lt;=PERALTE!$AB$18,-2))))),IF(AND(AH!$H$20="Derecha",RASANTE!F205&lt;=PERALTE!$AB$18),IF(RASANTE!F205&lt;=PERALTE!$Q$18,-2,IF(RASANTE!F205&lt;=PERALTE!$U$18,(10/(PERALTE!$U$18-PERALTE!$Q$18)*(RASANTE!F205-PERALTE!$Q$18)-2),IF(RASANTE!F205&lt;=PERALTE!$X$18,8,IF(RASANTE!F205&lt;=PERALTE!$AB$18,(10/(PERALTE!$X$18-PERALTE!$AB$18)*(RASANTE!F205-PERALTE!$AB$18)-2))))),IF(AND(AH!$H$24="Izquierda",RASANTE!F205&lt;=PERALTE!$AB$22),IF(RASANTE!F205&lt;=PERALTE!$S$22,-2,IF(RASANTE!F205&lt;=PERALTE!$U$22,(-6/(PERALTE!$U$22-PERALTE!$S$22)*(RASANTE!F205-PERALTE!$S$22)-2),IF(RASANTE!F205&lt;=PERALTE!$X$22,-8,IF(RASANTE!F205&lt;=PERALTE!$Z$22,(-6/(PERALTE!$X$22-PERALTE!$Z$22)*(RASANTE!F205-PERALTE!$Z$22)-2),IF(RASANTE!F205&lt;=PERALTE!$AB$22,-2))))),IF(AND(AH!$H$24="Derecha",RASANTE!F205&lt;=PERALTE!$AB$22),IF(RASANTE!F205&lt;=PERALTE!$Q$22,-2,IF(RASANTE!F205&lt;=PERALTE!$U$22,(10/(PERALTE!$U$22-PERALTE!$Q$22)*(RASANTE!F205-PERALTE!$Q$22)-2),IF(RASANTE!F205&lt;=PERALTE!$X$22,8,IF(RASANTE!F205&lt;=PERALTE!$AB$22,(10/(PERALTE!$X$22-PERALTE!$AB$22)*(RASANTE!F205-PERALTE!$AB$22)-2))))),IF(AND(AH!#REF!="Izquierda",RASANTE!F205&lt;=PERALTE!#REF!),IF(RASANTE!F205&lt;=PERALTE!#REF!,-2,IF(RASANTE!F205&lt;=PERALTE!#REF!,(-6/(PERALTE!#REF!-PERALTE!#REF!)*(RASANTE!F205-PERALTE!#REF!)-2),IF(RASANTE!F205&lt;=PERALTE!#REF!,-8,IF(RASANTE!F205&lt;=PERALTE!#REF!,(-6/(PERALTE!#REF!-PERALTE!#REF!)*(RASANTE!F205-PERALTE!#REF!)-2),IF(RASANTE!F205&lt;=PERALTE!#REF!,-2))))),IF(AND(AH!#REF!="Derecha",RASANTE!F205&lt;=PERALTE!#REF!),IF(RASANTE!F205&lt;=PERALTE!#REF!,-2,IF(RASANTE!F205&lt;=PERALTE!#REF!,(10/(PERALTE!#REF!-PERALTE!#REF!)*(RASANTE!F205-PERALTE!#REF!)-2),IF(RASANTE!F205&lt;=PERALTE!#REF!,8,IF(RASANTE!F205&lt;=PERALTE!#REF!,(10/(PERALTE!#REF!-PERALTE!#REF!)*(RASANTE!F205-PERALTE!#REF!)-2))))),IF(AND(AH!#REF!="Izquierda",RASANTE!F205&lt;=PERALTE!$AB$26),IF(RASANTE!F205&lt;=PERALTE!$S$26,-2,IF(RASANTE!F205&lt;=PERALTE!$U$26,(-6/(PERALTE!$U$26-PERALTE!$S$26)*(RASANTE!F205-PERALTE!$S$26)-2),IF(RASANTE!F205&lt;=PERALTE!$X$26,-8,IF(RASANTE!F205&lt;=PERALTE!$Z$26,(-6/(PERALTE!$X$26-PERALTE!$Z$26)*(RASANTE!F205-PERALTE!$Z$26)-2),IF(RASANTE!F205&lt;=PERALTE!$AB$26,-2))))),IF(AND(AH!#REF!="Derecha",RASANTE!F205&lt;=PERALTE!$AB$26),IF(RASANTE!F205&lt;=PERALTE!$Q$26,-2,IF(RASANTE!F205&lt;=PERALTE!$U$26,(10/(PERALTE!$U$26-PERALTE!$Q$26)*(RASANTE!F205-PERALTE!$Q$26)-2),IF(RASANTE!F205&lt;=PERALTE!$X$26,8,IF(RASANTE!F205&lt;=PERALTE!$AB$26,(10/(PERALTE!$X$26-PERALTE!$AB$26)*(RASANTE!F205-PERALTE!$AB$26)-2))))),IF(F205&lt;=PERALTE!#REF!,-2,"Abscisa fuera de la vía")))))))))))))))))))))</f>
        <v>-2</v>
      </c>
      <c r="I291" s="28">
        <f>+IF(AND(AH!$H$8="Derecha",RASANTE!F156&lt;=PERALTE!$AB$6),IF(RASANTE!F156&lt;=PERALTE!$S$6,-2,IF(RASANTE!F156&lt;=PERALTE!$U$6,(-6/(PERALTE!$U$6-PERALTE!$S$6)*(RASANTE!F156-PERALTE!$S$6)-2),IF(RASANTE!F156&lt;=PERALTE!$X$6,-8,IF(RASANTE!F156&lt;=PERALTE!$Z$6,(-6/(PERALTE!$X$6-PERALTE!$Z$6)*(RASANTE!F156-PERALTE!$Z$6)-2),IF(RASANTE!F156&lt;=PERALTE!$AB$6,-2))))),IF(AND(AH!$H$8="Izquierda",RASANTE!F156&lt;=PERALTE!$AB$6),IF(RASANTE!F156&lt;=PERALTE!$Q$6,-2,IF(RASANTE!F156&lt;=PERALTE!$U$6,(10/(PERALTE!$U$6-PERALTE!$Q$6)*(RASANTE!F156-PERALTE!$Q$6)-2),IF(RASANTE!F156&lt;=PERALTE!$X$6,8,IF(RASANTE!F156&lt;=PERALTE!$AB$6,(10/(PERALTE!$X$6-PERALTE!$AB$6)*(RASANTE!F156-PERALTE!$AB$6)-2))))),IF(AND(AH!$H$10="Derecha",RASANTE!F156&lt;=PERALTE!$AB$8),IF(RASANTE!F156&lt;=PERALTE!$S$8,-2,IF(RASANTE!F156&lt;=PERALTE!$U$8,(-6/(PERALTE!$U$8-PERALTE!$S$8)*(RASANTE!F156-PERALTE!$S$8)-2),IF(RASANTE!F156&lt;=PERALTE!$X$8,-8,IF(RASANTE!F156&lt;=PERALTE!$Z$8,(-6/(PERALTE!$X$8-PERALTE!$Z$8)*(RASANTE!F156-PERALTE!$Z$8)-2),IF(RASANTE!F156&lt;=PERALTE!$AB$8,-2))))),IF(AND(AH!$H$10="Izquierda",RASANTE!F156&lt;=PERALTE!$AB$8),IF(RASANTE!F156&lt;=PERALTE!$Q$8,-2,IF(RASANTE!F156&lt;=PERALTE!$U$8,(10/(PERALTE!$U$8-PERALTE!$Q$8)*(RASANTE!F156-PERALTE!$Q$8)-2),IF(RASANTE!F156&lt;=PERALTE!$X$8,8,IF(RASANTE!F156&lt;=PERALTE!$AB$8,(10/(PERALTE!$X$8-PERALTE!$AB$8)*(RASANTE!F156-PERALTE!$AB$8)-2))))),IF(AND(AH!$H$12="Derecha",RASANTE!F156&lt;=PERALTE!$AB$10),IF(RASANTE!F156&lt;=PERALTE!$S$10,-2,IF(RASANTE!F156&lt;=PERALTE!$U$10,(-6/(PERALTE!$U$10-PERALTE!$S$10)*(RASANTE!F156-PERALTE!$S$10)-2),IF(RASANTE!F156&lt;=PERALTE!$X$10,-8,IF(RASANTE!F156&lt;=PERALTE!$Z$10,(-6/(PERALTE!$X$10-PERALTE!$Z$10)*(RASANTE!F156-PERALTE!$Z$10)-2),IF(RASANTE!F156&lt;=PERALTE!$AB$10,-2))))),IF(AND(AH!$H$12="Izquierda",RASANTE!F156&lt;=PERALTE!$AB$10),IF(RASANTE!F156&lt;=PERALTE!$Q$10,-2,IF(RASANTE!F156&lt;=PERALTE!$U$10,(10/(PERALTE!$U$10-PERALTE!$Q$10)*(RASANTE!F156-PERALTE!$Q$10)-2),IF(RASANTE!F156&lt;=PERALTE!$X$10,8,IF(RASANTE!F156&lt;=PERALTE!$AB$10,(10/(PERALTE!$X$10-PERALTE!$AB$10)*(RASANTE!F156-PERALTE!$AB$10)-2))))),IF(AND(AH!$H$14="Derecha",RASANTE!F156&lt;=PERALTE!$AB$12),IF(RASANTE!F156&lt;=PERALTE!$S$12,-2,IF(RASANTE!F156&lt;=PERALTE!$U$12,(-6/(PERALTE!$U$12-PERALTE!$S$12)*(RASANTE!F156-PERALTE!$S$12)-2),IF(RASANTE!F156&lt;=PERALTE!$X$12,-8,IF(RASANTE!F156&lt;=PERALTE!$Z$12,(-6/(PERALTE!$X$12-PERALTE!$Z$12)*(RASANTE!F156-PERALTE!$Z$12)-2),IF(RASANTE!F156&lt;=PERALTE!$AB$12,-2))))),IF(AND(AH!$H$14="Izquierda",RASANTE!F156&lt;=PERALTE!$AB$12),IF(RASANTE!F156&lt;=PERALTE!$Q$12,-2,IF(RASANTE!F156&lt;=PERALTE!$U$12,(10/(PERALTE!$U$12-PERALTE!$Q$12)*(RASANTE!F156-PERALTE!$Q$12)-2),IF(RASANTE!F156&lt;=PERALTE!$X$12,8,IF(RASANTE!F156&lt;=PERALTE!$AB$12,(10/(PERALTE!$X$12-PERALTE!$AB$12)*(RASANTE!F156-PERALTE!$AB$12)-2))))),IF(AND(AH!$H$16="Derecha",RASANTE!F156&lt;=PERALTE!$AB$14),IF(RASANTE!F156&lt;=PERALTE!$S$14,-2,IF(RASANTE!F156&lt;=PERALTE!$U$14,(-6/(PERALTE!$U$14-PERALTE!$S$14)*(RASANTE!F156-PERALTE!$S$14)-2),IF(RASANTE!F156&lt;=PERALTE!$X$14,-8,IF(RASANTE!F156&lt;=PERALTE!$Z$14,(-6/(PERALTE!$X$14-PERALTE!$Z$14)*(RASANTE!F156-PERALTE!$Z$14)-2),IF(RASANTE!F156&lt;=PERALTE!$AB$14,-2))))),IF(AND(AH!$H$16="Izquierda",RASANTE!F156&lt;=PERALTE!$AB$14),IF(RASANTE!F156&lt;=PERALTE!$Q$14,-2,IF(RASANTE!F156&lt;=PERALTE!$U$14,(10/(PERALTE!$U$14-PERALTE!$Q$14)*(RASANTE!F156-PERALTE!$Q$14)-2),IF(RASANTE!F156&lt;=PERALTE!$X$14,8,IF(RASANTE!F156&lt;=PERALTE!$AB$14,(10/(PERALTE!$X$14-PERALTE!$AB$14)*(RASANTE!F156-PERALTE!$AB$14)-2))))),IF(AND(AH!$H$18="Derecha",RASANTE!F156&lt;=PERALTE!$AB$16),IF(RASANTE!F156&lt;=PERALTE!$S$16,-2,IF(RASANTE!F156&lt;=PERALTE!$U$16,(-6/(PERALTE!$U$16-PERALTE!$S$16)*(RASANTE!F156-PERALTE!$S$16)-2),IF(RASANTE!F156&lt;=PERALTE!$X$16,-8,IF(RASANTE!F156&lt;=PERALTE!$Z$16,(-6/(PERALTE!$X$16-PERALTE!$Z$16)*(RASANTE!F156-PERALTE!$Z$16)-2),IF(RASANTE!F156&lt;=PERALTE!$AB$16,-2))))),IF(AND(AH!$H$18="Izquierda",RASANTE!F156&lt;=PERALTE!$AB$16),IF(RASANTE!F156&lt;=PERALTE!$Q$16,-2,IF(RASANTE!F156&lt;=PERALTE!$U$16,(10/(PERALTE!$U$16-PERALTE!$Q$16)*(RASANTE!F156-PERALTE!$Q$16)-2),IF(RASANTE!F156&lt;=PERALTE!$X$16,8,IF(RASANTE!F156&lt;=PERALTE!$AB$16,(10/(PERALTE!$X$16-PERALTE!$AB$16)*(RASANTE!F156-PERALTE!$AB$16)-2))))),IF(AND(AH!$H$20="Derecha",RASANTE!F156&lt;=PERALTE!$AB$18),IF(RASANTE!F156&lt;=PERALTE!$S$18,-2,IF(RASANTE!F156&lt;=PERALTE!$U$18,(-6/(PERALTE!$U$18-PERALTE!$S$18)*(RASANTE!F156-PERALTE!$S$18)-2),IF(RASANTE!F156&lt;=PERALTE!$X$18,-8,IF(RASANTE!F156&lt;=PERALTE!$Z$18,(-6/(PERALTE!$X$18-PERALTE!$Z$18)*(RASANTE!F156-PERALTE!$Z$18)-2),IF(RASANTE!F156&lt;=PERALTE!$AB$18,-2))))),IF(AND(AH!$H$20="Izquierda",RASANTE!F156&lt;=PERALTE!$AB$18),IF(RASANTE!F156&lt;=PERALTE!$Q$18,-2,IF(RASANTE!F156&lt;=PERALTE!$U$18,(10/(PERALTE!$U$18-PERALTE!$Q$18)*(RASANTE!F156-PERALTE!$Q$18)-2),IF(RASANTE!F156&lt;=PERALTE!$X$18,8,IF(RASANTE!F156&lt;=PERALTE!$AB$18,(10/(PERALTE!$X$18-PERALTE!$AB$18)*(RASANTE!F156-PERALTE!$AB$18)-2))))),IF(AND(AH!$H$24="Derecha",RASANTE!F156&lt;=PERALTE!$AB$22),IF(RASANTE!F156&lt;=PERALTE!$S$22,-2,IF(RASANTE!F156&lt;=PERALTE!$U$22,(-6/(PERALTE!$U$22-PERALTE!$S$22)*(RASANTE!F156-PERALTE!$S$22)-2),IF(RASANTE!F156&lt;=PERALTE!$X$22,-8,IF(RASANTE!F156&lt;=PERALTE!$Z$22,(-6/(PERALTE!$X$22-PERALTE!$Z$22)*(RASANTE!F156-PERALTE!$Z$22)-2),IF(RASANTE!F156&lt;=PERALTE!$AB$22,-2))))),IF(AND(AH!$H$24="Izquierda",RASANTE!F156&lt;=PERALTE!$AB$22),IF(RASANTE!F156&lt;=PERALTE!$Q$22,-2,IF(RASANTE!F156&lt;=PERALTE!$U$22,(10/(PERALTE!$U$22-PERALTE!$Q$22)*(RASANTE!F156-PERALTE!$Q$22)-2),IF(RASANTE!F156&lt;=PERALTE!$X$22,8,IF(RASANTE!F156&lt;=PERALTE!$AB$22,(10/(PERALTE!$X$22-PERALTE!$AB$22)*(RASANTE!F156-PERALTE!$AB$22)-2))))),IF(AND(AH!#REF!="Derecha",RASANTE!F156&lt;=PERALTE!#REF!),IF(RASANTE!F156&lt;=PERALTE!#REF!,-2,IF(RASANTE!F156&lt;=PERALTE!#REF!,(-6/(PERALTE!#REF!-PERALTE!#REF!)*(RASANTE!F156-PERALTE!#REF!)-2),IF(RASANTE!F156&lt;=PERALTE!#REF!,-8,IF(RASANTE!F156&lt;=PERALTE!#REF!,(-6/(PERALTE!#REF!-PERALTE!#REF!)*(RASANTE!F156-PERALTE!#REF!)-2),IF(RASANTE!F156&lt;=PERALTE!#REF!,-2))))),IF(AND(AH!#REF!="Izquierda",RASANTE!F156&lt;=PERALTE!#REF!),IF(RASANTE!F156&lt;=PERALTE!#REF!,-2,IF(RASANTE!F156&lt;=PERALTE!#REF!,(10/(PERALTE!#REF!-PERALTE!#REF!)*(RASANTE!F156-PERALTE!#REF!)-2),IF(RASANTE!F156&lt;=PERALTE!#REF!,8,IF(RASANTE!F156&lt;=PERALTE!#REF!,(10/(PERALTE!#REF!-PERALTE!#REF!)*(RASANTE!F156-PERALTE!#REF!)-2))))),IF(AND(AH!#REF!="Derecha",RASANTE!F156&lt;=PERALTE!$AB$26),IF(RASANTE!F156&lt;=PERALTE!$S$26,-2,IF(RASANTE!F156&lt;=PERALTE!$U$26,(-6/(PERALTE!$U$26-PERALTE!$S$26)*(RASANTE!F156-PERALTE!$S$26)-2),IF(RASANTE!F156&lt;=PERALTE!$X$26,-8,IF(RASANTE!F156&lt;=PERALTE!$Z$26,(-6/(PERALTE!$X$26-PERALTE!$Z$26)*(RASANTE!F156-PERALTE!$Z$26)-2),IF(RASANTE!F156&lt;=PERALTE!$AB$26,-2))))),IF(AND(AH!#REF!="Izquierda",RASANTE!F156&lt;=PERALTE!$AB$26),IF(RASANTE!F156&lt;=PERALTE!$Q$26,-2,IF(RASANTE!F156&lt;=PERALTE!$U$26,(10/(PERALTE!$U$26-PERALTE!$Q$26)*(RASANTE!F156-PERALTE!$Q$26)-2),IF(RASANTE!F156&lt;=PERALTE!$X$26,8,IF(RASANTE!F156&lt;=PERALTE!$AB$26,(10/(PERALTE!$X$26-PERALTE!$AB$26)*(RASANTE!F156-PERALTE!$AB$26)-2))))),IF(F156&lt;=PERALTE!#REF!,-2,"Abscisa fuera de la vía")))))))))))))))))))))</f>
        <v>-2</v>
      </c>
      <c r="J291" s="28">
        <f t="shared" si="13"/>
        <v>1645.9137284648978</v>
      </c>
      <c r="K291" s="28">
        <f>+IF(AND(AV!$S$6&lt;F291,F291&lt;=AV!$T$6),AV!$P$6*((AV!$S$6-RASANTE!F291)/(AV!$N$6))^2,IF(AND(AV!$T$6&lt;RASANTE!F291,F291&lt;AV!$U$6),AV!$P$6*((AV!$U$6-RASANTE!F291)/(AV!$O$6))^2,IF(AND(AV!$S$8&lt;F291,F291&lt;=AV!$T$8),AV!$P$8*((AV!$S$8-RASANTE!F291)/(AV!$N$8))^2,IF(AND(AV!$T$8&lt;RASANTE!F291,F291&lt;AV!$U$8),AV!$P$8*((AV!$U$8-RASANTE!F291)/(AV!$O$8))^2,IF(AND(AV!$S$10&lt;F291,F291&lt;=AV!$T$10),AV!$P$10*((AV!$S$10-RASANTE!F291)/(AV!$N$10))^2,IF(AND(AV!$T$10&lt;RASANTE!F291,F291&lt;AV!$U$10),AV!$P$10*((AV!$U$10-RASANTE!F291)/(AV!$O$10))^2,IF(AND(AV!$S$12&lt;F291,F291&lt;=AV!$T$12),AV!$P$12*((AV!$S$12-RASANTE!F291)/(AV!$N$12))^2,IF(AND(AV!$T$12&lt;RASANTE!F291,F291&lt;AV!$U$12),AV!$P$12*((AV!$U$12-RASANTE!F291)/(AV!$O$12))^2,IF(AND(AV!$S$14&lt;F291,F291&lt;=AV!$T$14),AV!$P$14*((AV!$S$14-RASANTE!F291)/(AV!$N$14))^2,IF(AND(AV!$T$14&lt;RASANTE!F291,F291&lt;AV!$U$14),AV!$P$14*((AV!$U$14-RASANTE!F291)/(AV!$O$14))^2,IF(AND(AV!$S$16&lt;F291,F291&lt;=AV!$T$16),AV!$P$16*((AV!$S$16-RASANTE!F291)/(AV!$N$16))^2,IF(AND(AV!$T$16&lt;RASANTE!F291,F291&lt;AV!$U$16),AV!$P$16*((AV!$U$16-RASANTE!F291)/(AV!$O$16))^2,IF(AND(AV!$S$18&lt;F291,F291&lt;=AV!$T$18),AV!$P$18*((AV!$S$18-RASANTE!F291)/(AV!$N$18))^2,IF(AND(AV!$T$18&lt;RASANTE!F291,F291&lt;AV!$U$18),AV!$P$18*((AV!$U$18-RASANTE!F291)/(AV!$O$18))^2,IF(AND(AV!$S$20&lt;F291,F291&lt;=AV!$T$20),AV!$P$20*((AV!$S$20-RASANTE!F291)/(AV!$N$20))^2,IF(AND(AV!$T$20&lt;RASANTE!F291,F291&lt;AV!$U$20),AV!$P$20*((AV!$U$20-RASANTE!F291)/(AV!$O$20))^2,IF(AND(AV!$S$22&lt;F291,F291&lt;=AV!$T$22),AV!$P$22*((AV!$S$22-RASANTE!F291)/(AV!$N$22))^2,IF(AND(AV!$T$22&lt;RASANTE!F291,F291&lt;AV!$U$22),AV!$P$22*((AV!$U$22-RASANTE!F291)/(AV!$O$22))^2,IF(AND(AV!$S$24&lt;F291,F291&lt;=AV!$T$24),AV!$P$24*((AV!$S$24-RASANTE!F291)/(AV!$N$24))^2,IF(AND(AV!$T$24&lt;RASANTE!F291,F291&lt;AV!$U$24),AV!$P$24*((AV!$U$24-RASANTE!F291)/(AV!$O$24))^2,0))))))))))))))))))))</f>
        <v>0</v>
      </c>
      <c r="L291" s="28">
        <f>+M291+H291%*PERALTE!$C$32</f>
        <v>1645.8437284648978</v>
      </c>
      <c r="M291" s="28">
        <f t="shared" si="15"/>
        <v>1645.9137284648978</v>
      </c>
      <c r="N291" s="28">
        <f>+M291+I291%*PERALTE!$C$32</f>
        <v>1645.8437284648978</v>
      </c>
      <c r="O291" s="92"/>
      <c r="P291" s="84"/>
      <c r="Q291" s="84"/>
      <c r="R291" s="84"/>
      <c r="S291" s="84"/>
      <c r="T291" s="84"/>
      <c r="U291" s="84"/>
      <c r="V291" s="84"/>
      <c r="W291" s="84"/>
      <c r="X291" s="84"/>
      <c r="Y291" s="84"/>
    </row>
    <row r="292" spans="1:25" ht="15.75" customHeight="1" x14ac:dyDescent="0.2">
      <c r="A292" s="348"/>
      <c r="B292" s="107"/>
      <c r="C292" s="107"/>
      <c r="D292" s="107"/>
      <c r="E292" s="91"/>
      <c r="F292" s="34">
        <v>1760</v>
      </c>
      <c r="G292" s="88">
        <v>5.4480000000000004</v>
      </c>
      <c r="H292" s="28">
        <f>+IF(AND(AH!$H$8="Izquierda",RASANTE!F206&lt;=PERALTE!$AB$6),IF(RASANTE!F206&lt;=PERALTE!$S$6,-2,IF(RASANTE!F206&lt;=PERALTE!$U$6,(-6/(PERALTE!$U$6-PERALTE!$S$6)*(RASANTE!F206-PERALTE!$S$6)-2),IF(RASANTE!F206&lt;=PERALTE!$X$6,-8,IF(RASANTE!F206&lt;=PERALTE!$Z$6,(-6/(PERALTE!$X$6-PERALTE!$Z$6)*(RASANTE!F206-PERALTE!$Z$6)-2),IF(RASANTE!F206&lt;=PERALTE!$AB$6,-2))))),IF(AND(AH!$H$8="Derecha",RASANTE!F206&lt;=PERALTE!$AB$6),IF(RASANTE!F206&lt;=PERALTE!$Q$6,-2,IF(RASANTE!F206&lt;=PERALTE!$U$6,(10/(PERALTE!$U$6-PERALTE!$Q$6)*(RASANTE!F206-PERALTE!$Q$6)-2),IF(RASANTE!F206&lt;=PERALTE!$X$6,8,IF(RASANTE!F206&lt;=PERALTE!$AB$6,(10/(PERALTE!$X$6-PERALTE!$AB$6)*(RASANTE!F206-PERALTE!$AB$6)-2))))),IF(AND(AH!$H$10="Izquierda",RASANTE!F206&lt;=PERALTE!$AB$8),IF(RASANTE!F206&lt;=PERALTE!$S$8,-2,IF(RASANTE!F206&lt;=PERALTE!$U$8,(-6/(PERALTE!$U$8-PERALTE!$S$8)*(RASANTE!F206-PERALTE!$S$8)-2),IF(RASANTE!F206&lt;=PERALTE!$X$8,-8,IF(RASANTE!F206&lt;=PERALTE!$Z$8,(-6/(PERALTE!$X$8-PERALTE!$Z$8)*(RASANTE!F206-PERALTE!$Z$8)-2),IF(RASANTE!F206&lt;=PERALTE!$AB$8,-2))))),IF(AND(AH!$H$10="Derecha",RASANTE!F206&lt;=PERALTE!$AB$8),IF(RASANTE!F206&lt;=PERALTE!$Q$8,-2,IF(RASANTE!F206&lt;=PERALTE!$U$8,(10/(PERALTE!$U$8-PERALTE!$Q$8)*(RASANTE!F206-PERALTE!$Q$8)-2),IF(RASANTE!F206&lt;=PERALTE!$X$8,8,IF(RASANTE!F206&lt;=PERALTE!$AB$8,(10/(PERALTE!$X$8-PERALTE!$AB$8)*(RASANTE!F206-PERALTE!$AB$8)-2))))),IF(AND(AH!$H$12="Izquierda",RASANTE!F206&lt;=PERALTE!$AB$10),IF(RASANTE!F206&lt;=PERALTE!$S$10,-2,IF(RASANTE!F206&lt;=PERALTE!$U$10,(-6/(PERALTE!$U$10-PERALTE!$S$10)*(RASANTE!F206-PERALTE!$S$10)-2),IF(RASANTE!F206&lt;=PERALTE!$X$10,-8,IF(RASANTE!F206&lt;=PERALTE!$Z$10,(-6/(PERALTE!$X$10-PERALTE!$Z$10)*(RASANTE!F206-PERALTE!$Z$10)-2),IF(RASANTE!F206&lt;=PERALTE!$AB$10,-2))))),IF(AND(AH!$H$12="Derecha",RASANTE!F206&lt;=PERALTE!$AB$10),IF(RASANTE!F206&lt;=PERALTE!$Q$10,-2,IF(RASANTE!F206&lt;=PERALTE!$U$10,(10/(PERALTE!$U$10-PERALTE!$Q$10)*(RASANTE!F206-PERALTE!$Q$10)-2),IF(RASANTE!F206&lt;=PERALTE!$X$10,8,IF(RASANTE!F206&lt;=PERALTE!$AB$10,(10/(PERALTE!$X$10-PERALTE!$AB$10)*(RASANTE!F206-PERALTE!$AB$10)-2))))),IF(AND(AH!$H$14="Izquierda",RASANTE!F206&lt;=PERALTE!$AB$12),IF(RASANTE!F206&lt;=PERALTE!$S$12,-2,IF(RASANTE!F206&lt;=PERALTE!$U$12,(-6/(PERALTE!$U$12-PERALTE!$S$12)*(RASANTE!F206-PERALTE!$S$12)-2),IF(RASANTE!F206&lt;=PERALTE!$X$12,-8,IF(RASANTE!F206&lt;=PERALTE!$Z$12,(-6/(PERALTE!$X$12-PERALTE!$Z$12)*(RASANTE!F206-PERALTE!$Z$12)-2),IF(RASANTE!F206&lt;=PERALTE!$AB$12,-2))))),IF(AND(AH!$H$14="Derecha",RASANTE!F206&lt;=PERALTE!$AB$12),IF(RASANTE!F206&lt;=PERALTE!$Q$12,-2,IF(RASANTE!F206&lt;=PERALTE!$U$12,(10/(PERALTE!$U$12-PERALTE!$Q$12)*(RASANTE!F206-PERALTE!$Q$12)-2),IF(RASANTE!F206&lt;=PERALTE!$X$12,8,IF(RASANTE!F206&lt;=PERALTE!$AB$12,(10/(PERALTE!$X$12-PERALTE!$AB$12)*(RASANTE!F206-PERALTE!$AB$12)-2))))),IF(AND(AH!$H$16="Izquierda",RASANTE!F206&lt;=PERALTE!$AB$14),IF(RASANTE!F206&lt;=PERALTE!$S$14,-2,IF(RASANTE!F206&lt;=PERALTE!$U$14,(-6/(PERALTE!$U$14-PERALTE!$S$14)*(RASANTE!F206-PERALTE!$S$14)-2),IF(RASANTE!F206&lt;=PERALTE!$X$14,-8,IF(RASANTE!F206&lt;=PERALTE!$Z$14,(-6/(PERALTE!$X$14-PERALTE!$Z$14)*(RASANTE!F206-PERALTE!$Z$14)-2),IF(RASANTE!F206&lt;=PERALTE!$AB$14,-2))))),IF(AND(AH!$H$16="Derecha",RASANTE!F206&lt;=PERALTE!$AB$14),IF(RASANTE!F206&lt;=PERALTE!$Q$14,-2,IF(RASANTE!F206&lt;=PERALTE!$U$14,(10/(PERALTE!$U$14-PERALTE!$Q$14)*(RASANTE!F206-PERALTE!$Q$14)-2),IF(RASANTE!F206&lt;=PERALTE!$X$14,8,IF(RASANTE!F206&lt;=PERALTE!$AB$14,(10/(PERALTE!$X$14-PERALTE!$AB$14)*(RASANTE!F206-PERALTE!$AB$14)-2))))),IF(AND(AH!$H$18="Izquierda",RASANTE!F206&lt;=PERALTE!$AB$16),IF(RASANTE!F206&lt;=PERALTE!$S$16,-2,IF(RASANTE!F206&lt;=PERALTE!$U$16,(-6/(PERALTE!$U$16-PERALTE!$S$16)*(RASANTE!F206-PERALTE!$S$16)-2),IF(RASANTE!F206&lt;=PERALTE!$X$16,-8,IF(RASANTE!F206&lt;=PERALTE!$Z$16,(-6/(PERALTE!$X$16-PERALTE!$Z$16)*(RASANTE!F206-PERALTE!$Z$16)-2),IF(RASANTE!F206&lt;=PERALTE!$AB$16,-2))))),IF(AND(AH!$H$18="Derecha",RASANTE!F206&lt;=PERALTE!$AB$16),IF(RASANTE!F206&lt;=PERALTE!$Q$16,-2,IF(RASANTE!F206&lt;=PERALTE!$U$16,(10/(PERALTE!$U$16-PERALTE!$Q$16)*(RASANTE!F206-PERALTE!$Q$16)-2),IF(RASANTE!F206&lt;=PERALTE!$X$16,8,IF(RASANTE!F206&lt;=PERALTE!$AB$16,(10/(PERALTE!$X$16-PERALTE!$AB$16)*(RASANTE!F206-PERALTE!$AB$16)-2))))),IF(AND(AH!$H$20="Izquierda",RASANTE!F206&lt;=PERALTE!$AB$18),IF(RASANTE!F206&lt;=PERALTE!$S$18,-2,IF(RASANTE!F206&lt;=PERALTE!$U$18,(-6/(PERALTE!$U$18-PERALTE!$S$18)*(RASANTE!F206-PERALTE!$S$18)-2),IF(RASANTE!F206&lt;=PERALTE!$X$18,-8,IF(RASANTE!F206&lt;=PERALTE!$Z$18,(-6/(PERALTE!$X$18-PERALTE!$Z$18)*(RASANTE!F206-PERALTE!$Z$18)-2),IF(RASANTE!F206&lt;=PERALTE!$AB$18,-2))))),IF(AND(AH!$H$20="Derecha",RASANTE!F206&lt;=PERALTE!$AB$18),IF(RASANTE!F206&lt;=PERALTE!$Q$18,-2,IF(RASANTE!F206&lt;=PERALTE!$U$18,(10/(PERALTE!$U$18-PERALTE!$Q$18)*(RASANTE!F206-PERALTE!$Q$18)-2),IF(RASANTE!F206&lt;=PERALTE!$X$18,8,IF(RASANTE!F206&lt;=PERALTE!$AB$18,(10/(PERALTE!$X$18-PERALTE!$AB$18)*(RASANTE!F206-PERALTE!$AB$18)-2))))),IF(AND(AH!$H$24="Izquierda",RASANTE!F206&lt;=PERALTE!$AB$22),IF(RASANTE!F206&lt;=PERALTE!$S$22,-2,IF(RASANTE!F206&lt;=PERALTE!$U$22,(-6/(PERALTE!$U$22-PERALTE!$S$22)*(RASANTE!F206-PERALTE!$S$22)-2),IF(RASANTE!F206&lt;=PERALTE!$X$22,-8,IF(RASANTE!F206&lt;=PERALTE!$Z$22,(-6/(PERALTE!$X$22-PERALTE!$Z$22)*(RASANTE!F206-PERALTE!$Z$22)-2),IF(RASANTE!F206&lt;=PERALTE!$AB$22,-2))))),IF(AND(AH!$H$24="Derecha",RASANTE!F206&lt;=PERALTE!$AB$22),IF(RASANTE!F206&lt;=PERALTE!$Q$22,-2,IF(RASANTE!F206&lt;=PERALTE!$U$22,(10/(PERALTE!$U$22-PERALTE!$Q$22)*(RASANTE!F206-PERALTE!$Q$22)-2),IF(RASANTE!F206&lt;=PERALTE!$X$22,8,IF(RASANTE!F206&lt;=PERALTE!$AB$22,(10/(PERALTE!$X$22-PERALTE!$AB$22)*(RASANTE!F206-PERALTE!$AB$22)-2))))),IF(AND(AH!#REF!="Izquierda",RASANTE!F206&lt;=PERALTE!#REF!),IF(RASANTE!F206&lt;=PERALTE!#REF!,-2,IF(RASANTE!F206&lt;=PERALTE!#REF!,(-6/(PERALTE!#REF!-PERALTE!#REF!)*(RASANTE!F206-PERALTE!#REF!)-2),IF(RASANTE!F206&lt;=PERALTE!#REF!,-8,IF(RASANTE!F206&lt;=PERALTE!#REF!,(-6/(PERALTE!#REF!-PERALTE!#REF!)*(RASANTE!F206-PERALTE!#REF!)-2),IF(RASANTE!F206&lt;=PERALTE!#REF!,-2))))),IF(AND(AH!#REF!="Derecha",RASANTE!F206&lt;=PERALTE!#REF!),IF(RASANTE!F206&lt;=PERALTE!#REF!,-2,IF(RASANTE!F206&lt;=PERALTE!#REF!,(10/(PERALTE!#REF!-PERALTE!#REF!)*(RASANTE!F206-PERALTE!#REF!)-2),IF(RASANTE!F206&lt;=PERALTE!#REF!,8,IF(RASANTE!F206&lt;=PERALTE!#REF!,(10/(PERALTE!#REF!-PERALTE!#REF!)*(RASANTE!F206-PERALTE!#REF!)-2))))),IF(AND(AH!#REF!="Izquierda",RASANTE!F206&lt;=PERALTE!$AB$26),IF(RASANTE!F206&lt;=PERALTE!$S$26,-2,IF(RASANTE!F206&lt;=PERALTE!$U$26,(-6/(PERALTE!$U$26-PERALTE!$S$26)*(RASANTE!F206-PERALTE!$S$26)-2),IF(RASANTE!F206&lt;=PERALTE!$X$26,-8,IF(RASANTE!F206&lt;=PERALTE!$Z$26,(-6/(PERALTE!$X$26-PERALTE!$Z$26)*(RASANTE!F206-PERALTE!$Z$26)-2),IF(RASANTE!F206&lt;=PERALTE!$AB$26,-2))))),IF(AND(AH!#REF!="Derecha",RASANTE!F206&lt;=PERALTE!$AB$26),IF(RASANTE!F206&lt;=PERALTE!$Q$26,-2,IF(RASANTE!F206&lt;=PERALTE!$U$26,(10/(PERALTE!$U$26-PERALTE!$Q$26)*(RASANTE!F206-PERALTE!$Q$26)-2),IF(RASANTE!F206&lt;=PERALTE!$X$26,8,IF(RASANTE!F206&lt;=PERALTE!$AB$26,(10/(PERALTE!$X$26-PERALTE!$AB$26)*(RASANTE!F206-PERALTE!$AB$26)-2))))),IF(F206&lt;=PERALTE!#REF!,-2,"Abscisa fuera de la vía")))))))))))))))))))))</f>
        <v>-2</v>
      </c>
      <c r="I292" s="28">
        <f>+IF(AND(AH!$H$8="Derecha",RASANTE!F157&lt;=PERALTE!$AB$6),IF(RASANTE!F157&lt;=PERALTE!$S$6,-2,IF(RASANTE!F157&lt;=PERALTE!$U$6,(-6/(PERALTE!$U$6-PERALTE!$S$6)*(RASANTE!F157-PERALTE!$S$6)-2),IF(RASANTE!F157&lt;=PERALTE!$X$6,-8,IF(RASANTE!F157&lt;=PERALTE!$Z$6,(-6/(PERALTE!$X$6-PERALTE!$Z$6)*(RASANTE!F157-PERALTE!$Z$6)-2),IF(RASANTE!F157&lt;=PERALTE!$AB$6,-2))))),IF(AND(AH!$H$8="Izquierda",RASANTE!F157&lt;=PERALTE!$AB$6),IF(RASANTE!F157&lt;=PERALTE!$Q$6,-2,IF(RASANTE!F157&lt;=PERALTE!$U$6,(10/(PERALTE!$U$6-PERALTE!$Q$6)*(RASANTE!F157-PERALTE!$Q$6)-2),IF(RASANTE!F157&lt;=PERALTE!$X$6,8,IF(RASANTE!F157&lt;=PERALTE!$AB$6,(10/(PERALTE!$X$6-PERALTE!$AB$6)*(RASANTE!F157-PERALTE!$AB$6)-2))))),IF(AND(AH!$H$10="Derecha",RASANTE!F157&lt;=PERALTE!$AB$8),IF(RASANTE!F157&lt;=PERALTE!$S$8,-2,IF(RASANTE!F157&lt;=PERALTE!$U$8,(-6/(PERALTE!$U$8-PERALTE!$S$8)*(RASANTE!F157-PERALTE!$S$8)-2),IF(RASANTE!F157&lt;=PERALTE!$X$8,-8,IF(RASANTE!F157&lt;=PERALTE!$Z$8,(-6/(PERALTE!$X$8-PERALTE!$Z$8)*(RASANTE!F157-PERALTE!$Z$8)-2),IF(RASANTE!F157&lt;=PERALTE!$AB$8,-2))))),IF(AND(AH!$H$10="Izquierda",RASANTE!F157&lt;=PERALTE!$AB$8),IF(RASANTE!F157&lt;=PERALTE!$Q$8,-2,IF(RASANTE!F157&lt;=PERALTE!$U$8,(10/(PERALTE!$U$8-PERALTE!$Q$8)*(RASANTE!F157-PERALTE!$Q$8)-2),IF(RASANTE!F157&lt;=PERALTE!$X$8,8,IF(RASANTE!F157&lt;=PERALTE!$AB$8,(10/(PERALTE!$X$8-PERALTE!$AB$8)*(RASANTE!F157-PERALTE!$AB$8)-2))))),IF(AND(AH!$H$12="Derecha",RASANTE!F157&lt;=PERALTE!$AB$10),IF(RASANTE!F157&lt;=PERALTE!$S$10,-2,IF(RASANTE!F157&lt;=PERALTE!$U$10,(-6/(PERALTE!$U$10-PERALTE!$S$10)*(RASANTE!F157-PERALTE!$S$10)-2),IF(RASANTE!F157&lt;=PERALTE!$X$10,-8,IF(RASANTE!F157&lt;=PERALTE!$Z$10,(-6/(PERALTE!$X$10-PERALTE!$Z$10)*(RASANTE!F157-PERALTE!$Z$10)-2),IF(RASANTE!F157&lt;=PERALTE!$AB$10,-2))))),IF(AND(AH!$H$12="Izquierda",RASANTE!F157&lt;=PERALTE!$AB$10),IF(RASANTE!F157&lt;=PERALTE!$Q$10,-2,IF(RASANTE!F157&lt;=PERALTE!$U$10,(10/(PERALTE!$U$10-PERALTE!$Q$10)*(RASANTE!F157-PERALTE!$Q$10)-2),IF(RASANTE!F157&lt;=PERALTE!$X$10,8,IF(RASANTE!F157&lt;=PERALTE!$AB$10,(10/(PERALTE!$X$10-PERALTE!$AB$10)*(RASANTE!F157-PERALTE!$AB$10)-2))))),IF(AND(AH!$H$14="Derecha",RASANTE!F157&lt;=PERALTE!$AB$12),IF(RASANTE!F157&lt;=PERALTE!$S$12,-2,IF(RASANTE!F157&lt;=PERALTE!$U$12,(-6/(PERALTE!$U$12-PERALTE!$S$12)*(RASANTE!F157-PERALTE!$S$12)-2),IF(RASANTE!F157&lt;=PERALTE!$X$12,-8,IF(RASANTE!F157&lt;=PERALTE!$Z$12,(-6/(PERALTE!$X$12-PERALTE!$Z$12)*(RASANTE!F157-PERALTE!$Z$12)-2),IF(RASANTE!F157&lt;=PERALTE!$AB$12,-2))))),IF(AND(AH!$H$14="Izquierda",RASANTE!F157&lt;=PERALTE!$AB$12),IF(RASANTE!F157&lt;=PERALTE!$Q$12,-2,IF(RASANTE!F157&lt;=PERALTE!$U$12,(10/(PERALTE!$U$12-PERALTE!$Q$12)*(RASANTE!F157-PERALTE!$Q$12)-2),IF(RASANTE!F157&lt;=PERALTE!$X$12,8,IF(RASANTE!F157&lt;=PERALTE!$AB$12,(10/(PERALTE!$X$12-PERALTE!$AB$12)*(RASANTE!F157-PERALTE!$AB$12)-2))))),IF(AND(AH!$H$16="Derecha",RASANTE!F157&lt;=PERALTE!$AB$14),IF(RASANTE!F157&lt;=PERALTE!$S$14,-2,IF(RASANTE!F157&lt;=PERALTE!$U$14,(-6/(PERALTE!$U$14-PERALTE!$S$14)*(RASANTE!F157-PERALTE!$S$14)-2),IF(RASANTE!F157&lt;=PERALTE!$X$14,-8,IF(RASANTE!F157&lt;=PERALTE!$Z$14,(-6/(PERALTE!$X$14-PERALTE!$Z$14)*(RASANTE!F157-PERALTE!$Z$14)-2),IF(RASANTE!F157&lt;=PERALTE!$AB$14,-2))))),IF(AND(AH!$H$16="Izquierda",RASANTE!F157&lt;=PERALTE!$AB$14),IF(RASANTE!F157&lt;=PERALTE!$Q$14,-2,IF(RASANTE!F157&lt;=PERALTE!$U$14,(10/(PERALTE!$U$14-PERALTE!$Q$14)*(RASANTE!F157-PERALTE!$Q$14)-2),IF(RASANTE!F157&lt;=PERALTE!$X$14,8,IF(RASANTE!F157&lt;=PERALTE!$AB$14,(10/(PERALTE!$X$14-PERALTE!$AB$14)*(RASANTE!F157-PERALTE!$AB$14)-2))))),IF(AND(AH!$H$18="Derecha",RASANTE!F157&lt;=PERALTE!$AB$16),IF(RASANTE!F157&lt;=PERALTE!$S$16,-2,IF(RASANTE!F157&lt;=PERALTE!$U$16,(-6/(PERALTE!$U$16-PERALTE!$S$16)*(RASANTE!F157-PERALTE!$S$16)-2),IF(RASANTE!F157&lt;=PERALTE!$X$16,-8,IF(RASANTE!F157&lt;=PERALTE!$Z$16,(-6/(PERALTE!$X$16-PERALTE!$Z$16)*(RASANTE!F157-PERALTE!$Z$16)-2),IF(RASANTE!F157&lt;=PERALTE!$AB$16,-2))))),IF(AND(AH!$H$18="Izquierda",RASANTE!F157&lt;=PERALTE!$AB$16),IF(RASANTE!F157&lt;=PERALTE!$Q$16,-2,IF(RASANTE!F157&lt;=PERALTE!$U$16,(10/(PERALTE!$U$16-PERALTE!$Q$16)*(RASANTE!F157-PERALTE!$Q$16)-2),IF(RASANTE!F157&lt;=PERALTE!$X$16,8,IF(RASANTE!F157&lt;=PERALTE!$AB$16,(10/(PERALTE!$X$16-PERALTE!$AB$16)*(RASANTE!F157-PERALTE!$AB$16)-2))))),IF(AND(AH!$H$20="Derecha",RASANTE!F157&lt;=PERALTE!$AB$18),IF(RASANTE!F157&lt;=PERALTE!$S$18,-2,IF(RASANTE!F157&lt;=PERALTE!$U$18,(-6/(PERALTE!$U$18-PERALTE!$S$18)*(RASANTE!F157-PERALTE!$S$18)-2),IF(RASANTE!F157&lt;=PERALTE!$X$18,-8,IF(RASANTE!F157&lt;=PERALTE!$Z$18,(-6/(PERALTE!$X$18-PERALTE!$Z$18)*(RASANTE!F157-PERALTE!$Z$18)-2),IF(RASANTE!F157&lt;=PERALTE!$AB$18,-2))))),IF(AND(AH!$H$20="Izquierda",RASANTE!F157&lt;=PERALTE!$AB$18),IF(RASANTE!F157&lt;=PERALTE!$Q$18,-2,IF(RASANTE!F157&lt;=PERALTE!$U$18,(10/(PERALTE!$U$18-PERALTE!$Q$18)*(RASANTE!F157-PERALTE!$Q$18)-2),IF(RASANTE!F157&lt;=PERALTE!$X$18,8,IF(RASANTE!F157&lt;=PERALTE!$AB$18,(10/(PERALTE!$X$18-PERALTE!$AB$18)*(RASANTE!F157-PERALTE!$AB$18)-2))))),IF(AND(AH!$H$24="Derecha",RASANTE!F157&lt;=PERALTE!$AB$22),IF(RASANTE!F157&lt;=PERALTE!$S$22,-2,IF(RASANTE!F157&lt;=PERALTE!$U$22,(-6/(PERALTE!$U$22-PERALTE!$S$22)*(RASANTE!F157-PERALTE!$S$22)-2),IF(RASANTE!F157&lt;=PERALTE!$X$22,-8,IF(RASANTE!F157&lt;=PERALTE!$Z$22,(-6/(PERALTE!$X$22-PERALTE!$Z$22)*(RASANTE!F157-PERALTE!$Z$22)-2),IF(RASANTE!F157&lt;=PERALTE!$AB$22,-2))))),IF(AND(AH!$H$24="Izquierda",RASANTE!F157&lt;=PERALTE!$AB$22),IF(RASANTE!F157&lt;=PERALTE!$Q$22,-2,IF(RASANTE!F157&lt;=PERALTE!$U$22,(10/(PERALTE!$U$22-PERALTE!$Q$22)*(RASANTE!F157-PERALTE!$Q$22)-2),IF(RASANTE!F157&lt;=PERALTE!$X$22,8,IF(RASANTE!F157&lt;=PERALTE!$AB$22,(10/(PERALTE!$X$22-PERALTE!$AB$22)*(RASANTE!F157-PERALTE!$AB$22)-2))))),IF(AND(AH!#REF!="Derecha",RASANTE!F157&lt;=PERALTE!#REF!),IF(RASANTE!F157&lt;=PERALTE!#REF!,-2,IF(RASANTE!F157&lt;=PERALTE!#REF!,(-6/(PERALTE!#REF!-PERALTE!#REF!)*(RASANTE!F157-PERALTE!#REF!)-2),IF(RASANTE!F157&lt;=PERALTE!#REF!,-8,IF(RASANTE!F157&lt;=PERALTE!#REF!,(-6/(PERALTE!#REF!-PERALTE!#REF!)*(RASANTE!F157-PERALTE!#REF!)-2),IF(RASANTE!F157&lt;=PERALTE!#REF!,-2))))),IF(AND(AH!#REF!="Izquierda",RASANTE!F157&lt;=PERALTE!#REF!),IF(RASANTE!F157&lt;=PERALTE!#REF!,-2,IF(RASANTE!F157&lt;=PERALTE!#REF!,(10/(PERALTE!#REF!-PERALTE!#REF!)*(RASANTE!F157-PERALTE!#REF!)-2),IF(RASANTE!F157&lt;=PERALTE!#REF!,8,IF(RASANTE!F157&lt;=PERALTE!#REF!,(10/(PERALTE!#REF!-PERALTE!#REF!)*(RASANTE!F157-PERALTE!#REF!)-2))))),IF(AND(AH!#REF!="Derecha",RASANTE!F157&lt;=PERALTE!$AB$26),IF(RASANTE!F157&lt;=PERALTE!$S$26,-2,IF(RASANTE!F157&lt;=PERALTE!$U$26,(-6/(PERALTE!$U$26-PERALTE!$S$26)*(RASANTE!F157-PERALTE!$S$26)-2),IF(RASANTE!F157&lt;=PERALTE!$X$26,-8,IF(RASANTE!F157&lt;=PERALTE!$Z$26,(-6/(PERALTE!$X$26-PERALTE!$Z$26)*(RASANTE!F157-PERALTE!$Z$26)-2),IF(RASANTE!F157&lt;=PERALTE!$AB$26,-2))))),IF(AND(AH!#REF!="Izquierda",RASANTE!F157&lt;=PERALTE!$AB$26),IF(RASANTE!F157&lt;=PERALTE!$Q$26,-2,IF(RASANTE!F157&lt;=PERALTE!$U$26,(10/(PERALTE!$U$26-PERALTE!$Q$26)*(RASANTE!F157-PERALTE!$Q$26)-2),IF(RASANTE!F157&lt;=PERALTE!$X$26,8,IF(RASANTE!F157&lt;=PERALTE!$AB$26,(10/(PERALTE!$X$26-PERALTE!$AB$26)*(RASANTE!F157-PERALTE!$AB$26)-2))))),IF(F157&lt;=PERALTE!#REF!,-2,"Abscisa fuera de la vía")))))))))))))))))))))</f>
        <v>-2</v>
      </c>
      <c r="J292" s="28">
        <f t="shared" si="13"/>
        <v>1646.4585284648977</v>
      </c>
      <c r="K292" s="28">
        <f>+IF(AND(AV!$S$6&lt;F292,F292&lt;=AV!$T$6),AV!$P$6*((AV!$S$6-RASANTE!F292)/(AV!$N$6))^2,IF(AND(AV!$T$6&lt;RASANTE!F292,F292&lt;AV!$U$6),AV!$P$6*((AV!$U$6-RASANTE!F292)/(AV!$O$6))^2,IF(AND(AV!$S$8&lt;F292,F292&lt;=AV!$T$8),AV!$P$8*((AV!$S$8-RASANTE!F292)/(AV!$N$8))^2,IF(AND(AV!$T$8&lt;RASANTE!F292,F292&lt;AV!$U$8),AV!$P$8*((AV!$U$8-RASANTE!F292)/(AV!$O$8))^2,IF(AND(AV!$S$10&lt;F292,F292&lt;=AV!$T$10),AV!$P$10*((AV!$S$10-RASANTE!F292)/(AV!$N$10))^2,IF(AND(AV!$T$10&lt;RASANTE!F292,F292&lt;AV!$U$10),AV!$P$10*((AV!$U$10-RASANTE!F292)/(AV!$O$10))^2,IF(AND(AV!$S$12&lt;F292,F292&lt;=AV!$T$12),AV!$P$12*((AV!$S$12-RASANTE!F292)/(AV!$N$12))^2,IF(AND(AV!$T$12&lt;RASANTE!F292,F292&lt;AV!$U$12),AV!$P$12*((AV!$U$12-RASANTE!F292)/(AV!$O$12))^2,IF(AND(AV!$S$14&lt;F292,F292&lt;=AV!$T$14),AV!$P$14*((AV!$S$14-RASANTE!F292)/(AV!$N$14))^2,IF(AND(AV!$T$14&lt;RASANTE!F292,F292&lt;AV!$U$14),AV!$P$14*((AV!$U$14-RASANTE!F292)/(AV!$O$14))^2,IF(AND(AV!$S$16&lt;F292,F292&lt;=AV!$T$16),AV!$P$16*((AV!$S$16-RASANTE!F292)/(AV!$N$16))^2,IF(AND(AV!$T$16&lt;RASANTE!F292,F292&lt;AV!$U$16),AV!$P$16*((AV!$U$16-RASANTE!F292)/(AV!$O$16))^2,IF(AND(AV!$S$18&lt;F292,F292&lt;=AV!$T$18),AV!$P$18*((AV!$S$18-RASANTE!F292)/(AV!$N$18))^2,IF(AND(AV!$T$18&lt;RASANTE!F292,F292&lt;AV!$U$18),AV!$P$18*((AV!$U$18-RASANTE!F292)/(AV!$O$18))^2,IF(AND(AV!$S$20&lt;F292,F292&lt;=AV!$T$20),AV!$P$20*((AV!$S$20-RASANTE!F292)/(AV!$N$20))^2,IF(AND(AV!$T$20&lt;RASANTE!F292,F292&lt;AV!$U$20),AV!$P$20*((AV!$U$20-RASANTE!F292)/(AV!$O$20))^2,IF(AND(AV!$S$22&lt;F292,F292&lt;=AV!$T$22),AV!$P$22*((AV!$S$22-RASANTE!F292)/(AV!$N$22))^2,IF(AND(AV!$T$22&lt;RASANTE!F292,F292&lt;AV!$U$22),AV!$P$22*((AV!$U$22-RASANTE!F292)/(AV!$O$22))^2,IF(AND(AV!$S$24&lt;F292,F292&lt;=AV!$T$24),AV!$P$24*((AV!$S$24-RASANTE!F292)/(AV!$N$24))^2,IF(AND(AV!$T$24&lt;RASANTE!F292,F292&lt;AV!$U$24),AV!$P$24*((AV!$U$24-RASANTE!F292)/(AV!$O$24))^2,0))))))))))))))))))))</f>
        <v>0</v>
      </c>
      <c r="L292" s="28">
        <f>+M292+H292%*PERALTE!$C$32</f>
        <v>1646.3885284648977</v>
      </c>
      <c r="M292" s="28">
        <f t="shared" si="15"/>
        <v>1646.4585284648977</v>
      </c>
      <c r="N292" s="28">
        <f>+M292+I292%*PERALTE!$C$32</f>
        <v>1646.3885284648977</v>
      </c>
      <c r="O292" s="92"/>
      <c r="P292" s="84"/>
      <c r="Q292" s="84"/>
      <c r="R292" s="84"/>
      <c r="S292" s="84"/>
      <c r="T292" s="84"/>
      <c r="U292" s="84"/>
      <c r="V292" s="84"/>
      <c r="W292" s="84"/>
      <c r="X292" s="84"/>
      <c r="Y292" s="84"/>
    </row>
    <row r="293" spans="1:25" ht="15.75" customHeight="1" x14ac:dyDescent="0.2">
      <c r="A293" s="322"/>
      <c r="B293" s="268"/>
      <c r="E293" s="115"/>
      <c r="F293" s="34">
        <v>1770</v>
      </c>
      <c r="G293" s="88">
        <v>5.4480000000000004</v>
      </c>
      <c r="H293" s="28">
        <f>+IF(AND(AH!$H$8="Izquierda",RASANTE!F207&lt;=PERALTE!$AB$6),IF(RASANTE!F207&lt;=PERALTE!$S$6,-2,IF(RASANTE!F207&lt;=PERALTE!$U$6,(-6/(PERALTE!$U$6-PERALTE!$S$6)*(RASANTE!F207-PERALTE!$S$6)-2),IF(RASANTE!F207&lt;=PERALTE!$X$6,-8,IF(RASANTE!F207&lt;=PERALTE!$Z$6,(-6/(PERALTE!$X$6-PERALTE!$Z$6)*(RASANTE!F207-PERALTE!$Z$6)-2),IF(RASANTE!F207&lt;=PERALTE!$AB$6,-2))))),IF(AND(AH!$H$8="Derecha",RASANTE!F207&lt;=PERALTE!$AB$6),IF(RASANTE!F207&lt;=PERALTE!$Q$6,-2,IF(RASANTE!F207&lt;=PERALTE!$U$6,(10/(PERALTE!$U$6-PERALTE!$Q$6)*(RASANTE!F207-PERALTE!$Q$6)-2),IF(RASANTE!F207&lt;=PERALTE!$X$6,8,IF(RASANTE!F207&lt;=PERALTE!$AB$6,(10/(PERALTE!$X$6-PERALTE!$AB$6)*(RASANTE!F207-PERALTE!$AB$6)-2))))),IF(AND(AH!$H$10="Izquierda",RASANTE!F207&lt;=PERALTE!$AB$8),IF(RASANTE!F207&lt;=PERALTE!$S$8,-2,IF(RASANTE!F207&lt;=PERALTE!$U$8,(-6/(PERALTE!$U$8-PERALTE!$S$8)*(RASANTE!F207-PERALTE!$S$8)-2),IF(RASANTE!F207&lt;=PERALTE!$X$8,-8,IF(RASANTE!F207&lt;=PERALTE!$Z$8,(-6/(PERALTE!$X$8-PERALTE!$Z$8)*(RASANTE!F207-PERALTE!$Z$8)-2),IF(RASANTE!F207&lt;=PERALTE!$AB$8,-2))))),IF(AND(AH!$H$10="Derecha",RASANTE!F207&lt;=PERALTE!$AB$8),IF(RASANTE!F207&lt;=PERALTE!$Q$8,-2,IF(RASANTE!F207&lt;=PERALTE!$U$8,(10/(PERALTE!$U$8-PERALTE!$Q$8)*(RASANTE!F207-PERALTE!$Q$8)-2),IF(RASANTE!F207&lt;=PERALTE!$X$8,8,IF(RASANTE!F207&lt;=PERALTE!$AB$8,(10/(PERALTE!$X$8-PERALTE!$AB$8)*(RASANTE!F207-PERALTE!$AB$8)-2))))),IF(AND(AH!$H$12="Izquierda",RASANTE!F207&lt;=PERALTE!$AB$10),IF(RASANTE!F207&lt;=PERALTE!$S$10,-2,IF(RASANTE!F207&lt;=PERALTE!$U$10,(-6/(PERALTE!$U$10-PERALTE!$S$10)*(RASANTE!F207-PERALTE!$S$10)-2),IF(RASANTE!F207&lt;=PERALTE!$X$10,-8,IF(RASANTE!F207&lt;=PERALTE!$Z$10,(-6/(PERALTE!$X$10-PERALTE!$Z$10)*(RASANTE!F207-PERALTE!$Z$10)-2),IF(RASANTE!F207&lt;=PERALTE!$AB$10,-2))))),IF(AND(AH!$H$12="Derecha",RASANTE!F207&lt;=PERALTE!$AB$10),IF(RASANTE!F207&lt;=PERALTE!$Q$10,-2,IF(RASANTE!F207&lt;=PERALTE!$U$10,(10/(PERALTE!$U$10-PERALTE!$Q$10)*(RASANTE!F207-PERALTE!$Q$10)-2),IF(RASANTE!F207&lt;=PERALTE!$X$10,8,IF(RASANTE!F207&lt;=PERALTE!$AB$10,(10/(PERALTE!$X$10-PERALTE!$AB$10)*(RASANTE!F207-PERALTE!$AB$10)-2))))),IF(AND(AH!$H$14="Izquierda",RASANTE!F207&lt;=PERALTE!$AB$12),IF(RASANTE!F207&lt;=PERALTE!$S$12,-2,IF(RASANTE!F207&lt;=PERALTE!$U$12,(-6/(PERALTE!$U$12-PERALTE!$S$12)*(RASANTE!F207-PERALTE!$S$12)-2),IF(RASANTE!F207&lt;=PERALTE!$X$12,-8,IF(RASANTE!F207&lt;=PERALTE!$Z$12,(-6/(PERALTE!$X$12-PERALTE!$Z$12)*(RASANTE!F207-PERALTE!$Z$12)-2),IF(RASANTE!F207&lt;=PERALTE!$AB$12,-2))))),IF(AND(AH!$H$14="Derecha",RASANTE!F207&lt;=PERALTE!$AB$12),IF(RASANTE!F207&lt;=PERALTE!$Q$12,-2,IF(RASANTE!F207&lt;=PERALTE!$U$12,(10/(PERALTE!$U$12-PERALTE!$Q$12)*(RASANTE!F207-PERALTE!$Q$12)-2),IF(RASANTE!F207&lt;=PERALTE!$X$12,8,IF(RASANTE!F207&lt;=PERALTE!$AB$12,(10/(PERALTE!$X$12-PERALTE!$AB$12)*(RASANTE!F207-PERALTE!$AB$12)-2))))),IF(AND(AH!$H$16="Izquierda",RASANTE!F207&lt;=PERALTE!$AB$14),IF(RASANTE!F207&lt;=PERALTE!$S$14,-2,IF(RASANTE!F207&lt;=PERALTE!$U$14,(-6/(PERALTE!$U$14-PERALTE!$S$14)*(RASANTE!F207-PERALTE!$S$14)-2),IF(RASANTE!F207&lt;=PERALTE!$X$14,-8,IF(RASANTE!F207&lt;=PERALTE!$Z$14,(-6/(PERALTE!$X$14-PERALTE!$Z$14)*(RASANTE!F207-PERALTE!$Z$14)-2),IF(RASANTE!F207&lt;=PERALTE!$AB$14,-2))))),IF(AND(AH!$H$16="Derecha",RASANTE!F207&lt;=PERALTE!$AB$14),IF(RASANTE!F207&lt;=PERALTE!$Q$14,-2,IF(RASANTE!F207&lt;=PERALTE!$U$14,(10/(PERALTE!$U$14-PERALTE!$Q$14)*(RASANTE!F207-PERALTE!$Q$14)-2),IF(RASANTE!F207&lt;=PERALTE!$X$14,8,IF(RASANTE!F207&lt;=PERALTE!$AB$14,(10/(PERALTE!$X$14-PERALTE!$AB$14)*(RASANTE!F207-PERALTE!$AB$14)-2))))),IF(AND(AH!$H$18="Izquierda",RASANTE!F207&lt;=PERALTE!$AB$16),IF(RASANTE!F207&lt;=PERALTE!$S$16,-2,IF(RASANTE!F207&lt;=PERALTE!$U$16,(-6/(PERALTE!$U$16-PERALTE!$S$16)*(RASANTE!F207-PERALTE!$S$16)-2),IF(RASANTE!F207&lt;=PERALTE!$X$16,-8,IF(RASANTE!F207&lt;=PERALTE!$Z$16,(-6/(PERALTE!$X$16-PERALTE!$Z$16)*(RASANTE!F207-PERALTE!$Z$16)-2),IF(RASANTE!F207&lt;=PERALTE!$AB$16,-2))))),IF(AND(AH!$H$18="Derecha",RASANTE!F207&lt;=PERALTE!$AB$16),IF(RASANTE!F207&lt;=PERALTE!$Q$16,-2,IF(RASANTE!F207&lt;=PERALTE!$U$16,(10/(PERALTE!$U$16-PERALTE!$Q$16)*(RASANTE!F207-PERALTE!$Q$16)-2),IF(RASANTE!F207&lt;=PERALTE!$X$16,8,IF(RASANTE!F207&lt;=PERALTE!$AB$16,(10/(PERALTE!$X$16-PERALTE!$AB$16)*(RASANTE!F207-PERALTE!$AB$16)-2))))),IF(AND(AH!$H$20="Izquierda",RASANTE!F207&lt;=PERALTE!$AB$18),IF(RASANTE!F207&lt;=PERALTE!$S$18,-2,IF(RASANTE!F207&lt;=PERALTE!$U$18,(-6/(PERALTE!$U$18-PERALTE!$S$18)*(RASANTE!F207-PERALTE!$S$18)-2),IF(RASANTE!F207&lt;=PERALTE!$X$18,-8,IF(RASANTE!F207&lt;=PERALTE!$Z$18,(-6/(PERALTE!$X$18-PERALTE!$Z$18)*(RASANTE!F207-PERALTE!$Z$18)-2),IF(RASANTE!F207&lt;=PERALTE!$AB$18,-2))))),IF(AND(AH!$H$20="Derecha",RASANTE!F207&lt;=PERALTE!$AB$18),IF(RASANTE!F207&lt;=PERALTE!$Q$18,-2,IF(RASANTE!F207&lt;=PERALTE!$U$18,(10/(PERALTE!$U$18-PERALTE!$Q$18)*(RASANTE!F207-PERALTE!$Q$18)-2),IF(RASANTE!F207&lt;=PERALTE!$X$18,8,IF(RASANTE!F207&lt;=PERALTE!$AB$18,(10/(PERALTE!$X$18-PERALTE!$AB$18)*(RASANTE!F207-PERALTE!$AB$18)-2))))),IF(AND(AH!$H$24="Izquierda",RASANTE!F207&lt;=PERALTE!$AB$22),IF(RASANTE!F207&lt;=PERALTE!$S$22,-2,IF(RASANTE!F207&lt;=PERALTE!$U$22,(-6/(PERALTE!$U$22-PERALTE!$S$22)*(RASANTE!F207-PERALTE!$S$22)-2),IF(RASANTE!F207&lt;=PERALTE!$X$22,-8,IF(RASANTE!F207&lt;=PERALTE!$Z$22,(-6/(PERALTE!$X$22-PERALTE!$Z$22)*(RASANTE!F207-PERALTE!$Z$22)-2),IF(RASANTE!F207&lt;=PERALTE!$AB$22,-2))))),IF(AND(AH!$H$24="Derecha",RASANTE!F207&lt;=PERALTE!$AB$22),IF(RASANTE!F207&lt;=PERALTE!$Q$22,-2,IF(RASANTE!F207&lt;=PERALTE!$U$22,(10/(PERALTE!$U$22-PERALTE!$Q$22)*(RASANTE!F207-PERALTE!$Q$22)-2),IF(RASANTE!F207&lt;=PERALTE!$X$22,8,IF(RASANTE!F207&lt;=PERALTE!$AB$22,(10/(PERALTE!$X$22-PERALTE!$AB$22)*(RASANTE!F207-PERALTE!$AB$22)-2))))),IF(AND(AH!#REF!="Izquierda",RASANTE!F207&lt;=PERALTE!#REF!),IF(RASANTE!F207&lt;=PERALTE!#REF!,-2,IF(RASANTE!F207&lt;=PERALTE!#REF!,(-6/(PERALTE!#REF!-PERALTE!#REF!)*(RASANTE!F207-PERALTE!#REF!)-2),IF(RASANTE!F207&lt;=PERALTE!#REF!,-8,IF(RASANTE!F207&lt;=PERALTE!#REF!,(-6/(PERALTE!#REF!-PERALTE!#REF!)*(RASANTE!F207-PERALTE!#REF!)-2),IF(RASANTE!F207&lt;=PERALTE!#REF!,-2))))),IF(AND(AH!#REF!="Derecha",RASANTE!F207&lt;=PERALTE!#REF!),IF(RASANTE!F207&lt;=PERALTE!#REF!,-2,IF(RASANTE!F207&lt;=PERALTE!#REF!,(10/(PERALTE!#REF!-PERALTE!#REF!)*(RASANTE!F207-PERALTE!#REF!)-2),IF(RASANTE!F207&lt;=PERALTE!#REF!,8,IF(RASANTE!F207&lt;=PERALTE!#REF!,(10/(PERALTE!#REF!-PERALTE!#REF!)*(RASANTE!F207-PERALTE!#REF!)-2))))),IF(AND(AH!#REF!="Izquierda",RASANTE!F207&lt;=PERALTE!$AB$26),IF(RASANTE!F207&lt;=PERALTE!$S$26,-2,IF(RASANTE!F207&lt;=PERALTE!$U$26,(-6/(PERALTE!$U$26-PERALTE!$S$26)*(RASANTE!F207-PERALTE!$S$26)-2),IF(RASANTE!F207&lt;=PERALTE!$X$26,-8,IF(RASANTE!F207&lt;=PERALTE!$Z$26,(-6/(PERALTE!$X$26-PERALTE!$Z$26)*(RASANTE!F207-PERALTE!$Z$26)-2),IF(RASANTE!F207&lt;=PERALTE!$AB$26,-2))))),IF(AND(AH!#REF!="Derecha",RASANTE!F207&lt;=PERALTE!$AB$26),IF(RASANTE!F207&lt;=PERALTE!$Q$26,-2,IF(RASANTE!F207&lt;=PERALTE!$U$26,(10/(PERALTE!$U$26-PERALTE!$Q$26)*(RASANTE!F207-PERALTE!$Q$26)-2),IF(RASANTE!F207&lt;=PERALTE!$X$26,8,IF(RASANTE!F207&lt;=PERALTE!$AB$26,(10/(PERALTE!$X$26-PERALTE!$AB$26)*(RASANTE!F207-PERALTE!$AB$26)-2))))),IF(F207&lt;=PERALTE!#REF!,-2,"Abscisa fuera de la vía")))))))))))))))))))))</f>
        <v>-2</v>
      </c>
      <c r="I293" s="28">
        <f>+IF(AND(AH!$H$8="Derecha",RASANTE!F158&lt;=PERALTE!$AB$6),IF(RASANTE!F158&lt;=PERALTE!$S$6,-2,IF(RASANTE!F158&lt;=PERALTE!$U$6,(-6/(PERALTE!$U$6-PERALTE!$S$6)*(RASANTE!F158-PERALTE!$S$6)-2),IF(RASANTE!F158&lt;=PERALTE!$X$6,-8,IF(RASANTE!F158&lt;=PERALTE!$Z$6,(-6/(PERALTE!$X$6-PERALTE!$Z$6)*(RASANTE!F158-PERALTE!$Z$6)-2),IF(RASANTE!F158&lt;=PERALTE!$AB$6,-2))))),IF(AND(AH!$H$8="Izquierda",RASANTE!F158&lt;=PERALTE!$AB$6),IF(RASANTE!F158&lt;=PERALTE!$Q$6,-2,IF(RASANTE!F158&lt;=PERALTE!$U$6,(10/(PERALTE!$U$6-PERALTE!$Q$6)*(RASANTE!F158-PERALTE!$Q$6)-2),IF(RASANTE!F158&lt;=PERALTE!$X$6,8,IF(RASANTE!F158&lt;=PERALTE!$AB$6,(10/(PERALTE!$X$6-PERALTE!$AB$6)*(RASANTE!F158-PERALTE!$AB$6)-2))))),IF(AND(AH!$H$10="Derecha",RASANTE!F158&lt;=PERALTE!$AB$8),IF(RASANTE!F158&lt;=PERALTE!$S$8,-2,IF(RASANTE!F158&lt;=PERALTE!$U$8,(-6/(PERALTE!$U$8-PERALTE!$S$8)*(RASANTE!F158-PERALTE!$S$8)-2),IF(RASANTE!F158&lt;=PERALTE!$X$8,-8,IF(RASANTE!F158&lt;=PERALTE!$Z$8,(-6/(PERALTE!$X$8-PERALTE!$Z$8)*(RASANTE!F158-PERALTE!$Z$8)-2),IF(RASANTE!F158&lt;=PERALTE!$AB$8,-2))))),IF(AND(AH!$H$10="Izquierda",RASANTE!F158&lt;=PERALTE!$AB$8),IF(RASANTE!F158&lt;=PERALTE!$Q$8,-2,IF(RASANTE!F158&lt;=PERALTE!$U$8,(10/(PERALTE!$U$8-PERALTE!$Q$8)*(RASANTE!F158-PERALTE!$Q$8)-2),IF(RASANTE!F158&lt;=PERALTE!$X$8,8,IF(RASANTE!F158&lt;=PERALTE!$AB$8,(10/(PERALTE!$X$8-PERALTE!$AB$8)*(RASANTE!F158-PERALTE!$AB$8)-2))))),IF(AND(AH!$H$12="Derecha",RASANTE!F158&lt;=PERALTE!$AB$10),IF(RASANTE!F158&lt;=PERALTE!$S$10,-2,IF(RASANTE!F158&lt;=PERALTE!$U$10,(-6/(PERALTE!$U$10-PERALTE!$S$10)*(RASANTE!F158-PERALTE!$S$10)-2),IF(RASANTE!F158&lt;=PERALTE!$X$10,-8,IF(RASANTE!F158&lt;=PERALTE!$Z$10,(-6/(PERALTE!$X$10-PERALTE!$Z$10)*(RASANTE!F158-PERALTE!$Z$10)-2),IF(RASANTE!F158&lt;=PERALTE!$AB$10,-2))))),IF(AND(AH!$H$12="Izquierda",RASANTE!F158&lt;=PERALTE!$AB$10),IF(RASANTE!F158&lt;=PERALTE!$Q$10,-2,IF(RASANTE!F158&lt;=PERALTE!$U$10,(10/(PERALTE!$U$10-PERALTE!$Q$10)*(RASANTE!F158-PERALTE!$Q$10)-2),IF(RASANTE!F158&lt;=PERALTE!$X$10,8,IF(RASANTE!F158&lt;=PERALTE!$AB$10,(10/(PERALTE!$X$10-PERALTE!$AB$10)*(RASANTE!F158-PERALTE!$AB$10)-2))))),IF(AND(AH!$H$14="Derecha",RASANTE!F158&lt;=PERALTE!$AB$12),IF(RASANTE!F158&lt;=PERALTE!$S$12,-2,IF(RASANTE!F158&lt;=PERALTE!$U$12,(-6/(PERALTE!$U$12-PERALTE!$S$12)*(RASANTE!F158-PERALTE!$S$12)-2),IF(RASANTE!F158&lt;=PERALTE!$X$12,-8,IF(RASANTE!F158&lt;=PERALTE!$Z$12,(-6/(PERALTE!$X$12-PERALTE!$Z$12)*(RASANTE!F158-PERALTE!$Z$12)-2),IF(RASANTE!F158&lt;=PERALTE!$AB$12,-2))))),IF(AND(AH!$H$14="Izquierda",RASANTE!F158&lt;=PERALTE!$AB$12),IF(RASANTE!F158&lt;=PERALTE!$Q$12,-2,IF(RASANTE!F158&lt;=PERALTE!$U$12,(10/(PERALTE!$U$12-PERALTE!$Q$12)*(RASANTE!F158-PERALTE!$Q$12)-2),IF(RASANTE!F158&lt;=PERALTE!$X$12,8,IF(RASANTE!F158&lt;=PERALTE!$AB$12,(10/(PERALTE!$X$12-PERALTE!$AB$12)*(RASANTE!F158-PERALTE!$AB$12)-2))))),IF(AND(AH!$H$16="Derecha",RASANTE!F158&lt;=PERALTE!$AB$14),IF(RASANTE!F158&lt;=PERALTE!$S$14,-2,IF(RASANTE!F158&lt;=PERALTE!$U$14,(-6/(PERALTE!$U$14-PERALTE!$S$14)*(RASANTE!F158-PERALTE!$S$14)-2),IF(RASANTE!F158&lt;=PERALTE!$X$14,-8,IF(RASANTE!F158&lt;=PERALTE!$Z$14,(-6/(PERALTE!$X$14-PERALTE!$Z$14)*(RASANTE!F158-PERALTE!$Z$14)-2),IF(RASANTE!F158&lt;=PERALTE!$AB$14,-2))))),IF(AND(AH!$H$16="Izquierda",RASANTE!F158&lt;=PERALTE!$AB$14),IF(RASANTE!F158&lt;=PERALTE!$Q$14,-2,IF(RASANTE!F158&lt;=PERALTE!$U$14,(10/(PERALTE!$U$14-PERALTE!$Q$14)*(RASANTE!F158-PERALTE!$Q$14)-2),IF(RASANTE!F158&lt;=PERALTE!$X$14,8,IF(RASANTE!F158&lt;=PERALTE!$AB$14,(10/(PERALTE!$X$14-PERALTE!$AB$14)*(RASANTE!F158-PERALTE!$AB$14)-2))))),IF(AND(AH!$H$18="Derecha",RASANTE!F158&lt;=PERALTE!$AB$16),IF(RASANTE!F158&lt;=PERALTE!$S$16,-2,IF(RASANTE!F158&lt;=PERALTE!$U$16,(-6/(PERALTE!$U$16-PERALTE!$S$16)*(RASANTE!F158-PERALTE!$S$16)-2),IF(RASANTE!F158&lt;=PERALTE!$X$16,-8,IF(RASANTE!F158&lt;=PERALTE!$Z$16,(-6/(PERALTE!$X$16-PERALTE!$Z$16)*(RASANTE!F158-PERALTE!$Z$16)-2),IF(RASANTE!F158&lt;=PERALTE!$AB$16,-2))))),IF(AND(AH!$H$18="Izquierda",RASANTE!F158&lt;=PERALTE!$AB$16),IF(RASANTE!F158&lt;=PERALTE!$Q$16,-2,IF(RASANTE!F158&lt;=PERALTE!$U$16,(10/(PERALTE!$U$16-PERALTE!$Q$16)*(RASANTE!F158-PERALTE!$Q$16)-2),IF(RASANTE!F158&lt;=PERALTE!$X$16,8,IF(RASANTE!F158&lt;=PERALTE!$AB$16,(10/(PERALTE!$X$16-PERALTE!$AB$16)*(RASANTE!F158-PERALTE!$AB$16)-2))))),IF(AND(AH!$H$20="Derecha",RASANTE!F158&lt;=PERALTE!$AB$18),IF(RASANTE!F158&lt;=PERALTE!$S$18,-2,IF(RASANTE!F158&lt;=PERALTE!$U$18,(-6/(PERALTE!$U$18-PERALTE!$S$18)*(RASANTE!F158-PERALTE!$S$18)-2),IF(RASANTE!F158&lt;=PERALTE!$X$18,-8,IF(RASANTE!F158&lt;=PERALTE!$Z$18,(-6/(PERALTE!$X$18-PERALTE!$Z$18)*(RASANTE!F158-PERALTE!$Z$18)-2),IF(RASANTE!F158&lt;=PERALTE!$AB$18,-2))))),IF(AND(AH!$H$20="Izquierda",RASANTE!F158&lt;=PERALTE!$AB$18),IF(RASANTE!F158&lt;=PERALTE!$Q$18,-2,IF(RASANTE!F158&lt;=PERALTE!$U$18,(10/(PERALTE!$U$18-PERALTE!$Q$18)*(RASANTE!F158-PERALTE!$Q$18)-2),IF(RASANTE!F158&lt;=PERALTE!$X$18,8,IF(RASANTE!F158&lt;=PERALTE!$AB$18,(10/(PERALTE!$X$18-PERALTE!$AB$18)*(RASANTE!F158-PERALTE!$AB$18)-2))))),IF(AND(AH!$H$24="Derecha",RASANTE!F158&lt;=PERALTE!$AB$22),IF(RASANTE!F158&lt;=PERALTE!$S$22,-2,IF(RASANTE!F158&lt;=PERALTE!$U$22,(-6/(PERALTE!$U$22-PERALTE!$S$22)*(RASANTE!F158-PERALTE!$S$22)-2),IF(RASANTE!F158&lt;=PERALTE!$X$22,-8,IF(RASANTE!F158&lt;=PERALTE!$Z$22,(-6/(PERALTE!$X$22-PERALTE!$Z$22)*(RASANTE!F158-PERALTE!$Z$22)-2),IF(RASANTE!F158&lt;=PERALTE!$AB$22,-2))))),IF(AND(AH!$H$24="Izquierda",RASANTE!F158&lt;=PERALTE!$AB$22),IF(RASANTE!F158&lt;=PERALTE!$Q$22,-2,IF(RASANTE!F158&lt;=PERALTE!$U$22,(10/(PERALTE!$U$22-PERALTE!$Q$22)*(RASANTE!F158-PERALTE!$Q$22)-2),IF(RASANTE!F158&lt;=PERALTE!$X$22,8,IF(RASANTE!F158&lt;=PERALTE!$AB$22,(10/(PERALTE!$X$22-PERALTE!$AB$22)*(RASANTE!F158-PERALTE!$AB$22)-2))))),IF(AND(AH!#REF!="Derecha",RASANTE!F158&lt;=PERALTE!#REF!),IF(RASANTE!F158&lt;=PERALTE!#REF!,-2,IF(RASANTE!F158&lt;=PERALTE!#REF!,(-6/(PERALTE!#REF!-PERALTE!#REF!)*(RASANTE!F158-PERALTE!#REF!)-2),IF(RASANTE!F158&lt;=PERALTE!#REF!,-8,IF(RASANTE!F158&lt;=PERALTE!#REF!,(-6/(PERALTE!#REF!-PERALTE!#REF!)*(RASANTE!F158-PERALTE!#REF!)-2),IF(RASANTE!F158&lt;=PERALTE!#REF!,-2))))),IF(AND(AH!#REF!="Izquierda",RASANTE!F158&lt;=PERALTE!#REF!),IF(RASANTE!F158&lt;=PERALTE!#REF!,-2,IF(RASANTE!F158&lt;=PERALTE!#REF!,(10/(PERALTE!#REF!-PERALTE!#REF!)*(RASANTE!F158-PERALTE!#REF!)-2),IF(RASANTE!F158&lt;=PERALTE!#REF!,8,IF(RASANTE!F158&lt;=PERALTE!#REF!,(10/(PERALTE!#REF!-PERALTE!#REF!)*(RASANTE!F158-PERALTE!#REF!)-2))))),IF(AND(AH!#REF!="Derecha",RASANTE!F158&lt;=PERALTE!$AB$26),IF(RASANTE!F158&lt;=PERALTE!$S$26,-2,IF(RASANTE!F158&lt;=PERALTE!$U$26,(-6/(PERALTE!$U$26-PERALTE!$S$26)*(RASANTE!F158-PERALTE!$S$26)-2),IF(RASANTE!F158&lt;=PERALTE!$X$26,-8,IF(RASANTE!F158&lt;=PERALTE!$Z$26,(-6/(PERALTE!$X$26-PERALTE!$Z$26)*(RASANTE!F158-PERALTE!$Z$26)-2),IF(RASANTE!F158&lt;=PERALTE!$AB$26,-2))))),IF(AND(AH!#REF!="Izquierda",RASANTE!F158&lt;=PERALTE!$AB$26),IF(RASANTE!F158&lt;=PERALTE!$Q$26,-2,IF(RASANTE!F158&lt;=PERALTE!$U$26,(10/(PERALTE!$U$26-PERALTE!$Q$26)*(RASANTE!F158-PERALTE!$Q$26)-2),IF(RASANTE!F158&lt;=PERALTE!$X$26,8,IF(RASANTE!F158&lt;=PERALTE!$AB$26,(10/(PERALTE!$X$26-PERALTE!$AB$26)*(RASANTE!F158-PERALTE!$AB$26)-2))))),IF(F158&lt;=PERALTE!#REF!,-2,"Abscisa fuera de la vía")))))))))))))))))))))</f>
        <v>-2</v>
      </c>
      <c r="J293" s="28">
        <f t="shared" si="13"/>
        <v>1647.0033284648975</v>
      </c>
      <c r="K293" s="28">
        <f>+IF(AND(AV!$S$6&lt;F293,F293&lt;=AV!$T$6),AV!$P$6*((AV!$S$6-RASANTE!F293)/(AV!$N$6))^2,IF(AND(AV!$T$6&lt;RASANTE!F293,F293&lt;AV!$U$6),AV!$P$6*((AV!$U$6-RASANTE!F293)/(AV!$O$6))^2,IF(AND(AV!$S$8&lt;F293,F293&lt;=AV!$T$8),AV!$P$8*((AV!$S$8-RASANTE!F293)/(AV!$N$8))^2,IF(AND(AV!$T$8&lt;RASANTE!F293,F293&lt;AV!$U$8),AV!$P$8*((AV!$U$8-RASANTE!F293)/(AV!$O$8))^2,IF(AND(AV!$S$10&lt;F293,F293&lt;=AV!$T$10),AV!$P$10*((AV!$S$10-RASANTE!F293)/(AV!$N$10))^2,IF(AND(AV!$T$10&lt;RASANTE!F293,F293&lt;AV!$U$10),AV!$P$10*((AV!$U$10-RASANTE!F293)/(AV!$O$10))^2,IF(AND(AV!$S$12&lt;F293,F293&lt;=AV!$T$12),AV!$P$12*((AV!$S$12-RASANTE!F293)/(AV!$N$12))^2,IF(AND(AV!$T$12&lt;RASANTE!F293,F293&lt;AV!$U$12),AV!$P$12*((AV!$U$12-RASANTE!F293)/(AV!$O$12))^2,IF(AND(AV!$S$14&lt;F293,F293&lt;=AV!$T$14),AV!$P$14*((AV!$S$14-RASANTE!F293)/(AV!$N$14))^2,IF(AND(AV!$T$14&lt;RASANTE!F293,F293&lt;AV!$U$14),AV!$P$14*((AV!$U$14-RASANTE!F293)/(AV!$O$14))^2,IF(AND(AV!$S$16&lt;F293,F293&lt;=AV!$T$16),AV!$P$16*((AV!$S$16-RASANTE!F293)/(AV!$N$16))^2,IF(AND(AV!$T$16&lt;RASANTE!F293,F293&lt;AV!$U$16),AV!$P$16*((AV!$U$16-RASANTE!F293)/(AV!$O$16))^2,IF(AND(AV!$S$18&lt;F293,F293&lt;=AV!$T$18),AV!$P$18*((AV!$S$18-RASANTE!F293)/(AV!$N$18))^2,IF(AND(AV!$T$18&lt;RASANTE!F293,F293&lt;AV!$U$18),AV!$P$18*((AV!$U$18-RASANTE!F293)/(AV!$O$18))^2,IF(AND(AV!$S$20&lt;F293,F293&lt;=AV!$T$20),AV!$P$20*((AV!$S$20-RASANTE!F293)/(AV!$N$20))^2,IF(AND(AV!$T$20&lt;RASANTE!F293,F293&lt;AV!$U$20),AV!$P$20*((AV!$U$20-RASANTE!F293)/(AV!$O$20))^2,IF(AND(AV!$S$22&lt;F293,F293&lt;=AV!$T$22),AV!$P$22*((AV!$S$22-RASANTE!F293)/(AV!$N$22))^2,IF(AND(AV!$T$22&lt;RASANTE!F293,F293&lt;AV!$U$22),AV!$P$22*((AV!$U$22-RASANTE!F293)/(AV!$O$22))^2,IF(AND(AV!$S$24&lt;F293,F293&lt;=AV!$T$24),AV!$P$24*((AV!$S$24-RASANTE!F293)/(AV!$N$24))^2,IF(AND(AV!$T$24&lt;RASANTE!F293,F293&lt;AV!$U$24),AV!$P$24*((AV!$U$24-RASANTE!F293)/(AV!$O$24))^2,0))))))))))))))))))))</f>
        <v>0</v>
      </c>
      <c r="L293" s="28">
        <f>+M293+H293%*PERALTE!$C$32</f>
        <v>1646.9333284648976</v>
      </c>
      <c r="M293" s="28">
        <f t="shared" si="15"/>
        <v>1647.0033284648975</v>
      </c>
      <c r="N293" s="28">
        <f>+M293+I293%*PERALTE!$C$32</f>
        <v>1646.9333284648976</v>
      </c>
      <c r="O293" s="92"/>
      <c r="P293" s="84"/>
      <c r="Q293" s="84"/>
      <c r="R293" s="84"/>
      <c r="S293" s="84"/>
      <c r="T293" s="84"/>
      <c r="U293" s="84"/>
      <c r="V293" s="84"/>
      <c r="W293" s="84"/>
      <c r="X293" s="84"/>
      <c r="Y293" s="84"/>
    </row>
    <row r="294" spans="1:25" ht="15.75" customHeight="1" x14ac:dyDescent="0.2">
      <c r="A294" s="322"/>
      <c r="B294" s="86"/>
      <c r="C294" s="86"/>
      <c r="D294" s="86"/>
      <c r="E294" s="91"/>
      <c r="F294" s="34">
        <v>1780</v>
      </c>
      <c r="G294" s="88">
        <v>5.4480000000000004</v>
      </c>
      <c r="H294" s="28">
        <f>+IF(AND(AH!$H$8="Izquierda",RASANTE!F208&lt;=PERALTE!$AB$6),IF(RASANTE!F208&lt;=PERALTE!$S$6,-2,IF(RASANTE!F208&lt;=PERALTE!$U$6,(-6/(PERALTE!$U$6-PERALTE!$S$6)*(RASANTE!F208-PERALTE!$S$6)-2),IF(RASANTE!F208&lt;=PERALTE!$X$6,-8,IF(RASANTE!F208&lt;=PERALTE!$Z$6,(-6/(PERALTE!$X$6-PERALTE!$Z$6)*(RASANTE!F208-PERALTE!$Z$6)-2),IF(RASANTE!F208&lt;=PERALTE!$AB$6,-2))))),IF(AND(AH!$H$8="Derecha",RASANTE!F208&lt;=PERALTE!$AB$6),IF(RASANTE!F208&lt;=PERALTE!$Q$6,-2,IF(RASANTE!F208&lt;=PERALTE!$U$6,(10/(PERALTE!$U$6-PERALTE!$Q$6)*(RASANTE!F208-PERALTE!$Q$6)-2),IF(RASANTE!F208&lt;=PERALTE!$X$6,8,IF(RASANTE!F208&lt;=PERALTE!$AB$6,(10/(PERALTE!$X$6-PERALTE!$AB$6)*(RASANTE!F208-PERALTE!$AB$6)-2))))),IF(AND(AH!$H$10="Izquierda",RASANTE!F208&lt;=PERALTE!$AB$8),IF(RASANTE!F208&lt;=PERALTE!$S$8,-2,IF(RASANTE!F208&lt;=PERALTE!$U$8,(-6/(PERALTE!$U$8-PERALTE!$S$8)*(RASANTE!F208-PERALTE!$S$8)-2),IF(RASANTE!F208&lt;=PERALTE!$X$8,-8,IF(RASANTE!F208&lt;=PERALTE!$Z$8,(-6/(PERALTE!$X$8-PERALTE!$Z$8)*(RASANTE!F208-PERALTE!$Z$8)-2),IF(RASANTE!F208&lt;=PERALTE!$AB$8,-2))))),IF(AND(AH!$H$10="Derecha",RASANTE!F208&lt;=PERALTE!$AB$8),IF(RASANTE!F208&lt;=PERALTE!$Q$8,-2,IF(RASANTE!F208&lt;=PERALTE!$U$8,(10/(PERALTE!$U$8-PERALTE!$Q$8)*(RASANTE!F208-PERALTE!$Q$8)-2),IF(RASANTE!F208&lt;=PERALTE!$X$8,8,IF(RASANTE!F208&lt;=PERALTE!$AB$8,(10/(PERALTE!$X$8-PERALTE!$AB$8)*(RASANTE!F208-PERALTE!$AB$8)-2))))),IF(AND(AH!$H$12="Izquierda",RASANTE!F208&lt;=PERALTE!$AB$10),IF(RASANTE!F208&lt;=PERALTE!$S$10,-2,IF(RASANTE!F208&lt;=PERALTE!$U$10,(-6/(PERALTE!$U$10-PERALTE!$S$10)*(RASANTE!F208-PERALTE!$S$10)-2),IF(RASANTE!F208&lt;=PERALTE!$X$10,-8,IF(RASANTE!F208&lt;=PERALTE!$Z$10,(-6/(PERALTE!$X$10-PERALTE!$Z$10)*(RASANTE!F208-PERALTE!$Z$10)-2),IF(RASANTE!F208&lt;=PERALTE!$AB$10,-2))))),IF(AND(AH!$H$12="Derecha",RASANTE!F208&lt;=PERALTE!$AB$10),IF(RASANTE!F208&lt;=PERALTE!$Q$10,-2,IF(RASANTE!F208&lt;=PERALTE!$U$10,(10/(PERALTE!$U$10-PERALTE!$Q$10)*(RASANTE!F208-PERALTE!$Q$10)-2),IF(RASANTE!F208&lt;=PERALTE!$X$10,8,IF(RASANTE!F208&lt;=PERALTE!$AB$10,(10/(PERALTE!$X$10-PERALTE!$AB$10)*(RASANTE!F208-PERALTE!$AB$10)-2))))),IF(AND(AH!$H$14="Izquierda",RASANTE!F208&lt;=PERALTE!$AB$12),IF(RASANTE!F208&lt;=PERALTE!$S$12,-2,IF(RASANTE!F208&lt;=PERALTE!$U$12,(-6/(PERALTE!$U$12-PERALTE!$S$12)*(RASANTE!F208-PERALTE!$S$12)-2),IF(RASANTE!F208&lt;=PERALTE!$X$12,-8,IF(RASANTE!F208&lt;=PERALTE!$Z$12,(-6/(PERALTE!$X$12-PERALTE!$Z$12)*(RASANTE!F208-PERALTE!$Z$12)-2),IF(RASANTE!F208&lt;=PERALTE!$AB$12,-2))))),IF(AND(AH!$H$14="Derecha",RASANTE!F208&lt;=PERALTE!$AB$12),IF(RASANTE!F208&lt;=PERALTE!$Q$12,-2,IF(RASANTE!F208&lt;=PERALTE!$U$12,(10/(PERALTE!$U$12-PERALTE!$Q$12)*(RASANTE!F208-PERALTE!$Q$12)-2),IF(RASANTE!F208&lt;=PERALTE!$X$12,8,IF(RASANTE!F208&lt;=PERALTE!$AB$12,(10/(PERALTE!$X$12-PERALTE!$AB$12)*(RASANTE!F208-PERALTE!$AB$12)-2))))),IF(AND(AH!$H$16="Izquierda",RASANTE!F208&lt;=PERALTE!$AB$14),IF(RASANTE!F208&lt;=PERALTE!$S$14,-2,IF(RASANTE!F208&lt;=PERALTE!$U$14,(-6/(PERALTE!$U$14-PERALTE!$S$14)*(RASANTE!F208-PERALTE!$S$14)-2),IF(RASANTE!F208&lt;=PERALTE!$X$14,-8,IF(RASANTE!F208&lt;=PERALTE!$Z$14,(-6/(PERALTE!$X$14-PERALTE!$Z$14)*(RASANTE!F208-PERALTE!$Z$14)-2),IF(RASANTE!F208&lt;=PERALTE!$AB$14,-2))))),IF(AND(AH!$H$16="Derecha",RASANTE!F208&lt;=PERALTE!$AB$14),IF(RASANTE!F208&lt;=PERALTE!$Q$14,-2,IF(RASANTE!F208&lt;=PERALTE!$U$14,(10/(PERALTE!$U$14-PERALTE!$Q$14)*(RASANTE!F208-PERALTE!$Q$14)-2),IF(RASANTE!F208&lt;=PERALTE!$X$14,8,IF(RASANTE!F208&lt;=PERALTE!$AB$14,(10/(PERALTE!$X$14-PERALTE!$AB$14)*(RASANTE!F208-PERALTE!$AB$14)-2))))),IF(AND(AH!$H$18="Izquierda",RASANTE!F208&lt;=PERALTE!$AB$16),IF(RASANTE!F208&lt;=PERALTE!$S$16,-2,IF(RASANTE!F208&lt;=PERALTE!$U$16,(-6/(PERALTE!$U$16-PERALTE!$S$16)*(RASANTE!F208-PERALTE!$S$16)-2),IF(RASANTE!F208&lt;=PERALTE!$X$16,-8,IF(RASANTE!F208&lt;=PERALTE!$Z$16,(-6/(PERALTE!$X$16-PERALTE!$Z$16)*(RASANTE!F208-PERALTE!$Z$16)-2),IF(RASANTE!F208&lt;=PERALTE!$AB$16,-2))))),IF(AND(AH!$H$18="Derecha",RASANTE!F208&lt;=PERALTE!$AB$16),IF(RASANTE!F208&lt;=PERALTE!$Q$16,-2,IF(RASANTE!F208&lt;=PERALTE!$U$16,(10/(PERALTE!$U$16-PERALTE!$Q$16)*(RASANTE!F208-PERALTE!$Q$16)-2),IF(RASANTE!F208&lt;=PERALTE!$X$16,8,IF(RASANTE!F208&lt;=PERALTE!$AB$16,(10/(PERALTE!$X$16-PERALTE!$AB$16)*(RASANTE!F208-PERALTE!$AB$16)-2))))),IF(AND(AH!$H$20="Izquierda",RASANTE!F208&lt;=PERALTE!$AB$18),IF(RASANTE!F208&lt;=PERALTE!$S$18,-2,IF(RASANTE!F208&lt;=PERALTE!$U$18,(-6/(PERALTE!$U$18-PERALTE!$S$18)*(RASANTE!F208-PERALTE!$S$18)-2),IF(RASANTE!F208&lt;=PERALTE!$X$18,-8,IF(RASANTE!F208&lt;=PERALTE!$Z$18,(-6/(PERALTE!$X$18-PERALTE!$Z$18)*(RASANTE!F208-PERALTE!$Z$18)-2),IF(RASANTE!F208&lt;=PERALTE!$AB$18,-2))))),IF(AND(AH!$H$20="Derecha",RASANTE!F208&lt;=PERALTE!$AB$18),IF(RASANTE!F208&lt;=PERALTE!$Q$18,-2,IF(RASANTE!F208&lt;=PERALTE!$U$18,(10/(PERALTE!$U$18-PERALTE!$Q$18)*(RASANTE!F208-PERALTE!$Q$18)-2),IF(RASANTE!F208&lt;=PERALTE!$X$18,8,IF(RASANTE!F208&lt;=PERALTE!$AB$18,(10/(PERALTE!$X$18-PERALTE!$AB$18)*(RASANTE!F208-PERALTE!$AB$18)-2))))),IF(AND(AH!$H$24="Izquierda",RASANTE!F208&lt;=PERALTE!$AB$22),IF(RASANTE!F208&lt;=PERALTE!$S$22,-2,IF(RASANTE!F208&lt;=PERALTE!$U$22,(-6/(PERALTE!$U$22-PERALTE!$S$22)*(RASANTE!F208-PERALTE!$S$22)-2),IF(RASANTE!F208&lt;=PERALTE!$X$22,-8,IF(RASANTE!F208&lt;=PERALTE!$Z$22,(-6/(PERALTE!$X$22-PERALTE!$Z$22)*(RASANTE!F208-PERALTE!$Z$22)-2),IF(RASANTE!F208&lt;=PERALTE!$AB$22,-2))))),IF(AND(AH!$H$24="Derecha",RASANTE!F208&lt;=PERALTE!$AB$22),IF(RASANTE!F208&lt;=PERALTE!$Q$22,-2,IF(RASANTE!F208&lt;=PERALTE!$U$22,(10/(PERALTE!$U$22-PERALTE!$Q$22)*(RASANTE!F208-PERALTE!$Q$22)-2),IF(RASANTE!F208&lt;=PERALTE!$X$22,8,IF(RASANTE!F208&lt;=PERALTE!$AB$22,(10/(PERALTE!$X$22-PERALTE!$AB$22)*(RASANTE!F208-PERALTE!$AB$22)-2))))),IF(AND(AH!#REF!="Izquierda",RASANTE!F208&lt;=PERALTE!#REF!),IF(RASANTE!F208&lt;=PERALTE!#REF!,-2,IF(RASANTE!F208&lt;=PERALTE!#REF!,(-6/(PERALTE!#REF!-PERALTE!#REF!)*(RASANTE!F208-PERALTE!#REF!)-2),IF(RASANTE!F208&lt;=PERALTE!#REF!,-8,IF(RASANTE!F208&lt;=PERALTE!#REF!,(-6/(PERALTE!#REF!-PERALTE!#REF!)*(RASANTE!F208-PERALTE!#REF!)-2),IF(RASANTE!F208&lt;=PERALTE!#REF!,-2))))),IF(AND(AH!#REF!="Derecha",RASANTE!F208&lt;=PERALTE!#REF!),IF(RASANTE!F208&lt;=PERALTE!#REF!,-2,IF(RASANTE!F208&lt;=PERALTE!#REF!,(10/(PERALTE!#REF!-PERALTE!#REF!)*(RASANTE!F208-PERALTE!#REF!)-2),IF(RASANTE!F208&lt;=PERALTE!#REF!,8,IF(RASANTE!F208&lt;=PERALTE!#REF!,(10/(PERALTE!#REF!-PERALTE!#REF!)*(RASANTE!F208-PERALTE!#REF!)-2))))),IF(AND(AH!#REF!="Izquierda",RASANTE!F208&lt;=PERALTE!$AB$26),IF(RASANTE!F208&lt;=PERALTE!$S$26,-2,IF(RASANTE!F208&lt;=PERALTE!$U$26,(-6/(PERALTE!$U$26-PERALTE!$S$26)*(RASANTE!F208-PERALTE!$S$26)-2),IF(RASANTE!F208&lt;=PERALTE!$X$26,-8,IF(RASANTE!F208&lt;=PERALTE!$Z$26,(-6/(PERALTE!$X$26-PERALTE!$Z$26)*(RASANTE!F208-PERALTE!$Z$26)-2),IF(RASANTE!F208&lt;=PERALTE!$AB$26,-2))))),IF(AND(AH!#REF!="Derecha",RASANTE!F208&lt;=PERALTE!$AB$26),IF(RASANTE!F208&lt;=PERALTE!$Q$26,-2,IF(RASANTE!F208&lt;=PERALTE!$U$26,(10/(PERALTE!$U$26-PERALTE!$Q$26)*(RASANTE!F208-PERALTE!$Q$26)-2),IF(RASANTE!F208&lt;=PERALTE!$X$26,8,IF(RASANTE!F208&lt;=PERALTE!$AB$26,(10/(PERALTE!$X$26-PERALTE!$AB$26)*(RASANTE!F208-PERALTE!$AB$26)-2))))),IF(F208&lt;=PERALTE!#REF!,-2,"Abscisa fuera de la vía")))))))))))))))))))))</f>
        <v>-2</v>
      </c>
      <c r="I294" s="28">
        <f>+IF(AND(AH!$H$8="Derecha",RASANTE!F159&lt;=PERALTE!$AB$6),IF(RASANTE!F159&lt;=PERALTE!$S$6,-2,IF(RASANTE!F159&lt;=PERALTE!$U$6,(-6/(PERALTE!$U$6-PERALTE!$S$6)*(RASANTE!F159-PERALTE!$S$6)-2),IF(RASANTE!F159&lt;=PERALTE!$X$6,-8,IF(RASANTE!F159&lt;=PERALTE!$Z$6,(-6/(PERALTE!$X$6-PERALTE!$Z$6)*(RASANTE!F159-PERALTE!$Z$6)-2),IF(RASANTE!F159&lt;=PERALTE!$AB$6,-2))))),IF(AND(AH!$H$8="Izquierda",RASANTE!F159&lt;=PERALTE!$AB$6),IF(RASANTE!F159&lt;=PERALTE!$Q$6,-2,IF(RASANTE!F159&lt;=PERALTE!$U$6,(10/(PERALTE!$U$6-PERALTE!$Q$6)*(RASANTE!F159-PERALTE!$Q$6)-2),IF(RASANTE!F159&lt;=PERALTE!$X$6,8,IF(RASANTE!F159&lt;=PERALTE!$AB$6,(10/(PERALTE!$X$6-PERALTE!$AB$6)*(RASANTE!F159-PERALTE!$AB$6)-2))))),IF(AND(AH!$H$10="Derecha",RASANTE!F159&lt;=PERALTE!$AB$8),IF(RASANTE!F159&lt;=PERALTE!$S$8,-2,IF(RASANTE!F159&lt;=PERALTE!$U$8,(-6/(PERALTE!$U$8-PERALTE!$S$8)*(RASANTE!F159-PERALTE!$S$8)-2),IF(RASANTE!F159&lt;=PERALTE!$X$8,-8,IF(RASANTE!F159&lt;=PERALTE!$Z$8,(-6/(PERALTE!$X$8-PERALTE!$Z$8)*(RASANTE!F159-PERALTE!$Z$8)-2),IF(RASANTE!F159&lt;=PERALTE!$AB$8,-2))))),IF(AND(AH!$H$10="Izquierda",RASANTE!F159&lt;=PERALTE!$AB$8),IF(RASANTE!F159&lt;=PERALTE!$Q$8,-2,IF(RASANTE!F159&lt;=PERALTE!$U$8,(10/(PERALTE!$U$8-PERALTE!$Q$8)*(RASANTE!F159-PERALTE!$Q$8)-2),IF(RASANTE!F159&lt;=PERALTE!$X$8,8,IF(RASANTE!F159&lt;=PERALTE!$AB$8,(10/(PERALTE!$X$8-PERALTE!$AB$8)*(RASANTE!F159-PERALTE!$AB$8)-2))))),IF(AND(AH!$H$12="Derecha",RASANTE!F159&lt;=PERALTE!$AB$10),IF(RASANTE!F159&lt;=PERALTE!$S$10,-2,IF(RASANTE!F159&lt;=PERALTE!$U$10,(-6/(PERALTE!$U$10-PERALTE!$S$10)*(RASANTE!F159-PERALTE!$S$10)-2),IF(RASANTE!F159&lt;=PERALTE!$X$10,-8,IF(RASANTE!F159&lt;=PERALTE!$Z$10,(-6/(PERALTE!$X$10-PERALTE!$Z$10)*(RASANTE!F159-PERALTE!$Z$10)-2),IF(RASANTE!F159&lt;=PERALTE!$AB$10,-2))))),IF(AND(AH!$H$12="Izquierda",RASANTE!F159&lt;=PERALTE!$AB$10),IF(RASANTE!F159&lt;=PERALTE!$Q$10,-2,IF(RASANTE!F159&lt;=PERALTE!$U$10,(10/(PERALTE!$U$10-PERALTE!$Q$10)*(RASANTE!F159-PERALTE!$Q$10)-2),IF(RASANTE!F159&lt;=PERALTE!$X$10,8,IF(RASANTE!F159&lt;=PERALTE!$AB$10,(10/(PERALTE!$X$10-PERALTE!$AB$10)*(RASANTE!F159-PERALTE!$AB$10)-2))))),IF(AND(AH!$H$14="Derecha",RASANTE!F159&lt;=PERALTE!$AB$12),IF(RASANTE!F159&lt;=PERALTE!$S$12,-2,IF(RASANTE!F159&lt;=PERALTE!$U$12,(-6/(PERALTE!$U$12-PERALTE!$S$12)*(RASANTE!F159-PERALTE!$S$12)-2),IF(RASANTE!F159&lt;=PERALTE!$X$12,-8,IF(RASANTE!F159&lt;=PERALTE!$Z$12,(-6/(PERALTE!$X$12-PERALTE!$Z$12)*(RASANTE!F159-PERALTE!$Z$12)-2),IF(RASANTE!F159&lt;=PERALTE!$AB$12,-2))))),IF(AND(AH!$H$14="Izquierda",RASANTE!F159&lt;=PERALTE!$AB$12),IF(RASANTE!F159&lt;=PERALTE!$Q$12,-2,IF(RASANTE!F159&lt;=PERALTE!$U$12,(10/(PERALTE!$U$12-PERALTE!$Q$12)*(RASANTE!F159-PERALTE!$Q$12)-2),IF(RASANTE!F159&lt;=PERALTE!$X$12,8,IF(RASANTE!F159&lt;=PERALTE!$AB$12,(10/(PERALTE!$X$12-PERALTE!$AB$12)*(RASANTE!F159-PERALTE!$AB$12)-2))))),IF(AND(AH!$H$16="Derecha",RASANTE!F159&lt;=PERALTE!$AB$14),IF(RASANTE!F159&lt;=PERALTE!$S$14,-2,IF(RASANTE!F159&lt;=PERALTE!$U$14,(-6/(PERALTE!$U$14-PERALTE!$S$14)*(RASANTE!F159-PERALTE!$S$14)-2),IF(RASANTE!F159&lt;=PERALTE!$X$14,-8,IF(RASANTE!F159&lt;=PERALTE!$Z$14,(-6/(PERALTE!$X$14-PERALTE!$Z$14)*(RASANTE!F159-PERALTE!$Z$14)-2),IF(RASANTE!F159&lt;=PERALTE!$AB$14,-2))))),IF(AND(AH!$H$16="Izquierda",RASANTE!F159&lt;=PERALTE!$AB$14),IF(RASANTE!F159&lt;=PERALTE!$Q$14,-2,IF(RASANTE!F159&lt;=PERALTE!$U$14,(10/(PERALTE!$U$14-PERALTE!$Q$14)*(RASANTE!F159-PERALTE!$Q$14)-2),IF(RASANTE!F159&lt;=PERALTE!$X$14,8,IF(RASANTE!F159&lt;=PERALTE!$AB$14,(10/(PERALTE!$X$14-PERALTE!$AB$14)*(RASANTE!F159-PERALTE!$AB$14)-2))))),IF(AND(AH!$H$18="Derecha",RASANTE!F159&lt;=PERALTE!$AB$16),IF(RASANTE!F159&lt;=PERALTE!$S$16,-2,IF(RASANTE!F159&lt;=PERALTE!$U$16,(-6/(PERALTE!$U$16-PERALTE!$S$16)*(RASANTE!F159-PERALTE!$S$16)-2),IF(RASANTE!F159&lt;=PERALTE!$X$16,-8,IF(RASANTE!F159&lt;=PERALTE!$Z$16,(-6/(PERALTE!$X$16-PERALTE!$Z$16)*(RASANTE!F159-PERALTE!$Z$16)-2),IF(RASANTE!F159&lt;=PERALTE!$AB$16,-2))))),IF(AND(AH!$H$18="Izquierda",RASANTE!F159&lt;=PERALTE!$AB$16),IF(RASANTE!F159&lt;=PERALTE!$Q$16,-2,IF(RASANTE!F159&lt;=PERALTE!$U$16,(10/(PERALTE!$U$16-PERALTE!$Q$16)*(RASANTE!F159-PERALTE!$Q$16)-2),IF(RASANTE!F159&lt;=PERALTE!$X$16,8,IF(RASANTE!F159&lt;=PERALTE!$AB$16,(10/(PERALTE!$X$16-PERALTE!$AB$16)*(RASANTE!F159-PERALTE!$AB$16)-2))))),IF(AND(AH!$H$20="Derecha",RASANTE!F159&lt;=PERALTE!$AB$18),IF(RASANTE!F159&lt;=PERALTE!$S$18,-2,IF(RASANTE!F159&lt;=PERALTE!$U$18,(-6/(PERALTE!$U$18-PERALTE!$S$18)*(RASANTE!F159-PERALTE!$S$18)-2),IF(RASANTE!F159&lt;=PERALTE!$X$18,-8,IF(RASANTE!F159&lt;=PERALTE!$Z$18,(-6/(PERALTE!$X$18-PERALTE!$Z$18)*(RASANTE!F159-PERALTE!$Z$18)-2),IF(RASANTE!F159&lt;=PERALTE!$AB$18,-2))))),IF(AND(AH!$H$20="Izquierda",RASANTE!F159&lt;=PERALTE!$AB$18),IF(RASANTE!F159&lt;=PERALTE!$Q$18,-2,IF(RASANTE!F159&lt;=PERALTE!$U$18,(10/(PERALTE!$U$18-PERALTE!$Q$18)*(RASANTE!F159-PERALTE!$Q$18)-2),IF(RASANTE!F159&lt;=PERALTE!$X$18,8,IF(RASANTE!F159&lt;=PERALTE!$AB$18,(10/(PERALTE!$X$18-PERALTE!$AB$18)*(RASANTE!F159-PERALTE!$AB$18)-2))))),IF(AND(AH!$H$24="Derecha",RASANTE!F159&lt;=PERALTE!$AB$22),IF(RASANTE!F159&lt;=PERALTE!$S$22,-2,IF(RASANTE!F159&lt;=PERALTE!$U$22,(-6/(PERALTE!$U$22-PERALTE!$S$22)*(RASANTE!F159-PERALTE!$S$22)-2),IF(RASANTE!F159&lt;=PERALTE!$X$22,-8,IF(RASANTE!F159&lt;=PERALTE!$Z$22,(-6/(PERALTE!$X$22-PERALTE!$Z$22)*(RASANTE!F159-PERALTE!$Z$22)-2),IF(RASANTE!F159&lt;=PERALTE!$AB$22,-2))))),IF(AND(AH!$H$24="Izquierda",RASANTE!F159&lt;=PERALTE!$AB$22),IF(RASANTE!F159&lt;=PERALTE!$Q$22,-2,IF(RASANTE!F159&lt;=PERALTE!$U$22,(10/(PERALTE!$U$22-PERALTE!$Q$22)*(RASANTE!F159-PERALTE!$Q$22)-2),IF(RASANTE!F159&lt;=PERALTE!$X$22,8,IF(RASANTE!F159&lt;=PERALTE!$AB$22,(10/(PERALTE!$X$22-PERALTE!$AB$22)*(RASANTE!F159-PERALTE!$AB$22)-2))))),IF(AND(AH!#REF!="Derecha",RASANTE!F159&lt;=PERALTE!#REF!),IF(RASANTE!F159&lt;=PERALTE!#REF!,-2,IF(RASANTE!F159&lt;=PERALTE!#REF!,(-6/(PERALTE!#REF!-PERALTE!#REF!)*(RASANTE!F159-PERALTE!#REF!)-2),IF(RASANTE!F159&lt;=PERALTE!#REF!,-8,IF(RASANTE!F159&lt;=PERALTE!#REF!,(-6/(PERALTE!#REF!-PERALTE!#REF!)*(RASANTE!F159-PERALTE!#REF!)-2),IF(RASANTE!F159&lt;=PERALTE!#REF!,-2))))),IF(AND(AH!#REF!="Izquierda",RASANTE!F159&lt;=PERALTE!#REF!),IF(RASANTE!F159&lt;=PERALTE!#REF!,-2,IF(RASANTE!F159&lt;=PERALTE!#REF!,(10/(PERALTE!#REF!-PERALTE!#REF!)*(RASANTE!F159-PERALTE!#REF!)-2),IF(RASANTE!F159&lt;=PERALTE!#REF!,8,IF(RASANTE!F159&lt;=PERALTE!#REF!,(10/(PERALTE!#REF!-PERALTE!#REF!)*(RASANTE!F159-PERALTE!#REF!)-2))))),IF(AND(AH!#REF!="Derecha",RASANTE!F159&lt;=PERALTE!$AB$26),IF(RASANTE!F159&lt;=PERALTE!$S$26,-2,IF(RASANTE!F159&lt;=PERALTE!$U$26,(-6/(PERALTE!$U$26-PERALTE!$S$26)*(RASANTE!F159-PERALTE!$S$26)-2),IF(RASANTE!F159&lt;=PERALTE!$X$26,-8,IF(RASANTE!F159&lt;=PERALTE!$Z$26,(-6/(PERALTE!$X$26-PERALTE!$Z$26)*(RASANTE!F159-PERALTE!$Z$26)-2),IF(RASANTE!F159&lt;=PERALTE!$AB$26,-2))))),IF(AND(AH!#REF!="Izquierda",RASANTE!F159&lt;=PERALTE!$AB$26),IF(RASANTE!F159&lt;=PERALTE!$Q$26,-2,IF(RASANTE!F159&lt;=PERALTE!$U$26,(10/(PERALTE!$U$26-PERALTE!$Q$26)*(RASANTE!F159-PERALTE!$Q$26)-2),IF(RASANTE!F159&lt;=PERALTE!$X$26,8,IF(RASANTE!F159&lt;=PERALTE!$AB$26,(10/(PERALTE!$X$26-PERALTE!$AB$26)*(RASANTE!F159-PERALTE!$AB$26)-2))))),IF(F159&lt;=PERALTE!#REF!,-2,"Abscisa fuera de la vía")))))))))))))))))))))</f>
        <v>-2</v>
      </c>
      <c r="J294" s="28">
        <f t="shared" si="13"/>
        <v>1647.5481284648974</v>
      </c>
      <c r="K294" s="28">
        <f>+IF(AND(AV!$S$6&lt;F294,F294&lt;=AV!$T$6),AV!$P$6*((AV!$S$6-RASANTE!F294)/(AV!$N$6))^2,IF(AND(AV!$T$6&lt;RASANTE!F294,F294&lt;AV!$U$6),AV!$P$6*((AV!$U$6-RASANTE!F294)/(AV!$O$6))^2,IF(AND(AV!$S$8&lt;F294,F294&lt;=AV!$T$8),AV!$P$8*((AV!$S$8-RASANTE!F294)/(AV!$N$8))^2,IF(AND(AV!$T$8&lt;RASANTE!F294,F294&lt;AV!$U$8),AV!$P$8*((AV!$U$8-RASANTE!F294)/(AV!$O$8))^2,IF(AND(AV!$S$10&lt;F294,F294&lt;=AV!$T$10),AV!$P$10*((AV!$S$10-RASANTE!F294)/(AV!$N$10))^2,IF(AND(AV!$T$10&lt;RASANTE!F294,F294&lt;AV!$U$10),AV!$P$10*((AV!$U$10-RASANTE!F294)/(AV!$O$10))^2,IF(AND(AV!$S$12&lt;F294,F294&lt;=AV!$T$12),AV!$P$12*((AV!$S$12-RASANTE!F294)/(AV!$N$12))^2,IF(AND(AV!$T$12&lt;RASANTE!F294,F294&lt;AV!$U$12),AV!$P$12*((AV!$U$12-RASANTE!F294)/(AV!$O$12))^2,IF(AND(AV!$S$14&lt;F294,F294&lt;=AV!$T$14),AV!$P$14*((AV!$S$14-RASANTE!F294)/(AV!$N$14))^2,IF(AND(AV!$T$14&lt;RASANTE!F294,F294&lt;AV!$U$14),AV!$P$14*((AV!$U$14-RASANTE!F294)/(AV!$O$14))^2,IF(AND(AV!$S$16&lt;F294,F294&lt;=AV!$T$16),AV!$P$16*((AV!$S$16-RASANTE!F294)/(AV!$N$16))^2,IF(AND(AV!$T$16&lt;RASANTE!F294,F294&lt;AV!$U$16),AV!$P$16*((AV!$U$16-RASANTE!F294)/(AV!$O$16))^2,IF(AND(AV!$S$18&lt;F294,F294&lt;=AV!$T$18),AV!$P$18*((AV!$S$18-RASANTE!F294)/(AV!$N$18))^2,IF(AND(AV!$T$18&lt;RASANTE!F294,F294&lt;AV!$U$18),AV!$P$18*((AV!$U$18-RASANTE!F294)/(AV!$O$18))^2,IF(AND(AV!$S$20&lt;F294,F294&lt;=AV!$T$20),AV!$P$20*((AV!$S$20-RASANTE!F294)/(AV!$N$20))^2,IF(AND(AV!$T$20&lt;RASANTE!F294,F294&lt;AV!$U$20),AV!$P$20*((AV!$U$20-RASANTE!F294)/(AV!$O$20))^2,IF(AND(AV!$S$22&lt;F294,F294&lt;=AV!$T$22),AV!$P$22*((AV!$S$22-RASANTE!F294)/(AV!$N$22))^2,IF(AND(AV!$T$22&lt;RASANTE!F294,F294&lt;AV!$U$22),AV!$P$22*((AV!$U$22-RASANTE!F294)/(AV!$O$22))^2,IF(AND(AV!$S$24&lt;F294,F294&lt;=AV!$T$24),AV!$P$24*((AV!$S$24-RASANTE!F294)/(AV!$N$24))^2,IF(AND(AV!$T$24&lt;RASANTE!F294,F294&lt;AV!$U$24),AV!$P$24*((AV!$U$24-RASANTE!F294)/(AV!$O$24))^2,0))))))))))))))))))))</f>
        <v>0</v>
      </c>
      <c r="L294" s="28">
        <f>+M294+H294%*PERALTE!$C$32</f>
        <v>1647.4781284648975</v>
      </c>
      <c r="M294" s="28">
        <f t="shared" si="15"/>
        <v>1647.5481284648974</v>
      </c>
      <c r="N294" s="28">
        <f>+M294+I294%*PERALTE!$C$32</f>
        <v>1647.4781284648975</v>
      </c>
      <c r="O294" s="92"/>
      <c r="P294" s="84"/>
      <c r="Q294" s="84"/>
      <c r="R294" s="84"/>
      <c r="S294" s="84"/>
      <c r="T294" s="84"/>
      <c r="U294" s="84"/>
      <c r="V294" s="84"/>
      <c r="W294" s="84"/>
      <c r="X294" s="84"/>
      <c r="Y294" s="84"/>
    </row>
    <row r="295" spans="1:25" ht="15.75" customHeight="1" x14ac:dyDescent="0.2">
      <c r="A295" s="322"/>
      <c r="B295" s="86"/>
      <c r="C295" s="86"/>
      <c r="D295" s="86"/>
      <c r="E295" s="91"/>
      <c r="F295" s="34">
        <v>1790</v>
      </c>
      <c r="G295" s="88">
        <v>5.4480000000000004</v>
      </c>
      <c r="H295" s="28">
        <f>+IF(AND(AH!$H$8="Izquierda",RASANTE!F209&lt;=PERALTE!$AB$6),IF(RASANTE!F209&lt;=PERALTE!$S$6,-2,IF(RASANTE!F209&lt;=PERALTE!$U$6,(-6/(PERALTE!$U$6-PERALTE!$S$6)*(RASANTE!F209-PERALTE!$S$6)-2),IF(RASANTE!F209&lt;=PERALTE!$X$6,-8,IF(RASANTE!F209&lt;=PERALTE!$Z$6,(-6/(PERALTE!$X$6-PERALTE!$Z$6)*(RASANTE!F209-PERALTE!$Z$6)-2),IF(RASANTE!F209&lt;=PERALTE!$AB$6,-2))))),IF(AND(AH!$H$8="Derecha",RASANTE!F209&lt;=PERALTE!$AB$6),IF(RASANTE!F209&lt;=PERALTE!$Q$6,-2,IF(RASANTE!F209&lt;=PERALTE!$U$6,(10/(PERALTE!$U$6-PERALTE!$Q$6)*(RASANTE!F209-PERALTE!$Q$6)-2),IF(RASANTE!F209&lt;=PERALTE!$X$6,8,IF(RASANTE!F209&lt;=PERALTE!$AB$6,(10/(PERALTE!$X$6-PERALTE!$AB$6)*(RASANTE!F209-PERALTE!$AB$6)-2))))),IF(AND(AH!$H$10="Izquierda",RASANTE!F209&lt;=PERALTE!$AB$8),IF(RASANTE!F209&lt;=PERALTE!$S$8,-2,IF(RASANTE!F209&lt;=PERALTE!$U$8,(-6/(PERALTE!$U$8-PERALTE!$S$8)*(RASANTE!F209-PERALTE!$S$8)-2),IF(RASANTE!F209&lt;=PERALTE!$X$8,-8,IF(RASANTE!F209&lt;=PERALTE!$Z$8,(-6/(PERALTE!$X$8-PERALTE!$Z$8)*(RASANTE!F209-PERALTE!$Z$8)-2),IF(RASANTE!F209&lt;=PERALTE!$AB$8,-2))))),IF(AND(AH!$H$10="Derecha",RASANTE!F209&lt;=PERALTE!$AB$8),IF(RASANTE!F209&lt;=PERALTE!$Q$8,-2,IF(RASANTE!F209&lt;=PERALTE!$U$8,(10/(PERALTE!$U$8-PERALTE!$Q$8)*(RASANTE!F209-PERALTE!$Q$8)-2),IF(RASANTE!F209&lt;=PERALTE!$X$8,8,IF(RASANTE!F209&lt;=PERALTE!$AB$8,(10/(PERALTE!$X$8-PERALTE!$AB$8)*(RASANTE!F209-PERALTE!$AB$8)-2))))),IF(AND(AH!$H$12="Izquierda",RASANTE!F209&lt;=PERALTE!$AB$10),IF(RASANTE!F209&lt;=PERALTE!$S$10,-2,IF(RASANTE!F209&lt;=PERALTE!$U$10,(-6/(PERALTE!$U$10-PERALTE!$S$10)*(RASANTE!F209-PERALTE!$S$10)-2),IF(RASANTE!F209&lt;=PERALTE!$X$10,-8,IF(RASANTE!F209&lt;=PERALTE!$Z$10,(-6/(PERALTE!$X$10-PERALTE!$Z$10)*(RASANTE!F209-PERALTE!$Z$10)-2),IF(RASANTE!F209&lt;=PERALTE!$AB$10,-2))))),IF(AND(AH!$H$12="Derecha",RASANTE!F209&lt;=PERALTE!$AB$10),IF(RASANTE!F209&lt;=PERALTE!$Q$10,-2,IF(RASANTE!F209&lt;=PERALTE!$U$10,(10/(PERALTE!$U$10-PERALTE!$Q$10)*(RASANTE!F209-PERALTE!$Q$10)-2),IF(RASANTE!F209&lt;=PERALTE!$X$10,8,IF(RASANTE!F209&lt;=PERALTE!$AB$10,(10/(PERALTE!$X$10-PERALTE!$AB$10)*(RASANTE!F209-PERALTE!$AB$10)-2))))),IF(AND(AH!$H$14="Izquierda",RASANTE!F209&lt;=PERALTE!$AB$12),IF(RASANTE!F209&lt;=PERALTE!$S$12,-2,IF(RASANTE!F209&lt;=PERALTE!$U$12,(-6/(PERALTE!$U$12-PERALTE!$S$12)*(RASANTE!F209-PERALTE!$S$12)-2),IF(RASANTE!F209&lt;=PERALTE!$X$12,-8,IF(RASANTE!F209&lt;=PERALTE!$Z$12,(-6/(PERALTE!$X$12-PERALTE!$Z$12)*(RASANTE!F209-PERALTE!$Z$12)-2),IF(RASANTE!F209&lt;=PERALTE!$AB$12,-2))))),IF(AND(AH!$H$14="Derecha",RASANTE!F209&lt;=PERALTE!$AB$12),IF(RASANTE!F209&lt;=PERALTE!$Q$12,-2,IF(RASANTE!F209&lt;=PERALTE!$U$12,(10/(PERALTE!$U$12-PERALTE!$Q$12)*(RASANTE!F209-PERALTE!$Q$12)-2),IF(RASANTE!F209&lt;=PERALTE!$X$12,8,IF(RASANTE!F209&lt;=PERALTE!$AB$12,(10/(PERALTE!$X$12-PERALTE!$AB$12)*(RASANTE!F209-PERALTE!$AB$12)-2))))),IF(AND(AH!$H$16="Izquierda",RASANTE!F209&lt;=PERALTE!$AB$14),IF(RASANTE!F209&lt;=PERALTE!$S$14,-2,IF(RASANTE!F209&lt;=PERALTE!$U$14,(-6/(PERALTE!$U$14-PERALTE!$S$14)*(RASANTE!F209-PERALTE!$S$14)-2),IF(RASANTE!F209&lt;=PERALTE!$X$14,-8,IF(RASANTE!F209&lt;=PERALTE!$Z$14,(-6/(PERALTE!$X$14-PERALTE!$Z$14)*(RASANTE!F209-PERALTE!$Z$14)-2),IF(RASANTE!F209&lt;=PERALTE!$AB$14,-2))))),IF(AND(AH!$H$16="Derecha",RASANTE!F209&lt;=PERALTE!$AB$14),IF(RASANTE!F209&lt;=PERALTE!$Q$14,-2,IF(RASANTE!F209&lt;=PERALTE!$U$14,(10/(PERALTE!$U$14-PERALTE!$Q$14)*(RASANTE!F209-PERALTE!$Q$14)-2),IF(RASANTE!F209&lt;=PERALTE!$X$14,8,IF(RASANTE!F209&lt;=PERALTE!$AB$14,(10/(PERALTE!$X$14-PERALTE!$AB$14)*(RASANTE!F209-PERALTE!$AB$14)-2))))),IF(AND(AH!$H$18="Izquierda",RASANTE!F209&lt;=PERALTE!$AB$16),IF(RASANTE!F209&lt;=PERALTE!$S$16,-2,IF(RASANTE!F209&lt;=PERALTE!$U$16,(-6/(PERALTE!$U$16-PERALTE!$S$16)*(RASANTE!F209-PERALTE!$S$16)-2),IF(RASANTE!F209&lt;=PERALTE!$X$16,-8,IF(RASANTE!F209&lt;=PERALTE!$Z$16,(-6/(PERALTE!$X$16-PERALTE!$Z$16)*(RASANTE!F209-PERALTE!$Z$16)-2),IF(RASANTE!F209&lt;=PERALTE!$AB$16,-2))))),IF(AND(AH!$H$18="Derecha",RASANTE!F209&lt;=PERALTE!$AB$16),IF(RASANTE!F209&lt;=PERALTE!$Q$16,-2,IF(RASANTE!F209&lt;=PERALTE!$U$16,(10/(PERALTE!$U$16-PERALTE!$Q$16)*(RASANTE!F209-PERALTE!$Q$16)-2),IF(RASANTE!F209&lt;=PERALTE!$X$16,8,IF(RASANTE!F209&lt;=PERALTE!$AB$16,(10/(PERALTE!$X$16-PERALTE!$AB$16)*(RASANTE!F209-PERALTE!$AB$16)-2))))),IF(AND(AH!$H$20="Izquierda",RASANTE!F209&lt;=PERALTE!$AB$18),IF(RASANTE!F209&lt;=PERALTE!$S$18,-2,IF(RASANTE!F209&lt;=PERALTE!$U$18,(-6/(PERALTE!$U$18-PERALTE!$S$18)*(RASANTE!F209-PERALTE!$S$18)-2),IF(RASANTE!F209&lt;=PERALTE!$X$18,-8,IF(RASANTE!F209&lt;=PERALTE!$Z$18,(-6/(PERALTE!$X$18-PERALTE!$Z$18)*(RASANTE!F209-PERALTE!$Z$18)-2),IF(RASANTE!F209&lt;=PERALTE!$AB$18,-2))))),IF(AND(AH!$H$20="Derecha",RASANTE!F209&lt;=PERALTE!$AB$18),IF(RASANTE!F209&lt;=PERALTE!$Q$18,-2,IF(RASANTE!F209&lt;=PERALTE!$U$18,(10/(PERALTE!$U$18-PERALTE!$Q$18)*(RASANTE!F209-PERALTE!$Q$18)-2),IF(RASANTE!F209&lt;=PERALTE!$X$18,8,IF(RASANTE!F209&lt;=PERALTE!$AB$18,(10/(PERALTE!$X$18-PERALTE!$AB$18)*(RASANTE!F209-PERALTE!$AB$18)-2))))),IF(AND(AH!$H$24="Izquierda",RASANTE!F209&lt;=PERALTE!$AB$22),IF(RASANTE!F209&lt;=PERALTE!$S$22,-2,IF(RASANTE!F209&lt;=PERALTE!$U$22,(-6/(PERALTE!$U$22-PERALTE!$S$22)*(RASANTE!F209-PERALTE!$S$22)-2),IF(RASANTE!F209&lt;=PERALTE!$X$22,-8,IF(RASANTE!F209&lt;=PERALTE!$Z$22,(-6/(PERALTE!$X$22-PERALTE!$Z$22)*(RASANTE!F209-PERALTE!$Z$22)-2),IF(RASANTE!F209&lt;=PERALTE!$AB$22,-2))))),IF(AND(AH!$H$24="Derecha",RASANTE!F209&lt;=PERALTE!$AB$22),IF(RASANTE!F209&lt;=PERALTE!$Q$22,-2,IF(RASANTE!F209&lt;=PERALTE!$U$22,(10/(PERALTE!$U$22-PERALTE!$Q$22)*(RASANTE!F209-PERALTE!$Q$22)-2),IF(RASANTE!F209&lt;=PERALTE!$X$22,8,IF(RASANTE!F209&lt;=PERALTE!$AB$22,(10/(PERALTE!$X$22-PERALTE!$AB$22)*(RASANTE!F209-PERALTE!$AB$22)-2))))),IF(AND(AH!#REF!="Izquierda",RASANTE!F209&lt;=PERALTE!#REF!),IF(RASANTE!F209&lt;=PERALTE!#REF!,-2,IF(RASANTE!F209&lt;=PERALTE!#REF!,(-6/(PERALTE!#REF!-PERALTE!#REF!)*(RASANTE!F209-PERALTE!#REF!)-2),IF(RASANTE!F209&lt;=PERALTE!#REF!,-8,IF(RASANTE!F209&lt;=PERALTE!#REF!,(-6/(PERALTE!#REF!-PERALTE!#REF!)*(RASANTE!F209-PERALTE!#REF!)-2),IF(RASANTE!F209&lt;=PERALTE!#REF!,-2))))),IF(AND(AH!#REF!="Derecha",RASANTE!F209&lt;=PERALTE!#REF!),IF(RASANTE!F209&lt;=PERALTE!#REF!,-2,IF(RASANTE!F209&lt;=PERALTE!#REF!,(10/(PERALTE!#REF!-PERALTE!#REF!)*(RASANTE!F209-PERALTE!#REF!)-2),IF(RASANTE!F209&lt;=PERALTE!#REF!,8,IF(RASANTE!F209&lt;=PERALTE!#REF!,(10/(PERALTE!#REF!-PERALTE!#REF!)*(RASANTE!F209-PERALTE!#REF!)-2))))),IF(AND(AH!#REF!="Izquierda",RASANTE!F209&lt;=PERALTE!$AB$26),IF(RASANTE!F209&lt;=PERALTE!$S$26,-2,IF(RASANTE!F209&lt;=PERALTE!$U$26,(-6/(PERALTE!$U$26-PERALTE!$S$26)*(RASANTE!F209-PERALTE!$S$26)-2),IF(RASANTE!F209&lt;=PERALTE!$X$26,-8,IF(RASANTE!F209&lt;=PERALTE!$Z$26,(-6/(PERALTE!$X$26-PERALTE!$Z$26)*(RASANTE!F209-PERALTE!$Z$26)-2),IF(RASANTE!F209&lt;=PERALTE!$AB$26,-2))))),IF(AND(AH!#REF!="Derecha",RASANTE!F209&lt;=PERALTE!$AB$26),IF(RASANTE!F209&lt;=PERALTE!$Q$26,-2,IF(RASANTE!F209&lt;=PERALTE!$U$26,(10/(PERALTE!$U$26-PERALTE!$Q$26)*(RASANTE!F209-PERALTE!$Q$26)-2),IF(RASANTE!F209&lt;=PERALTE!$X$26,8,IF(RASANTE!F209&lt;=PERALTE!$AB$26,(10/(PERALTE!$X$26-PERALTE!$AB$26)*(RASANTE!F209-PERALTE!$AB$26)-2))))),IF(F209&lt;=PERALTE!#REF!,-2,"Abscisa fuera de la vía")))))))))))))))))))))</f>
        <v>-2</v>
      </c>
      <c r="I295" s="28">
        <f>+IF(AND(AH!$H$8="Derecha",RASANTE!F160&lt;=PERALTE!$AB$6),IF(RASANTE!F160&lt;=PERALTE!$S$6,-2,IF(RASANTE!F160&lt;=PERALTE!$U$6,(-6/(PERALTE!$U$6-PERALTE!$S$6)*(RASANTE!F160-PERALTE!$S$6)-2),IF(RASANTE!F160&lt;=PERALTE!$X$6,-8,IF(RASANTE!F160&lt;=PERALTE!$Z$6,(-6/(PERALTE!$X$6-PERALTE!$Z$6)*(RASANTE!F160-PERALTE!$Z$6)-2),IF(RASANTE!F160&lt;=PERALTE!$AB$6,-2))))),IF(AND(AH!$H$8="Izquierda",RASANTE!F160&lt;=PERALTE!$AB$6),IF(RASANTE!F160&lt;=PERALTE!$Q$6,-2,IF(RASANTE!F160&lt;=PERALTE!$U$6,(10/(PERALTE!$U$6-PERALTE!$Q$6)*(RASANTE!F160-PERALTE!$Q$6)-2),IF(RASANTE!F160&lt;=PERALTE!$X$6,8,IF(RASANTE!F160&lt;=PERALTE!$AB$6,(10/(PERALTE!$X$6-PERALTE!$AB$6)*(RASANTE!F160-PERALTE!$AB$6)-2))))),IF(AND(AH!$H$10="Derecha",RASANTE!F160&lt;=PERALTE!$AB$8),IF(RASANTE!F160&lt;=PERALTE!$S$8,-2,IF(RASANTE!F160&lt;=PERALTE!$U$8,(-6/(PERALTE!$U$8-PERALTE!$S$8)*(RASANTE!F160-PERALTE!$S$8)-2),IF(RASANTE!F160&lt;=PERALTE!$X$8,-8,IF(RASANTE!F160&lt;=PERALTE!$Z$8,(-6/(PERALTE!$X$8-PERALTE!$Z$8)*(RASANTE!F160-PERALTE!$Z$8)-2),IF(RASANTE!F160&lt;=PERALTE!$AB$8,-2))))),IF(AND(AH!$H$10="Izquierda",RASANTE!F160&lt;=PERALTE!$AB$8),IF(RASANTE!F160&lt;=PERALTE!$Q$8,-2,IF(RASANTE!F160&lt;=PERALTE!$U$8,(10/(PERALTE!$U$8-PERALTE!$Q$8)*(RASANTE!F160-PERALTE!$Q$8)-2),IF(RASANTE!F160&lt;=PERALTE!$X$8,8,IF(RASANTE!F160&lt;=PERALTE!$AB$8,(10/(PERALTE!$X$8-PERALTE!$AB$8)*(RASANTE!F160-PERALTE!$AB$8)-2))))),IF(AND(AH!$H$12="Derecha",RASANTE!F160&lt;=PERALTE!$AB$10),IF(RASANTE!F160&lt;=PERALTE!$S$10,-2,IF(RASANTE!F160&lt;=PERALTE!$U$10,(-6/(PERALTE!$U$10-PERALTE!$S$10)*(RASANTE!F160-PERALTE!$S$10)-2),IF(RASANTE!F160&lt;=PERALTE!$X$10,-8,IF(RASANTE!F160&lt;=PERALTE!$Z$10,(-6/(PERALTE!$X$10-PERALTE!$Z$10)*(RASANTE!F160-PERALTE!$Z$10)-2),IF(RASANTE!F160&lt;=PERALTE!$AB$10,-2))))),IF(AND(AH!$H$12="Izquierda",RASANTE!F160&lt;=PERALTE!$AB$10),IF(RASANTE!F160&lt;=PERALTE!$Q$10,-2,IF(RASANTE!F160&lt;=PERALTE!$U$10,(10/(PERALTE!$U$10-PERALTE!$Q$10)*(RASANTE!F160-PERALTE!$Q$10)-2),IF(RASANTE!F160&lt;=PERALTE!$X$10,8,IF(RASANTE!F160&lt;=PERALTE!$AB$10,(10/(PERALTE!$X$10-PERALTE!$AB$10)*(RASANTE!F160-PERALTE!$AB$10)-2))))),IF(AND(AH!$H$14="Derecha",RASANTE!F160&lt;=PERALTE!$AB$12),IF(RASANTE!F160&lt;=PERALTE!$S$12,-2,IF(RASANTE!F160&lt;=PERALTE!$U$12,(-6/(PERALTE!$U$12-PERALTE!$S$12)*(RASANTE!F160-PERALTE!$S$12)-2),IF(RASANTE!F160&lt;=PERALTE!$X$12,-8,IF(RASANTE!F160&lt;=PERALTE!$Z$12,(-6/(PERALTE!$X$12-PERALTE!$Z$12)*(RASANTE!F160-PERALTE!$Z$12)-2),IF(RASANTE!F160&lt;=PERALTE!$AB$12,-2))))),IF(AND(AH!$H$14="Izquierda",RASANTE!F160&lt;=PERALTE!$AB$12),IF(RASANTE!F160&lt;=PERALTE!$Q$12,-2,IF(RASANTE!F160&lt;=PERALTE!$U$12,(10/(PERALTE!$U$12-PERALTE!$Q$12)*(RASANTE!F160-PERALTE!$Q$12)-2),IF(RASANTE!F160&lt;=PERALTE!$X$12,8,IF(RASANTE!F160&lt;=PERALTE!$AB$12,(10/(PERALTE!$X$12-PERALTE!$AB$12)*(RASANTE!F160-PERALTE!$AB$12)-2))))),IF(AND(AH!$H$16="Derecha",RASANTE!F160&lt;=PERALTE!$AB$14),IF(RASANTE!F160&lt;=PERALTE!$S$14,-2,IF(RASANTE!F160&lt;=PERALTE!$U$14,(-6/(PERALTE!$U$14-PERALTE!$S$14)*(RASANTE!F160-PERALTE!$S$14)-2),IF(RASANTE!F160&lt;=PERALTE!$X$14,-8,IF(RASANTE!F160&lt;=PERALTE!$Z$14,(-6/(PERALTE!$X$14-PERALTE!$Z$14)*(RASANTE!F160-PERALTE!$Z$14)-2),IF(RASANTE!F160&lt;=PERALTE!$AB$14,-2))))),IF(AND(AH!$H$16="Izquierda",RASANTE!F160&lt;=PERALTE!$AB$14),IF(RASANTE!F160&lt;=PERALTE!$Q$14,-2,IF(RASANTE!F160&lt;=PERALTE!$U$14,(10/(PERALTE!$U$14-PERALTE!$Q$14)*(RASANTE!F160-PERALTE!$Q$14)-2),IF(RASANTE!F160&lt;=PERALTE!$X$14,8,IF(RASANTE!F160&lt;=PERALTE!$AB$14,(10/(PERALTE!$X$14-PERALTE!$AB$14)*(RASANTE!F160-PERALTE!$AB$14)-2))))),IF(AND(AH!$H$18="Derecha",RASANTE!F160&lt;=PERALTE!$AB$16),IF(RASANTE!F160&lt;=PERALTE!$S$16,-2,IF(RASANTE!F160&lt;=PERALTE!$U$16,(-6/(PERALTE!$U$16-PERALTE!$S$16)*(RASANTE!F160-PERALTE!$S$16)-2),IF(RASANTE!F160&lt;=PERALTE!$X$16,-8,IF(RASANTE!F160&lt;=PERALTE!$Z$16,(-6/(PERALTE!$X$16-PERALTE!$Z$16)*(RASANTE!F160-PERALTE!$Z$16)-2),IF(RASANTE!F160&lt;=PERALTE!$AB$16,-2))))),IF(AND(AH!$H$18="Izquierda",RASANTE!F160&lt;=PERALTE!$AB$16),IF(RASANTE!F160&lt;=PERALTE!$Q$16,-2,IF(RASANTE!F160&lt;=PERALTE!$U$16,(10/(PERALTE!$U$16-PERALTE!$Q$16)*(RASANTE!F160-PERALTE!$Q$16)-2),IF(RASANTE!F160&lt;=PERALTE!$X$16,8,IF(RASANTE!F160&lt;=PERALTE!$AB$16,(10/(PERALTE!$X$16-PERALTE!$AB$16)*(RASANTE!F160-PERALTE!$AB$16)-2))))),IF(AND(AH!$H$20="Derecha",RASANTE!F160&lt;=PERALTE!$AB$18),IF(RASANTE!F160&lt;=PERALTE!$S$18,-2,IF(RASANTE!F160&lt;=PERALTE!$U$18,(-6/(PERALTE!$U$18-PERALTE!$S$18)*(RASANTE!F160-PERALTE!$S$18)-2),IF(RASANTE!F160&lt;=PERALTE!$X$18,-8,IF(RASANTE!F160&lt;=PERALTE!$Z$18,(-6/(PERALTE!$X$18-PERALTE!$Z$18)*(RASANTE!F160-PERALTE!$Z$18)-2),IF(RASANTE!F160&lt;=PERALTE!$AB$18,-2))))),IF(AND(AH!$H$20="Izquierda",RASANTE!F160&lt;=PERALTE!$AB$18),IF(RASANTE!F160&lt;=PERALTE!$Q$18,-2,IF(RASANTE!F160&lt;=PERALTE!$U$18,(10/(PERALTE!$U$18-PERALTE!$Q$18)*(RASANTE!F160-PERALTE!$Q$18)-2),IF(RASANTE!F160&lt;=PERALTE!$X$18,8,IF(RASANTE!F160&lt;=PERALTE!$AB$18,(10/(PERALTE!$X$18-PERALTE!$AB$18)*(RASANTE!F160-PERALTE!$AB$18)-2))))),IF(AND(AH!$H$24="Derecha",RASANTE!F160&lt;=PERALTE!$AB$22),IF(RASANTE!F160&lt;=PERALTE!$S$22,-2,IF(RASANTE!F160&lt;=PERALTE!$U$22,(-6/(PERALTE!$U$22-PERALTE!$S$22)*(RASANTE!F160-PERALTE!$S$22)-2),IF(RASANTE!F160&lt;=PERALTE!$X$22,-8,IF(RASANTE!F160&lt;=PERALTE!$Z$22,(-6/(PERALTE!$X$22-PERALTE!$Z$22)*(RASANTE!F160-PERALTE!$Z$22)-2),IF(RASANTE!F160&lt;=PERALTE!$AB$22,-2))))),IF(AND(AH!$H$24="Izquierda",RASANTE!F160&lt;=PERALTE!$AB$22),IF(RASANTE!F160&lt;=PERALTE!$Q$22,-2,IF(RASANTE!F160&lt;=PERALTE!$U$22,(10/(PERALTE!$U$22-PERALTE!$Q$22)*(RASANTE!F160-PERALTE!$Q$22)-2),IF(RASANTE!F160&lt;=PERALTE!$X$22,8,IF(RASANTE!F160&lt;=PERALTE!$AB$22,(10/(PERALTE!$X$22-PERALTE!$AB$22)*(RASANTE!F160-PERALTE!$AB$22)-2))))),IF(AND(AH!#REF!="Derecha",RASANTE!F160&lt;=PERALTE!#REF!),IF(RASANTE!F160&lt;=PERALTE!#REF!,-2,IF(RASANTE!F160&lt;=PERALTE!#REF!,(-6/(PERALTE!#REF!-PERALTE!#REF!)*(RASANTE!F160-PERALTE!#REF!)-2),IF(RASANTE!F160&lt;=PERALTE!#REF!,-8,IF(RASANTE!F160&lt;=PERALTE!#REF!,(-6/(PERALTE!#REF!-PERALTE!#REF!)*(RASANTE!F160-PERALTE!#REF!)-2),IF(RASANTE!F160&lt;=PERALTE!#REF!,-2))))),IF(AND(AH!#REF!="Izquierda",RASANTE!F160&lt;=PERALTE!#REF!),IF(RASANTE!F160&lt;=PERALTE!#REF!,-2,IF(RASANTE!F160&lt;=PERALTE!#REF!,(10/(PERALTE!#REF!-PERALTE!#REF!)*(RASANTE!F160-PERALTE!#REF!)-2),IF(RASANTE!F160&lt;=PERALTE!#REF!,8,IF(RASANTE!F160&lt;=PERALTE!#REF!,(10/(PERALTE!#REF!-PERALTE!#REF!)*(RASANTE!F160-PERALTE!#REF!)-2))))),IF(AND(AH!#REF!="Derecha",RASANTE!F160&lt;=PERALTE!$AB$26),IF(RASANTE!F160&lt;=PERALTE!$S$26,-2,IF(RASANTE!F160&lt;=PERALTE!$U$26,(-6/(PERALTE!$U$26-PERALTE!$S$26)*(RASANTE!F160-PERALTE!$S$26)-2),IF(RASANTE!F160&lt;=PERALTE!$X$26,-8,IF(RASANTE!F160&lt;=PERALTE!$Z$26,(-6/(PERALTE!$X$26-PERALTE!$Z$26)*(RASANTE!F160-PERALTE!$Z$26)-2),IF(RASANTE!F160&lt;=PERALTE!$AB$26,-2))))),IF(AND(AH!#REF!="Izquierda",RASANTE!F160&lt;=PERALTE!$AB$26),IF(RASANTE!F160&lt;=PERALTE!$Q$26,-2,IF(RASANTE!F160&lt;=PERALTE!$U$26,(10/(PERALTE!$U$26-PERALTE!$Q$26)*(RASANTE!F160-PERALTE!$Q$26)-2),IF(RASANTE!F160&lt;=PERALTE!$X$26,8,IF(RASANTE!F160&lt;=PERALTE!$AB$26,(10/(PERALTE!$X$26-PERALTE!$AB$26)*(RASANTE!F160-PERALTE!$AB$26)-2))))),IF(F160&lt;=PERALTE!#REF!,-2,"Abscisa fuera de la vía")))))))))))))))))))))</f>
        <v>-2</v>
      </c>
      <c r="J295" s="28">
        <f t="shared" si="13"/>
        <v>1648.0929284648973</v>
      </c>
      <c r="K295" s="28">
        <f>+IF(AND(AV!$S$6&lt;F295,F295&lt;=AV!$T$6),AV!$P$6*((AV!$S$6-RASANTE!F295)/(AV!$N$6))^2,IF(AND(AV!$T$6&lt;RASANTE!F295,F295&lt;AV!$U$6),AV!$P$6*((AV!$U$6-RASANTE!F295)/(AV!$O$6))^2,IF(AND(AV!$S$8&lt;F295,F295&lt;=AV!$T$8),AV!$P$8*((AV!$S$8-RASANTE!F295)/(AV!$N$8))^2,IF(AND(AV!$T$8&lt;RASANTE!F295,F295&lt;AV!$U$8),AV!$P$8*((AV!$U$8-RASANTE!F295)/(AV!$O$8))^2,IF(AND(AV!$S$10&lt;F295,F295&lt;=AV!$T$10),AV!$P$10*((AV!$S$10-RASANTE!F295)/(AV!$N$10))^2,IF(AND(AV!$T$10&lt;RASANTE!F295,F295&lt;AV!$U$10),AV!$P$10*((AV!$U$10-RASANTE!F295)/(AV!$O$10))^2,IF(AND(AV!$S$12&lt;F295,F295&lt;=AV!$T$12),AV!$P$12*((AV!$S$12-RASANTE!F295)/(AV!$N$12))^2,IF(AND(AV!$T$12&lt;RASANTE!F295,F295&lt;AV!$U$12),AV!$P$12*((AV!$U$12-RASANTE!F295)/(AV!$O$12))^2,IF(AND(AV!$S$14&lt;F295,F295&lt;=AV!$T$14),AV!$P$14*((AV!$S$14-RASANTE!F295)/(AV!$N$14))^2,IF(AND(AV!$T$14&lt;RASANTE!F295,F295&lt;AV!$U$14),AV!$P$14*((AV!$U$14-RASANTE!F295)/(AV!$O$14))^2,IF(AND(AV!$S$16&lt;F295,F295&lt;=AV!$T$16),AV!$P$16*((AV!$S$16-RASANTE!F295)/(AV!$N$16))^2,IF(AND(AV!$T$16&lt;RASANTE!F295,F295&lt;AV!$U$16),AV!$P$16*((AV!$U$16-RASANTE!F295)/(AV!$O$16))^2,IF(AND(AV!$S$18&lt;F295,F295&lt;=AV!$T$18),AV!$P$18*((AV!$S$18-RASANTE!F295)/(AV!$N$18))^2,IF(AND(AV!$T$18&lt;RASANTE!F295,F295&lt;AV!$U$18),AV!$P$18*((AV!$U$18-RASANTE!F295)/(AV!$O$18))^2,IF(AND(AV!$S$20&lt;F295,F295&lt;=AV!$T$20),AV!$P$20*((AV!$S$20-RASANTE!F295)/(AV!$N$20))^2,IF(AND(AV!$T$20&lt;RASANTE!F295,F295&lt;AV!$U$20),AV!$P$20*((AV!$U$20-RASANTE!F295)/(AV!$O$20))^2,IF(AND(AV!$S$22&lt;F295,F295&lt;=AV!$T$22),AV!$P$22*((AV!$S$22-RASANTE!F295)/(AV!$N$22))^2,IF(AND(AV!$T$22&lt;RASANTE!F295,F295&lt;AV!$U$22),AV!$P$22*((AV!$U$22-RASANTE!F295)/(AV!$O$22))^2,IF(AND(AV!$S$24&lt;F295,F295&lt;=AV!$T$24),AV!$P$24*((AV!$S$24-RASANTE!F295)/(AV!$N$24))^2,IF(AND(AV!$T$24&lt;RASANTE!F295,F295&lt;AV!$U$24),AV!$P$24*((AV!$U$24-RASANTE!F295)/(AV!$O$24))^2,0))))))))))))))))))))</f>
        <v>0</v>
      </c>
      <c r="L295" s="28">
        <f>+M295+H295%*PERALTE!$C$32</f>
        <v>1648.0229284648974</v>
      </c>
      <c r="M295" s="28">
        <f t="shared" si="15"/>
        <v>1648.0929284648973</v>
      </c>
      <c r="N295" s="28">
        <f>+M295+I295%*PERALTE!$C$32</f>
        <v>1648.0229284648974</v>
      </c>
      <c r="O295" s="92"/>
      <c r="P295" s="84"/>
      <c r="Q295" s="84"/>
      <c r="R295" s="84"/>
      <c r="S295" s="84"/>
      <c r="T295" s="84"/>
      <c r="U295" s="84"/>
      <c r="V295" s="84"/>
      <c r="W295" s="84"/>
      <c r="X295" s="84"/>
      <c r="Y295" s="84"/>
    </row>
    <row r="296" spans="1:25" ht="15.75" customHeight="1" x14ac:dyDescent="0.2">
      <c r="A296" s="322"/>
      <c r="B296" s="86"/>
      <c r="C296" s="86"/>
      <c r="D296" s="86"/>
      <c r="F296" s="34">
        <v>1800</v>
      </c>
      <c r="G296" s="88">
        <v>5.4480000000000004</v>
      </c>
      <c r="H296" s="28">
        <f>+IF(AND(AH!$H$8="Izquierda",RASANTE!F210&lt;=PERALTE!$AB$6),IF(RASANTE!F210&lt;=PERALTE!$S$6,-2,IF(RASANTE!F210&lt;=PERALTE!$U$6,(-6/(PERALTE!$U$6-PERALTE!$S$6)*(RASANTE!F210-PERALTE!$S$6)-2),IF(RASANTE!F210&lt;=PERALTE!$X$6,-8,IF(RASANTE!F210&lt;=PERALTE!$Z$6,(-6/(PERALTE!$X$6-PERALTE!$Z$6)*(RASANTE!F210-PERALTE!$Z$6)-2),IF(RASANTE!F210&lt;=PERALTE!$AB$6,-2))))),IF(AND(AH!$H$8="Derecha",RASANTE!F210&lt;=PERALTE!$AB$6),IF(RASANTE!F210&lt;=PERALTE!$Q$6,-2,IF(RASANTE!F210&lt;=PERALTE!$U$6,(10/(PERALTE!$U$6-PERALTE!$Q$6)*(RASANTE!F210-PERALTE!$Q$6)-2),IF(RASANTE!F210&lt;=PERALTE!$X$6,8,IF(RASANTE!F210&lt;=PERALTE!$AB$6,(10/(PERALTE!$X$6-PERALTE!$AB$6)*(RASANTE!F210-PERALTE!$AB$6)-2))))),IF(AND(AH!$H$10="Izquierda",RASANTE!F210&lt;=PERALTE!$AB$8),IF(RASANTE!F210&lt;=PERALTE!$S$8,-2,IF(RASANTE!F210&lt;=PERALTE!$U$8,(-6/(PERALTE!$U$8-PERALTE!$S$8)*(RASANTE!F210-PERALTE!$S$8)-2),IF(RASANTE!F210&lt;=PERALTE!$X$8,-8,IF(RASANTE!F210&lt;=PERALTE!$Z$8,(-6/(PERALTE!$X$8-PERALTE!$Z$8)*(RASANTE!F210-PERALTE!$Z$8)-2),IF(RASANTE!F210&lt;=PERALTE!$AB$8,-2))))),IF(AND(AH!$H$10="Derecha",RASANTE!F210&lt;=PERALTE!$AB$8),IF(RASANTE!F210&lt;=PERALTE!$Q$8,-2,IF(RASANTE!F210&lt;=PERALTE!$U$8,(10/(PERALTE!$U$8-PERALTE!$Q$8)*(RASANTE!F210-PERALTE!$Q$8)-2),IF(RASANTE!F210&lt;=PERALTE!$X$8,8,IF(RASANTE!F210&lt;=PERALTE!$AB$8,(10/(PERALTE!$X$8-PERALTE!$AB$8)*(RASANTE!F210-PERALTE!$AB$8)-2))))),IF(AND(AH!$H$12="Izquierda",RASANTE!F210&lt;=PERALTE!$AB$10),IF(RASANTE!F210&lt;=PERALTE!$S$10,-2,IF(RASANTE!F210&lt;=PERALTE!$U$10,(-6/(PERALTE!$U$10-PERALTE!$S$10)*(RASANTE!F210-PERALTE!$S$10)-2),IF(RASANTE!F210&lt;=PERALTE!$X$10,-8,IF(RASANTE!F210&lt;=PERALTE!$Z$10,(-6/(PERALTE!$X$10-PERALTE!$Z$10)*(RASANTE!F210-PERALTE!$Z$10)-2),IF(RASANTE!F210&lt;=PERALTE!$AB$10,-2))))),IF(AND(AH!$H$12="Derecha",RASANTE!F210&lt;=PERALTE!$AB$10),IF(RASANTE!F210&lt;=PERALTE!$Q$10,-2,IF(RASANTE!F210&lt;=PERALTE!$U$10,(10/(PERALTE!$U$10-PERALTE!$Q$10)*(RASANTE!F210-PERALTE!$Q$10)-2),IF(RASANTE!F210&lt;=PERALTE!$X$10,8,IF(RASANTE!F210&lt;=PERALTE!$AB$10,(10/(PERALTE!$X$10-PERALTE!$AB$10)*(RASANTE!F210-PERALTE!$AB$10)-2))))),IF(AND(AH!$H$14="Izquierda",RASANTE!F210&lt;=PERALTE!$AB$12),IF(RASANTE!F210&lt;=PERALTE!$S$12,-2,IF(RASANTE!F210&lt;=PERALTE!$U$12,(-6/(PERALTE!$U$12-PERALTE!$S$12)*(RASANTE!F210-PERALTE!$S$12)-2),IF(RASANTE!F210&lt;=PERALTE!$X$12,-8,IF(RASANTE!F210&lt;=PERALTE!$Z$12,(-6/(PERALTE!$X$12-PERALTE!$Z$12)*(RASANTE!F210-PERALTE!$Z$12)-2),IF(RASANTE!F210&lt;=PERALTE!$AB$12,-2))))),IF(AND(AH!$H$14="Derecha",RASANTE!F210&lt;=PERALTE!$AB$12),IF(RASANTE!F210&lt;=PERALTE!$Q$12,-2,IF(RASANTE!F210&lt;=PERALTE!$U$12,(10/(PERALTE!$U$12-PERALTE!$Q$12)*(RASANTE!F210-PERALTE!$Q$12)-2),IF(RASANTE!F210&lt;=PERALTE!$X$12,8,IF(RASANTE!F210&lt;=PERALTE!$AB$12,(10/(PERALTE!$X$12-PERALTE!$AB$12)*(RASANTE!F210-PERALTE!$AB$12)-2))))),IF(AND(AH!$H$16="Izquierda",RASANTE!F210&lt;=PERALTE!$AB$14),IF(RASANTE!F210&lt;=PERALTE!$S$14,-2,IF(RASANTE!F210&lt;=PERALTE!$U$14,(-6/(PERALTE!$U$14-PERALTE!$S$14)*(RASANTE!F210-PERALTE!$S$14)-2),IF(RASANTE!F210&lt;=PERALTE!$X$14,-8,IF(RASANTE!F210&lt;=PERALTE!$Z$14,(-6/(PERALTE!$X$14-PERALTE!$Z$14)*(RASANTE!F210-PERALTE!$Z$14)-2),IF(RASANTE!F210&lt;=PERALTE!$AB$14,-2))))),IF(AND(AH!$H$16="Derecha",RASANTE!F210&lt;=PERALTE!$AB$14),IF(RASANTE!F210&lt;=PERALTE!$Q$14,-2,IF(RASANTE!F210&lt;=PERALTE!$U$14,(10/(PERALTE!$U$14-PERALTE!$Q$14)*(RASANTE!F210-PERALTE!$Q$14)-2),IF(RASANTE!F210&lt;=PERALTE!$X$14,8,IF(RASANTE!F210&lt;=PERALTE!$AB$14,(10/(PERALTE!$X$14-PERALTE!$AB$14)*(RASANTE!F210-PERALTE!$AB$14)-2))))),IF(AND(AH!$H$18="Izquierda",RASANTE!F210&lt;=PERALTE!$AB$16),IF(RASANTE!F210&lt;=PERALTE!$S$16,-2,IF(RASANTE!F210&lt;=PERALTE!$U$16,(-6/(PERALTE!$U$16-PERALTE!$S$16)*(RASANTE!F210-PERALTE!$S$16)-2),IF(RASANTE!F210&lt;=PERALTE!$X$16,-8,IF(RASANTE!F210&lt;=PERALTE!$Z$16,(-6/(PERALTE!$X$16-PERALTE!$Z$16)*(RASANTE!F210-PERALTE!$Z$16)-2),IF(RASANTE!F210&lt;=PERALTE!$AB$16,-2))))),IF(AND(AH!$H$18="Derecha",RASANTE!F210&lt;=PERALTE!$AB$16),IF(RASANTE!F210&lt;=PERALTE!$Q$16,-2,IF(RASANTE!F210&lt;=PERALTE!$U$16,(10/(PERALTE!$U$16-PERALTE!$Q$16)*(RASANTE!F210-PERALTE!$Q$16)-2),IF(RASANTE!F210&lt;=PERALTE!$X$16,8,IF(RASANTE!F210&lt;=PERALTE!$AB$16,(10/(PERALTE!$X$16-PERALTE!$AB$16)*(RASANTE!F210-PERALTE!$AB$16)-2))))),IF(AND(AH!$H$20="Izquierda",RASANTE!F210&lt;=PERALTE!$AB$18),IF(RASANTE!F210&lt;=PERALTE!$S$18,-2,IF(RASANTE!F210&lt;=PERALTE!$U$18,(-6/(PERALTE!$U$18-PERALTE!$S$18)*(RASANTE!F210-PERALTE!$S$18)-2),IF(RASANTE!F210&lt;=PERALTE!$X$18,-8,IF(RASANTE!F210&lt;=PERALTE!$Z$18,(-6/(PERALTE!$X$18-PERALTE!$Z$18)*(RASANTE!F210-PERALTE!$Z$18)-2),IF(RASANTE!F210&lt;=PERALTE!$AB$18,-2))))),IF(AND(AH!$H$20="Derecha",RASANTE!F210&lt;=PERALTE!$AB$18),IF(RASANTE!F210&lt;=PERALTE!$Q$18,-2,IF(RASANTE!F210&lt;=PERALTE!$U$18,(10/(PERALTE!$U$18-PERALTE!$Q$18)*(RASANTE!F210-PERALTE!$Q$18)-2),IF(RASANTE!F210&lt;=PERALTE!$X$18,8,IF(RASANTE!F210&lt;=PERALTE!$AB$18,(10/(PERALTE!$X$18-PERALTE!$AB$18)*(RASANTE!F210-PERALTE!$AB$18)-2))))),IF(AND(AH!$H$24="Izquierda",RASANTE!F210&lt;=PERALTE!$AB$22),IF(RASANTE!F210&lt;=PERALTE!$S$22,-2,IF(RASANTE!F210&lt;=PERALTE!$U$22,(-6/(PERALTE!$U$22-PERALTE!$S$22)*(RASANTE!F210-PERALTE!$S$22)-2),IF(RASANTE!F210&lt;=PERALTE!$X$22,-8,IF(RASANTE!F210&lt;=PERALTE!$Z$22,(-6/(PERALTE!$X$22-PERALTE!$Z$22)*(RASANTE!F210-PERALTE!$Z$22)-2),IF(RASANTE!F210&lt;=PERALTE!$AB$22,-2))))),IF(AND(AH!$H$24="Derecha",RASANTE!F210&lt;=PERALTE!$AB$22),IF(RASANTE!F210&lt;=PERALTE!$Q$22,-2,IF(RASANTE!F210&lt;=PERALTE!$U$22,(10/(PERALTE!$U$22-PERALTE!$Q$22)*(RASANTE!F210-PERALTE!$Q$22)-2),IF(RASANTE!F210&lt;=PERALTE!$X$22,8,IF(RASANTE!F210&lt;=PERALTE!$AB$22,(10/(PERALTE!$X$22-PERALTE!$AB$22)*(RASANTE!F210-PERALTE!$AB$22)-2))))),IF(AND(AH!#REF!="Izquierda",RASANTE!F210&lt;=PERALTE!#REF!),IF(RASANTE!F210&lt;=PERALTE!#REF!,-2,IF(RASANTE!F210&lt;=PERALTE!#REF!,(-6/(PERALTE!#REF!-PERALTE!#REF!)*(RASANTE!F210-PERALTE!#REF!)-2),IF(RASANTE!F210&lt;=PERALTE!#REF!,-8,IF(RASANTE!F210&lt;=PERALTE!#REF!,(-6/(PERALTE!#REF!-PERALTE!#REF!)*(RASANTE!F210-PERALTE!#REF!)-2),IF(RASANTE!F210&lt;=PERALTE!#REF!,-2))))),IF(AND(AH!#REF!="Derecha",RASANTE!F210&lt;=PERALTE!#REF!),IF(RASANTE!F210&lt;=PERALTE!#REF!,-2,IF(RASANTE!F210&lt;=PERALTE!#REF!,(10/(PERALTE!#REF!-PERALTE!#REF!)*(RASANTE!F210-PERALTE!#REF!)-2),IF(RASANTE!F210&lt;=PERALTE!#REF!,8,IF(RASANTE!F210&lt;=PERALTE!#REF!,(10/(PERALTE!#REF!-PERALTE!#REF!)*(RASANTE!F210-PERALTE!#REF!)-2))))),IF(AND(AH!#REF!="Izquierda",RASANTE!F210&lt;=PERALTE!$AB$26),IF(RASANTE!F210&lt;=PERALTE!$S$26,-2,IF(RASANTE!F210&lt;=PERALTE!$U$26,(-6/(PERALTE!$U$26-PERALTE!$S$26)*(RASANTE!F210-PERALTE!$S$26)-2),IF(RASANTE!F210&lt;=PERALTE!$X$26,-8,IF(RASANTE!F210&lt;=PERALTE!$Z$26,(-6/(PERALTE!$X$26-PERALTE!$Z$26)*(RASANTE!F210-PERALTE!$Z$26)-2),IF(RASANTE!F210&lt;=PERALTE!$AB$26,-2))))),IF(AND(AH!#REF!="Derecha",RASANTE!F210&lt;=PERALTE!$AB$26),IF(RASANTE!F210&lt;=PERALTE!$Q$26,-2,IF(RASANTE!F210&lt;=PERALTE!$U$26,(10/(PERALTE!$U$26-PERALTE!$Q$26)*(RASANTE!F210-PERALTE!$Q$26)-2),IF(RASANTE!F210&lt;=PERALTE!$X$26,8,IF(RASANTE!F210&lt;=PERALTE!$AB$26,(10/(PERALTE!$X$26-PERALTE!$AB$26)*(RASANTE!F210-PERALTE!$AB$26)-2))))),IF(F210&lt;=PERALTE!#REF!,-2,"Abscisa fuera de la vía")))))))))))))))))))))</f>
        <v>-2</v>
      </c>
      <c r="I296" s="28">
        <f>+IF(AND(AH!$H$8="Derecha",RASANTE!F161&lt;=PERALTE!$AB$6),IF(RASANTE!F161&lt;=PERALTE!$S$6,-2,IF(RASANTE!F161&lt;=PERALTE!$U$6,(-6/(PERALTE!$U$6-PERALTE!$S$6)*(RASANTE!F161-PERALTE!$S$6)-2),IF(RASANTE!F161&lt;=PERALTE!$X$6,-8,IF(RASANTE!F161&lt;=PERALTE!$Z$6,(-6/(PERALTE!$X$6-PERALTE!$Z$6)*(RASANTE!F161-PERALTE!$Z$6)-2),IF(RASANTE!F161&lt;=PERALTE!$AB$6,-2))))),IF(AND(AH!$H$8="Izquierda",RASANTE!F161&lt;=PERALTE!$AB$6),IF(RASANTE!F161&lt;=PERALTE!$Q$6,-2,IF(RASANTE!F161&lt;=PERALTE!$U$6,(10/(PERALTE!$U$6-PERALTE!$Q$6)*(RASANTE!F161-PERALTE!$Q$6)-2),IF(RASANTE!F161&lt;=PERALTE!$X$6,8,IF(RASANTE!F161&lt;=PERALTE!$AB$6,(10/(PERALTE!$X$6-PERALTE!$AB$6)*(RASANTE!F161-PERALTE!$AB$6)-2))))),IF(AND(AH!$H$10="Derecha",RASANTE!F161&lt;=PERALTE!$AB$8),IF(RASANTE!F161&lt;=PERALTE!$S$8,-2,IF(RASANTE!F161&lt;=PERALTE!$U$8,(-6/(PERALTE!$U$8-PERALTE!$S$8)*(RASANTE!F161-PERALTE!$S$8)-2),IF(RASANTE!F161&lt;=PERALTE!$X$8,-8,IF(RASANTE!F161&lt;=PERALTE!$Z$8,(-6/(PERALTE!$X$8-PERALTE!$Z$8)*(RASANTE!F161-PERALTE!$Z$8)-2),IF(RASANTE!F161&lt;=PERALTE!$AB$8,-2))))),IF(AND(AH!$H$10="Izquierda",RASANTE!F161&lt;=PERALTE!$AB$8),IF(RASANTE!F161&lt;=PERALTE!$Q$8,-2,IF(RASANTE!F161&lt;=PERALTE!$U$8,(10/(PERALTE!$U$8-PERALTE!$Q$8)*(RASANTE!F161-PERALTE!$Q$8)-2),IF(RASANTE!F161&lt;=PERALTE!$X$8,8,IF(RASANTE!F161&lt;=PERALTE!$AB$8,(10/(PERALTE!$X$8-PERALTE!$AB$8)*(RASANTE!F161-PERALTE!$AB$8)-2))))),IF(AND(AH!$H$12="Derecha",RASANTE!F161&lt;=PERALTE!$AB$10),IF(RASANTE!F161&lt;=PERALTE!$S$10,-2,IF(RASANTE!F161&lt;=PERALTE!$U$10,(-6/(PERALTE!$U$10-PERALTE!$S$10)*(RASANTE!F161-PERALTE!$S$10)-2),IF(RASANTE!F161&lt;=PERALTE!$X$10,-8,IF(RASANTE!F161&lt;=PERALTE!$Z$10,(-6/(PERALTE!$X$10-PERALTE!$Z$10)*(RASANTE!F161-PERALTE!$Z$10)-2),IF(RASANTE!F161&lt;=PERALTE!$AB$10,-2))))),IF(AND(AH!$H$12="Izquierda",RASANTE!F161&lt;=PERALTE!$AB$10),IF(RASANTE!F161&lt;=PERALTE!$Q$10,-2,IF(RASANTE!F161&lt;=PERALTE!$U$10,(10/(PERALTE!$U$10-PERALTE!$Q$10)*(RASANTE!F161-PERALTE!$Q$10)-2),IF(RASANTE!F161&lt;=PERALTE!$X$10,8,IF(RASANTE!F161&lt;=PERALTE!$AB$10,(10/(PERALTE!$X$10-PERALTE!$AB$10)*(RASANTE!F161-PERALTE!$AB$10)-2))))),IF(AND(AH!$H$14="Derecha",RASANTE!F161&lt;=PERALTE!$AB$12),IF(RASANTE!F161&lt;=PERALTE!$S$12,-2,IF(RASANTE!F161&lt;=PERALTE!$U$12,(-6/(PERALTE!$U$12-PERALTE!$S$12)*(RASANTE!F161-PERALTE!$S$12)-2),IF(RASANTE!F161&lt;=PERALTE!$X$12,-8,IF(RASANTE!F161&lt;=PERALTE!$Z$12,(-6/(PERALTE!$X$12-PERALTE!$Z$12)*(RASANTE!F161-PERALTE!$Z$12)-2),IF(RASANTE!F161&lt;=PERALTE!$AB$12,-2))))),IF(AND(AH!$H$14="Izquierda",RASANTE!F161&lt;=PERALTE!$AB$12),IF(RASANTE!F161&lt;=PERALTE!$Q$12,-2,IF(RASANTE!F161&lt;=PERALTE!$U$12,(10/(PERALTE!$U$12-PERALTE!$Q$12)*(RASANTE!F161-PERALTE!$Q$12)-2),IF(RASANTE!F161&lt;=PERALTE!$X$12,8,IF(RASANTE!F161&lt;=PERALTE!$AB$12,(10/(PERALTE!$X$12-PERALTE!$AB$12)*(RASANTE!F161-PERALTE!$AB$12)-2))))),IF(AND(AH!$H$16="Derecha",RASANTE!F161&lt;=PERALTE!$AB$14),IF(RASANTE!F161&lt;=PERALTE!$S$14,-2,IF(RASANTE!F161&lt;=PERALTE!$U$14,(-6/(PERALTE!$U$14-PERALTE!$S$14)*(RASANTE!F161-PERALTE!$S$14)-2),IF(RASANTE!F161&lt;=PERALTE!$X$14,-8,IF(RASANTE!F161&lt;=PERALTE!$Z$14,(-6/(PERALTE!$X$14-PERALTE!$Z$14)*(RASANTE!F161-PERALTE!$Z$14)-2),IF(RASANTE!F161&lt;=PERALTE!$AB$14,-2))))),IF(AND(AH!$H$16="Izquierda",RASANTE!F161&lt;=PERALTE!$AB$14),IF(RASANTE!F161&lt;=PERALTE!$Q$14,-2,IF(RASANTE!F161&lt;=PERALTE!$U$14,(10/(PERALTE!$U$14-PERALTE!$Q$14)*(RASANTE!F161-PERALTE!$Q$14)-2),IF(RASANTE!F161&lt;=PERALTE!$X$14,8,IF(RASANTE!F161&lt;=PERALTE!$AB$14,(10/(PERALTE!$X$14-PERALTE!$AB$14)*(RASANTE!F161-PERALTE!$AB$14)-2))))),IF(AND(AH!$H$18="Derecha",RASANTE!F161&lt;=PERALTE!$AB$16),IF(RASANTE!F161&lt;=PERALTE!$S$16,-2,IF(RASANTE!F161&lt;=PERALTE!$U$16,(-6/(PERALTE!$U$16-PERALTE!$S$16)*(RASANTE!F161-PERALTE!$S$16)-2),IF(RASANTE!F161&lt;=PERALTE!$X$16,-8,IF(RASANTE!F161&lt;=PERALTE!$Z$16,(-6/(PERALTE!$X$16-PERALTE!$Z$16)*(RASANTE!F161-PERALTE!$Z$16)-2),IF(RASANTE!F161&lt;=PERALTE!$AB$16,-2))))),IF(AND(AH!$H$18="Izquierda",RASANTE!F161&lt;=PERALTE!$AB$16),IF(RASANTE!F161&lt;=PERALTE!$Q$16,-2,IF(RASANTE!F161&lt;=PERALTE!$U$16,(10/(PERALTE!$U$16-PERALTE!$Q$16)*(RASANTE!F161-PERALTE!$Q$16)-2),IF(RASANTE!F161&lt;=PERALTE!$X$16,8,IF(RASANTE!F161&lt;=PERALTE!$AB$16,(10/(PERALTE!$X$16-PERALTE!$AB$16)*(RASANTE!F161-PERALTE!$AB$16)-2))))),IF(AND(AH!$H$20="Derecha",RASANTE!F161&lt;=PERALTE!$AB$18),IF(RASANTE!F161&lt;=PERALTE!$S$18,-2,IF(RASANTE!F161&lt;=PERALTE!$U$18,(-6/(PERALTE!$U$18-PERALTE!$S$18)*(RASANTE!F161-PERALTE!$S$18)-2),IF(RASANTE!F161&lt;=PERALTE!$X$18,-8,IF(RASANTE!F161&lt;=PERALTE!$Z$18,(-6/(PERALTE!$X$18-PERALTE!$Z$18)*(RASANTE!F161-PERALTE!$Z$18)-2),IF(RASANTE!F161&lt;=PERALTE!$AB$18,-2))))),IF(AND(AH!$H$20="Izquierda",RASANTE!F161&lt;=PERALTE!$AB$18),IF(RASANTE!F161&lt;=PERALTE!$Q$18,-2,IF(RASANTE!F161&lt;=PERALTE!$U$18,(10/(PERALTE!$U$18-PERALTE!$Q$18)*(RASANTE!F161-PERALTE!$Q$18)-2),IF(RASANTE!F161&lt;=PERALTE!$X$18,8,IF(RASANTE!F161&lt;=PERALTE!$AB$18,(10/(PERALTE!$X$18-PERALTE!$AB$18)*(RASANTE!F161-PERALTE!$AB$18)-2))))),IF(AND(AH!$H$24="Derecha",RASANTE!F161&lt;=PERALTE!$AB$22),IF(RASANTE!F161&lt;=PERALTE!$S$22,-2,IF(RASANTE!F161&lt;=PERALTE!$U$22,(-6/(PERALTE!$U$22-PERALTE!$S$22)*(RASANTE!F161-PERALTE!$S$22)-2),IF(RASANTE!F161&lt;=PERALTE!$X$22,-8,IF(RASANTE!F161&lt;=PERALTE!$Z$22,(-6/(PERALTE!$X$22-PERALTE!$Z$22)*(RASANTE!F161-PERALTE!$Z$22)-2),IF(RASANTE!F161&lt;=PERALTE!$AB$22,-2))))),IF(AND(AH!$H$24="Izquierda",RASANTE!F161&lt;=PERALTE!$AB$22),IF(RASANTE!F161&lt;=PERALTE!$Q$22,-2,IF(RASANTE!F161&lt;=PERALTE!$U$22,(10/(PERALTE!$U$22-PERALTE!$Q$22)*(RASANTE!F161-PERALTE!$Q$22)-2),IF(RASANTE!F161&lt;=PERALTE!$X$22,8,IF(RASANTE!F161&lt;=PERALTE!$AB$22,(10/(PERALTE!$X$22-PERALTE!$AB$22)*(RASANTE!F161-PERALTE!$AB$22)-2))))),IF(AND(AH!#REF!="Derecha",RASANTE!F161&lt;=PERALTE!#REF!),IF(RASANTE!F161&lt;=PERALTE!#REF!,-2,IF(RASANTE!F161&lt;=PERALTE!#REF!,(-6/(PERALTE!#REF!-PERALTE!#REF!)*(RASANTE!F161-PERALTE!#REF!)-2),IF(RASANTE!F161&lt;=PERALTE!#REF!,-8,IF(RASANTE!F161&lt;=PERALTE!#REF!,(-6/(PERALTE!#REF!-PERALTE!#REF!)*(RASANTE!F161-PERALTE!#REF!)-2),IF(RASANTE!F161&lt;=PERALTE!#REF!,-2))))),IF(AND(AH!#REF!="Izquierda",RASANTE!F161&lt;=PERALTE!#REF!),IF(RASANTE!F161&lt;=PERALTE!#REF!,-2,IF(RASANTE!F161&lt;=PERALTE!#REF!,(10/(PERALTE!#REF!-PERALTE!#REF!)*(RASANTE!F161-PERALTE!#REF!)-2),IF(RASANTE!F161&lt;=PERALTE!#REF!,8,IF(RASANTE!F161&lt;=PERALTE!#REF!,(10/(PERALTE!#REF!-PERALTE!#REF!)*(RASANTE!F161-PERALTE!#REF!)-2))))),IF(AND(AH!#REF!="Derecha",RASANTE!F161&lt;=PERALTE!$AB$26),IF(RASANTE!F161&lt;=PERALTE!$S$26,-2,IF(RASANTE!F161&lt;=PERALTE!$U$26,(-6/(PERALTE!$U$26-PERALTE!$S$26)*(RASANTE!F161-PERALTE!$S$26)-2),IF(RASANTE!F161&lt;=PERALTE!$X$26,-8,IF(RASANTE!F161&lt;=PERALTE!$Z$26,(-6/(PERALTE!$X$26-PERALTE!$Z$26)*(RASANTE!F161-PERALTE!$Z$26)-2),IF(RASANTE!F161&lt;=PERALTE!$AB$26,-2))))),IF(AND(AH!#REF!="Izquierda",RASANTE!F161&lt;=PERALTE!$AB$26),IF(RASANTE!F161&lt;=PERALTE!$Q$26,-2,IF(RASANTE!F161&lt;=PERALTE!$U$26,(10/(PERALTE!$U$26-PERALTE!$Q$26)*(RASANTE!F161-PERALTE!$Q$26)-2),IF(RASANTE!F161&lt;=PERALTE!$X$26,8,IF(RASANTE!F161&lt;=PERALTE!$AB$26,(10/(PERALTE!$X$26-PERALTE!$AB$26)*(RASANTE!F161-PERALTE!$AB$26)-2))))),IF(F161&lt;=PERALTE!#REF!,-2,"Abscisa fuera de la vía")))))))))))))))))))))</f>
        <v>-2</v>
      </c>
      <c r="J296" s="28">
        <f t="shared" si="13"/>
        <v>1648.6377284648972</v>
      </c>
      <c r="K296" s="28">
        <f>+IF(AND(AV!$S$6&lt;F296,F296&lt;=AV!$T$6),AV!$P$6*((AV!$S$6-RASANTE!F296)/(AV!$N$6))^2,IF(AND(AV!$T$6&lt;RASANTE!F296,F296&lt;AV!$U$6),AV!$P$6*((AV!$U$6-RASANTE!F296)/(AV!$O$6))^2,IF(AND(AV!$S$8&lt;F296,F296&lt;=AV!$T$8),AV!$P$8*((AV!$S$8-RASANTE!F296)/(AV!$N$8))^2,IF(AND(AV!$T$8&lt;RASANTE!F296,F296&lt;AV!$U$8),AV!$P$8*((AV!$U$8-RASANTE!F296)/(AV!$O$8))^2,IF(AND(AV!$S$10&lt;F296,F296&lt;=AV!$T$10),AV!$P$10*((AV!$S$10-RASANTE!F296)/(AV!$N$10))^2,IF(AND(AV!$T$10&lt;RASANTE!F296,F296&lt;AV!$U$10),AV!$P$10*((AV!$U$10-RASANTE!F296)/(AV!$O$10))^2,IF(AND(AV!$S$12&lt;F296,F296&lt;=AV!$T$12),AV!$P$12*((AV!$S$12-RASANTE!F296)/(AV!$N$12))^2,IF(AND(AV!$T$12&lt;RASANTE!F296,F296&lt;AV!$U$12),AV!$P$12*((AV!$U$12-RASANTE!F296)/(AV!$O$12))^2,IF(AND(AV!$S$14&lt;F296,F296&lt;=AV!$T$14),AV!$P$14*((AV!$S$14-RASANTE!F296)/(AV!$N$14))^2,IF(AND(AV!$T$14&lt;RASANTE!F296,F296&lt;AV!$U$14),AV!$P$14*((AV!$U$14-RASANTE!F296)/(AV!$O$14))^2,IF(AND(AV!$S$16&lt;F296,F296&lt;=AV!$T$16),AV!$P$16*((AV!$S$16-RASANTE!F296)/(AV!$N$16))^2,IF(AND(AV!$T$16&lt;RASANTE!F296,F296&lt;AV!$U$16),AV!$P$16*((AV!$U$16-RASANTE!F296)/(AV!$O$16))^2,IF(AND(AV!$S$18&lt;F296,F296&lt;=AV!$T$18),AV!$P$18*((AV!$S$18-RASANTE!F296)/(AV!$N$18))^2,IF(AND(AV!$T$18&lt;RASANTE!F296,F296&lt;AV!$U$18),AV!$P$18*((AV!$U$18-RASANTE!F296)/(AV!$O$18))^2,IF(AND(AV!$S$20&lt;F296,F296&lt;=AV!$T$20),AV!$P$20*((AV!$S$20-RASANTE!F296)/(AV!$N$20))^2,IF(AND(AV!$T$20&lt;RASANTE!F296,F296&lt;AV!$U$20),AV!$P$20*((AV!$U$20-RASANTE!F296)/(AV!$O$20))^2,IF(AND(AV!$S$22&lt;F296,F296&lt;=AV!$T$22),AV!$P$22*((AV!$S$22-RASANTE!F296)/(AV!$N$22))^2,IF(AND(AV!$T$22&lt;RASANTE!F296,F296&lt;AV!$U$22),AV!$P$22*((AV!$U$22-RASANTE!F296)/(AV!$O$22))^2,IF(AND(AV!$S$24&lt;F296,F296&lt;=AV!$T$24),AV!$P$24*((AV!$S$24-RASANTE!F296)/(AV!$N$24))^2,IF(AND(AV!$T$24&lt;RASANTE!F296,F296&lt;AV!$U$24),AV!$P$24*((AV!$U$24-RASANTE!F296)/(AV!$O$24))^2,0))))))))))))))))))))</f>
        <v>0</v>
      </c>
      <c r="L296" s="28">
        <f>+M296+H296%*PERALTE!$C$32</f>
        <v>1648.5677284648973</v>
      </c>
      <c r="M296" s="28">
        <f t="shared" si="15"/>
        <v>1648.6377284648972</v>
      </c>
      <c r="N296" s="28">
        <f>+M296+I296%*PERALTE!$C$32</f>
        <v>1648.5677284648973</v>
      </c>
      <c r="O296" s="92"/>
      <c r="P296" s="84"/>
      <c r="Q296" s="84"/>
      <c r="R296" s="84"/>
      <c r="S296" s="84"/>
      <c r="T296" s="84"/>
      <c r="U296" s="84"/>
      <c r="V296" s="84"/>
      <c r="W296" s="84"/>
      <c r="X296" s="84"/>
      <c r="Y296" s="84"/>
    </row>
    <row r="297" spans="1:25" ht="15.75" customHeight="1" x14ac:dyDescent="0.2">
      <c r="A297" s="322"/>
      <c r="B297" s="86"/>
      <c r="C297" s="86"/>
      <c r="D297" s="86"/>
      <c r="F297" s="34">
        <v>1810</v>
      </c>
      <c r="G297" s="88">
        <v>5.4480000000000004</v>
      </c>
      <c r="H297" s="28">
        <f>+IF(AND(AH!$H$8="Izquierda",RASANTE!F203&lt;=PERALTE!$AB$6),IF(RASANTE!F203&lt;=PERALTE!$S$6,-2,IF(RASANTE!F203&lt;=PERALTE!$U$6,(-6/(PERALTE!$U$6-PERALTE!$S$6)*(RASANTE!F203-PERALTE!$S$6)-2),IF(RASANTE!F203&lt;=PERALTE!$X$6,-8,IF(RASANTE!F203&lt;=PERALTE!$Z$6,(-6/(PERALTE!$X$6-PERALTE!$Z$6)*(RASANTE!F203-PERALTE!$Z$6)-2),IF(RASANTE!F203&lt;=PERALTE!$AB$6,-2))))),IF(AND(AH!$H$8="Derecha",RASANTE!F203&lt;=PERALTE!$AB$6),IF(RASANTE!F203&lt;=PERALTE!$Q$6,-2,IF(RASANTE!F203&lt;=PERALTE!$U$6,(10/(PERALTE!$U$6-PERALTE!$Q$6)*(RASANTE!F203-PERALTE!$Q$6)-2),IF(RASANTE!F203&lt;=PERALTE!$X$6,8,IF(RASANTE!F203&lt;=PERALTE!$AB$6,(10/(PERALTE!$X$6-PERALTE!$AB$6)*(RASANTE!F203-PERALTE!$AB$6)-2))))),IF(AND(AH!$H$10="Izquierda",RASANTE!F203&lt;=PERALTE!$AB$8),IF(RASANTE!F203&lt;=PERALTE!$S$8,-2,IF(RASANTE!F203&lt;=PERALTE!$U$8,(-6/(PERALTE!$U$8-PERALTE!$S$8)*(RASANTE!F203-PERALTE!$S$8)-2),IF(RASANTE!F203&lt;=PERALTE!$X$8,-8,IF(RASANTE!F203&lt;=PERALTE!$Z$8,(-6/(PERALTE!$X$8-PERALTE!$Z$8)*(RASANTE!F203-PERALTE!$Z$8)-2),IF(RASANTE!F203&lt;=PERALTE!$AB$8,-2))))),IF(AND(AH!$H$10="Derecha",RASANTE!F203&lt;=PERALTE!$AB$8),IF(RASANTE!F203&lt;=PERALTE!$Q$8,-2,IF(RASANTE!F203&lt;=PERALTE!$U$8,(10/(PERALTE!$U$8-PERALTE!$Q$8)*(RASANTE!F203-PERALTE!$Q$8)-2),IF(RASANTE!F203&lt;=PERALTE!$X$8,8,IF(RASANTE!F203&lt;=PERALTE!$AB$8,(10/(PERALTE!$X$8-PERALTE!$AB$8)*(RASANTE!F203-PERALTE!$AB$8)-2))))),IF(AND(AH!$H$12="Izquierda",RASANTE!F203&lt;=PERALTE!$AB$10),IF(RASANTE!F203&lt;=PERALTE!$S$10,-2,IF(RASANTE!F203&lt;=PERALTE!$U$10,(-6/(PERALTE!$U$10-PERALTE!$S$10)*(RASANTE!F203-PERALTE!$S$10)-2),IF(RASANTE!F203&lt;=PERALTE!$X$10,-8,IF(RASANTE!F203&lt;=PERALTE!$Z$10,(-6/(PERALTE!$X$10-PERALTE!$Z$10)*(RASANTE!F203-PERALTE!$Z$10)-2),IF(RASANTE!F203&lt;=PERALTE!$AB$10,-2))))),IF(AND(AH!$H$12="Derecha",RASANTE!F203&lt;=PERALTE!$AB$10),IF(RASANTE!F203&lt;=PERALTE!$Q$10,-2,IF(RASANTE!F203&lt;=PERALTE!$U$10,(10/(PERALTE!$U$10-PERALTE!$Q$10)*(RASANTE!F203-PERALTE!$Q$10)-2),IF(RASANTE!F203&lt;=PERALTE!$X$10,8,IF(RASANTE!F203&lt;=PERALTE!$AB$10,(10/(PERALTE!$X$10-PERALTE!$AB$10)*(RASANTE!F203-PERALTE!$AB$10)-2))))),IF(AND(AH!$H$14="Izquierda",RASANTE!F203&lt;=PERALTE!$AB$12),IF(RASANTE!F203&lt;=PERALTE!$S$12,-2,IF(RASANTE!F203&lt;=PERALTE!$U$12,(-6/(PERALTE!$U$12-PERALTE!$S$12)*(RASANTE!F203-PERALTE!$S$12)-2),IF(RASANTE!F203&lt;=PERALTE!$X$12,-8,IF(RASANTE!F203&lt;=PERALTE!$Z$12,(-6/(PERALTE!$X$12-PERALTE!$Z$12)*(RASANTE!F203-PERALTE!$Z$12)-2),IF(RASANTE!F203&lt;=PERALTE!$AB$12,-2))))),IF(AND(AH!$H$14="Derecha",RASANTE!F203&lt;=PERALTE!$AB$12),IF(RASANTE!F203&lt;=PERALTE!$Q$12,-2,IF(RASANTE!F203&lt;=PERALTE!$U$12,(10/(PERALTE!$U$12-PERALTE!$Q$12)*(RASANTE!F203-PERALTE!$Q$12)-2),IF(RASANTE!F203&lt;=PERALTE!$X$12,8,IF(RASANTE!F203&lt;=PERALTE!$AB$12,(10/(PERALTE!$X$12-PERALTE!$AB$12)*(RASANTE!F203-PERALTE!$AB$12)-2))))),IF(AND(AH!$H$16="Izquierda",RASANTE!F203&lt;=PERALTE!$AB$14),IF(RASANTE!F203&lt;=PERALTE!$S$14,-2,IF(RASANTE!F203&lt;=PERALTE!$U$14,(-6/(PERALTE!$U$14-PERALTE!$S$14)*(RASANTE!F203-PERALTE!$S$14)-2),IF(RASANTE!F203&lt;=PERALTE!$X$14,-8,IF(RASANTE!F203&lt;=PERALTE!$Z$14,(-6/(PERALTE!$X$14-PERALTE!$Z$14)*(RASANTE!F203-PERALTE!$Z$14)-2),IF(RASANTE!F203&lt;=PERALTE!$AB$14,-2))))),IF(AND(AH!$H$16="Derecha",RASANTE!F203&lt;=PERALTE!$AB$14),IF(RASANTE!F203&lt;=PERALTE!$Q$14,-2,IF(RASANTE!F203&lt;=PERALTE!$U$14,(10/(PERALTE!$U$14-PERALTE!$Q$14)*(RASANTE!F203-PERALTE!$Q$14)-2),IF(RASANTE!F203&lt;=PERALTE!$X$14,8,IF(RASANTE!F203&lt;=PERALTE!$AB$14,(10/(PERALTE!$X$14-PERALTE!$AB$14)*(RASANTE!F203-PERALTE!$AB$14)-2))))),IF(AND(AH!$H$18="Izquierda",RASANTE!F203&lt;=PERALTE!$AB$16),IF(RASANTE!F203&lt;=PERALTE!$S$16,-2,IF(RASANTE!F203&lt;=PERALTE!$U$16,(-6/(PERALTE!$U$16-PERALTE!$S$16)*(RASANTE!F203-PERALTE!$S$16)-2),IF(RASANTE!F203&lt;=PERALTE!$X$16,-8,IF(RASANTE!F203&lt;=PERALTE!$Z$16,(-6/(PERALTE!$X$16-PERALTE!$Z$16)*(RASANTE!F203-PERALTE!$Z$16)-2),IF(RASANTE!F203&lt;=PERALTE!$AB$16,-2))))),IF(AND(AH!$H$18="Derecha",RASANTE!F203&lt;=PERALTE!$AB$16),IF(RASANTE!F203&lt;=PERALTE!$Q$16,-2,IF(RASANTE!F203&lt;=PERALTE!$U$16,(10/(PERALTE!$U$16-PERALTE!$Q$16)*(RASANTE!F203-PERALTE!$Q$16)-2),IF(RASANTE!F203&lt;=PERALTE!$X$16,8,IF(RASANTE!F203&lt;=PERALTE!$AB$16,(10/(PERALTE!$X$16-PERALTE!$AB$16)*(RASANTE!F203-PERALTE!$AB$16)-2))))),IF(AND(AH!$H$20="Izquierda",RASANTE!F203&lt;=PERALTE!$AB$18),IF(RASANTE!F203&lt;=PERALTE!$S$18,-2,IF(RASANTE!F203&lt;=PERALTE!$U$18,(-6/(PERALTE!$U$18-PERALTE!$S$18)*(RASANTE!F203-PERALTE!$S$18)-2),IF(RASANTE!F203&lt;=PERALTE!$X$18,-8,IF(RASANTE!F203&lt;=PERALTE!$Z$18,(-6/(PERALTE!$X$18-PERALTE!$Z$18)*(RASANTE!F203-PERALTE!$Z$18)-2),IF(RASANTE!F203&lt;=PERALTE!$AB$18,-2))))),IF(AND(AH!$H$20="Derecha",RASANTE!F203&lt;=PERALTE!$AB$18),IF(RASANTE!F203&lt;=PERALTE!$Q$18,-2,IF(RASANTE!F203&lt;=PERALTE!$U$18,(10/(PERALTE!$U$18-PERALTE!$Q$18)*(RASANTE!F203-PERALTE!$Q$18)-2),IF(RASANTE!F203&lt;=PERALTE!$X$18,8,IF(RASANTE!F203&lt;=PERALTE!$AB$18,(10/(PERALTE!$X$18-PERALTE!$AB$18)*(RASANTE!F203-PERALTE!$AB$18)-2))))),IF(AND(AH!$H$24="Izquierda",RASANTE!F203&lt;=PERALTE!$AB$22),IF(RASANTE!F203&lt;=PERALTE!$S$22,-2,IF(RASANTE!F203&lt;=PERALTE!$U$22,(-6/(PERALTE!$U$22-PERALTE!$S$22)*(RASANTE!F203-PERALTE!$S$22)-2),IF(RASANTE!F203&lt;=PERALTE!$X$22,-8,IF(RASANTE!F203&lt;=PERALTE!$Z$22,(-6/(PERALTE!$X$22-PERALTE!$Z$22)*(RASANTE!F203-PERALTE!$Z$22)-2),IF(RASANTE!F203&lt;=PERALTE!$AB$22,-2))))),IF(AND(AH!$H$24="Derecha",RASANTE!F203&lt;=PERALTE!$AB$22),IF(RASANTE!F203&lt;=PERALTE!$Q$22,-2,IF(RASANTE!F203&lt;=PERALTE!$U$22,(10/(PERALTE!$U$22-PERALTE!$Q$22)*(RASANTE!F203-PERALTE!$Q$22)-2),IF(RASANTE!F203&lt;=PERALTE!$X$22,8,IF(RASANTE!F203&lt;=PERALTE!$AB$22,(10/(PERALTE!$X$22-PERALTE!$AB$22)*(RASANTE!F203-PERALTE!$AB$22)-2))))),IF(AND(AH!#REF!="Izquierda",RASANTE!F203&lt;=PERALTE!#REF!),IF(RASANTE!F203&lt;=PERALTE!#REF!,-2,IF(RASANTE!F203&lt;=PERALTE!#REF!,(-6/(PERALTE!#REF!-PERALTE!#REF!)*(RASANTE!F203-PERALTE!#REF!)-2),IF(RASANTE!F203&lt;=PERALTE!#REF!,-8,IF(RASANTE!F203&lt;=PERALTE!#REF!,(-6/(PERALTE!#REF!-PERALTE!#REF!)*(RASANTE!F203-PERALTE!#REF!)-2),IF(RASANTE!F203&lt;=PERALTE!#REF!,-2))))),IF(AND(AH!#REF!="Derecha",RASANTE!F203&lt;=PERALTE!#REF!),IF(RASANTE!F203&lt;=PERALTE!#REF!,-2,IF(RASANTE!F203&lt;=PERALTE!#REF!,(10/(PERALTE!#REF!-PERALTE!#REF!)*(RASANTE!F203-PERALTE!#REF!)-2),IF(RASANTE!F203&lt;=PERALTE!#REF!,8,IF(RASANTE!F203&lt;=PERALTE!#REF!,(10/(PERALTE!#REF!-PERALTE!#REF!)*(RASANTE!F203-PERALTE!#REF!)-2))))),IF(AND(AH!#REF!="Izquierda",RASANTE!F203&lt;=PERALTE!$AB$26),IF(RASANTE!F203&lt;=PERALTE!$S$26,-2,IF(RASANTE!F203&lt;=PERALTE!$U$26,(-6/(PERALTE!$U$26-PERALTE!$S$26)*(RASANTE!F203-PERALTE!$S$26)-2),IF(RASANTE!F203&lt;=PERALTE!$X$26,-8,IF(RASANTE!F203&lt;=PERALTE!$Z$26,(-6/(PERALTE!$X$26-PERALTE!$Z$26)*(RASANTE!F203-PERALTE!$Z$26)-2),IF(RASANTE!F203&lt;=PERALTE!$AB$26,-2))))),IF(AND(AH!#REF!="Derecha",RASANTE!F203&lt;=PERALTE!$AB$26),IF(RASANTE!F203&lt;=PERALTE!$Q$26,-2,IF(RASANTE!F203&lt;=PERALTE!$U$26,(10/(PERALTE!$U$26-PERALTE!$Q$26)*(RASANTE!F203-PERALTE!$Q$26)-2),IF(RASANTE!F203&lt;=PERALTE!$X$26,8,IF(RASANTE!F203&lt;=PERALTE!$AB$26,(10/(PERALTE!$X$26-PERALTE!$AB$26)*(RASANTE!F203-PERALTE!$AB$26)-2))))),IF(F203&lt;=PERALTE!#REF!,-2,"Abscisa fuera de la vía")))))))))))))))))))))</f>
        <v>-2</v>
      </c>
      <c r="I297" s="28">
        <f>+IF(AND(AH!$H$8="Derecha",RASANTE!F162&lt;=PERALTE!$AB$6),IF(RASANTE!F162&lt;=PERALTE!$S$6,-2,IF(RASANTE!F162&lt;=PERALTE!$U$6,(-6/(PERALTE!$U$6-PERALTE!$S$6)*(RASANTE!F162-PERALTE!$S$6)-2),IF(RASANTE!F162&lt;=PERALTE!$X$6,-8,IF(RASANTE!F162&lt;=PERALTE!$Z$6,(-6/(PERALTE!$X$6-PERALTE!$Z$6)*(RASANTE!F162-PERALTE!$Z$6)-2),IF(RASANTE!F162&lt;=PERALTE!$AB$6,-2))))),IF(AND(AH!$H$8="Izquierda",RASANTE!F162&lt;=PERALTE!$AB$6),IF(RASANTE!F162&lt;=PERALTE!$Q$6,-2,IF(RASANTE!F162&lt;=PERALTE!$U$6,(10/(PERALTE!$U$6-PERALTE!$Q$6)*(RASANTE!F162-PERALTE!$Q$6)-2),IF(RASANTE!F162&lt;=PERALTE!$X$6,8,IF(RASANTE!F162&lt;=PERALTE!$AB$6,(10/(PERALTE!$X$6-PERALTE!$AB$6)*(RASANTE!F162-PERALTE!$AB$6)-2))))),IF(AND(AH!$H$10="Derecha",RASANTE!F162&lt;=PERALTE!$AB$8),IF(RASANTE!F162&lt;=PERALTE!$S$8,-2,IF(RASANTE!F162&lt;=PERALTE!$U$8,(-6/(PERALTE!$U$8-PERALTE!$S$8)*(RASANTE!F162-PERALTE!$S$8)-2),IF(RASANTE!F162&lt;=PERALTE!$X$8,-8,IF(RASANTE!F162&lt;=PERALTE!$Z$8,(-6/(PERALTE!$X$8-PERALTE!$Z$8)*(RASANTE!F162-PERALTE!$Z$8)-2),IF(RASANTE!F162&lt;=PERALTE!$AB$8,-2))))),IF(AND(AH!$H$10="Izquierda",RASANTE!F162&lt;=PERALTE!$AB$8),IF(RASANTE!F162&lt;=PERALTE!$Q$8,-2,IF(RASANTE!F162&lt;=PERALTE!$U$8,(10/(PERALTE!$U$8-PERALTE!$Q$8)*(RASANTE!F162-PERALTE!$Q$8)-2),IF(RASANTE!F162&lt;=PERALTE!$X$8,8,IF(RASANTE!F162&lt;=PERALTE!$AB$8,(10/(PERALTE!$X$8-PERALTE!$AB$8)*(RASANTE!F162-PERALTE!$AB$8)-2))))),IF(AND(AH!$H$12="Derecha",RASANTE!F162&lt;=PERALTE!$AB$10),IF(RASANTE!F162&lt;=PERALTE!$S$10,-2,IF(RASANTE!F162&lt;=PERALTE!$U$10,(-6/(PERALTE!$U$10-PERALTE!$S$10)*(RASANTE!F162-PERALTE!$S$10)-2),IF(RASANTE!F162&lt;=PERALTE!$X$10,-8,IF(RASANTE!F162&lt;=PERALTE!$Z$10,(-6/(PERALTE!$X$10-PERALTE!$Z$10)*(RASANTE!F162-PERALTE!$Z$10)-2),IF(RASANTE!F162&lt;=PERALTE!$AB$10,-2))))),IF(AND(AH!$H$12="Izquierda",RASANTE!F162&lt;=PERALTE!$AB$10),IF(RASANTE!F162&lt;=PERALTE!$Q$10,-2,IF(RASANTE!F162&lt;=PERALTE!$U$10,(10/(PERALTE!$U$10-PERALTE!$Q$10)*(RASANTE!F162-PERALTE!$Q$10)-2),IF(RASANTE!F162&lt;=PERALTE!$X$10,8,IF(RASANTE!F162&lt;=PERALTE!$AB$10,(10/(PERALTE!$X$10-PERALTE!$AB$10)*(RASANTE!F162-PERALTE!$AB$10)-2))))),IF(AND(AH!$H$14="Derecha",RASANTE!F162&lt;=PERALTE!$AB$12),IF(RASANTE!F162&lt;=PERALTE!$S$12,-2,IF(RASANTE!F162&lt;=PERALTE!$U$12,(-6/(PERALTE!$U$12-PERALTE!$S$12)*(RASANTE!F162-PERALTE!$S$12)-2),IF(RASANTE!F162&lt;=PERALTE!$X$12,-8,IF(RASANTE!F162&lt;=PERALTE!$Z$12,(-6/(PERALTE!$X$12-PERALTE!$Z$12)*(RASANTE!F162-PERALTE!$Z$12)-2),IF(RASANTE!F162&lt;=PERALTE!$AB$12,-2))))),IF(AND(AH!$H$14="Izquierda",RASANTE!F162&lt;=PERALTE!$AB$12),IF(RASANTE!F162&lt;=PERALTE!$Q$12,-2,IF(RASANTE!F162&lt;=PERALTE!$U$12,(10/(PERALTE!$U$12-PERALTE!$Q$12)*(RASANTE!F162-PERALTE!$Q$12)-2),IF(RASANTE!F162&lt;=PERALTE!$X$12,8,IF(RASANTE!F162&lt;=PERALTE!$AB$12,(10/(PERALTE!$X$12-PERALTE!$AB$12)*(RASANTE!F162-PERALTE!$AB$12)-2))))),IF(AND(AH!$H$16="Derecha",RASANTE!F162&lt;=PERALTE!$AB$14),IF(RASANTE!F162&lt;=PERALTE!$S$14,-2,IF(RASANTE!F162&lt;=PERALTE!$U$14,(-6/(PERALTE!$U$14-PERALTE!$S$14)*(RASANTE!F162-PERALTE!$S$14)-2),IF(RASANTE!F162&lt;=PERALTE!$X$14,-8,IF(RASANTE!F162&lt;=PERALTE!$Z$14,(-6/(PERALTE!$X$14-PERALTE!$Z$14)*(RASANTE!F162-PERALTE!$Z$14)-2),IF(RASANTE!F162&lt;=PERALTE!$AB$14,-2))))),IF(AND(AH!$H$16="Izquierda",RASANTE!F162&lt;=PERALTE!$AB$14),IF(RASANTE!F162&lt;=PERALTE!$Q$14,-2,IF(RASANTE!F162&lt;=PERALTE!$U$14,(10/(PERALTE!$U$14-PERALTE!$Q$14)*(RASANTE!F162-PERALTE!$Q$14)-2),IF(RASANTE!F162&lt;=PERALTE!$X$14,8,IF(RASANTE!F162&lt;=PERALTE!$AB$14,(10/(PERALTE!$X$14-PERALTE!$AB$14)*(RASANTE!F162-PERALTE!$AB$14)-2))))),IF(AND(AH!$H$18="Derecha",RASANTE!F162&lt;=PERALTE!$AB$16),IF(RASANTE!F162&lt;=PERALTE!$S$16,-2,IF(RASANTE!F162&lt;=PERALTE!$U$16,(-6/(PERALTE!$U$16-PERALTE!$S$16)*(RASANTE!F162-PERALTE!$S$16)-2),IF(RASANTE!F162&lt;=PERALTE!$X$16,-8,IF(RASANTE!F162&lt;=PERALTE!$Z$16,(-6/(PERALTE!$X$16-PERALTE!$Z$16)*(RASANTE!F162-PERALTE!$Z$16)-2),IF(RASANTE!F162&lt;=PERALTE!$AB$16,-2))))),IF(AND(AH!$H$18="Izquierda",RASANTE!F162&lt;=PERALTE!$AB$16),IF(RASANTE!F162&lt;=PERALTE!$Q$16,-2,IF(RASANTE!F162&lt;=PERALTE!$U$16,(10/(PERALTE!$U$16-PERALTE!$Q$16)*(RASANTE!F162-PERALTE!$Q$16)-2),IF(RASANTE!F162&lt;=PERALTE!$X$16,8,IF(RASANTE!F162&lt;=PERALTE!$AB$16,(10/(PERALTE!$X$16-PERALTE!$AB$16)*(RASANTE!F162-PERALTE!$AB$16)-2))))),IF(AND(AH!$H$20="Derecha",RASANTE!F162&lt;=PERALTE!$AB$18),IF(RASANTE!F162&lt;=PERALTE!$S$18,-2,IF(RASANTE!F162&lt;=PERALTE!$U$18,(-6/(PERALTE!$U$18-PERALTE!$S$18)*(RASANTE!F162-PERALTE!$S$18)-2),IF(RASANTE!F162&lt;=PERALTE!$X$18,-8,IF(RASANTE!F162&lt;=PERALTE!$Z$18,(-6/(PERALTE!$X$18-PERALTE!$Z$18)*(RASANTE!F162-PERALTE!$Z$18)-2),IF(RASANTE!F162&lt;=PERALTE!$AB$18,-2))))),IF(AND(AH!$H$20="Izquierda",RASANTE!F162&lt;=PERALTE!$AB$18),IF(RASANTE!F162&lt;=PERALTE!$Q$18,-2,IF(RASANTE!F162&lt;=PERALTE!$U$18,(10/(PERALTE!$U$18-PERALTE!$Q$18)*(RASANTE!F162-PERALTE!$Q$18)-2),IF(RASANTE!F162&lt;=PERALTE!$X$18,8,IF(RASANTE!F162&lt;=PERALTE!$AB$18,(10/(PERALTE!$X$18-PERALTE!$AB$18)*(RASANTE!F162-PERALTE!$AB$18)-2))))),IF(AND(AH!$H$24="Derecha",RASANTE!F162&lt;=PERALTE!$AB$22),IF(RASANTE!F162&lt;=PERALTE!$S$22,-2,IF(RASANTE!F162&lt;=PERALTE!$U$22,(-6/(PERALTE!$U$22-PERALTE!$S$22)*(RASANTE!F162-PERALTE!$S$22)-2),IF(RASANTE!F162&lt;=PERALTE!$X$22,-8,IF(RASANTE!F162&lt;=PERALTE!$Z$22,(-6/(PERALTE!$X$22-PERALTE!$Z$22)*(RASANTE!F162-PERALTE!$Z$22)-2),IF(RASANTE!F162&lt;=PERALTE!$AB$22,-2))))),IF(AND(AH!$H$24="Izquierda",RASANTE!F162&lt;=PERALTE!$AB$22),IF(RASANTE!F162&lt;=PERALTE!$Q$22,-2,IF(RASANTE!F162&lt;=PERALTE!$U$22,(10/(PERALTE!$U$22-PERALTE!$Q$22)*(RASANTE!F162-PERALTE!$Q$22)-2),IF(RASANTE!F162&lt;=PERALTE!$X$22,8,IF(RASANTE!F162&lt;=PERALTE!$AB$22,(10/(PERALTE!$X$22-PERALTE!$AB$22)*(RASANTE!F162-PERALTE!$AB$22)-2))))),IF(AND(AH!#REF!="Derecha",RASANTE!F162&lt;=PERALTE!#REF!),IF(RASANTE!F162&lt;=PERALTE!#REF!,-2,IF(RASANTE!F162&lt;=PERALTE!#REF!,(-6/(PERALTE!#REF!-PERALTE!#REF!)*(RASANTE!F162-PERALTE!#REF!)-2),IF(RASANTE!F162&lt;=PERALTE!#REF!,-8,IF(RASANTE!F162&lt;=PERALTE!#REF!,(-6/(PERALTE!#REF!-PERALTE!#REF!)*(RASANTE!F162-PERALTE!#REF!)-2),IF(RASANTE!F162&lt;=PERALTE!#REF!,-2))))),IF(AND(AH!#REF!="Izquierda",RASANTE!F162&lt;=PERALTE!#REF!),IF(RASANTE!F162&lt;=PERALTE!#REF!,-2,IF(RASANTE!F162&lt;=PERALTE!#REF!,(10/(PERALTE!#REF!-PERALTE!#REF!)*(RASANTE!F162-PERALTE!#REF!)-2),IF(RASANTE!F162&lt;=PERALTE!#REF!,8,IF(RASANTE!F162&lt;=PERALTE!#REF!,(10/(PERALTE!#REF!-PERALTE!#REF!)*(RASANTE!F162-PERALTE!#REF!)-2))))),IF(AND(AH!#REF!="Derecha",RASANTE!F162&lt;=PERALTE!$AB$26),IF(RASANTE!F162&lt;=PERALTE!$S$26,-2,IF(RASANTE!F162&lt;=PERALTE!$U$26,(-6/(PERALTE!$U$26-PERALTE!$S$26)*(RASANTE!F162-PERALTE!$S$26)-2),IF(RASANTE!F162&lt;=PERALTE!$X$26,-8,IF(RASANTE!F162&lt;=PERALTE!$Z$26,(-6/(PERALTE!$X$26-PERALTE!$Z$26)*(RASANTE!F162-PERALTE!$Z$26)-2),IF(RASANTE!F162&lt;=PERALTE!$AB$26,-2))))),IF(AND(AH!#REF!="Izquierda",RASANTE!F162&lt;=PERALTE!$AB$26),IF(RASANTE!F162&lt;=PERALTE!$Q$26,-2,IF(RASANTE!F162&lt;=PERALTE!$U$26,(10/(PERALTE!$U$26-PERALTE!$Q$26)*(RASANTE!F162-PERALTE!$Q$26)-2),IF(RASANTE!F162&lt;=PERALTE!$X$26,8,IF(RASANTE!F162&lt;=PERALTE!$AB$26,(10/(PERALTE!$X$26-PERALTE!$AB$26)*(RASANTE!F162-PERALTE!$AB$26)-2))))),IF(F162&lt;=PERALTE!#REF!,-2,"Abscisa fuera de la vía")))))))))))))))))))))</f>
        <v>-2</v>
      </c>
      <c r="J297" s="28">
        <f t="shared" si="13"/>
        <v>1649.1825284648971</v>
      </c>
      <c r="K297" s="28">
        <f>+IF(AND(AV!$S$6&lt;F297,F297&lt;=AV!$T$6),AV!$P$6*((AV!$S$6-RASANTE!F297)/(AV!$N$6))^2,IF(AND(AV!$T$6&lt;RASANTE!F297,F297&lt;AV!$U$6),AV!$P$6*((AV!$U$6-RASANTE!F297)/(AV!$O$6))^2,IF(AND(AV!$S$8&lt;F297,F297&lt;=AV!$T$8),AV!$P$8*((AV!$S$8-RASANTE!F297)/(AV!$N$8))^2,IF(AND(AV!$T$8&lt;RASANTE!F297,F297&lt;AV!$U$8),AV!$P$8*((AV!$U$8-RASANTE!F297)/(AV!$O$8))^2,IF(AND(AV!$S$10&lt;F297,F297&lt;=AV!$T$10),AV!$P$10*((AV!$S$10-RASANTE!F297)/(AV!$N$10))^2,IF(AND(AV!$T$10&lt;RASANTE!F297,F297&lt;AV!$U$10),AV!$P$10*((AV!$U$10-RASANTE!F297)/(AV!$O$10))^2,IF(AND(AV!$S$12&lt;F297,F297&lt;=AV!$T$12),AV!$P$12*((AV!$S$12-RASANTE!F297)/(AV!$N$12))^2,IF(AND(AV!$T$12&lt;RASANTE!F297,F297&lt;AV!$U$12),AV!$P$12*((AV!$U$12-RASANTE!F297)/(AV!$O$12))^2,IF(AND(AV!$S$14&lt;F297,F297&lt;=AV!$T$14),AV!$P$14*((AV!$S$14-RASANTE!F297)/(AV!$N$14))^2,IF(AND(AV!$T$14&lt;RASANTE!F297,F297&lt;AV!$U$14),AV!$P$14*((AV!$U$14-RASANTE!F297)/(AV!$O$14))^2,IF(AND(AV!$S$16&lt;F297,F297&lt;=AV!$T$16),AV!$P$16*((AV!$S$16-RASANTE!F297)/(AV!$N$16))^2,IF(AND(AV!$T$16&lt;RASANTE!F297,F297&lt;AV!$U$16),AV!$P$16*((AV!$U$16-RASANTE!F297)/(AV!$O$16))^2,IF(AND(AV!$S$18&lt;F297,F297&lt;=AV!$T$18),AV!$P$18*((AV!$S$18-RASANTE!F297)/(AV!$N$18))^2,IF(AND(AV!$T$18&lt;RASANTE!F297,F297&lt;AV!$U$18),AV!$P$18*((AV!$U$18-RASANTE!F297)/(AV!$O$18))^2,IF(AND(AV!$S$20&lt;F297,F297&lt;=AV!$T$20),AV!$P$20*((AV!$S$20-RASANTE!F297)/(AV!$N$20))^2,IF(AND(AV!$T$20&lt;RASANTE!F297,F297&lt;AV!$U$20),AV!$P$20*((AV!$U$20-RASANTE!F297)/(AV!$O$20))^2,IF(AND(AV!$S$22&lt;F297,F297&lt;=AV!$T$22),AV!$P$22*((AV!$S$22-RASANTE!F297)/(AV!$N$22))^2,IF(AND(AV!$T$22&lt;RASANTE!F297,F297&lt;AV!$U$22),AV!$P$22*((AV!$U$22-RASANTE!F297)/(AV!$O$22))^2,IF(AND(AV!$S$24&lt;F297,F297&lt;=AV!$T$24),AV!$P$24*((AV!$S$24-RASANTE!F297)/(AV!$N$24))^2,IF(AND(AV!$T$24&lt;RASANTE!F297,F297&lt;AV!$U$24),AV!$P$24*((AV!$U$24-RASANTE!F297)/(AV!$O$24))^2,0))))))))))))))))))))</f>
        <v>0</v>
      </c>
      <c r="L297" s="28">
        <f>+M297+H297%*PERALTE!$C$32</f>
        <v>1649.1125284648972</v>
      </c>
      <c r="M297" s="28">
        <f t="shared" si="15"/>
        <v>1649.1825284648971</v>
      </c>
      <c r="N297" s="28">
        <f>+M297+I297%*PERALTE!$C$32</f>
        <v>1649.1125284648972</v>
      </c>
      <c r="O297" s="92"/>
      <c r="P297" s="84"/>
      <c r="Q297" s="84"/>
      <c r="R297" s="84"/>
      <c r="S297" s="84"/>
      <c r="T297" s="84"/>
      <c r="U297" s="84"/>
      <c r="V297" s="84"/>
      <c r="W297" s="84"/>
      <c r="X297" s="84"/>
      <c r="Y297" s="84"/>
    </row>
    <row r="298" spans="1:25" ht="15.75" customHeight="1" x14ac:dyDescent="0.2">
      <c r="A298" s="322"/>
      <c r="B298" s="86"/>
      <c r="C298" s="86"/>
      <c r="D298" s="86"/>
      <c r="E298" s="91"/>
      <c r="F298" s="34">
        <v>1820</v>
      </c>
      <c r="G298" s="88">
        <v>5.4480000000000004</v>
      </c>
      <c r="H298" s="28">
        <f>+IF(AND(AH!$H$8="Izquierda",RASANTE!F204&lt;=PERALTE!$AB$6),IF(RASANTE!F204&lt;=PERALTE!$S$6,-2,IF(RASANTE!F204&lt;=PERALTE!$U$6,(-6/(PERALTE!$U$6-PERALTE!$S$6)*(RASANTE!F204-PERALTE!$S$6)-2),IF(RASANTE!F204&lt;=PERALTE!$X$6,-8,IF(RASANTE!F204&lt;=PERALTE!$Z$6,(-6/(PERALTE!$X$6-PERALTE!$Z$6)*(RASANTE!F204-PERALTE!$Z$6)-2),IF(RASANTE!F204&lt;=PERALTE!$AB$6,-2))))),IF(AND(AH!$H$8="Derecha",RASANTE!F204&lt;=PERALTE!$AB$6),IF(RASANTE!F204&lt;=PERALTE!$Q$6,-2,IF(RASANTE!F204&lt;=PERALTE!$U$6,(10/(PERALTE!$U$6-PERALTE!$Q$6)*(RASANTE!F204-PERALTE!$Q$6)-2),IF(RASANTE!F204&lt;=PERALTE!$X$6,8,IF(RASANTE!F204&lt;=PERALTE!$AB$6,(10/(PERALTE!$X$6-PERALTE!$AB$6)*(RASANTE!F204-PERALTE!$AB$6)-2))))),IF(AND(AH!$H$10="Izquierda",RASANTE!F204&lt;=PERALTE!$AB$8),IF(RASANTE!F204&lt;=PERALTE!$S$8,-2,IF(RASANTE!F204&lt;=PERALTE!$U$8,(-6/(PERALTE!$U$8-PERALTE!$S$8)*(RASANTE!F204-PERALTE!$S$8)-2),IF(RASANTE!F204&lt;=PERALTE!$X$8,-8,IF(RASANTE!F204&lt;=PERALTE!$Z$8,(-6/(PERALTE!$X$8-PERALTE!$Z$8)*(RASANTE!F204-PERALTE!$Z$8)-2),IF(RASANTE!F204&lt;=PERALTE!$AB$8,-2))))),IF(AND(AH!$H$10="Derecha",RASANTE!F204&lt;=PERALTE!$AB$8),IF(RASANTE!F204&lt;=PERALTE!$Q$8,-2,IF(RASANTE!F204&lt;=PERALTE!$U$8,(10/(PERALTE!$U$8-PERALTE!$Q$8)*(RASANTE!F204-PERALTE!$Q$8)-2),IF(RASANTE!F204&lt;=PERALTE!$X$8,8,IF(RASANTE!F204&lt;=PERALTE!$AB$8,(10/(PERALTE!$X$8-PERALTE!$AB$8)*(RASANTE!F204-PERALTE!$AB$8)-2))))),IF(AND(AH!$H$12="Izquierda",RASANTE!F204&lt;=PERALTE!$AB$10),IF(RASANTE!F204&lt;=PERALTE!$S$10,-2,IF(RASANTE!F204&lt;=PERALTE!$U$10,(-6/(PERALTE!$U$10-PERALTE!$S$10)*(RASANTE!F204-PERALTE!$S$10)-2),IF(RASANTE!F204&lt;=PERALTE!$X$10,-8,IF(RASANTE!F204&lt;=PERALTE!$Z$10,(-6/(PERALTE!$X$10-PERALTE!$Z$10)*(RASANTE!F204-PERALTE!$Z$10)-2),IF(RASANTE!F204&lt;=PERALTE!$AB$10,-2))))),IF(AND(AH!$H$12="Derecha",RASANTE!F204&lt;=PERALTE!$AB$10),IF(RASANTE!F204&lt;=PERALTE!$Q$10,-2,IF(RASANTE!F204&lt;=PERALTE!$U$10,(10/(PERALTE!$U$10-PERALTE!$Q$10)*(RASANTE!F204-PERALTE!$Q$10)-2),IF(RASANTE!F204&lt;=PERALTE!$X$10,8,IF(RASANTE!F204&lt;=PERALTE!$AB$10,(10/(PERALTE!$X$10-PERALTE!$AB$10)*(RASANTE!F204-PERALTE!$AB$10)-2))))),IF(AND(AH!$H$14="Izquierda",RASANTE!F204&lt;=PERALTE!$AB$12),IF(RASANTE!F204&lt;=PERALTE!$S$12,-2,IF(RASANTE!F204&lt;=PERALTE!$U$12,(-6/(PERALTE!$U$12-PERALTE!$S$12)*(RASANTE!F204-PERALTE!$S$12)-2),IF(RASANTE!F204&lt;=PERALTE!$X$12,-8,IF(RASANTE!F204&lt;=PERALTE!$Z$12,(-6/(PERALTE!$X$12-PERALTE!$Z$12)*(RASANTE!F204-PERALTE!$Z$12)-2),IF(RASANTE!F204&lt;=PERALTE!$AB$12,-2))))),IF(AND(AH!$H$14="Derecha",RASANTE!F204&lt;=PERALTE!$AB$12),IF(RASANTE!F204&lt;=PERALTE!$Q$12,-2,IF(RASANTE!F204&lt;=PERALTE!$U$12,(10/(PERALTE!$U$12-PERALTE!$Q$12)*(RASANTE!F204-PERALTE!$Q$12)-2),IF(RASANTE!F204&lt;=PERALTE!$X$12,8,IF(RASANTE!F204&lt;=PERALTE!$AB$12,(10/(PERALTE!$X$12-PERALTE!$AB$12)*(RASANTE!F204-PERALTE!$AB$12)-2))))),IF(AND(AH!$H$16="Izquierda",RASANTE!F204&lt;=PERALTE!$AB$14),IF(RASANTE!F204&lt;=PERALTE!$S$14,-2,IF(RASANTE!F204&lt;=PERALTE!$U$14,(-6/(PERALTE!$U$14-PERALTE!$S$14)*(RASANTE!F204-PERALTE!$S$14)-2),IF(RASANTE!F204&lt;=PERALTE!$X$14,-8,IF(RASANTE!F204&lt;=PERALTE!$Z$14,(-6/(PERALTE!$X$14-PERALTE!$Z$14)*(RASANTE!F204-PERALTE!$Z$14)-2),IF(RASANTE!F204&lt;=PERALTE!$AB$14,-2))))),IF(AND(AH!$H$16="Derecha",RASANTE!F204&lt;=PERALTE!$AB$14),IF(RASANTE!F204&lt;=PERALTE!$Q$14,-2,IF(RASANTE!F204&lt;=PERALTE!$U$14,(10/(PERALTE!$U$14-PERALTE!$Q$14)*(RASANTE!F204-PERALTE!$Q$14)-2),IF(RASANTE!F204&lt;=PERALTE!$X$14,8,IF(RASANTE!F204&lt;=PERALTE!$AB$14,(10/(PERALTE!$X$14-PERALTE!$AB$14)*(RASANTE!F204-PERALTE!$AB$14)-2))))),IF(AND(AH!$H$18="Izquierda",RASANTE!F204&lt;=PERALTE!$AB$16),IF(RASANTE!F204&lt;=PERALTE!$S$16,-2,IF(RASANTE!F204&lt;=PERALTE!$U$16,(-6/(PERALTE!$U$16-PERALTE!$S$16)*(RASANTE!F204-PERALTE!$S$16)-2),IF(RASANTE!F204&lt;=PERALTE!$X$16,-8,IF(RASANTE!F204&lt;=PERALTE!$Z$16,(-6/(PERALTE!$X$16-PERALTE!$Z$16)*(RASANTE!F204-PERALTE!$Z$16)-2),IF(RASANTE!F204&lt;=PERALTE!$AB$16,-2))))),IF(AND(AH!$H$18="Derecha",RASANTE!F204&lt;=PERALTE!$AB$16),IF(RASANTE!F204&lt;=PERALTE!$Q$16,-2,IF(RASANTE!F204&lt;=PERALTE!$U$16,(10/(PERALTE!$U$16-PERALTE!$Q$16)*(RASANTE!F204-PERALTE!$Q$16)-2),IF(RASANTE!F204&lt;=PERALTE!$X$16,8,IF(RASANTE!F204&lt;=PERALTE!$AB$16,(10/(PERALTE!$X$16-PERALTE!$AB$16)*(RASANTE!F204-PERALTE!$AB$16)-2))))),IF(AND(AH!$H$20="Izquierda",RASANTE!F204&lt;=PERALTE!$AB$18),IF(RASANTE!F204&lt;=PERALTE!$S$18,-2,IF(RASANTE!F204&lt;=PERALTE!$U$18,(-6/(PERALTE!$U$18-PERALTE!$S$18)*(RASANTE!F204-PERALTE!$S$18)-2),IF(RASANTE!F204&lt;=PERALTE!$X$18,-8,IF(RASANTE!F204&lt;=PERALTE!$Z$18,(-6/(PERALTE!$X$18-PERALTE!$Z$18)*(RASANTE!F204-PERALTE!$Z$18)-2),IF(RASANTE!F204&lt;=PERALTE!$AB$18,-2))))),IF(AND(AH!$H$20="Derecha",RASANTE!F204&lt;=PERALTE!$AB$18),IF(RASANTE!F204&lt;=PERALTE!$Q$18,-2,IF(RASANTE!F204&lt;=PERALTE!$U$18,(10/(PERALTE!$U$18-PERALTE!$Q$18)*(RASANTE!F204-PERALTE!$Q$18)-2),IF(RASANTE!F204&lt;=PERALTE!$X$18,8,IF(RASANTE!F204&lt;=PERALTE!$AB$18,(10/(PERALTE!$X$18-PERALTE!$AB$18)*(RASANTE!F204-PERALTE!$AB$18)-2))))),IF(AND(AH!$H$24="Izquierda",RASANTE!F204&lt;=PERALTE!$AB$22),IF(RASANTE!F204&lt;=PERALTE!$S$22,-2,IF(RASANTE!F204&lt;=PERALTE!$U$22,(-6/(PERALTE!$U$22-PERALTE!$S$22)*(RASANTE!F204-PERALTE!$S$22)-2),IF(RASANTE!F204&lt;=PERALTE!$X$22,-8,IF(RASANTE!F204&lt;=PERALTE!$Z$22,(-6/(PERALTE!$X$22-PERALTE!$Z$22)*(RASANTE!F204-PERALTE!$Z$22)-2),IF(RASANTE!F204&lt;=PERALTE!$AB$22,-2))))),IF(AND(AH!$H$24="Derecha",RASANTE!F204&lt;=PERALTE!$AB$22),IF(RASANTE!F204&lt;=PERALTE!$Q$22,-2,IF(RASANTE!F204&lt;=PERALTE!$U$22,(10/(PERALTE!$U$22-PERALTE!$Q$22)*(RASANTE!F204-PERALTE!$Q$22)-2),IF(RASANTE!F204&lt;=PERALTE!$X$22,8,IF(RASANTE!F204&lt;=PERALTE!$AB$22,(10/(PERALTE!$X$22-PERALTE!$AB$22)*(RASANTE!F204-PERALTE!$AB$22)-2))))),IF(AND(AH!#REF!="Izquierda",RASANTE!F204&lt;=PERALTE!#REF!),IF(RASANTE!F204&lt;=PERALTE!#REF!,-2,IF(RASANTE!F204&lt;=PERALTE!#REF!,(-6/(PERALTE!#REF!-PERALTE!#REF!)*(RASANTE!F204-PERALTE!#REF!)-2),IF(RASANTE!F204&lt;=PERALTE!#REF!,-8,IF(RASANTE!F204&lt;=PERALTE!#REF!,(-6/(PERALTE!#REF!-PERALTE!#REF!)*(RASANTE!F204-PERALTE!#REF!)-2),IF(RASANTE!F204&lt;=PERALTE!#REF!,-2))))),IF(AND(AH!#REF!="Derecha",RASANTE!F204&lt;=PERALTE!#REF!),IF(RASANTE!F204&lt;=PERALTE!#REF!,-2,IF(RASANTE!F204&lt;=PERALTE!#REF!,(10/(PERALTE!#REF!-PERALTE!#REF!)*(RASANTE!F204-PERALTE!#REF!)-2),IF(RASANTE!F204&lt;=PERALTE!#REF!,8,IF(RASANTE!F204&lt;=PERALTE!#REF!,(10/(PERALTE!#REF!-PERALTE!#REF!)*(RASANTE!F204-PERALTE!#REF!)-2))))),IF(AND(AH!#REF!="Izquierda",RASANTE!F204&lt;=PERALTE!$AB$26),IF(RASANTE!F204&lt;=PERALTE!$S$26,-2,IF(RASANTE!F204&lt;=PERALTE!$U$26,(-6/(PERALTE!$U$26-PERALTE!$S$26)*(RASANTE!F204-PERALTE!$S$26)-2),IF(RASANTE!F204&lt;=PERALTE!$X$26,-8,IF(RASANTE!F204&lt;=PERALTE!$Z$26,(-6/(PERALTE!$X$26-PERALTE!$Z$26)*(RASANTE!F204-PERALTE!$Z$26)-2),IF(RASANTE!F204&lt;=PERALTE!$AB$26,-2))))),IF(AND(AH!#REF!="Derecha",RASANTE!F204&lt;=PERALTE!$AB$26),IF(RASANTE!F204&lt;=PERALTE!$Q$26,-2,IF(RASANTE!F204&lt;=PERALTE!$U$26,(10/(PERALTE!$U$26-PERALTE!$Q$26)*(RASANTE!F204-PERALTE!$Q$26)-2),IF(RASANTE!F204&lt;=PERALTE!$X$26,8,IF(RASANTE!F204&lt;=PERALTE!$AB$26,(10/(PERALTE!$X$26-PERALTE!$AB$26)*(RASANTE!F204-PERALTE!$AB$26)-2))))),IF(F204&lt;=PERALTE!#REF!,-2,"Abscisa fuera de la vía")))))))))))))))))))))</f>
        <v>-2</v>
      </c>
      <c r="I298" s="28">
        <f>+IF(AND(AH!$H$8="Derecha",RASANTE!F163&lt;=PERALTE!$AB$6),IF(RASANTE!F163&lt;=PERALTE!$S$6,-2,IF(RASANTE!F163&lt;=PERALTE!$U$6,(-6/(PERALTE!$U$6-PERALTE!$S$6)*(RASANTE!F163-PERALTE!$S$6)-2),IF(RASANTE!F163&lt;=PERALTE!$X$6,-8,IF(RASANTE!F163&lt;=PERALTE!$Z$6,(-6/(PERALTE!$X$6-PERALTE!$Z$6)*(RASANTE!F163-PERALTE!$Z$6)-2),IF(RASANTE!F163&lt;=PERALTE!$AB$6,-2))))),IF(AND(AH!$H$8="Izquierda",RASANTE!F163&lt;=PERALTE!$AB$6),IF(RASANTE!F163&lt;=PERALTE!$Q$6,-2,IF(RASANTE!F163&lt;=PERALTE!$U$6,(10/(PERALTE!$U$6-PERALTE!$Q$6)*(RASANTE!F163-PERALTE!$Q$6)-2),IF(RASANTE!F163&lt;=PERALTE!$X$6,8,IF(RASANTE!F163&lt;=PERALTE!$AB$6,(10/(PERALTE!$X$6-PERALTE!$AB$6)*(RASANTE!F163-PERALTE!$AB$6)-2))))),IF(AND(AH!$H$10="Derecha",RASANTE!F163&lt;=PERALTE!$AB$8),IF(RASANTE!F163&lt;=PERALTE!$S$8,-2,IF(RASANTE!F163&lt;=PERALTE!$U$8,(-6/(PERALTE!$U$8-PERALTE!$S$8)*(RASANTE!F163-PERALTE!$S$8)-2),IF(RASANTE!F163&lt;=PERALTE!$X$8,-8,IF(RASANTE!F163&lt;=PERALTE!$Z$8,(-6/(PERALTE!$X$8-PERALTE!$Z$8)*(RASANTE!F163-PERALTE!$Z$8)-2),IF(RASANTE!F163&lt;=PERALTE!$AB$8,-2))))),IF(AND(AH!$H$10="Izquierda",RASANTE!F163&lt;=PERALTE!$AB$8),IF(RASANTE!F163&lt;=PERALTE!$Q$8,-2,IF(RASANTE!F163&lt;=PERALTE!$U$8,(10/(PERALTE!$U$8-PERALTE!$Q$8)*(RASANTE!F163-PERALTE!$Q$8)-2),IF(RASANTE!F163&lt;=PERALTE!$X$8,8,IF(RASANTE!F163&lt;=PERALTE!$AB$8,(10/(PERALTE!$X$8-PERALTE!$AB$8)*(RASANTE!F163-PERALTE!$AB$8)-2))))),IF(AND(AH!$H$12="Derecha",RASANTE!F163&lt;=PERALTE!$AB$10),IF(RASANTE!F163&lt;=PERALTE!$S$10,-2,IF(RASANTE!F163&lt;=PERALTE!$U$10,(-6/(PERALTE!$U$10-PERALTE!$S$10)*(RASANTE!F163-PERALTE!$S$10)-2),IF(RASANTE!F163&lt;=PERALTE!$X$10,-8,IF(RASANTE!F163&lt;=PERALTE!$Z$10,(-6/(PERALTE!$X$10-PERALTE!$Z$10)*(RASANTE!F163-PERALTE!$Z$10)-2),IF(RASANTE!F163&lt;=PERALTE!$AB$10,-2))))),IF(AND(AH!$H$12="Izquierda",RASANTE!F163&lt;=PERALTE!$AB$10),IF(RASANTE!F163&lt;=PERALTE!$Q$10,-2,IF(RASANTE!F163&lt;=PERALTE!$U$10,(10/(PERALTE!$U$10-PERALTE!$Q$10)*(RASANTE!F163-PERALTE!$Q$10)-2),IF(RASANTE!F163&lt;=PERALTE!$X$10,8,IF(RASANTE!F163&lt;=PERALTE!$AB$10,(10/(PERALTE!$X$10-PERALTE!$AB$10)*(RASANTE!F163-PERALTE!$AB$10)-2))))),IF(AND(AH!$H$14="Derecha",RASANTE!F163&lt;=PERALTE!$AB$12),IF(RASANTE!F163&lt;=PERALTE!$S$12,-2,IF(RASANTE!F163&lt;=PERALTE!$U$12,(-6/(PERALTE!$U$12-PERALTE!$S$12)*(RASANTE!F163-PERALTE!$S$12)-2),IF(RASANTE!F163&lt;=PERALTE!$X$12,-8,IF(RASANTE!F163&lt;=PERALTE!$Z$12,(-6/(PERALTE!$X$12-PERALTE!$Z$12)*(RASANTE!F163-PERALTE!$Z$12)-2),IF(RASANTE!F163&lt;=PERALTE!$AB$12,-2))))),IF(AND(AH!$H$14="Izquierda",RASANTE!F163&lt;=PERALTE!$AB$12),IF(RASANTE!F163&lt;=PERALTE!$Q$12,-2,IF(RASANTE!F163&lt;=PERALTE!$U$12,(10/(PERALTE!$U$12-PERALTE!$Q$12)*(RASANTE!F163-PERALTE!$Q$12)-2),IF(RASANTE!F163&lt;=PERALTE!$X$12,8,IF(RASANTE!F163&lt;=PERALTE!$AB$12,(10/(PERALTE!$X$12-PERALTE!$AB$12)*(RASANTE!F163-PERALTE!$AB$12)-2))))),IF(AND(AH!$H$16="Derecha",RASANTE!F163&lt;=PERALTE!$AB$14),IF(RASANTE!F163&lt;=PERALTE!$S$14,-2,IF(RASANTE!F163&lt;=PERALTE!$U$14,(-6/(PERALTE!$U$14-PERALTE!$S$14)*(RASANTE!F163-PERALTE!$S$14)-2),IF(RASANTE!F163&lt;=PERALTE!$X$14,-8,IF(RASANTE!F163&lt;=PERALTE!$Z$14,(-6/(PERALTE!$X$14-PERALTE!$Z$14)*(RASANTE!F163-PERALTE!$Z$14)-2),IF(RASANTE!F163&lt;=PERALTE!$AB$14,-2))))),IF(AND(AH!$H$16="Izquierda",RASANTE!F163&lt;=PERALTE!$AB$14),IF(RASANTE!F163&lt;=PERALTE!$Q$14,-2,IF(RASANTE!F163&lt;=PERALTE!$U$14,(10/(PERALTE!$U$14-PERALTE!$Q$14)*(RASANTE!F163-PERALTE!$Q$14)-2),IF(RASANTE!F163&lt;=PERALTE!$X$14,8,IF(RASANTE!F163&lt;=PERALTE!$AB$14,(10/(PERALTE!$X$14-PERALTE!$AB$14)*(RASANTE!F163-PERALTE!$AB$14)-2))))),IF(AND(AH!$H$18="Derecha",RASANTE!F163&lt;=PERALTE!$AB$16),IF(RASANTE!F163&lt;=PERALTE!$S$16,-2,IF(RASANTE!F163&lt;=PERALTE!$U$16,(-6/(PERALTE!$U$16-PERALTE!$S$16)*(RASANTE!F163-PERALTE!$S$16)-2),IF(RASANTE!F163&lt;=PERALTE!$X$16,-8,IF(RASANTE!F163&lt;=PERALTE!$Z$16,(-6/(PERALTE!$X$16-PERALTE!$Z$16)*(RASANTE!F163-PERALTE!$Z$16)-2),IF(RASANTE!F163&lt;=PERALTE!$AB$16,-2))))),IF(AND(AH!$H$18="Izquierda",RASANTE!F163&lt;=PERALTE!$AB$16),IF(RASANTE!F163&lt;=PERALTE!$Q$16,-2,IF(RASANTE!F163&lt;=PERALTE!$U$16,(10/(PERALTE!$U$16-PERALTE!$Q$16)*(RASANTE!F163-PERALTE!$Q$16)-2),IF(RASANTE!F163&lt;=PERALTE!$X$16,8,IF(RASANTE!F163&lt;=PERALTE!$AB$16,(10/(PERALTE!$X$16-PERALTE!$AB$16)*(RASANTE!F163-PERALTE!$AB$16)-2))))),IF(AND(AH!$H$20="Derecha",RASANTE!F163&lt;=PERALTE!$AB$18),IF(RASANTE!F163&lt;=PERALTE!$S$18,-2,IF(RASANTE!F163&lt;=PERALTE!$U$18,(-6/(PERALTE!$U$18-PERALTE!$S$18)*(RASANTE!F163-PERALTE!$S$18)-2),IF(RASANTE!F163&lt;=PERALTE!$X$18,-8,IF(RASANTE!F163&lt;=PERALTE!$Z$18,(-6/(PERALTE!$X$18-PERALTE!$Z$18)*(RASANTE!F163-PERALTE!$Z$18)-2),IF(RASANTE!F163&lt;=PERALTE!$AB$18,-2))))),IF(AND(AH!$H$20="Izquierda",RASANTE!F163&lt;=PERALTE!$AB$18),IF(RASANTE!F163&lt;=PERALTE!$Q$18,-2,IF(RASANTE!F163&lt;=PERALTE!$U$18,(10/(PERALTE!$U$18-PERALTE!$Q$18)*(RASANTE!F163-PERALTE!$Q$18)-2),IF(RASANTE!F163&lt;=PERALTE!$X$18,8,IF(RASANTE!F163&lt;=PERALTE!$AB$18,(10/(PERALTE!$X$18-PERALTE!$AB$18)*(RASANTE!F163-PERALTE!$AB$18)-2))))),IF(AND(AH!$H$24="Derecha",RASANTE!F163&lt;=PERALTE!$AB$22),IF(RASANTE!F163&lt;=PERALTE!$S$22,-2,IF(RASANTE!F163&lt;=PERALTE!$U$22,(-6/(PERALTE!$U$22-PERALTE!$S$22)*(RASANTE!F163-PERALTE!$S$22)-2),IF(RASANTE!F163&lt;=PERALTE!$X$22,-8,IF(RASANTE!F163&lt;=PERALTE!$Z$22,(-6/(PERALTE!$X$22-PERALTE!$Z$22)*(RASANTE!F163-PERALTE!$Z$22)-2),IF(RASANTE!F163&lt;=PERALTE!$AB$22,-2))))),IF(AND(AH!$H$24="Izquierda",RASANTE!F163&lt;=PERALTE!$AB$22),IF(RASANTE!F163&lt;=PERALTE!$Q$22,-2,IF(RASANTE!F163&lt;=PERALTE!$U$22,(10/(PERALTE!$U$22-PERALTE!$Q$22)*(RASANTE!F163-PERALTE!$Q$22)-2),IF(RASANTE!F163&lt;=PERALTE!$X$22,8,IF(RASANTE!F163&lt;=PERALTE!$AB$22,(10/(PERALTE!$X$22-PERALTE!$AB$22)*(RASANTE!F163-PERALTE!$AB$22)-2))))),IF(AND(AH!#REF!="Derecha",RASANTE!F163&lt;=PERALTE!#REF!),IF(RASANTE!F163&lt;=PERALTE!#REF!,-2,IF(RASANTE!F163&lt;=PERALTE!#REF!,(-6/(PERALTE!#REF!-PERALTE!#REF!)*(RASANTE!F163-PERALTE!#REF!)-2),IF(RASANTE!F163&lt;=PERALTE!#REF!,-8,IF(RASANTE!F163&lt;=PERALTE!#REF!,(-6/(PERALTE!#REF!-PERALTE!#REF!)*(RASANTE!F163-PERALTE!#REF!)-2),IF(RASANTE!F163&lt;=PERALTE!#REF!,-2))))),IF(AND(AH!#REF!="Izquierda",RASANTE!F163&lt;=PERALTE!#REF!),IF(RASANTE!F163&lt;=PERALTE!#REF!,-2,IF(RASANTE!F163&lt;=PERALTE!#REF!,(10/(PERALTE!#REF!-PERALTE!#REF!)*(RASANTE!F163-PERALTE!#REF!)-2),IF(RASANTE!F163&lt;=PERALTE!#REF!,8,IF(RASANTE!F163&lt;=PERALTE!#REF!,(10/(PERALTE!#REF!-PERALTE!#REF!)*(RASANTE!F163-PERALTE!#REF!)-2))))),IF(AND(AH!#REF!="Derecha",RASANTE!F163&lt;=PERALTE!$AB$26),IF(RASANTE!F163&lt;=PERALTE!$S$26,-2,IF(RASANTE!F163&lt;=PERALTE!$U$26,(-6/(PERALTE!$U$26-PERALTE!$S$26)*(RASANTE!F163-PERALTE!$S$26)-2),IF(RASANTE!F163&lt;=PERALTE!$X$26,-8,IF(RASANTE!F163&lt;=PERALTE!$Z$26,(-6/(PERALTE!$X$26-PERALTE!$Z$26)*(RASANTE!F163-PERALTE!$Z$26)-2),IF(RASANTE!F163&lt;=PERALTE!$AB$26,-2))))),IF(AND(AH!#REF!="Izquierda",RASANTE!F163&lt;=PERALTE!$AB$26),IF(RASANTE!F163&lt;=PERALTE!$Q$26,-2,IF(RASANTE!F163&lt;=PERALTE!$U$26,(10/(PERALTE!$U$26-PERALTE!$Q$26)*(RASANTE!F163-PERALTE!$Q$26)-2),IF(RASANTE!F163&lt;=PERALTE!$X$26,8,IF(RASANTE!F163&lt;=PERALTE!$AB$26,(10/(PERALTE!$X$26-PERALTE!$AB$26)*(RASANTE!F163-PERALTE!$AB$26)-2))))),IF(F163&lt;=PERALTE!#REF!,-2,"Abscisa fuera de la vía")))))))))))))))))))))</f>
        <v>-2</v>
      </c>
      <c r="J298" s="28">
        <f t="shared" si="13"/>
        <v>1649.727328464897</v>
      </c>
      <c r="K298" s="28">
        <f>+IF(AND(AV!$S$6&lt;F298,F298&lt;=AV!$T$6),AV!$P$6*((AV!$S$6-RASANTE!F298)/(AV!$N$6))^2,IF(AND(AV!$T$6&lt;RASANTE!F298,F298&lt;AV!$U$6),AV!$P$6*((AV!$U$6-RASANTE!F298)/(AV!$O$6))^2,IF(AND(AV!$S$8&lt;F298,F298&lt;=AV!$T$8),AV!$P$8*((AV!$S$8-RASANTE!F298)/(AV!$N$8))^2,IF(AND(AV!$T$8&lt;RASANTE!F298,F298&lt;AV!$U$8),AV!$P$8*((AV!$U$8-RASANTE!F298)/(AV!$O$8))^2,IF(AND(AV!$S$10&lt;F298,F298&lt;=AV!$T$10),AV!$P$10*((AV!$S$10-RASANTE!F298)/(AV!$N$10))^2,IF(AND(AV!$T$10&lt;RASANTE!F298,F298&lt;AV!$U$10),AV!$P$10*((AV!$U$10-RASANTE!F298)/(AV!$O$10))^2,IF(AND(AV!$S$12&lt;F298,F298&lt;=AV!$T$12),AV!$P$12*((AV!$S$12-RASANTE!F298)/(AV!$N$12))^2,IF(AND(AV!$T$12&lt;RASANTE!F298,F298&lt;AV!$U$12),AV!$P$12*((AV!$U$12-RASANTE!F298)/(AV!$O$12))^2,IF(AND(AV!$S$14&lt;F298,F298&lt;=AV!$T$14),AV!$P$14*((AV!$S$14-RASANTE!F298)/(AV!$N$14))^2,IF(AND(AV!$T$14&lt;RASANTE!F298,F298&lt;AV!$U$14),AV!$P$14*((AV!$U$14-RASANTE!F298)/(AV!$O$14))^2,IF(AND(AV!$S$16&lt;F298,F298&lt;=AV!$T$16),AV!$P$16*((AV!$S$16-RASANTE!F298)/(AV!$N$16))^2,IF(AND(AV!$T$16&lt;RASANTE!F298,F298&lt;AV!$U$16),AV!$P$16*((AV!$U$16-RASANTE!F298)/(AV!$O$16))^2,IF(AND(AV!$S$18&lt;F298,F298&lt;=AV!$T$18),AV!$P$18*((AV!$S$18-RASANTE!F298)/(AV!$N$18))^2,IF(AND(AV!$T$18&lt;RASANTE!F298,F298&lt;AV!$U$18),AV!$P$18*((AV!$U$18-RASANTE!F298)/(AV!$O$18))^2,IF(AND(AV!$S$20&lt;F298,F298&lt;=AV!$T$20),AV!$P$20*((AV!$S$20-RASANTE!F298)/(AV!$N$20))^2,IF(AND(AV!$T$20&lt;RASANTE!F298,F298&lt;AV!$U$20),AV!$P$20*((AV!$U$20-RASANTE!F298)/(AV!$O$20))^2,IF(AND(AV!$S$22&lt;F298,F298&lt;=AV!$T$22),AV!$P$22*((AV!$S$22-RASANTE!F298)/(AV!$N$22))^2,IF(AND(AV!$T$22&lt;RASANTE!F298,F298&lt;AV!$U$22),AV!$P$22*((AV!$U$22-RASANTE!F298)/(AV!$O$22))^2,IF(AND(AV!$S$24&lt;F298,F298&lt;=AV!$T$24),AV!$P$24*((AV!$S$24-RASANTE!F298)/(AV!$N$24))^2,IF(AND(AV!$T$24&lt;RASANTE!F298,F298&lt;AV!$U$24),AV!$P$24*((AV!$U$24-RASANTE!F298)/(AV!$O$24))^2,0))))))))))))))))))))</f>
        <v>0</v>
      </c>
      <c r="L298" s="28">
        <f>+M298+H298%*PERALTE!$C$32</f>
        <v>1649.6573284648971</v>
      </c>
      <c r="M298" s="28">
        <f t="shared" si="15"/>
        <v>1649.727328464897</v>
      </c>
      <c r="N298" s="28">
        <f>+M298+I298%*PERALTE!$C$32</f>
        <v>1649.6573284648971</v>
      </c>
      <c r="O298" s="92"/>
      <c r="P298" s="84"/>
      <c r="Q298" s="84"/>
      <c r="R298" s="84"/>
      <c r="S298" s="84"/>
      <c r="T298" s="84"/>
      <c r="U298" s="84"/>
      <c r="V298" s="84"/>
      <c r="W298" s="84"/>
      <c r="X298" s="84"/>
      <c r="Y298" s="84"/>
    </row>
    <row r="299" spans="1:25" ht="15.75" customHeight="1" x14ac:dyDescent="0.2">
      <c r="A299" s="322"/>
      <c r="B299" s="86"/>
      <c r="C299" s="86"/>
      <c r="D299" s="86"/>
      <c r="E299" s="91"/>
      <c r="F299" s="34">
        <v>1830</v>
      </c>
      <c r="G299" s="88">
        <v>5.4480000000000004</v>
      </c>
      <c r="H299" s="28">
        <f>+IF(AND(AH!$H$8="Izquierda",RASANTE!F205&lt;=PERALTE!$AB$6),IF(RASANTE!F205&lt;=PERALTE!$S$6,-2,IF(RASANTE!F205&lt;=PERALTE!$U$6,(-6/(PERALTE!$U$6-PERALTE!$S$6)*(RASANTE!F205-PERALTE!$S$6)-2),IF(RASANTE!F205&lt;=PERALTE!$X$6,-8,IF(RASANTE!F205&lt;=PERALTE!$Z$6,(-6/(PERALTE!$X$6-PERALTE!$Z$6)*(RASANTE!F205-PERALTE!$Z$6)-2),IF(RASANTE!F205&lt;=PERALTE!$AB$6,-2))))),IF(AND(AH!$H$8="Derecha",RASANTE!F205&lt;=PERALTE!$AB$6),IF(RASANTE!F205&lt;=PERALTE!$Q$6,-2,IF(RASANTE!F205&lt;=PERALTE!$U$6,(10/(PERALTE!$U$6-PERALTE!$Q$6)*(RASANTE!F205-PERALTE!$Q$6)-2),IF(RASANTE!F205&lt;=PERALTE!$X$6,8,IF(RASANTE!F205&lt;=PERALTE!$AB$6,(10/(PERALTE!$X$6-PERALTE!$AB$6)*(RASANTE!F205-PERALTE!$AB$6)-2))))),IF(AND(AH!$H$10="Izquierda",RASANTE!F205&lt;=PERALTE!$AB$8),IF(RASANTE!F205&lt;=PERALTE!$S$8,-2,IF(RASANTE!F205&lt;=PERALTE!$U$8,(-6/(PERALTE!$U$8-PERALTE!$S$8)*(RASANTE!F205-PERALTE!$S$8)-2),IF(RASANTE!F205&lt;=PERALTE!$X$8,-8,IF(RASANTE!F205&lt;=PERALTE!$Z$8,(-6/(PERALTE!$X$8-PERALTE!$Z$8)*(RASANTE!F205-PERALTE!$Z$8)-2),IF(RASANTE!F205&lt;=PERALTE!$AB$8,-2))))),IF(AND(AH!$H$10="Derecha",RASANTE!F205&lt;=PERALTE!$AB$8),IF(RASANTE!F205&lt;=PERALTE!$Q$8,-2,IF(RASANTE!F205&lt;=PERALTE!$U$8,(10/(PERALTE!$U$8-PERALTE!$Q$8)*(RASANTE!F205-PERALTE!$Q$8)-2),IF(RASANTE!F205&lt;=PERALTE!$X$8,8,IF(RASANTE!F205&lt;=PERALTE!$AB$8,(10/(PERALTE!$X$8-PERALTE!$AB$8)*(RASANTE!F205-PERALTE!$AB$8)-2))))),IF(AND(AH!$H$12="Izquierda",RASANTE!F205&lt;=PERALTE!$AB$10),IF(RASANTE!F205&lt;=PERALTE!$S$10,-2,IF(RASANTE!F205&lt;=PERALTE!$U$10,(-6/(PERALTE!$U$10-PERALTE!$S$10)*(RASANTE!F205-PERALTE!$S$10)-2),IF(RASANTE!F205&lt;=PERALTE!$X$10,-8,IF(RASANTE!F205&lt;=PERALTE!$Z$10,(-6/(PERALTE!$X$10-PERALTE!$Z$10)*(RASANTE!F205-PERALTE!$Z$10)-2),IF(RASANTE!F205&lt;=PERALTE!$AB$10,-2))))),IF(AND(AH!$H$12="Derecha",RASANTE!F205&lt;=PERALTE!$AB$10),IF(RASANTE!F205&lt;=PERALTE!$Q$10,-2,IF(RASANTE!F205&lt;=PERALTE!$U$10,(10/(PERALTE!$U$10-PERALTE!$Q$10)*(RASANTE!F205-PERALTE!$Q$10)-2),IF(RASANTE!F205&lt;=PERALTE!$X$10,8,IF(RASANTE!F205&lt;=PERALTE!$AB$10,(10/(PERALTE!$X$10-PERALTE!$AB$10)*(RASANTE!F205-PERALTE!$AB$10)-2))))),IF(AND(AH!$H$14="Izquierda",RASANTE!F205&lt;=PERALTE!$AB$12),IF(RASANTE!F205&lt;=PERALTE!$S$12,-2,IF(RASANTE!F205&lt;=PERALTE!$U$12,(-6/(PERALTE!$U$12-PERALTE!$S$12)*(RASANTE!F205-PERALTE!$S$12)-2),IF(RASANTE!F205&lt;=PERALTE!$X$12,-8,IF(RASANTE!F205&lt;=PERALTE!$Z$12,(-6/(PERALTE!$X$12-PERALTE!$Z$12)*(RASANTE!F205-PERALTE!$Z$12)-2),IF(RASANTE!F205&lt;=PERALTE!$AB$12,-2))))),IF(AND(AH!$H$14="Derecha",RASANTE!F205&lt;=PERALTE!$AB$12),IF(RASANTE!F205&lt;=PERALTE!$Q$12,-2,IF(RASANTE!F205&lt;=PERALTE!$U$12,(10/(PERALTE!$U$12-PERALTE!$Q$12)*(RASANTE!F205-PERALTE!$Q$12)-2),IF(RASANTE!F205&lt;=PERALTE!$X$12,8,IF(RASANTE!F205&lt;=PERALTE!$AB$12,(10/(PERALTE!$X$12-PERALTE!$AB$12)*(RASANTE!F205-PERALTE!$AB$12)-2))))),IF(AND(AH!$H$16="Izquierda",RASANTE!F205&lt;=PERALTE!$AB$14),IF(RASANTE!F205&lt;=PERALTE!$S$14,-2,IF(RASANTE!F205&lt;=PERALTE!$U$14,(-6/(PERALTE!$U$14-PERALTE!$S$14)*(RASANTE!F205-PERALTE!$S$14)-2),IF(RASANTE!F205&lt;=PERALTE!$X$14,-8,IF(RASANTE!F205&lt;=PERALTE!$Z$14,(-6/(PERALTE!$X$14-PERALTE!$Z$14)*(RASANTE!F205-PERALTE!$Z$14)-2),IF(RASANTE!F205&lt;=PERALTE!$AB$14,-2))))),IF(AND(AH!$H$16="Derecha",RASANTE!F205&lt;=PERALTE!$AB$14),IF(RASANTE!F205&lt;=PERALTE!$Q$14,-2,IF(RASANTE!F205&lt;=PERALTE!$U$14,(10/(PERALTE!$U$14-PERALTE!$Q$14)*(RASANTE!F205-PERALTE!$Q$14)-2),IF(RASANTE!F205&lt;=PERALTE!$X$14,8,IF(RASANTE!F205&lt;=PERALTE!$AB$14,(10/(PERALTE!$X$14-PERALTE!$AB$14)*(RASANTE!F205-PERALTE!$AB$14)-2))))),IF(AND(AH!$H$18="Izquierda",RASANTE!F205&lt;=PERALTE!$AB$16),IF(RASANTE!F205&lt;=PERALTE!$S$16,-2,IF(RASANTE!F205&lt;=PERALTE!$U$16,(-6/(PERALTE!$U$16-PERALTE!$S$16)*(RASANTE!F205-PERALTE!$S$16)-2),IF(RASANTE!F205&lt;=PERALTE!$X$16,-8,IF(RASANTE!F205&lt;=PERALTE!$Z$16,(-6/(PERALTE!$X$16-PERALTE!$Z$16)*(RASANTE!F205-PERALTE!$Z$16)-2),IF(RASANTE!F205&lt;=PERALTE!$AB$16,-2))))),IF(AND(AH!$H$18="Derecha",RASANTE!F205&lt;=PERALTE!$AB$16),IF(RASANTE!F205&lt;=PERALTE!$Q$16,-2,IF(RASANTE!F205&lt;=PERALTE!$U$16,(10/(PERALTE!$U$16-PERALTE!$Q$16)*(RASANTE!F205-PERALTE!$Q$16)-2),IF(RASANTE!F205&lt;=PERALTE!$X$16,8,IF(RASANTE!F205&lt;=PERALTE!$AB$16,(10/(PERALTE!$X$16-PERALTE!$AB$16)*(RASANTE!F205-PERALTE!$AB$16)-2))))),IF(AND(AH!$H$20="Izquierda",RASANTE!F205&lt;=PERALTE!$AB$18),IF(RASANTE!F205&lt;=PERALTE!$S$18,-2,IF(RASANTE!F205&lt;=PERALTE!$U$18,(-6/(PERALTE!$U$18-PERALTE!$S$18)*(RASANTE!F205-PERALTE!$S$18)-2),IF(RASANTE!F205&lt;=PERALTE!$X$18,-8,IF(RASANTE!F205&lt;=PERALTE!$Z$18,(-6/(PERALTE!$X$18-PERALTE!$Z$18)*(RASANTE!F205-PERALTE!$Z$18)-2),IF(RASANTE!F205&lt;=PERALTE!$AB$18,-2))))),IF(AND(AH!$H$20="Derecha",RASANTE!F205&lt;=PERALTE!$AB$18),IF(RASANTE!F205&lt;=PERALTE!$Q$18,-2,IF(RASANTE!F205&lt;=PERALTE!$U$18,(10/(PERALTE!$U$18-PERALTE!$Q$18)*(RASANTE!F205-PERALTE!$Q$18)-2),IF(RASANTE!F205&lt;=PERALTE!$X$18,8,IF(RASANTE!F205&lt;=PERALTE!$AB$18,(10/(PERALTE!$X$18-PERALTE!$AB$18)*(RASANTE!F205-PERALTE!$AB$18)-2))))),IF(AND(AH!$H$24="Izquierda",RASANTE!F205&lt;=PERALTE!$AB$22),IF(RASANTE!F205&lt;=PERALTE!$S$22,-2,IF(RASANTE!F205&lt;=PERALTE!$U$22,(-6/(PERALTE!$U$22-PERALTE!$S$22)*(RASANTE!F205-PERALTE!$S$22)-2),IF(RASANTE!F205&lt;=PERALTE!$X$22,-8,IF(RASANTE!F205&lt;=PERALTE!$Z$22,(-6/(PERALTE!$X$22-PERALTE!$Z$22)*(RASANTE!F205-PERALTE!$Z$22)-2),IF(RASANTE!F205&lt;=PERALTE!$AB$22,-2))))),IF(AND(AH!$H$24="Derecha",RASANTE!F205&lt;=PERALTE!$AB$22),IF(RASANTE!F205&lt;=PERALTE!$Q$22,-2,IF(RASANTE!F205&lt;=PERALTE!$U$22,(10/(PERALTE!$U$22-PERALTE!$Q$22)*(RASANTE!F205-PERALTE!$Q$22)-2),IF(RASANTE!F205&lt;=PERALTE!$X$22,8,IF(RASANTE!F205&lt;=PERALTE!$AB$22,(10/(PERALTE!$X$22-PERALTE!$AB$22)*(RASANTE!F205-PERALTE!$AB$22)-2))))),IF(AND(AH!#REF!="Izquierda",RASANTE!F205&lt;=PERALTE!#REF!),IF(RASANTE!F205&lt;=PERALTE!#REF!,-2,IF(RASANTE!F205&lt;=PERALTE!#REF!,(-6/(PERALTE!#REF!-PERALTE!#REF!)*(RASANTE!F205-PERALTE!#REF!)-2),IF(RASANTE!F205&lt;=PERALTE!#REF!,-8,IF(RASANTE!F205&lt;=PERALTE!#REF!,(-6/(PERALTE!#REF!-PERALTE!#REF!)*(RASANTE!F205-PERALTE!#REF!)-2),IF(RASANTE!F205&lt;=PERALTE!#REF!,-2))))),IF(AND(AH!#REF!="Derecha",RASANTE!F205&lt;=PERALTE!#REF!),IF(RASANTE!F205&lt;=PERALTE!#REF!,-2,IF(RASANTE!F205&lt;=PERALTE!#REF!,(10/(PERALTE!#REF!-PERALTE!#REF!)*(RASANTE!F205-PERALTE!#REF!)-2),IF(RASANTE!F205&lt;=PERALTE!#REF!,8,IF(RASANTE!F205&lt;=PERALTE!#REF!,(10/(PERALTE!#REF!-PERALTE!#REF!)*(RASANTE!F205-PERALTE!#REF!)-2))))),IF(AND(AH!#REF!="Izquierda",RASANTE!F205&lt;=PERALTE!$AB$26),IF(RASANTE!F205&lt;=PERALTE!$S$26,-2,IF(RASANTE!F205&lt;=PERALTE!$U$26,(-6/(PERALTE!$U$26-PERALTE!$S$26)*(RASANTE!F205-PERALTE!$S$26)-2),IF(RASANTE!F205&lt;=PERALTE!$X$26,-8,IF(RASANTE!F205&lt;=PERALTE!$Z$26,(-6/(PERALTE!$X$26-PERALTE!$Z$26)*(RASANTE!F205-PERALTE!$Z$26)-2),IF(RASANTE!F205&lt;=PERALTE!$AB$26,-2))))),IF(AND(AH!#REF!="Derecha",RASANTE!F205&lt;=PERALTE!$AB$26),IF(RASANTE!F205&lt;=PERALTE!$Q$26,-2,IF(RASANTE!F205&lt;=PERALTE!$U$26,(10/(PERALTE!$U$26-PERALTE!$Q$26)*(RASANTE!F205-PERALTE!$Q$26)-2),IF(RASANTE!F205&lt;=PERALTE!$X$26,8,IF(RASANTE!F205&lt;=PERALTE!$AB$26,(10/(PERALTE!$X$26-PERALTE!$AB$26)*(RASANTE!F205-PERALTE!$AB$26)-2))))),IF(F205&lt;=PERALTE!#REF!,-2,"Abscisa fuera de la vía")))))))))))))))))))))</f>
        <v>-2</v>
      </c>
      <c r="I299" s="28">
        <f>+IF(AND(AH!$H$8="Derecha",RASANTE!F175&lt;=PERALTE!$AB$6),IF(RASANTE!F175&lt;=PERALTE!$S$6,-2,IF(RASANTE!F175&lt;=PERALTE!$U$6,(-6/(PERALTE!$U$6-PERALTE!$S$6)*(RASANTE!F175-PERALTE!$S$6)-2),IF(RASANTE!F175&lt;=PERALTE!$X$6,-8,IF(RASANTE!F175&lt;=PERALTE!$Z$6,(-6/(PERALTE!$X$6-PERALTE!$Z$6)*(RASANTE!F175-PERALTE!$Z$6)-2),IF(RASANTE!F175&lt;=PERALTE!$AB$6,-2))))),IF(AND(AH!$H$8="Izquierda",RASANTE!F175&lt;=PERALTE!$AB$6),IF(RASANTE!F175&lt;=PERALTE!$Q$6,-2,IF(RASANTE!F175&lt;=PERALTE!$U$6,(10/(PERALTE!$U$6-PERALTE!$Q$6)*(RASANTE!F175-PERALTE!$Q$6)-2),IF(RASANTE!F175&lt;=PERALTE!$X$6,8,IF(RASANTE!F175&lt;=PERALTE!$AB$6,(10/(PERALTE!$X$6-PERALTE!$AB$6)*(RASANTE!F175-PERALTE!$AB$6)-2))))),IF(AND(AH!$H$10="Derecha",RASANTE!F175&lt;=PERALTE!$AB$8),IF(RASANTE!F175&lt;=PERALTE!$S$8,-2,IF(RASANTE!F175&lt;=PERALTE!$U$8,(-6/(PERALTE!$U$8-PERALTE!$S$8)*(RASANTE!F175-PERALTE!$S$8)-2),IF(RASANTE!F175&lt;=PERALTE!$X$8,-8,IF(RASANTE!F175&lt;=PERALTE!$Z$8,(-6/(PERALTE!$X$8-PERALTE!$Z$8)*(RASANTE!F175-PERALTE!$Z$8)-2),IF(RASANTE!F175&lt;=PERALTE!$AB$8,-2))))),IF(AND(AH!$H$10="Izquierda",RASANTE!F175&lt;=PERALTE!$AB$8),IF(RASANTE!F175&lt;=PERALTE!$Q$8,-2,IF(RASANTE!F175&lt;=PERALTE!$U$8,(10/(PERALTE!$U$8-PERALTE!$Q$8)*(RASANTE!F175-PERALTE!$Q$8)-2),IF(RASANTE!F175&lt;=PERALTE!$X$8,8,IF(RASANTE!F175&lt;=PERALTE!$AB$8,(10/(PERALTE!$X$8-PERALTE!$AB$8)*(RASANTE!F175-PERALTE!$AB$8)-2))))),IF(AND(AH!$H$12="Derecha",RASANTE!F175&lt;=PERALTE!$AB$10),IF(RASANTE!F175&lt;=PERALTE!$S$10,-2,IF(RASANTE!F175&lt;=PERALTE!$U$10,(-6/(PERALTE!$U$10-PERALTE!$S$10)*(RASANTE!F175-PERALTE!$S$10)-2),IF(RASANTE!F175&lt;=PERALTE!$X$10,-8,IF(RASANTE!F175&lt;=PERALTE!$Z$10,(-6/(PERALTE!$X$10-PERALTE!$Z$10)*(RASANTE!F175-PERALTE!$Z$10)-2),IF(RASANTE!F175&lt;=PERALTE!$AB$10,-2))))),IF(AND(AH!$H$12="Izquierda",RASANTE!F175&lt;=PERALTE!$AB$10),IF(RASANTE!F175&lt;=PERALTE!$Q$10,-2,IF(RASANTE!F175&lt;=PERALTE!$U$10,(10/(PERALTE!$U$10-PERALTE!$Q$10)*(RASANTE!F175-PERALTE!$Q$10)-2),IF(RASANTE!F175&lt;=PERALTE!$X$10,8,IF(RASANTE!F175&lt;=PERALTE!$AB$10,(10/(PERALTE!$X$10-PERALTE!$AB$10)*(RASANTE!F175-PERALTE!$AB$10)-2))))),IF(AND(AH!$H$14="Derecha",RASANTE!F175&lt;=PERALTE!$AB$12),IF(RASANTE!F175&lt;=PERALTE!$S$12,-2,IF(RASANTE!F175&lt;=PERALTE!$U$12,(-6/(PERALTE!$U$12-PERALTE!$S$12)*(RASANTE!F175-PERALTE!$S$12)-2),IF(RASANTE!F175&lt;=PERALTE!$X$12,-8,IF(RASANTE!F175&lt;=PERALTE!$Z$12,(-6/(PERALTE!$X$12-PERALTE!$Z$12)*(RASANTE!F175-PERALTE!$Z$12)-2),IF(RASANTE!F175&lt;=PERALTE!$AB$12,-2))))),IF(AND(AH!$H$14="Izquierda",RASANTE!F175&lt;=PERALTE!$AB$12),IF(RASANTE!F175&lt;=PERALTE!$Q$12,-2,IF(RASANTE!F175&lt;=PERALTE!$U$12,(10/(PERALTE!$U$12-PERALTE!$Q$12)*(RASANTE!F175-PERALTE!$Q$12)-2),IF(RASANTE!F175&lt;=PERALTE!$X$12,8,IF(RASANTE!F175&lt;=PERALTE!$AB$12,(10/(PERALTE!$X$12-PERALTE!$AB$12)*(RASANTE!F175-PERALTE!$AB$12)-2))))),IF(AND(AH!$H$16="Derecha",RASANTE!F175&lt;=PERALTE!$AB$14),IF(RASANTE!F175&lt;=PERALTE!$S$14,-2,IF(RASANTE!F175&lt;=PERALTE!$U$14,(-6/(PERALTE!$U$14-PERALTE!$S$14)*(RASANTE!F175-PERALTE!$S$14)-2),IF(RASANTE!F175&lt;=PERALTE!$X$14,-8,IF(RASANTE!F175&lt;=PERALTE!$Z$14,(-6/(PERALTE!$X$14-PERALTE!$Z$14)*(RASANTE!F175-PERALTE!$Z$14)-2),IF(RASANTE!F175&lt;=PERALTE!$AB$14,-2))))),IF(AND(AH!$H$16="Izquierda",RASANTE!F175&lt;=PERALTE!$AB$14),IF(RASANTE!F175&lt;=PERALTE!$Q$14,-2,IF(RASANTE!F175&lt;=PERALTE!$U$14,(10/(PERALTE!$U$14-PERALTE!$Q$14)*(RASANTE!F175-PERALTE!$Q$14)-2),IF(RASANTE!F175&lt;=PERALTE!$X$14,8,IF(RASANTE!F175&lt;=PERALTE!$AB$14,(10/(PERALTE!$X$14-PERALTE!$AB$14)*(RASANTE!F175-PERALTE!$AB$14)-2))))),IF(AND(AH!$H$18="Derecha",RASANTE!F175&lt;=PERALTE!$AB$16),IF(RASANTE!F175&lt;=PERALTE!$S$16,-2,IF(RASANTE!F175&lt;=PERALTE!$U$16,(-6/(PERALTE!$U$16-PERALTE!$S$16)*(RASANTE!F175-PERALTE!$S$16)-2),IF(RASANTE!F175&lt;=PERALTE!$X$16,-8,IF(RASANTE!F175&lt;=PERALTE!$Z$16,(-6/(PERALTE!$X$16-PERALTE!$Z$16)*(RASANTE!F175-PERALTE!$Z$16)-2),IF(RASANTE!F175&lt;=PERALTE!$AB$16,-2))))),IF(AND(AH!$H$18="Izquierda",RASANTE!F175&lt;=PERALTE!$AB$16),IF(RASANTE!F175&lt;=PERALTE!$Q$16,-2,IF(RASANTE!F175&lt;=PERALTE!$U$16,(10/(PERALTE!$U$16-PERALTE!$Q$16)*(RASANTE!F175-PERALTE!$Q$16)-2),IF(RASANTE!F175&lt;=PERALTE!$X$16,8,IF(RASANTE!F175&lt;=PERALTE!$AB$16,(10/(PERALTE!$X$16-PERALTE!$AB$16)*(RASANTE!F175-PERALTE!$AB$16)-2))))),IF(AND(AH!$H$20="Derecha",RASANTE!F175&lt;=PERALTE!$AB$18),IF(RASANTE!F175&lt;=PERALTE!$S$18,-2,IF(RASANTE!F175&lt;=PERALTE!$U$18,(-6/(PERALTE!$U$18-PERALTE!$S$18)*(RASANTE!F175-PERALTE!$S$18)-2),IF(RASANTE!F175&lt;=PERALTE!$X$18,-8,IF(RASANTE!F175&lt;=PERALTE!$Z$18,(-6/(PERALTE!$X$18-PERALTE!$Z$18)*(RASANTE!F175-PERALTE!$Z$18)-2),IF(RASANTE!F175&lt;=PERALTE!$AB$18,-2))))),IF(AND(AH!$H$20="Izquierda",RASANTE!F175&lt;=PERALTE!$AB$18),IF(RASANTE!F175&lt;=PERALTE!$Q$18,-2,IF(RASANTE!F175&lt;=PERALTE!$U$18,(10/(PERALTE!$U$18-PERALTE!$Q$18)*(RASANTE!F175-PERALTE!$Q$18)-2),IF(RASANTE!F175&lt;=PERALTE!$X$18,8,IF(RASANTE!F175&lt;=PERALTE!$AB$18,(10/(PERALTE!$X$18-PERALTE!$AB$18)*(RASANTE!F175-PERALTE!$AB$18)-2))))),IF(AND(AH!$H$24="Derecha",RASANTE!F175&lt;=PERALTE!$AB$22),IF(RASANTE!F175&lt;=PERALTE!$S$22,-2,IF(RASANTE!F175&lt;=PERALTE!$U$22,(-6/(PERALTE!$U$22-PERALTE!$S$22)*(RASANTE!F175-PERALTE!$S$22)-2),IF(RASANTE!F175&lt;=PERALTE!$X$22,-8,IF(RASANTE!F175&lt;=PERALTE!$Z$22,(-6/(PERALTE!$X$22-PERALTE!$Z$22)*(RASANTE!F175-PERALTE!$Z$22)-2),IF(RASANTE!F175&lt;=PERALTE!$AB$22,-2))))),IF(AND(AH!$H$24="Izquierda",RASANTE!F175&lt;=PERALTE!$AB$22),IF(RASANTE!F175&lt;=PERALTE!$Q$22,-2,IF(RASANTE!F175&lt;=PERALTE!$U$22,(10/(PERALTE!$U$22-PERALTE!$Q$22)*(RASANTE!F175-PERALTE!$Q$22)-2),IF(RASANTE!F175&lt;=PERALTE!$X$22,8,IF(RASANTE!F175&lt;=PERALTE!$AB$22,(10/(PERALTE!$X$22-PERALTE!$AB$22)*(RASANTE!F175-PERALTE!$AB$22)-2))))),IF(AND(AH!#REF!="Derecha",RASANTE!F175&lt;=PERALTE!#REF!),IF(RASANTE!F175&lt;=PERALTE!#REF!,-2,IF(RASANTE!F175&lt;=PERALTE!#REF!,(-6/(PERALTE!#REF!-PERALTE!#REF!)*(RASANTE!F175-PERALTE!#REF!)-2),IF(RASANTE!F175&lt;=PERALTE!#REF!,-8,IF(RASANTE!F175&lt;=PERALTE!#REF!,(-6/(PERALTE!#REF!-PERALTE!#REF!)*(RASANTE!F175-PERALTE!#REF!)-2),IF(RASANTE!F175&lt;=PERALTE!#REF!,-2))))),IF(AND(AH!#REF!="Izquierda",RASANTE!F175&lt;=PERALTE!#REF!),IF(RASANTE!F175&lt;=PERALTE!#REF!,-2,IF(RASANTE!F175&lt;=PERALTE!#REF!,(10/(PERALTE!#REF!-PERALTE!#REF!)*(RASANTE!F175-PERALTE!#REF!)-2),IF(RASANTE!F175&lt;=PERALTE!#REF!,8,IF(RASANTE!F175&lt;=PERALTE!#REF!,(10/(PERALTE!#REF!-PERALTE!#REF!)*(RASANTE!F175-PERALTE!#REF!)-2))))),IF(AND(AH!#REF!="Derecha",RASANTE!F175&lt;=PERALTE!$AB$26),IF(RASANTE!F175&lt;=PERALTE!$S$26,-2,IF(RASANTE!F175&lt;=PERALTE!$U$26,(-6/(PERALTE!$U$26-PERALTE!$S$26)*(RASANTE!F175-PERALTE!$S$26)-2),IF(RASANTE!F175&lt;=PERALTE!$X$26,-8,IF(RASANTE!F175&lt;=PERALTE!$Z$26,(-6/(PERALTE!$X$26-PERALTE!$Z$26)*(RASANTE!F175-PERALTE!$Z$26)-2),IF(RASANTE!F175&lt;=PERALTE!$AB$26,-2))))),IF(AND(AH!#REF!="Izquierda",RASANTE!F175&lt;=PERALTE!$AB$26),IF(RASANTE!F175&lt;=PERALTE!$Q$26,-2,IF(RASANTE!F175&lt;=PERALTE!$U$26,(10/(PERALTE!$U$26-PERALTE!$Q$26)*(RASANTE!F175-PERALTE!$Q$26)-2),IF(RASANTE!F175&lt;=PERALTE!$X$26,8,IF(RASANTE!F175&lt;=PERALTE!$AB$26,(10/(PERALTE!$X$26-PERALTE!$AB$26)*(RASANTE!F175-PERALTE!$AB$26)-2))))),IF(F175&lt;=PERALTE!#REF!,-2,"Abscisa fuera de la vía")))))))))))))))))))))</f>
        <v>-2</v>
      </c>
      <c r="J299" s="28">
        <f t="shared" si="13"/>
        <v>1650.2721284648969</v>
      </c>
      <c r="K299" s="28">
        <f>+IF(AND(AV!$S$6&lt;F299,F299&lt;=AV!$T$6),AV!$P$6*((AV!$S$6-RASANTE!F299)/(AV!$N$6))^2,IF(AND(AV!$T$6&lt;RASANTE!F299,F299&lt;AV!$U$6),AV!$P$6*((AV!$U$6-RASANTE!F299)/(AV!$O$6))^2,IF(AND(AV!$S$8&lt;F299,F299&lt;=AV!$T$8),AV!$P$8*((AV!$S$8-RASANTE!F299)/(AV!$N$8))^2,IF(AND(AV!$T$8&lt;RASANTE!F299,F299&lt;AV!$U$8),AV!$P$8*((AV!$U$8-RASANTE!F299)/(AV!$O$8))^2,IF(AND(AV!$S$10&lt;F299,F299&lt;=AV!$T$10),AV!$P$10*((AV!$S$10-RASANTE!F299)/(AV!$N$10))^2,IF(AND(AV!$T$10&lt;RASANTE!F299,F299&lt;AV!$U$10),AV!$P$10*((AV!$U$10-RASANTE!F299)/(AV!$O$10))^2,IF(AND(AV!$S$12&lt;F299,F299&lt;=AV!$T$12),AV!$P$12*((AV!$S$12-RASANTE!F299)/(AV!$N$12))^2,IF(AND(AV!$T$12&lt;RASANTE!F299,F299&lt;AV!$U$12),AV!$P$12*((AV!$U$12-RASANTE!F299)/(AV!$O$12))^2,IF(AND(AV!$S$14&lt;F299,F299&lt;=AV!$T$14),AV!$P$14*((AV!$S$14-RASANTE!F299)/(AV!$N$14))^2,IF(AND(AV!$T$14&lt;RASANTE!F299,F299&lt;AV!$U$14),AV!$P$14*((AV!$U$14-RASANTE!F299)/(AV!$O$14))^2,IF(AND(AV!$S$16&lt;F299,F299&lt;=AV!$T$16),AV!$P$16*((AV!$S$16-RASANTE!F299)/(AV!$N$16))^2,IF(AND(AV!$T$16&lt;RASANTE!F299,F299&lt;AV!$U$16),AV!$P$16*((AV!$U$16-RASANTE!F299)/(AV!$O$16))^2,IF(AND(AV!$S$18&lt;F299,F299&lt;=AV!$T$18),AV!$P$18*((AV!$S$18-RASANTE!F299)/(AV!$N$18))^2,IF(AND(AV!$T$18&lt;RASANTE!F299,F299&lt;AV!$U$18),AV!$P$18*((AV!$U$18-RASANTE!F299)/(AV!$O$18))^2,IF(AND(AV!$S$20&lt;F299,F299&lt;=AV!$T$20),AV!$P$20*((AV!$S$20-RASANTE!F299)/(AV!$N$20))^2,IF(AND(AV!$T$20&lt;RASANTE!F299,F299&lt;AV!$U$20),AV!$P$20*((AV!$U$20-RASANTE!F299)/(AV!$O$20))^2,IF(AND(AV!$S$22&lt;F299,F299&lt;=AV!$T$22),AV!$P$22*((AV!$S$22-RASANTE!F299)/(AV!$N$22))^2,IF(AND(AV!$T$22&lt;RASANTE!F299,F299&lt;AV!$U$22),AV!$P$22*((AV!$U$22-RASANTE!F299)/(AV!$O$22))^2,IF(AND(AV!$S$24&lt;F299,F299&lt;=AV!$T$24),AV!$P$24*((AV!$S$24-RASANTE!F299)/(AV!$N$24))^2,IF(AND(AV!$T$24&lt;RASANTE!F299,F299&lt;AV!$U$24),AV!$P$24*((AV!$U$24-RASANTE!F299)/(AV!$O$24))^2,0))))))))))))))))))))</f>
        <v>0</v>
      </c>
      <c r="L299" s="28">
        <f>+M299+H299%*PERALTE!$C$32</f>
        <v>1650.202128464897</v>
      </c>
      <c r="M299" s="28">
        <f t="shared" si="15"/>
        <v>1650.2721284648969</v>
      </c>
      <c r="N299" s="28">
        <f>+M299+I299%*PERALTE!$C$32</f>
        <v>1650.202128464897</v>
      </c>
      <c r="O299" s="92"/>
      <c r="P299" s="84"/>
      <c r="Q299" s="84"/>
      <c r="R299" s="84"/>
      <c r="S299" s="84"/>
      <c r="T299" s="84"/>
      <c r="U299" s="84"/>
      <c r="V299" s="84"/>
      <c r="W299" s="84"/>
      <c r="X299" s="84"/>
      <c r="Y299" s="84"/>
    </row>
    <row r="300" spans="1:25" ht="15.75" customHeight="1" x14ac:dyDescent="0.2">
      <c r="A300" s="322"/>
      <c r="B300" s="86"/>
      <c r="C300" s="86"/>
      <c r="D300" s="86"/>
      <c r="E300" s="91"/>
      <c r="F300" s="34">
        <v>1840</v>
      </c>
      <c r="G300" s="88">
        <v>5.4480000000000004</v>
      </c>
      <c r="H300" s="28">
        <f>+IF(AND(AH!$H$8="Izquierda",RASANTE!F206&lt;=PERALTE!$AB$6),IF(RASANTE!F206&lt;=PERALTE!$S$6,-2,IF(RASANTE!F206&lt;=PERALTE!$U$6,(-6/(PERALTE!$U$6-PERALTE!$S$6)*(RASANTE!F206-PERALTE!$S$6)-2),IF(RASANTE!F206&lt;=PERALTE!$X$6,-8,IF(RASANTE!F206&lt;=PERALTE!$Z$6,(-6/(PERALTE!$X$6-PERALTE!$Z$6)*(RASANTE!F206-PERALTE!$Z$6)-2),IF(RASANTE!F206&lt;=PERALTE!$AB$6,-2))))),IF(AND(AH!$H$8="Derecha",RASANTE!F206&lt;=PERALTE!$AB$6),IF(RASANTE!F206&lt;=PERALTE!$Q$6,-2,IF(RASANTE!F206&lt;=PERALTE!$U$6,(10/(PERALTE!$U$6-PERALTE!$Q$6)*(RASANTE!F206-PERALTE!$Q$6)-2),IF(RASANTE!F206&lt;=PERALTE!$X$6,8,IF(RASANTE!F206&lt;=PERALTE!$AB$6,(10/(PERALTE!$X$6-PERALTE!$AB$6)*(RASANTE!F206-PERALTE!$AB$6)-2))))),IF(AND(AH!$H$10="Izquierda",RASANTE!F206&lt;=PERALTE!$AB$8),IF(RASANTE!F206&lt;=PERALTE!$S$8,-2,IF(RASANTE!F206&lt;=PERALTE!$U$8,(-6/(PERALTE!$U$8-PERALTE!$S$8)*(RASANTE!F206-PERALTE!$S$8)-2),IF(RASANTE!F206&lt;=PERALTE!$X$8,-8,IF(RASANTE!F206&lt;=PERALTE!$Z$8,(-6/(PERALTE!$X$8-PERALTE!$Z$8)*(RASANTE!F206-PERALTE!$Z$8)-2),IF(RASANTE!F206&lt;=PERALTE!$AB$8,-2))))),IF(AND(AH!$H$10="Derecha",RASANTE!F206&lt;=PERALTE!$AB$8),IF(RASANTE!F206&lt;=PERALTE!$Q$8,-2,IF(RASANTE!F206&lt;=PERALTE!$U$8,(10/(PERALTE!$U$8-PERALTE!$Q$8)*(RASANTE!F206-PERALTE!$Q$8)-2),IF(RASANTE!F206&lt;=PERALTE!$X$8,8,IF(RASANTE!F206&lt;=PERALTE!$AB$8,(10/(PERALTE!$X$8-PERALTE!$AB$8)*(RASANTE!F206-PERALTE!$AB$8)-2))))),IF(AND(AH!$H$12="Izquierda",RASANTE!F206&lt;=PERALTE!$AB$10),IF(RASANTE!F206&lt;=PERALTE!$S$10,-2,IF(RASANTE!F206&lt;=PERALTE!$U$10,(-6/(PERALTE!$U$10-PERALTE!$S$10)*(RASANTE!F206-PERALTE!$S$10)-2),IF(RASANTE!F206&lt;=PERALTE!$X$10,-8,IF(RASANTE!F206&lt;=PERALTE!$Z$10,(-6/(PERALTE!$X$10-PERALTE!$Z$10)*(RASANTE!F206-PERALTE!$Z$10)-2),IF(RASANTE!F206&lt;=PERALTE!$AB$10,-2))))),IF(AND(AH!$H$12="Derecha",RASANTE!F206&lt;=PERALTE!$AB$10),IF(RASANTE!F206&lt;=PERALTE!$Q$10,-2,IF(RASANTE!F206&lt;=PERALTE!$U$10,(10/(PERALTE!$U$10-PERALTE!$Q$10)*(RASANTE!F206-PERALTE!$Q$10)-2),IF(RASANTE!F206&lt;=PERALTE!$X$10,8,IF(RASANTE!F206&lt;=PERALTE!$AB$10,(10/(PERALTE!$X$10-PERALTE!$AB$10)*(RASANTE!F206-PERALTE!$AB$10)-2))))),IF(AND(AH!$H$14="Izquierda",RASANTE!F206&lt;=PERALTE!$AB$12),IF(RASANTE!F206&lt;=PERALTE!$S$12,-2,IF(RASANTE!F206&lt;=PERALTE!$U$12,(-6/(PERALTE!$U$12-PERALTE!$S$12)*(RASANTE!F206-PERALTE!$S$12)-2),IF(RASANTE!F206&lt;=PERALTE!$X$12,-8,IF(RASANTE!F206&lt;=PERALTE!$Z$12,(-6/(PERALTE!$X$12-PERALTE!$Z$12)*(RASANTE!F206-PERALTE!$Z$12)-2),IF(RASANTE!F206&lt;=PERALTE!$AB$12,-2))))),IF(AND(AH!$H$14="Derecha",RASANTE!F206&lt;=PERALTE!$AB$12),IF(RASANTE!F206&lt;=PERALTE!$Q$12,-2,IF(RASANTE!F206&lt;=PERALTE!$U$12,(10/(PERALTE!$U$12-PERALTE!$Q$12)*(RASANTE!F206-PERALTE!$Q$12)-2),IF(RASANTE!F206&lt;=PERALTE!$X$12,8,IF(RASANTE!F206&lt;=PERALTE!$AB$12,(10/(PERALTE!$X$12-PERALTE!$AB$12)*(RASANTE!F206-PERALTE!$AB$12)-2))))),IF(AND(AH!$H$16="Izquierda",RASANTE!F206&lt;=PERALTE!$AB$14),IF(RASANTE!F206&lt;=PERALTE!$S$14,-2,IF(RASANTE!F206&lt;=PERALTE!$U$14,(-6/(PERALTE!$U$14-PERALTE!$S$14)*(RASANTE!F206-PERALTE!$S$14)-2),IF(RASANTE!F206&lt;=PERALTE!$X$14,-8,IF(RASANTE!F206&lt;=PERALTE!$Z$14,(-6/(PERALTE!$X$14-PERALTE!$Z$14)*(RASANTE!F206-PERALTE!$Z$14)-2),IF(RASANTE!F206&lt;=PERALTE!$AB$14,-2))))),IF(AND(AH!$H$16="Derecha",RASANTE!F206&lt;=PERALTE!$AB$14),IF(RASANTE!F206&lt;=PERALTE!$Q$14,-2,IF(RASANTE!F206&lt;=PERALTE!$U$14,(10/(PERALTE!$U$14-PERALTE!$Q$14)*(RASANTE!F206-PERALTE!$Q$14)-2),IF(RASANTE!F206&lt;=PERALTE!$X$14,8,IF(RASANTE!F206&lt;=PERALTE!$AB$14,(10/(PERALTE!$X$14-PERALTE!$AB$14)*(RASANTE!F206-PERALTE!$AB$14)-2))))),IF(AND(AH!$H$18="Izquierda",RASANTE!F206&lt;=PERALTE!$AB$16),IF(RASANTE!F206&lt;=PERALTE!$S$16,-2,IF(RASANTE!F206&lt;=PERALTE!$U$16,(-6/(PERALTE!$U$16-PERALTE!$S$16)*(RASANTE!F206-PERALTE!$S$16)-2),IF(RASANTE!F206&lt;=PERALTE!$X$16,-8,IF(RASANTE!F206&lt;=PERALTE!$Z$16,(-6/(PERALTE!$X$16-PERALTE!$Z$16)*(RASANTE!F206-PERALTE!$Z$16)-2),IF(RASANTE!F206&lt;=PERALTE!$AB$16,-2))))),IF(AND(AH!$H$18="Derecha",RASANTE!F206&lt;=PERALTE!$AB$16),IF(RASANTE!F206&lt;=PERALTE!$Q$16,-2,IF(RASANTE!F206&lt;=PERALTE!$U$16,(10/(PERALTE!$U$16-PERALTE!$Q$16)*(RASANTE!F206-PERALTE!$Q$16)-2),IF(RASANTE!F206&lt;=PERALTE!$X$16,8,IF(RASANTE!F206&lt;=PERALTE!$AB$16,(10/(PERALTE!$X$16-PERALTE!$AB$16)*(RASANTE!F206-PERALTE!$AB$16)-2))))),IF(AND(AH!$H$20="Izquierda",RASANTE!F206&lt;=PERALTE!$AB$18),IF(RASANTE!F206&lt;=PERALTE!$S$18,-2,IF(RASANTE!F206&lt;=PERALTE!$U$18,(-6/(PERALTE!$U$18-PERALTE!$S$18)*(RASANTE!F206-PERALTE!$S$18)-2),IF(RASANTE!F206&lt;=PERALTE!$X$18,-8,IF(RASANTE!F206&lt;=PERALTE!$Z$18,(-6/(PERALTE!$X$18-PERALTE!$Z$18)*(RASANTE!F206-PERALTE!$Z$18)-2),IF(RASANTE!F206&lt;=PERALTE!$AB$18,-2))))),IF(AND(AH!$H$20="Derecha",RASANTE!F206&lt;=PERALTE!$AB$18),IF(RASANTE!F206&lt;=PERALTE!$Q$18,-2,IF(RASANTE!F206&lt;=PERALTE!$U$18,(10/(PERALTE!$U$18-PERALTE!$Q$18)*(RASANTE!F206-PERALTE!$Q$18)-2),IF(RASANTE!F206&lt;=PERALTE!$X$18,8,IF(RASANTE!F206&lt;=PERALTE!$AB$18,(10/(PERALTE!$X$18-PERALTE!$AB$18)*(RASANTE!F206-PERALTE!$AB$18)-2))))),IF(AND(AH!$H$24="Izquierda",RASANTE!F206&lt;=PERALTE!$AB$22),IF(RASANTE!F206&lt;=PERALTE!$S$22,-2,IF(RASANTE!F206&lt;=PERALTE!$U$22,(-6/(PERALTE!$U$22-PERALTE!$S$22)*(RASANTE!F206-PERALTE!$S$22)-2),IF(RASANTE!F206&lt;=PERALTE!$X$22,-8,IF(RASANTE!F206&lt;=PERALTE!$Z$22,(-6/(PERALTE!$X$22-PERALTE!$Z$22)*(RASANTE!F206-PERALTE!$Z$22)-2),IF(RASANTE!F206&lt;=PERALTE!$AB$22,-2))))),IF(AND(AH!$H$24="Derecha",RASANTE!F206&lt;=PERALTE!$AB$22),IF(RASANTE!F206&lt;=PERALTE!$Q$22,-2,IF(RASANTE!F206&lt;=PERALTE!$U$22,(10/(PERALTE!$U$22-PERALTE!$Q$22)*(RASANTE!F206-PERALTE!$Q$22)-2),IF(RASANTE!F206&lt;=PERALTE!$X$22,8,IF(RASANTE!F206&lt;=PERALTE!$AB$22,(10/(PERALTE!$X$22-PERALTE!$AB$22)*(RASANTE!F206-PERALTE!$AB$22)-2))))),IF(AND(AH!#REF!="Izquierda",RASANTE!F206&lt;=PERALTE!#REF!),IF(RASANTE!F206&lt;=PERALTE!#REF!,-2,IF(RASANTE!F206&lt;=PERALTE!#REF!,(-6/(PERALTE!#REF!-PERALTE!#REF!)*(RASANTE!F206-PERALTE!#REF!)-2),IF(RASANTE!F206&lt;=PERALTE!#REF!,-8,IF(RASANTE!F206&lt;=PERALTE!#REF!,(-6/(PERALTE!#REF!-PERALTE!#REF!)*(RASANTE!F206-PERALTE!#REF!)-2),IF(RASANTE!F206&lt;=PERALTE!#REF!,-2))))),IF(AND(AH!#REF!="Derecha",RASANTE!F206&lt;=PERALTE!#REF!),IF(RASANTE!F206&lt;=PERALTE!#REF!,-2,IF(RASANTE!F206&lt;=PERALTE!#REF!,(10/(PERALTE!#REF!-PERALTE!#REF!)*(RASANTE!F206-PERALTE!#REF!)-2),IF(RASANTE!F206&lt;=PERALTE!#REF!,8,IF(RASANTE!F206&lt;=PERALTE!#REF!,(10/(PERALTE!#REF!-PERALTE!#REF!)*(RASANTE!F206-PERALTE!#REF!)-2))))),IF(AND(AH!#REF!="Izquierda",RASANTE!F206&lt;=PERALTE!$AB$26),IF(RASANTE!F206&lt;=PERALTE!$S$26,-2,IF(RASANTE!F206&lt;=PERALTE!$U$26,(-6/(PERALTE!$U$26-PERALTE!$S$26)*(RASANTE!F206-PERALTE!$S$26)-2),IF(RASANTE!F206&lt;=PERALTE!$X$26,-8,IF(RASANTE!F206&lt;=PERALTE!$Z$26,(-6/(PERALTE!$X$26-PERALTE!$Z$26)*(RASANTE!F206-PERALTE!$Z$26)-2),IF(RASANTE!F206&lt;=PERALTE!$AB$26,-2))))),IF(AND(AH!#REF!="Derecha",RASANTE!F206&lt;=PERALTE!$AB$26),IF(RASANTE!F206&lt;=PERALTE!$Q$26,-2,IF(RASANTE!F206&lt;=PERALTE!$U$26,(10/(PERALTE!$U$26-PERALTE!$Q$26)*(RASANTE!F206-PERALTE!$Q$26)-2),IF(RASANTE!F206&lt;=PERALTE!$X$26,8,IF(RASANTE!F206&lt;=PERALTE!$AB$26,(10/(PERALTE!$X$26-PERALTE!$AB$26)*(RASANTE!F206-PERALTE!$AB$26)-2))))),IF(F206&lt;=PERALTE!#REF!,-2,"Abscisa fuera de la vía")))))))))))))))))))))</f>
        <v>-2</v>
      </c>
      <c r="I300" s="28">
        <f>+IF(AND(AH!$H$8="Derecha",RASANTE!F164&lt;=PERALTE!$AB$6),IF(RASANTE!F164&lt;=PERALTE!$S$6,-2,IF(RASANTE!F164&lt;=PERALTE!$U$6,(-6/(PERALTE!$U$6-PERALTE!$S$6)*(RASANTE!F164-PERALTE!$S$6)-2),IF(RASANTE!F164&lt;=PERALTE!$X$6,-8,IF(RASANTE!F164&lt;=PERALTE!$Z$6,(-6/(PERALTE!$X$6-PERALTE!$Z$6)*(RASANTE!F164-PERALTE!$Z$6)-2),IF(RASANTE!F164&lt;=PERALTE!$AB$6,-2))))),IF(AND(AH!$H$8="Izquierda",RASANTE!F164&lt;=PERALTE!$AB$6),IF(RASANTE!F164&lt;=PERALTE!$Q$6,-2,IF(RASANTE!F164&lt;=PERALTE!$U$6,(10/(PERALTE!$U$6-PERALTE!$Q$6)*(RASANTE!F164-PERALTE!$Q$6)-2),IF(RASANTE!F164&lt;=PERALTE!$X$6,8,IF(RASANTE!F164&lt;=PERALTE!$AB$6,(10/(PERALTE!$X$6-PERALTE!$AB$6)*(RASANTE!F164-PERALTE!$AB$6)-2))))),IF(AND(AH!$H$10="Derecha",RASANTE!F164&lt;=PERALTE!$AB$8),IF(RASANTE!F164&lt;=PERALTE!$S$8,-2,IF(RASANTE!F164&lt;=PERALTE!$U$8,(-6/(PERALTE!$U$8-PERALTE!$S$8)*(RASANTE!F164-PERALTE!$S$8)-2),IF(RASANTE!F164&lt;=PERALTE!$X$8,-8,IF(RASANTE!F164&lt;=PERALTE!$Z$8,(-6/(PERALTE!$X$8-PERALTE!$Z$8)*(RASANTE!F164-PERALTE!$Z$8)-2),IF(RASANTE!F164&lt;=PERALTE!$AB$8,-2))))),IF(AND(AH!$H$10="Izquierda",RASANTE!F164&lt;=PERALTE!$AB$8),IF(RASANTE!F164&lt;=PERALTE!$Q$8,-2,IF(RASANTE!F164&lt;=PERALTE!$U$8,(10/(PERALTE!$U$8-PERALTE!$Q$8)*(RASANTE!F164-PERALTE!$Q$8)-2),IF(RASANTE!F164&lt;=PERALTE!$X$8,8,IF(RASANTE!F164&lt;=PERALTE!$AB$8,(10/(PERALTE!$X$8-PERALTE!$AB$8)*(RASANTE!F164-PERALTE!$AB$8)-2))))),IF(AND(AH!$H$12="Derecha",RASANTE!F164&lt;=PERALTE!$AB$10),IF(RASANTE!F164&lt;=PERALTE!$S$10,-2,IF(RASANTE!F164&lt;=PERALTE!$U$10,(-6/(PERALTE!$U$10-PERALTE!$S$10)*(RASANTE!F164-PERALTE!$S$10)-2),IF(RASANTE!F164&lt;=PERALTE!$X$10,-8,IF(RASANTE!F164&lt;=PERALTE!$Z$10,(-6/(PERALTE!$X$10-PERALTE!$Z$10)*(RASANTE!F164-PERALTE!$Z$10)-2),IF(RASANTE!F164&lt;=PERALTE!$AB$10,-2))))),IF(AND(AH!$H$12="Izquierda",RASANTE!F164&lt;=PERALTE!$AB$10),IF(RASANTE!F164&lt;=PERALTE!$Q$10,-2,IF(RASANTE!F164&lt;=PERALTE!$U$10,(10/(PERALTE!$U$10-PERALTE!$Q$10)*(RASANTE!F164-PERALTE!$Q$10)-2),IF(RASANTE!F164&lt;=PERALTE!$X$10,8,IF(RASANTE!F164&lt;=PERALTE!$AB$10,(10/(PERALTE!$X$10-PERALTE!$AB$10)*(RASANTE!F164-PERALTE!$AB$10)-2))))),IF(AND(AH!$H$14="Derecha",RASANTE!F164&lt;=PERALTE!$AB$12),IF(RASANTE!F164&lt;=PERALTE!$S$12,-2,IF(RASANTE!F164&lt;=PERALTE!$U$12,(-6/(PERALTE!$U$12-PERALTE!$S$12)*(RASANTE!F164-PERALTE!$S$12)-2),IF(RASANTE!F164&lt;=PERALTE!$X$12,-8,IF(RASANTE!F164&lt;=PERALTE!$Z$12,(-6/(PERALTE!$X$12-PERALTE!$Z$12)*(RASANTE!F164-PERALTE!$Z$12)-2),IF(RASANTE!F164&lt;=PERALTE!$AB$12,-2))))),IF(AND(AH!$H$14="Izquierda",RASANTE!F164&lt;=PERALTE!$AB$12),IF(RASANTE!F164&lt;=PERALTE!$Q$12,-2,IF(RASANTE!F164&lt;=PERALTE!$U$12,(10/(PERALTE!$U$12-PERALTE!$Q$12)*(RASANTE!F164-PERALTE!$Q$12)-2),IF(RASANTE!F164&lt;=PERALTE!$X$12,8,IF(RASANTE!F164&lt;=PERALTE!$AB$12,(10/(PERALTE!$X$12-PERALTE!$AB$12)*(RASANTE!F164-PERALTE!$AB$12)-2))))),IF(AND(AH!$H$16="Derecha",RASANTE!F164&lt;=PERALTE!$AB$14),IF(RASANTE!F164&lt;=PERALTE!$S$14,-2,IF(RASANTE!F164&lt;=PERALTE!$U$14,(-6/(PERALTE!$U$14-PERALTE!$S$14)*(RASANTE!F164-PERALTE!$S$14)-2),IF(RASANTE!F164&lt;=PERALTE!$X$14,-8,IF(RASANTE!F164&lt;=PERALTE!$Z$14,(-6/(PERALTE!$X$14-PERALTE!$Z$14)*(RASANTE!F164-PERALTE!$Z$14)-2),IF(RASANTE!F164&lt;=PERALTE!$AB$14,-2))))),IF(AND(AH!$H$16="Izquierda",RASANTE!F164&lt;=PERALTE!$AB$14),IF(RASANTE!F164&lt;=PERALTE!$Q$14,-2,IF(RASANTE!F164&lt;=PERALTE!$U$14,(10/(PERALTE!$U$14-PERALTE!$Q$14)*(RASANTE!F164-PERALTE!$Q$14)-2),IF(RASANTE!F164&lt;=PERALTE!$X$14,8,IF(RASANTE!F164&lt;=PERALTE!$AB$14,(10/(PERALTE!$X$14-PERALTE!$AB$14)*(RASANTE!F164-PERALTE!$AB$14)-2))))),IF(AND(AH!$H$18="Derecha",RASANTE!F164&lt;=PERALTE!$AB$16),IF(RASANTE!F164&lt;=PERALTE!$S$16,-2,IF(RASANTE!F164&lt;=PERALTE!$U$16,(-6/(PERALTE!$U$16-PERALTE!$S$16)*(RASANTE!F164-PERALTE!$S$16)-2),IF(RASANTE!F164&lt;=PERALTE!$X$16,-8,IF(RASANTE!F164&lt;=PERALTE!$Z$16,(-6/(PERALTE!$X$16-PERALTE!$Z$16)*(RASANTE!F164-PERALTE!$Z$16)-2),IF(RASANTE!F164&lt;=PERALTE!$AB$16,-2))))),IF(AND(AH!$H$18="Izquierda",RASANTE!F164&lt;=PERALTE!$AB$16),IF(RASANTE!F164&lt;=PERALTE!$Q$16,-2,IF(RASANTE!F164&lt;=PERALTE!$U$16,(10/(PERALTE!$U$16-PERALTE!$Q$16)*(RASANTE!F164-PERALTE!$Q$16)-2),IF(RASANTE!F164&lt;=PERALTE!$X$16,8,IF(RASANTE!F164&lt;=PERALTE!$AB$16,(10/(PERALTE!$X$16-PERALTE!$AB$16)*(RASANTE!F164-PERALTE!$AB$16)-2))))),IF(AND(AH!$H$20="Derecha",RASANTE!F164&lt;=PERALTE!$AB$18),IF(RASANTE!F164&lt;=PERALTE!$S$18,-2,IF(RASANTE!F164&lt;=PERALTE!$U$18,(-6/(PERALTE!$U$18-PERALTE!$S$18)*(RASANTE!F164-PERALTE!$S$18)-2),IF(RASANTE!F164&lt;=PERALTE!$X$18,-8,IF(RASANTE!F164&lt;=PERALTE!$Z$18,(-6/(PERALTE!$X$18-PERALTE!$Z$18)*(RASANTE!F164-PERALTE!$Z$18)-2),IF(RASANTE!F164&lt;=PERALTE!$AB$18,-2))))),IF(AND(AH!$H$20="Izquierda",RASANTE!F164&lt;=PERALTE!$AB$18),IF(RASANTE!F164&lt;=PERALTE!$Q$18,-2,IF(RASANTE!F164&lt;=PERALTE!$U$18,(10/(PERALTE!$U$18-PERALTE!$Q$18)*(RASANTE!F164-PERALTE!$Q$18)-2),IF(RASANTE!F164&lt;=PERALTE!$X$18,8,IF(RASANTE!F164&lt;=PERALTE!$AB$18,(10/(PERALTE!$X$18-PERALTE!$AB$18)*(RASANTE!F164-PERALTE!$AB$18)-2))))),IF(AND(AH!$H$24="Derecha",RASANTE!F164&lt;=PERALTE!$AB$22),IF(RASANTE!F164&lt;=PERALTE!$S$22,-2,IF(RASANTE!F164&lt;=PERALTE!$U$22,(-6/(PERALTE!$U$22-PERALTE!$S$22)*(RASANTE!F164-PERALTE!$S$22)-2),IF(RASANTE!F164&lt;=PERALTE!$X$22,-8,IF(RASANTE!F164&lt;=PERALTE!$Z$22,(-6/(PERALTE!$X$22-PERALTE!$Z$22)*(RASANTE!F164-PERALTE!$Z$22)-2),IF(RASANTE!F164&lt;=PERALTE!$AB$22,-2))))),IF(AND(AH!$H$24="Izquierda",RASANTE!F164&lt;=PERALTE!$AB$22),IF(RASANTE!F164&lt;=PERALTE!$Q$22,-2,IF(RASANTE!F164&lt;=PERALTE!$U$22,(10/(PERALTE!$U$22-PERALTE!$Q$22)*(RASANTE!F164-PERALTE!$Q$22)-2),IF(RASANTE!F164&lt;=PERALTE!$X$22,8,IF(RASANTE!F164&lt;=PERALTE!$AB$22,(10/(PERALTE!$X$22-PERALTE!$AB$22)*(RASANTE!F164-PERALTE!$AB$22)-2))))),IF(AND(AH!#REF!="Derecha",RASANTE!F164&lt;=PERALTE!#REF!),IF(RASANTE!F164&lt;=PERALTE!#REF!,-2,IF(RASANTE!F164&lt;=PERALTE!#REF!,(-6/(PERALTE!#REF!-PERALTE!#REF!)*(RASANTE!F164-PERALTE!#REF!)-2),IF(RASANTE!F164&lt;=PERALTE!#REF!,-8,IF(RASANTE!F164&lt;=PERALTE!#REF!,(-6/(PERALTE!#REF!-PERALTE!#REF!)*(RASANTE!F164-PERALTE!#REF!)-2),IF(RASANTE!F164&lt;=PERALTE!#REF!,-2))))),IF(AND(AH!#REF!="Izquierda",RASANTE!F164&lt;=PERALTE!#REF!),IF(RASANTE!F164&lt;=PERALTE!#REF!,-2,IF(RASANTE!F164&lt;=PERALTE!#REF!,(10/(PERALTE!#REF!-PERALTE!#REF!)*(RASANTE!F164-PERALTE!#REF!)-2),IF(RASANTE!F164&lt;=PERALTE!#REF!,8,IF(RASANTE!F164&lt;=PERALTE!#REF!,(10/(PERALTE!#REF!-PERALTE!#REF!)*(RASANTE!F164-PERALTE!#REF!)-2))))),IF(AND(AH!#REF!="Derecha",RASANTE!F164&lt;=PERALTE!$AB$26),IF(RASANTE!F164&lt;=PERALTE!$S$26,-2,IF(RASANTE!F164&lt;=PERALTE!$U$26,(-6/(PERALTE!$U$26-PERALTE!$S$26)*(RASANTE!F164-PERALTE!$S$26)-2),IF(RASANTE!F164&lt;=PERALTE!$X$26,-8,IF(RASANTE!F164&lt;=PERALTE!$Z$26,(-6/(PERALTE!$X$26-PERALTE!$Z$26)*(RASANTE!F164-PERALTE!$Z$26)-2),IF(RASANTE!F164&lt;=PERALTE!$AB$26,-2))))),IF(AND(AH!#REF!="Izquierda",RASANTE!F164&lt;=PERALTE!$AB$26),IF(RASANTE!F164&lt;=PERALTE!$Q$26,-2,IF(RASANTE!F164&lt;=PERALTE!$U$26,(10/(PERALTE!$U$26-PERALTE!$Q$26)*(RASANTE!F164-PERALTE!$Q$26)-2),IF(RASANTE!F164&lt;=PERALTE!$X$26,8,IF(RASANTE!F164&lt;=PERALTE!$AB$26,(10/(PERALTE!$X$26-PERALTE!$AB$26)*(RASANTE!F164-PERALTE!$AB$26)-2))))),IF(F164&lt;=PERALTE!#REF!,-2,"Abscisa fuera de la vía")))))))))))))))))))))</f>
        <v>-2</v>
      </c>
      <c r="J300" s="28">
        <f t="shared" si="13"/>
        <v>1650.8169284648968</v>
      </c>
      <c r="K300" s="28">
        <f>+IF(AND(AV!$S$6&lt;F300,F300&lt;=AV!$T$6),AV!$P$6*((AV!$S$6-RASANTE!F300)/(AV!$N$6))^2,IF(AND(AV!$T$6&lt;RASANTE!F300,F300&lt;AV!$U$6),AV!$P$6*((AV!$U$6-RASANTE!F300)/(AV!$O$6))^2,IF(AND(AV!$S$8&lt;F300,F300&lt;=AV!$T$8),AV!$P$8*((AV!$S$8-RASANTE!F300)/(AV!$N$8))^2,IF(AND(AV!$T$8&lt;RASANTE!F300,F300&lt;AV!$U$8),AV!$P$8*((AV!$U$8-RASANTE!F300)/(AV!$O$8))^2,IF(AND(AV!$S$10&lt;F300,F300&lt;=AV!$T$10),AV!$P$10*((AV!$S$10-RASANTE!F300)/(AV!$N$10))^2,IF(AND(AV!$T$10&lt;RASANTE!F300,F300&lt;AV!$U$10),AV!$P$10*((AV!$U$10-RASANTE!F300)/(AV!$O$10))^2,IF(AND(AV!$S$12&lt;F300,F300&lt;=AV!$T$12),AV!$P$12*((AV!$S$12-RASANTE!F300)/(AV!$N$12))^2,IF(AND(AV!$T$12&lt;RASANTE!F300,F300&lt;AV!$U$12),AV!$P$12*((AV!$U$12-RASANTE!F300)/(AV!$O$12))^2,IF(AND(AV!$S$14&lt;F300,F300&lt;=AV!$T$14),AV!$P$14*((AV!$S$14-RASANTE!F300)/(AV!$N$14))^2,IF(AND(AV!$T$14&lt;RASANTE!F300,F300&lt;AV!$U$14),AV!$P$14*((AV!$U$14-RASANTE!F300)/(AV!$O$14))^2,IF(AND(AV!$S$16&lt;F300,F300&lt;=AV!$T$16),AV!$P$16*((AV!$S$16-RASANTE!F300)/(AV!$N$16))^2,IF(AND(AV!$T$16&lt;RASANTE!F300,F300&lt;AV!$U$16),AV!$P$16*((AV!$U$16-RASANTE!F300)/(AV!$O$16))^2,IF(AND(AV!$S$18&lt;F300,F300&lt;=AV!$T$18),AV!$P$18*((AV!$S$18-RASANTE!F300)/(AV!$N$18))^2,IF(AND(AV!$T$18&lt;RASANTE!F300,F300&lt;AV!$U$18),AV!$P$18*((AV!$U$18-RASANTE!F300)/(AV!$O$18))^2,IF(AND(AV!$S$20&lt;F300,F300&lt;=AV!$T$20),AV!$P$20*((AV!$S$20-RASANTE!F300)/(AV!$N$20))^2,IF(AND(AV!$T$20&lt;RASANTE!F300,F300&lt;AV!$U$20),AV!$P$20*((AV!$U$20-RASANTE!F300)/(AV!$O$20))^2,IF(AND(AV!$S$22&lt;F300,F300&lt;=AV!$T$22),AV!$P$22*((AV!$S$22-RASANTE!F300)/(AV!$N$22))^2,IF(AND(AV!$T$22&lt;RASANTE!F300,F300&lt;AV!$U$22),AV!$P$22*((AV!$U$22-RASANTE!F300)/(AV!$O$22))^2,IF(AND(AV!$S$24&lt;F300,F300&lt;=AV!$T$24),AV!$P$24*((AV!$S$24-RASANTE!F300)/(AV!$N$24))^2,IF(AND(AV!$T$24&lt;RASANTE!F300,F300&lt;AV!$U$24),AV!$P$24*((AV!$U$24-RASANTE!F300)/(AV!$O$24))^2,0))))))))))))))))))))</f>
        <v>0</v>
      </c>
      <c r="L300" s="28">
        <f>+M300+H300%*PERALTE!$C$32</f>
        <v>1650.7469284648969</v>
      </c>
      <c r="M300" s="28">
        <f t="shared" si="15"/>
        <v>1650.8169284648968</v>
      </c>
      <c r="N300" s="28">
        <f>+M300+I300%*PERALTE!$C$32</f>
        <v>1650.7469284648969</v>
      </c>
      <c r="O300" s="92"/>
      <c r="P300" s="84"/>
      <c r="Q300" s="84"/>
      <c r="R300" s="84"/>
      <c r="S300" s="84"/>
      <c r="T300" s="84"/>
      <c r="U300" s="84"/>
      <c r="V300" s="84"/>
      <c r="W300" s="84"/>
      <c r="X300" s="84"/>
      <c r="Y300" s="84"/>
    </row>
    <row r="301" spans="1:25" ht="15.75" customHeight="1" x14ac:dyDescent="0.2">
      <c r="A301" s="350" t="s">
        <v>252</v>
      </c>
      <c r="B301" s="268"/>
      <c r="E301" s="91"/>
      <c r="F301" s="34">
        <f>PERALTE!V22</f>
        <v>1848.2281943733419</v>
      </c>
      <c r="G301" s="88">
        <v>5.4480000000000004</v>
      </c>
      <c r="H301" s="28">
        <f>+IF(AND(AH!$H$8="Izquierda",RASANTE!F207&lt;=PERALTE!$AB$6),IF(RASANTE!F207&lt;=PERALTE!$S$6,-2,IF(RASANTE!F207&lt;=PERALTE!$U$6,(-6/(PERALTE!$U$6-PERALTE!$S$6)*(RASANTE!F207-PERALTE!$S$6)-2),IF(RASANTE!F207&lt;=PERALTE!$X$6,-8,IF(RASANTE!F207&lt;=PERALTE!$Z$6,(-6/(PERALTE!$X$6-PERALTE!$Z$6)*(RASANTE!F207-PERALTE!$Z$6)-2),IF(RASANTE!F207&lt;=PERALTE!$AB$6,-2))))),IF(AND(AH!$H$8="Derecha",RASANTE!F207&lt;=PERALTE!$AB$6),IF(RASANTE!F207&lt;=PERALTE!$Q$6,-2,IF(RASANTE!F207&lt;=PERALTE!$U$6,(10/(PERALTE!$U$6-PERALTE!$Q$6)*(RASANTE!F207-PERALTE!$Q$6)-2),IF(RASANTE!F207&lt;=PERALTE!$X$6,8,IF(RASANTE!F207&lt;=PERALTE!$AB$6,(10/(PERALTE!$X$6-PERALTE!$AB$6)*(RASANTE!F207-PERALTE!$AB$6)-2))))),IF(AND(AH!$H$10="Izquierda",RASANTE!F207&lt;=PERALTE!$AB$8),IF(RASANTE!F207&lt;=PERALTE!$S$8,-2,IF(RASANTE!F207&lt;=PERALTE!$U$8,(-6/(PERALTE!$U$8-PERALTE!$S$8)*(RASANTE!F207-PERALTE!$S$8)-2),IF(RASANTE!F207&lt;=PERALTE!$X$8,-8,IF(RASANTE!F207&lt;=PERALTE!$Z$8,(-6/(PERALTE!$X$8-PERALTE!$Z$8)*(RASANTE!F207-PERALTE!$Z$8)-2),IF(RASANTE!F207&lt;=PERALTE!$AB$8,-2))))),IF(AND(AH!$H$10="Derecha",RASANTE!F207&lt;=PERALTE!$AB$8),IF(RASANTE!F207&lt;=PERALTE!$Q$8,-2,IF(RASANTE!F207&lt;=PERALTE!$U$8,(10/(PERALTE!$U$8-PERALTE!$Q$8)*(RASANTE!F207-PERALTE!$Q$8)-2),IF(RASANTE!F207&lt;=PERALTE!$X$8,8,IF(RASANTE!F207&lt;=PERALTE!$AB$8,(10/(PERALTE!$X$8-PERALTE!$AB$8)*(RASANTE!F207-PERALTE!$AB$8)-2))))),IF(AND(AH!$H$12="Izquierda",RASANTE!F207&lt;=PERALTE!$AB$10),IF(RASANTE!F207&lt;=PERALTE!$S$10,-2,IF(RASANTE!F207&lt;=PERALTE!$U$10,(-6/(PERALTE!$U$10-PERALTE!$S$10)*(RASANTE!F207-PERALTE!$S$10)-2),IF(RASANTE!F207&lt;=PERALTE!$X$10,-8,IF(RASANTE!F207&lt;=PERALTE!$Z$10,(-6/(PERALTE!$X$10-PERALTE!$Z$10)*(RASANTE!F207-PERALTE!$Z$10)-2),IF(RASANTE!F207&lt;=PERALTE!$AB$10,-2))))),IF(AND(AH!$H$12="Derecha",RASANTE!F207&lt;=PERALTE!$AB$10),IF(RASANTE!F207&lt;=PERALTE!$Q$10,-2,IF(RASANTE!F207&lt;=PERALTE!$U$10,(10/(PERALTE!$U$10-PERALTE!$Q$10)*(RASANTE!F207-PERALTE!$Q$10)-2),IF(RASANTE!F207&lt;=PERALTE!$X$10,8,IF(RASANTE!F207&lt;=PERALTE!$AB$10,(10/(PERALTE!$X$10-PERALTE!$AB$10)*(RASANTE!F207-PERALTE!$AB$10)-2))))),IF(AND(AH!$H$14="Izquierda",RASANTE!F207&lt;=PERALTE!$AB$12),IF(RASANTE!F207&lt;=PERALTE!$S$12,-2,IF(RASANTE!F207&lt;=PERALTE!$U$12,(-6/(PERALTE!$U$12-PERALTE!$S$12)*(RASANTE!F207-PERALTE!$S$12)-2),IF(RASANTE!F207&lt;=PERALTE!$X$12,-8,IF(RASANTE!F207&lt;=PERALTE!$Z$12,(-6/(PERALTE!$X$12-PERALTE!$Z$12)*(RASANTE!F207-PERALTE!$Z$12)-2),IF(RASANTE!F207&lt;=PERALTE!$AB$12,-2))))),IF(AND(AH!$H$14="Derecha",RASANTE!F207&lt;=PERALTE!$AB$12),IF(RASANTE!F207&lt;=PERALTE!$Q$12,-2,IF(RASANTE!F207&lt;=PERALTE!$U$12,(10/(PERALTE!$U$12-PERALTE!$Q$12)*(RASANTE!F207-PERALTE!$Q$12)-2),IF(RASANTE!F207&lt;=PERALTE!$X$12,8,IF(RASANTE!F207&lt;=PERALTE!$AB$12,(10/(PERALTE!$X$12-PERALTE!$AB$12)*(RASANTE!F207-PERALTE!$AB$12)-2))))),IF(AND(AH!$H$16="Izquierda",RASANTE!F207&lt;=PERALTE!$AB$14),IF(RASANTE!F207&lt;=PERALTE!$S$14,-2,IF(RASANTE!F207&lt;=PERALTE!$U$14,(-6/(PERALTE!$U$14-PERALTE!$S$14)*(RASANTE!F207-PERALTE!$S$14)-2),IF(RASANTE!F207&lt;=PERALTE!$X$14,-8,IF(RASANTE!F207&lt;=PERALTE!$Z$14,(-6/(PERALTE!$X$14-PERALTE!$Z$14)*(RASANTE!F207-PERALTE!$Z$14)-2),IF(RASANTE!F207&lt;=PERALTE!$AB$14,-2))))),IF(AND(AH!$H$16="Derecha",RASANTE!F207&lt;=PERALTE!$AB$14),IF(RASANTE!F207&lt;=PERALTE!$Q$14,-2,IF(RASANTE!F207&lt;=PERALTE!$U$14,(10/(PERALTE!$U$14-PERALTE!$Q$14)*(RASANTE!F207-PERALTE!$Q$14)-2),IF(RASANTE!F207&lt;=PERALTE!$X$14,8,IF(RASANTE!F207&lt;=PERALTE!$AB$14,(10/(PERALTE!$X$14-PERALTE!$AB$14)*(RASANTE!F207-PERALTE!$AB$14)-2))))),IF(AND(AH!$H$18="Izquierda",RASANTE!F207&lt;=PERALTE!$AB$16),IF(RASANTE!F207&lt;=PERALTE!$S$16,-2,IF(RASANTE!F207&lt;=PERALTE!$U$16,(-6/(PERALTE!$U$16-PERALTE!$S$16)*(RASANTE!F207-PERALTE!$S$16)-2),IF(RASANTE!F207&lt;=PERALTE!$X$16,-8,IF(RASANTE!F207&lt;=PERALTE!$Z$16,(-6/(PERALTE!$X$16-PERALTE!$Z$16)*(RASANTE!F207-PERALTE!$Z$16)-2),IF(RASANTE!F207&lt;=PERALTE!$AB$16,-2))))),IF(AND(AH!$H$18="Derecha",RASANTE!F207&lt;=PERALTE!$AB$16),IF(RASANTE!F207&lt;=PERALTE!$Q$16,-2,IF(RASANTE!F207&lt;=PERALTE!$U$16,(10/(PERALTE!$U$16-PERALTE!$Q$16)*(RASANTE!F207-PERALTE!$Q$16)-2),IF(RASANTE!F207&lt;=PERALTE!$X$16,8,IF(RASANTE!F207&lt;=PERALTE!$AB$16,(10/(PERALTE!$X$16-PERALTE!$AB$16)*(RASANTE!F207-PERALTE!$AB$16)-2))))),IF(AND(AH!$H$20="Izquierda",RASANTE!F207&lt;=PERALTE!$AB$18),IF(RASANTE!F207&lt;=PERALTE!$S$18,-2,IF(RASANTE!F207&lt;=PERALTE!$U$18,(-6/(PERALTE!$U$18-PERALTE!$S$18)*(RASANTE!F207-PERALTE!$S$18)-2),IF(RASANTE!F207&lt;=PERALTE!$X$18,-8,IF(RASANTE!F207&lt;=PERALTE!$Z$18,(-6/(PERALTE!$X$18-PERALTE!$Z$18)*(RASANTE!F207-PERALTE!$Z$18)-2),IF(RASANTE!F207&lt;=PERALTE!$AB$18,-2))))),IF(AND(AH!$H$20="Derecha",RASANTE!F207&lt;=PERALTE!$AB$18),IF(RASANTE!F207&lt;=PERALTE!$Q$18,-2,IF(RASANTE!F207&lt;=PERALTE!$U$18,(10/(PERALTE!$U$18-PERALTE!$Q$18)*(RASANTE!F207-PERALTE!$Q$18)-2),IF(RASANTE!F207&lt;=PERALTE!$X$18,8,IF(RASANTE!F207&lt;=PERALTE!$AB$18,(10/(PERALTE!$X$18-PERALTE!$AB$18)*(RASANTE!F207-PERALTE!$AB$18)-2))))),IF(AND(AH!$H$24="Izquierda",RASANTE!F207&lt;=PERALTE!$AB$22),IF(RASANTE!F207&lt;=PERALTE!$S$22,-2,IF(RASANTE!F207&lt;=PERALTE!$U$22,(-6/(PERALTE!$U$22-PERALTE!$S$22)*(RASANTE!F207-PERALTE!$S$22)-2),IF(RASANTE!F207&lt;=PERALTE!$X$22,-8,IF(RASANTE!F207&lt;=PERALTE!$Z$22,(-6/(PERALTE!$X$22-PERALTE!$Z$22)*(RASANTE!F207-PERALTE!$Z$22)-2),IF(RASANTE!F207&lt;=PERALTE!$AB$22,-2))))),IF(AND(AH!$H$24="Derecha",RASANTE!F207&lt;=PERALTE!$AB$22),IF(RASANTE!F207&lt;=PERALTE!$Q$22,-2,IF(RASANTE!F207&lt;=PERALTE!$U$22,(10/(PERALTE!$U$22-PERALTE!$Q$22)*(RASANTE!F207-PERALTE!$Q$22)-2),IF(RASANTE!F207&lt;=PERALTE!$X$22,8,IF(RASANTE!F207&lt;=PERALTE!$AB$22,(10/(PERALTE!$X$22-PERALTE!$AB$22)*(RASANTE!F207-PERALTE!$AB$22)-2))))),IF(AND(AH!#REF!="Izquierda",RASANTE!F207&lt;=PERALTE!#REF!),IF(RASANTE!F207&lt;=PERALTE!#REF!,-2,IF(RASANTE!F207&lt;=PERALTE!#REF!,(-6/(PERALTE!#REF!-PERALTE!#REF!)*(RASANTE!F207-PERALTE!#REF!)-2),IF(RASANTE!F207&lt;=PERALTE!#REF!,-8,IF(RASANTE!F207&lt;=PERALTE!#REF!,(-6/(PERALTE!#REF!-PERALTE!#REF!)*(RASANTE!F207-PERALTE!#REF!)-2),IF(RASANTE!F207&lt;=PERALTE!#REF!,-2))))),IF(AND(AH!#REF!="Derecha",RASANTE!F207&lt;=PERALTE!#REF!),IF(RASANTE!F207&lt;=PERALTE!#REF!,-2,IF(RASANTE!F207&lt;=PERALTE!#REF!,(10/(PERALTE!#REF!-PERALTE!#REF!)*(RASANTE!F207-PERALTE!#REF!)-2),IF(RASANTE!F207&lt;=PERALTE!#REF!,8,IF(RASANTE!F207&lt;=PERALTE!#REF!,(10/(PERALTE!#REF!-PERALTE!#REF!)*(RASANTE!F207-PERALTE!#REF!)-2))))),IF(AND(AH!#REF!="Izquierda",RASANTE!F207&lt;=PERALTE!$AB$26),IF(RASANTE!F207&lt;=PERALTE!$S$26,-2,IF(RASANTE!F207&lt;=PERALTE!$U$26,(-6/(PERALTE!$U$26-PERALTE!$S$26)*(RASANTE!F207-PERALTE!$S$26)-2),IF(RASANTE!F207&lt;=PERALTE!$X$26,-8,IF(RASANTE!F207&lt;=PERALTE!$Z$26,(-6/(PERALTE!$X$26-PERALTE!$Z$26)*(RASANTE!F207-PERALTE!$Z$26)-2),IF(RASANTE!F207&lt;=PERALTE!$AB$26,-2))))),IF(AND(AH!#REF!="Derecha",RASANTE!F207&lt;=PERALTE!$AB$26),IF(RASANTE!F207&lt;=PERALTE!$Q$26,-2,IF(RASANTE!F207&lt;=PERALTE!$U$26,(10/(PERALTE!$U$26-PERALTE!$Q$26)*(RASANTE!F207-PERALTE!$Q$26)-2),IF(RASANTE!F207&lt;=PERALTE!$X$26,8,IF(RASANTE!F207&lt;=PERALTE!$AB$26,(10/(PERALTE!$X$26-PERALTE!$AB$26)*(RASANTE!F207-PERALTE!$AB$26)-2))))),IF(F207&lt;=PERALTE!#REF!,-2,"Abscisa fuera de la vía")))))))))))))))))))))</f>
        <v>-2</v>
      </c>
      <c r="I301" s="28">
        <f>+IF(AND(AH!$H$8="Derecha",RASANTE!F154&lt;=PERALTE!$AB$6),IF(RASANTE!F154&lt;=PERALTE!$S$6,-2,IF(RASANTE!F154&lt;=PERALTE!$U$6,(-6/(PERALTE!$U$6-PERALTE!$S$6)*(RASANTE!F154-PERALTE!$S$6)-2),IF(RASANTE!F154&lt;=PERALTE!$X$6,-8,IF(RASANTE!F154&lt;=PERALTE!$Z$6,(-6/(PERALTE!$X$6-PERALTE!$Z$6)*(RASANTE!F154-PERALTE!$Z$6)-2),IF(RASANTE!F154&lt;=PERALTE!$AB$6,-2))))),IF(AND(AH!$H$8="Izquierda",RASANTE!F154&lt;=PERALTE!$AB$6),IF(RASANTE!F154&lt;=PERALTE!$Q$6,-2,IF(RASANTE!F154&lt;=PERALTE!$U$6,(10/(PERALTE!$U$6-PERALTE!$Q$6)*(RASANTE!F154-PERALTE!$Q$6)-2),IF(RASANTE!F154&lt;=PERALTE!$X$6,8,IF(RASANTE!F154&lt;=PERALTE!$AB$6,(10/(PERALTE!$X$6-PERALTE!$AB$6)*(RASANTE!F154-PERALTE!$AB$6)-2))))),IF(AND(AH!$H$10="Derecha",RASANTE!F154&lt;=PERALTE!$AB$8),IF(RASANTE!F154&lt;=PERALTE!$S$8,-2,IF(RASANTE!F154&lt;=PERALTE!$U$8,(-6/(PERALTE!$U$8-PERALTE!$S$8)*(RASANTE!F154-PERALTE!$S$8)-2),IF(RASANTE!F154&lt;=PERALTE!$X$8,-8,IF(RASANTE!F154&lt;=PERALTE!$Z$8,(-6/(PERALTE!$X$8-PERALTE!$Z$8)*(RASANTE!F154-PERALTE!$Z$8)-2),IF(RASANTE!F154&lt;=PERALTE!$AB$8,-2))))),IF(AND(AH!$H$10="Izquierda",RASANTE!F154&lt;=PERALTE!$AB$8),IF(RASANTE!F154&lt;=PERALTE!$Q$8,-2,IF(RASANTE!F154&lt;=PERALTE!$U$8,(10/(PERALTE!$U$8-PERALTE!$Q$8)*(RASANTE!F154-PERALTE!$Q$8)-2),IF(RASANTE!F154&lt;=PERALTE!$X$8,8,IF(RASANTE!F154&lt;=PERALTE!$AB$8,(10/(PERALTE!$X$8-PERALTE!$AB$8)*(RASANTE!F154-PERALTE!$AB$8)-2))))),IF(AND(AH!$H$12="Derecha",RASANTE!F154&lt;=PERALTE!$AB$10),IF(RASANTE!F154&lt;=PERALTE!$S$10,-2,IF(RASANTE!F154&lt;=PERALTE!$U$10,(-6/(PERALTE!$U$10-PERALTE!$S$10)*(RASANTE!F154-PERALTE!$S$10)-2),IF(RASANTE!F154&lt;=PERALTE!$X$10,-8,IF(RASANTE!F154&lt;=PERALTE!$Z$10,(-6/(PERALTE!$X$10-PERALTE!$Z$10)*(RASANTE!F154-PERALTE!$Z$10)-2),IF(RASANTE!F154&lt;=PERALTE!$AB$10,-2))))),IF(AND(AH!$H$12="Izquierda",RASANTE!F154&lt;=PERALTE!$AB$10),IF(RASANTE!F154&lt;=PERALTE!$Q$10,-2,IF(RASANTE!F154&lt;=PERALTE!$U$10,(10/(PERALTE!$U$10-PERALTE!$Q$10)*(RASANTE!F154-PERALTE!$Q$10)-2),IF(RASANTE!F154&lt;=PERALTE!$X$10,8,IF(RASANTE!F154&lt;=PERALTE!$AB$10,(10/(PERALTE!$X$10-PERALTE!$AB$10)*(RASANTE!F154-PERALTE!$AB$10)-2))))),IF(AND(AH!$H$14="Derecha",RASANTE!F154&lt;=PERALTE!$AB$12),IF(RASANTE!F154&lt;=PERALTE!$S$12,-2,IF(RASANTE!F154&lt;=PERALTE!$U$12,(-6/(PERALTE!$U$12-PERALTE!$S$12)*(RASANTE!F154-PERALTE!$S$12)-2),IF(RASANTE!F154&lt;=PERALTE!$X$12,-8,IF(RASANTE!F154&lt;=PERALTE!$Z$12,(-6/(PERALTE!$X$12-PERALTE!$Z$12)*(RASANTE!F154-PERALTE!$Z$12)-2),IF(RASANTE!F154&lt;=PERALTE!$AB$12,-2))))),IF(AND(AH!$H$14="Izquierda",RASANTE!F154&lt;=PERALTE!$AB$12),IF(RASANTE!F154&lt;=PERALTE!$Q$12,-2,IF(RASANTE!F154&lt;=PERALTE!$U$12,(10/(PERALTE!$U$12-PERALTE!$Q$12)*(RASANTE!F154-PERALTE!$Q$12)-2),IF(RASANTE!F154&lt;=PERALTE!$X$12,8,IF(RASANTE!F154&lt;=PERALTE!$AB$12,(10/(PERALTE!$X$12-PERALTE!$AB$12)*(RASANTE!F154-PERALTE!$AB$12)-2))))),IF(AND(AH!$H$16="Derecha",RASANTE!F154&lt;=PERALTE!$AB$14),IF(RASANTE!F154&lt;=PERALTE!$S$14,-2,IF(RASANTE!F154&lt;=PERALTE!$U$14,(-6/(PERALTE!$U$14-PERALTE!$S$14)*(RASANTE!F154-PERALTE!$S$14)-2),IF(RASANTE!F154&lt;=PERALTE!$X$14,-8,IF(RASANTE!F154&lt;=PERALTE!$Z$14,(-6/(PERALTE!$X$14-PERALTE!$Z$14)*(RASANTE!F154-PERALTE!$Z$14)-2),IF(RASANTE!F154&lt;=PERALTE!$AB$14,-2))))),IF(AND(AH!$H$16="Izquierda",RASANTE!F154&lt;=PERALTE!$AB$14),IF(RASANTE!F154&lt;=PERALTE!$Q$14,-2,IF(RASANTE!F154&lt;=PERALTE!$U$14,(10/(PERALTE!$U$14-PERALTE!$Q$14)*(RASANTE!F154-PERALTE!$Q$14)-2),IF(RASANTE!F154&lt;=PERALTE!$X$14,8,IF(RASANTE!F154&lt;=PERALTE!$AB$14,(10/(PERALTE!$X$14-PERALTE!$AB$14)*(RASANTE!F154-PERALTE!$AB$14)-2))))),IF(AND(AH!$H$18="Derecha",RASANTE!F154&lt;=PERALTE!$AB$16),IF(RASANTE!F154&lt;=PERALTE!$S$16,-2,IF(RASANTE!F154&lt;=PERALTE!$U$16,(-6/(PERALTE!$U$16-PERALTE!$S$16)*(RASANTE!F154-PERALTE!$S$16)-2),IF(RASANTE!F154&lt;=PERALTE!$X$16,-8,IF(RASANTE!F154&lt;=PERALTE!$Z$16,(-6/(PERALTE!$X$16-PERALTE!$Z$16)*(RASANTE!F154-PERALTE!$Z$16)-2),IF(RASANTE!F154&lt;=PERALTE!$AB$16,-2))))),IF(AND(AH!$H$18="Izquierda",RASANTE!F154&lt;=PERALTE!$AB$16),IF(RASANTE!F154&lt;=PERALTE!$Q$16,-2,IF(RASANTE!F154&lt;=PERALTE!$U$16,(10/(PERALTE!$U$16-PERALTE!$Q$16)*(RASANTE!F154-PERALTE!$Q$16)-2),IF(RASANTE!F154&lt;=PERALTE!$X$16,8,IF(RASANTE!F154&lt;=PERALTE!$AB$16,(10/(PERALTE!$X$16-PERALTE!$AB$16)*(RASANTE!F154-PERALTE!$AB$16)-2))))),IF(AND(AH!$H$20="Derecha",RASANTE!F154&lt;=PERALTE!$AB$18),IF(RASANTE!F154&lt;=PERALTE!$S$18,-2,IF(RASANTE!F154&lt;=PERALTE!$U$18,(-6/(PERALTE!$U$18-PERALTE!$S$18)*(RASANTE!F154-PERALTE!$S$18)-2),IF(RASANTE!F154&lt;=PERALTE!$X$18,-8,IF(RASANTE!F154&lt;=PERALTE!$Z$18,(-6/(PERALTE!$X$18-PERALTE!$Z$18)*(RASANTE!F154-PERALTE!$Z$18)-2),IF(RASANTE!F154&lt;=PERALTE!$AB$18,-2))))),IF(AND(AH!$H$20="Izquierda",RASANTE!F154&lt;=PERALTE!$AB$18),IF(RASANTE!F154&lt;=PERALTE!$Q$18,-2,IF(RASANTE!F154&lt;=PERALTE!$U$18,(10/(PERALTE!$U$18-PERALTE!$Q$18)*(RASANTE!F154-PERALTE!$Q$18)-2),IF(RASANTE!F154&lt;=PERALTE!$X$18,8,IF(RASANTE!F154&lt;=PERALTE!$AB$18,(10/(PERALTE!$X$18-PERALTE!$AB$18)*(RASANTE!F154-PERALTE!$AB$18)-2))))),IF(AND(AH!$H$24="Derecha",RASANTE!F154&lt;=PERALTE!$AB$22),IF(RASANTE!F154&lt;=PERALTE!$S$22,-2,IF(RASANTE!F154&lt;=PERALTE!$U$22,(-6/(PERALTE!$U$22-PERALTE!$S$22)*(RASANTE!F154-PERALTE!$S$22)-2),IF(RASANTE!F154&lt;=PERALTE!$X$22,-8,IF(RASANTE!F154&lt;=PERALTE!$Z$22,(-6/(PERALTE!$X$22-PERALTE!$Z$22)*(RASANTE!F154-PERALTE!$Z$22)-2),IF(RASANTE!F154&lt;=PERALTE!$AB$22,-2))))),IF(AND(AH!$H$24="Izquierda",RASANTE!F154&lt;=PERALTE!$AB$22),IF(RASANTE!F154&lt;=PERALTE!$Q$22,-2,IF(RASANTE!F154&lt;=PERALTE!$U$22,(10/(PERALTE!$U$22-PERALTE!$Q$22)*(RASANTE!F154-PERALTE!$Q$22)-2),IF(RASANTE!F154&lt;=PERALTE!$X$22,8,IF(RASANTE!F154&lt;=PERALTE!$AB$22,(10/(PERALTE!$X$22-PERALTE!$AB$22)*(RASANTE!F154-PERALTE!$AB$22)-2))))),IF(AND(AH!#REF!="Derecha",RASANTE!F154&lt;=PERALTE!#REF!),IF(RASANTE!F154&lt;=PERALTE!#REF!,-2,IF(RASANTE!F154&lt;=PERALTE!#REF!,(-6/(PERALTE!#REF!-PERALTE!#REF!)*(RASANTE!F154-PERALTE!#REF!)-2),IF(RASANTE!F154&lt;=PERALTE!#REF!,-8,IF(RASANTE!F154&lt;=PERALTE!#REF!,(-6/(PERALTE!#REF!-PERALTE!#REF!)*(RASANTE!F154-PERALTE!#REF!)-2),IF(RASANTE!F154&lt;=PERALTE!#REF!,-2))))),IF(AND(AH!#REF!="Izquierda",RASANTE!F154&lt;=PERALTE!#REF!),IF(RASANTE!F154&lt;=PERALTE!#REF!,-2,IF(RASANTE!F154&lt;=PERALTE!#REF!,(10/(PERALTE!#REF!-PERALTE!#REF!)*(RASANTE!F154-PERALTE!#REF!)-2),IF(RASANTE!F154&lt;=PERALTE!#REF!,8,IF(RASANTE!F154&lt;=PERALTE!#REF!,(10/(PERALTE!#REF!-PERALTE!#REF!)*(RASANTE!F154-PERALTE!#REF!)-2))))),IF(AND(AH!#REF!="Derecha",RASANTE!F154&lt;=PERALTE!$AB$26),IF(RASANTE!F154&lt;=PERALTE!$S$26,-2,IF(RASANTE!F154&lt;=PERALTE!$U$26,(-6/(PERALTE!$U$26-PERALTE!$S$26)*(RASANTE!F154-PERALTE!$S$26)-2),IF(RASANTE!F154&lt;=PERALTE!$X$26,-8,IF(RASANTE!F154&lt;=PERALTE!$Z$26,(-6/(PERALTE!$X$26-PERALTE!$Z$26)*(RASANTE!F154-PERALTE!$Z$26)-2),IF(RASANTE!F154&lt;=PERALTE!$AB$26,-2))))),IF(AND(AH!#REF!="Izquierda",RASANTE!F154&lt;=PERALTE!$AB$26),IF(RASANTE!F154&lt;=PERALTE!$Q$26,-2,IF(RASANTE!F154&lt;=PERALTE!$U$26,(10/(PERALTE!$U$26-PERALTE!$Q$26)*(RASANTE!F154-PERALTE!$Q$26)-2),IF(RASANTE!F154&lt;=PERALTE!$X$26,8,IF(RASANTE!F154&lt;=PERALTE!$AB$26,(10/(PERALTE!$X$26-PERALTE!$AB$26)*(RASANTE!F154-PERALTE!$AB$26)-2))))),IF(F154&lt;=PERALTE!#REF!,-2,"Abscisa fuera de la vía")))))))))))))))))))))</f>
        <v>-2</v>
      </c>
      <c r="J301" s="28">
        <f t="shared" si="13"/>
        <v>1651.2652004943566</v>
      </c>
      <c r="K301" s="28">
        <f>+IF(AND(AV!$S$6&lt;F301,F301&lt;=AV!$T$6),AV!$P$6*((AV!$S$6-RASANTE!F301)/(AV!$N$6))^2,IF(AND(AV!$T$6&lt;RASANTE!F301,F301&lt;AV!$U$6),AV!$P$6*((AV!$U$6-RASANTE!F301)/(AV!$O$6))^2,IF(AND(AV!$S$8&lt;F301,F301&lt;=AV!$T$8),AV!$P$8*((AV!$S$8-RASANTE!F301)/(AV!$N$8))^2,IF(AND(AV!$T$8&lt;RASANTE!F301,F301&lt;AV!$U$8),AV!$P$8*((AV!$U$8-RASANTE!F301)/(AV!$O$8))^2,IF(AND(AV!$S$10&lt;F301,F301&lt;=AV!$T$10),AV!$P$10*((AV!$S$10-RASANTE!F301)/(AV!$N$10))^2,IF(AND(AV!$T$10&lt;RASANTE!F301,F301&lt;AV!$U$10),AV!$P$10*((AV!$U$10-RASANTE!F301)/(AV!$O$10))^2,IF(AND(AV!$S$12&lt;F301,F301&lt;=AV!$T$12),AV!$P$12*((AV!$S$12-RASANTE!F301)/(AV!$N$12))^2,IF(AND(AV!$T$12&lt;RASANTE!F301,F301&lt;AV!$U$12),AV!$P$12*((AV!$U$12-RASANTE!F301)/(AV!$O$12))^2,IF(AND(AV!$S$14&lt;F301,F301&lt;=AV!$T$14),AV!$P$14*((AV!$S$14-RASANTE!F301)/(AV!$N$14))^2,IF(AND(AV!$T$14&lt;RASANTE!F301,F301&lt;AV!$U$14),AV!$P$14*((AV!$U$14-RASANTE!F301)/(AV!$O$14))^2,IF(AND(AV!$S$16&lt;F301,F301&lt;=AV!$T$16),AV!$P$16*((AV!$S$16-RASANTE!F301)/(AV!$N$16))^2,IF(AND(AV!$T$16&lt;RASANTE!F301,F301&lt;AV!$U$16),AV!$P$16*((AV!$U$16-RASANTE!F301)/(AV!$O$16))^2,IF(AND(AV!$S$18&lt;F301,F301&lt;=AV!$T$18),AV!$P$18*((AV!$S$18-RASANTE!F301)/(AV!$N$18))^2,IF(AND(AV!$T$18&lt;RASANTE!F301,F301&lt;AV!$U$18),AV!$P$18*((AV!$U$18-RASANTE!F301)/(AV!$O$18))^2,IF(AND(AV!$S$20&lt;F301,F301&lt;=AV!$T$20),AV!$P$20*((AV!$S$20-RASANTE!F301)/(AV!$N$20))^2,IF(AND(AV!$T$20&lt;RASANTE!F301,F301&lt;AV!$U$20),AV!$P$20*((AV!$U$20-RASANTE!F301)/(AV!$O$20))^2,IF(AND(AV!$S$22&lt;F301,F301&lt;=AV!$T$22),AV!$P$22*((AV!$S$22-RASANTE!F301)/(AV!$N$22))^2,IF(AND(AV!$T$22&lt;RASANTE!F301,F301&lt;AV!$U$22),AV!$P$22*((AV!$U$22-RASANTE!F301)/(AV!$O$22))^2,IF(AND(AV!$S$24&lt;F301,F301&lt;=AV!$T$24),AV!$P$24*((AV!$S$24-RASANTE!F301)/(AV!$N$24))^2,IF(AND(AV!$T$24&lt;RASANTE!F301,F301&lt;AV!$U$24),AV!$P$24*((AV!$U$24-RASANTE!F301)/(AV!$O$24))^2,0))))))))))))))))))))</f>
        <v>0</v>
      </c>
      <c r="L301" s="28">
        <f>+M301+H301%*PERALTE!$C$32</f>
        <v>1651.1952004943566</v>
      </c>
      <c r="M301" s="28">
        <f t="shared" si="15"/>
        <v>1651.2652004943566</v>
      </c>
      <c r="N301" s="28">
        <f>+M301+I301%*PERALTE!$C$32</f>
        <v>1651.1952004943566</v>
      </c>
      <c r="O301" s="92"/>
      <c r="P301" s="84"/>
      <c r="Q301" s="84"/>
      <c r="R301" s="84"/>
      <c r="S301" s="84"/>
      <c r="T301" s="84"/>
      <c r="U301" s="84"/>
      <c r="V301" s="84"/>
      <c r="W301" s="84"/>
      <c r="X301" s="84"/>
      <c r="Y301" s="84"/>
    </row>
    <row r="302" spans="1:25" ht="15.75" customHeight="1" x14ac:dyDescent="0.2">
      <c r="O302" s="92"/>
      <c r="P302" s="84"/>
      <c r="Q302" s="84"/>
      <c r="R302" s="84"/>
      <c r="S302" s="84"/>
      <c r="T302" s="84"/>
      <c r="U302" s="84"/>
      <c r="V302" s="84"/>
      <c r="W302" s="84"/>
      <c r="X302" s="84"/>
      <c r="Y302" s="84"/>
    </row>
    <row r="303" spans="1:25" ht="15.75" customHeight="1" x14ac:dyDescent="0.2">
      <c r="O303" s="92"/>
      <c r="P303" s="84"/>
      <c r="Q303" s="84"/>
      <c r="R303" s="84"/>
      <c r="S303" s="84"/>
      <c r="T303" s="84"/>
      <c r="U303" s="84"/>
      <c r="V303" s="84"/>
      <c r="W303" s="84"/>
      <c r="X303" s="84"/>
      <c r="Y303" s="84"/>
    </row>
    <row r="304" spans="1:25" ht="15.75" customHeight="1" x14ac:dyDescent="0.2">
      <c r="O304" s="92"/>
      <c r="P304" s="84"/>
      <c r="Q304" s="84"/>
      <c r="R304" s="84"/>
      <c r="S304" s="84"/>
      <c r="T304" s="84"/>
      <c r="U304" s="84"/>
      <c r="V304" s="84"/>
      <c r="W304" s="84"/>
      <c r="X304" s="84"/>
      <c r="Y304" s="84"/>
    </row>
    <row r="305" spans="1:25" ht="15.75" customHeight="1" x14ac:dyDescent="0.2">
      <c r="O305" s="214"/>
      <c r="P305" s="84"/>
      <c r="Q305" s="84"/>
      <c r="R305" s="84"/>
      <c r="S305" s="84"/>
      <c r="T305" s="84"/>
      <c r="U305" s="84"/>
      <c r="V305" s="84"/>
      <c r="W305" s="84"/>
      <c r="X305" s="84"/>
      <c r="Y305" s="84"/>
    </row>
    <row r="306" spans="1:25" ht="15.75" customHeight="1" x14ac:dyDescent="0.2">
      <c r="A306" s="268"/>
      <c r="B306" s="268"/>
      <c r="C306" s="268"/>
      <c r="D306" s="268"/>
      <c r="E306" s="330"/>
      <c r="F306" s="268"/>
      <c r="G306" s="268"/>
      <c r="H306" s="268"/>
      <c r="I306" s="268"/>
      <c r="J306" s="268"/>
      <c r="K306" s="268"/>
      <c r="L306" s="268"/>
      <c r="M306" s="268"/>
      <c r="N306" s="268"/>
      <c r="O306" s="214"/>
      <c r="P306" s="84"/>
      <c r="Q306" s="84"/>
      <c r="R306" s="84"/>
      <c r="S306" s="84"/>
      <c r="T306" s="84"/>
      <c r="U306" s="84"/>
      <c r="V306" s="84"/>
      <c r="W306" s="84"/>
      <c r="X306" s="84"/>
      <c r="Y306" s="84"/>
    </row>
    <row r="307" spans="1:25" ht="15.75" customHeight="1" x14ac:dyDescent="0.2">
      <c r="A307" s="215"/>
      <c r="B307" s="215"/>
      <c r="C307" s="215"/>
      <c r="D307" s="215"/>
      <c r="E307" s="331"/>
      <c r="F307" s="217"/>
      <c r="G307" s="214"/>
      <c r="H307" s="214"/>
      <c r="I307" s="214"/>
      <c r="J307" s="214"/>
      <c r="K307" s="214"/>
      <c r="L307" s="214"/>
      <c r="M307" s="214"/>
      <c r="N307" s="214"/>
      <c r="O307" s="214"/>
      <c r="P307" s="84"/>
      <c r="Q307" s="84"/>
      <c r="R307" s="84"/>
      <c r="S307" s="84"/>
      <c r="T307" s="84"/>
      <c r="U307" s="84"/>
      <c r="V307" s="84"/>
      <c r="W307" s="84"/>
      <c r="X307" s="84"/>
      <c r="Y307" s="84"/>
    </row>
    <row r="308" spans="1:25" ht="15.75" customHeight="1" x14ac:dyDescent="0.2">
      <c r="A308" s="268"/>
      <c r="B308" s="268"/>
      <c r="C308" s="268"/>
      <c r="D308" s="268"/>
      <c r="E308" s="332"/>
      <c r="F308" s="268"/>
      <c r="G308" s="268"/>
      <c r="H308" s="268"/>
      <c r="I308" s="268"/>
      <c r="J308" s="268"/>
      <c r="K308" s="268"/>
      <c r="L308" s="268"/>
      <c r="M308" s="268"/>
      <c r="N308" s="268"/>
      <c r="O308" s="214"/>
      <c r="P308" s="84"/>
      <c r="Q308" s="84"/>
      <c r="R308" s="84"/>
      <c r="S308" s="84"/>
      <c r="T308" s="84"/>
      <c r="U308" s="84"/>
      <c r="V308" s="84"/>
      <c r="W308" s="84"/>
      <c r="X308" s="84"/>
      <c r="Y308" s="84"/>
    </row>
    <row r="309" spans="1:25" ht="15.75" customHeight="1" x14ac:dyDescent="0.2">
      <c r="A309" s="215"/>
      <c r="B309" s="215"/>
      <c r="C309" s="215"/>
      <c r="D309" s="215"/>
      <c r="E309" s="333"/>
      <c r="F309" s="217"/>
      <c r="G309" s="214"/>
      <c r="H309" s="214"/>
      <c r="I309" s="214"/>
      <c r="J309" s="214"/>
      <c r="K309" s="214"/>
      <c r="L309" s="214"/>
      <c r="M309" s="214"/>
      <c r="N309" s="214"/>
      <c r="O309" s="214"/>
      <c r="P309" s="84"/>
      <c r="Q309" s="84"/>
      <c r="R309" s="84"/>
      <c r="S309" s="84"/>
      <c r="T309" s="84"/>
      <c r="U309" s="84"/>
      <c r="V309" s="84"/>
      <c r="W309" s="84"/>
      <c r="X309" s="84"/>
      <c r="Y309" s="84"/>
    </row>
    <row r="310" spans="1:25" ht="15.75" customHeight="1" x14ac:dyDescent="0.2">
      <c r="A310" s="268"/>
      <c r="B310" s="268"/>
      <c r="C310" s="268"/>
      <c r="D310" s="268"/>
      <c r="E310" s="334"/>
      <c r="F310" s="268"/>
      <c r="G310" s="268"/>
      <c r="H310" s="268"/>
      <c r="I310" s="268"/>
      <c r="J310" s="268"/>
      <c r="K310" s="268"/>
      <c r="L310" s="268"/>
      <c r="M310" s="268"/>
      <c r="N310" s="268"/>
      <c r="O310" s="214"/>
      <c r="P310" s="84"/>
      <c r="Q310" s="84"/>
      <c r="R310" s="84"/>
      <c r="S310" s="84"/>
      <c r="T310" s="84"/>
      <c r="U310" s="84"/>
      <c r="V310" s="84"/>
      <c r="W310" s="84"/>
      <c r="X310" s="84"/>
      <c r="Y310" s="84"/>
    </row>
    <row r="311" spans="1:25" ht="15.75" customHeight="1" x14ac:dyDescent="0.2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  <c r="K311" s="268"/>
      <c r="L311" s="268"/>
      <c r="M311" s="268"/>
      <c r="N311" s="268"/>
      <c r="O311" s="214"/>
      <c r="P311" s="84"/>
      <c r="Q311" s="84"/>
      <c r="R311" s="84"/>
      <c r="S311" s="84"/>
      <c r="T311" s="84"/>
      <c r="U311" s="84"/>
      <c r="V311" s="84"/>
      <c r="W311" s="84"/>
      <c r="X311" s="84"/>
      <c r="Y311" s="84"/>
    </row>
    <row r="312" spans="1:25" ht="15.75" customHeight="1" x14ac:dyDescent="0.2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  <c r="K312" s="268"/>
      <c r="L312" s="268"/>
      <c r="M312" s="268"/>
      <c r="N312" s="268"/>
      <c r="O312" s="214"/>
      <c r="P312" s="84"/>
      <c r="Q312" s="84"/>
      <c r="R312" s="84"/>
      <c r="S312" s="84"/>
      <c r="T312" s="84"/>
      <c r="U312" s="84"/>
      <c r="V312" s="84"/>
      <c r="W312" s="84"/>
      <c r="X312" s="84"/>
      <c r="Y312" s="84"/>
    </row>
    <row r="313" spans="1:25" ht="15.75" customHeight="1" x14ac:dyDescent="0.2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  <c r="K313" s="268"/>
      <c r="L313" s="268"/>
      <c r="M313" s="268"/>
      <c r="N313" s="268"/>
      <c r="O313" s="214"/>
      <c r="P313" s="84"/>
      <c r="Q313" s="84"/>
      <c r="R313" s="84"/>
      <c r="S313" s="84"/>
      <c r="T313" s="84"/>
      <c r="U313" s="84"/>
      <c r="V313" s="84"/>
      <c r="W313" s="84"/>
      <c r="X313" s="84"/>
      <c r="Y313" s="84"/>
    </row>
    <row r="314" spans="1:25" ht="15.75" customHeight="1" x14ac:dyDescent="0.2">
      <c r="A314" s="215"/>
      <c r="B314" s="215"/>
      <c r="C314" s="215"/>
      <c r="D314" s="215"/>
      <c r="E314" s="215"/>
      <c r="F314" s="217"/>
      <c r="G314" s="214"/>
      <c r="H314" s="214"/>
      <c r="I314" s="214"/>
      <c r="J314" s="214"/>
      <c r="K314" s="214"/>
      <c r="L314" s="214"/>
      <c r="M314" s="214"/>
      <c r="N314" s="214"/>
      <c r="O314" s="214"/>
      <c r="P314" s="84"/>
      <c r="Q314" s="84"/>
      <c r="R314" s="84"/>
      <c r="S314" s="84"/>
      <c r="T314" s="84"/>
      <c r="U314" s="84"/>
      <c r="V314" s="84"/>
      <c r="W314" s="84"/>
      <c r="X314" s="84"/>
      <c r="Y314" s="84"/>
    </row>
    <row r="315" spans="1:25" ht="15.75" customHeight="1" x14ac:dyDescent="0.2">
      <c r="A315" s="215"/>
      <c r="B315" s="215"/>
      <c r="C315" s="215"/>
      <c r="D315" s="215"/>
      <c r="E315" s="215"/>
      <c r="F315" s="217"/>
      <c r="G315" s="214"/>
      <c r="H315" s="214"/>
      <c r="I315" s="214"/>
      <c r="J315" s="214"/>
      <c r="K315" s="214"/>
      <c r="L315" s="214"/>
      <c r="M315" s="214"/>
      <c r="N315" s="214"/>
      <c r="O315" s="214"/>
      <c r="P315" s="84"/>
      <c r="Q315" s="84"/>
      <c r="R315" s="84"/>
      <c r="S315" s="84"/>
      <c r="T315" s="84"/>
      <c r="U315" s="84"/>
      <c r="V315" s="84"/>
      <c r="W315" s="84"/>
      <c r="X315" s="84"/>
      <c r="Y315" s="84"/>
    </row>
    <row r="316" spans="1:25" ht="15.75" customHeight="1" x14ac:dyDescent="0.2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  <c r="K316" s="268"/>
      <c r="L316" s="268"/>
      <c r="M316" s="268"/>
      <c r="N316" s="268"/>
      <c r="O316" s="214"/>
      <c r="P316" s="84"/>
      <c r="Q316" s="84"/>
      <c r="R316" s="84"/>
      <c r="S316" s="84"/>
      <c r="T316" s="84"/>
      <c r="U316" s="84"/>
      <c r="V316" s="84"/>
      <c r="W316" s="84"/>
      <c r="X316" s="84"/>
      <c r="Y316" s="84"/>
    </row>
    <row r="317" spans="1:25" ht="15.75" customHeight="1" x14ac:dyDescent="0.2">
      <c r="A317" s="215"/>
      <c r="B317" s="215"/>
      <c r="C317" s="215"/>
      <c r="D317" s="215"/>
      <c r="E317" s="215"/>
      <c r="F317" s="217"/>
      <c r="G317" s="214"/>
      <c r="H317" s="214"/>
      <c r="I317" s="214"/>
      <c r="J317" s="214"/>
      <c r="K317" s="214"/>
      <c r="L317" s="214"/>
      <c r="M317" s="214"/>
      <c r="N317" s="214"/>
      <c r="O317" s="214"/>
      <c r="P317" s="84"/>
      <c r="Q317" s="84"/>
      <c r="R317" s="84"/>
      <c r="S317" s="84"/>
      <c r="T317" s="84"/>
      <c r="U317" s="84"/>
      <c r="V317" s="84"/>
      <c r="W317" s="84"/>
      <c r="X317" s="84"/>
      <c r="Y317" s="84"/>
    </row>
    <row r="318" spans="1:25" ht="15.75" customHeight="1" x14ac:dyDescent="0.2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  <c r="K318" s="268"/>
      <c r="L318" s="268"/>
      <c r="M318" s="268"/>
      <c r="N318" s="268"/>
      <c r="O318" s="214"/>
      <c r="P318" s="84"/>
      <c r="Q318" s="84"/>
      <c r="R318" s="84"/>
      <c r="S318" s="84"/>
      <c r="T318" s="84"/>
      <c r="U318" s="84"/>
      <c r="V318" s="84"/>
      <c r="W318" s="84"/>
      <c r="X318" s="84"/>
      <c r="Y318" s="84"/>
    </row>
    <row r="319" spans="1:25" ht="15.75" customHeight="1" x14ac:dyDescent="0.2">
      <c r="A319" s="215"/>
      <c r="B319" s="215"/>
      <c r="C319" s="215"/>
      <c r="D319" s="215"/>
      <c r="E319" s="215"/>
      <c r="F319" s="217"/>
      <c r="G319" s="214"/>
      <c r="H319" s="214"/>
      <c r="I319" s="214"/>
      <c r="J319" s="214"/>
      <c r="K319" s="214"/>
      <c r="L319" s="214"/>
      <c r="M319" s="214"/>
      <c r="N319" s="214"/>
      <c r="O319" s="214"/>
      <c r="P319" s="84"/>
      <c r="Q319" s="84"/>
      <c r="R319" s="84"/>
      <c r="S319" s="84"/>
      <c r="T319" s="84"/>
      <c r="U319" s="84"/>
      <c r="V319" s="84"/>
      <c r="W319" s="84"/>
      <c r="X319" s="84"/>
      <c r="Y319" s="84"/>
    </row>
    <row r="320" spans="1:25" ht="15.75" customHeight="1" x14ac:dyDescent="0.2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  <c r="K320" s="268"/>
      <c r="L320" s="268"/>
      <c r="M320" s="268"/>
      <c r="N320" s="268"/>
      <c r="O320" s="214"/>
      <c r="P320" s="84"/>
      <c r="Q320" s="84"/>
      <c r="R320" s="84"/>
      <c r="S320" s="84"/>
      <c r="T320" s="84"/>
      <c r="U320" s="84"/>
      <c r="V320" s="84"/>
      <c r="W320" s="84"/>
      <c r="X320" s="84"/>
      <c r="Y320" s="84"/>
    </row>
    <row r="321" spans="1:25" ht="15.75" customHeight="1" x14ac:dyDescent="0.2">
      <c r="A321" s="215"/>
      <c r="B321" s="215"/>
      <c r="C321" s="215"/>
      <c r="D321" s="215"/>
      <c r="E321" s="215"/>
      <c r="F321" s="217"/>
      <c r="G321" s="214"/>
      <c r="H321" s="214"/>
      <c r="I321" s="214"/>
      <c r="J321" s="214"/>
      <c r="K321" s="214"/>
      <c r="L321" s="214"/>
      <c r="M321" s="214"/>
      <c r="N321" s="214"/>
      <c r="O321" s="214"/>
      <c r="P321" s="84"/>
      <c r="Q321" s="84"/>
      <c r="R321" s="84"/>
      <c r="S321" s="84"/>
      <c r="T321" s="84"/>
      <c r="U321" s="84"/>
      <c r="V321" s="84"/>
      <c r="W321" s="84"/>
      <c r="X321" s="84"/>
      <c r="Y321" s="84"/>
    </row>
    <row r="322" spans="1:25" ht="15.75" customHeight="1" x14ac:dyDescent="0.2">
      <c r="A322" s="215"/>
      <c r="B322" s="378"/>
      <c r="C322" s="379"/>
      <c r="D322" s="379"/>
      <c r="E322" s="215"/>
      <c r="F322" s="217"/>
      <c r="G322" s="214"/>
      <c r="H322" s="214"/>
      <c r="I322" s="214"/>
      <c r="J322" s="214"/>
      <c r="K322" s="214"/>
      <c r="L322" s="214"/>
      <c r="M322" s="214"/>
      <c r="N322" s="214"/>
      <c r="O322" s="214"/>
      <c r="P322" s="84"/>
      <c r="Q322" s="84"/>
      <c r="R322" s="84"/>
      <c r="S322" s="84"/>
      <c r="T322" s="84"/>
      <c r="U322" s="84"/>
      <c r="V322" s="84"/>
      <c r="W322" s="84"/>
      <c r="X322" s="84"/>
      <c r="Y322" s="84"/>
    </row>
    <row r="323" spans="1:25" ht="15.75" customHeight="1" x14ac:dyDescent="0.2">
      <c r="A323" s="268"/>
      <c r="B323" s="336"/>
      <c r="C323" s="337"/>
      <c r="D323" s="327"/>
      <c r="E323" s="268"/>
      <c r="F323" s="268"/>
      <c r="G323" s="268"/>
      <c r="H323" s="268"/>
      <c r="I323" s="268"/>
      <c r="J323" s="268"/>
      <c r="K323" s="268"/>
      <c r="L323" s="268"/>
      <c r="M323" s="268"/>
      <c r="N323" s="268"/>
      <c r="O323" s="214"/>
      <c r="P323" s="84"/>
      <c r="Q323" s="84"/>
      <c r="R323" s="84"/>
      <c r="S323" s="84"/>
      <c r="T323" s="84"/>
      <c r="U323" s="84"/>
      <c r="V323" s="84"/>
      <c r="W323" s="84"/>
      <c r="X323" s="84"/>
      <c r="Y323" s="84"/>
    </row>
    <row r="324" spans="1:25" ht="15.75" customHeight="1" x14ac:dyDescent="0.2">
      <c r="A324" s="215"/>
      <c r="B324" s="338"/>
      <c r="C324" s="325"/>
      <c r="D324" s="328"/>
      <c r="E324" s="215"/>
      <c r="F324" s="217"/>
      <c r="G324" s="214"/>
      <c r="H324" s="214"/>
      <c r="I324" s="214"/>
      <c r="J324" s="214"/>
      <c r="K324" s="214"/>
      <c r="L324" s="214"/>
      <c r="M324" s="214"/>
      <c r="N324" s="214"/>
      <c r="O324" s="214"/>
      <c r="P324" s="84"/>
      <c r="Q324" s="84"/>
      <c r="R324" s="84"/>
      <c r="S324" s="84"/>
      <c r="T324" s="84"/>
      <c r="U324" s="84"/>
      <c r="V324" s="84"/>
      <c r="W324" s="84"/>
      <c r="X324" s="84"/>
      <c r="Y324" s="84"/>
    </row>
    <row r="325" spans="1:25" ht="15.75" customHeight="1" x14ac:dyDescent="0.2">
      <c r="A325" s="215"/>
      <c r="B325" s="339"/>
      <c r="C325" s="326"/>
      <c r="D325" s="215"/>
      <c r="E325" s="215"/>
      <c r="F325" s="217"/>
      <c r="G325" s="214"/>
      <c r="H325" s="214"/>
      <c r="I325" s="214"/>
      <c r="J325" s="214"/>
      <c r="K325" s="214"/>
      <c r="L325" s="214"/>
      <c r="M325" s="214"/>
      <c r="N325" s="214"/>
      <c r="O325" s="214"/>
      <c r="P325" s="84"/>
      <c r="Q325" s="84"/>
      <c r="R325" s="84"/>
      <c r="S325" s="84"/>
      <c r="T325" s="84"/>
      <c r="U325" s="84"/>
      <c r="V325" s="84"/>
      <c r="W325" s="84"/>
      <c r="X325" s="84"/>
      <c r="Y325" s="84"/>
    </row>
    <row r="326" spans="1:25" ht="15.75" customHeight="1" x14ac:dyDescent="0.2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  <c r="K326" s="268"/>
      <c r="L326" s="268"/>
      <c r="M326" s="268"/>
      <c r="N326" s="268"/>
      <c r="O326" s="214"/>
      <c r="P326" s="84"/>
      <c r="Q326" s="84"/>
      <c r="R326" s="84"/>
      <c r="S326" s="84"/>
      <c r="T326" s="84"/>
      <c r="U326" s="84"/>
      <c r="V326" s="84"/>
      <c r="W326" s="84"/>
      <c r="X326" s="84"/>
      <c r="Y326" s="84"/>
    </row>
    <row r="327" spans="1:25" ht="15.75" customHeight="1" x14ac:dyDescent="0.2">
      <c r="A327" s="215"/>
      <c r="B327" s="215"/>
      <c r="C327" s="215"/>
      <c r="D327" s="215"/>
      <c r="E327" s="215"/>
      <c r="F327" s="217"/>
      <c r="G327" s="214"/>
      <c r="H327" s="214"/>
      <c r="I327" s="214"/>
      <c r="J327" s="214"/>
      <c r="K327" s="214"/>
      <c r="L327" s="214"/>
      <c r="M327" s="214"/>
      <c r="N327" s="214"/>
      <c r="O327" s="214"/>
      <c r="P327" s="84"/>
      <c r="Q327" s="84"/>
      <c r="R327" s="84"/>
      <c r="S327" s="84"/>
      <c r="T327" s="84"/>
      <c r="U327" s="84"/>
      <c r="V327" s="84"/>
      <c r="W327" s="84"/>
      <c r="X327" s="84"/>
      <c r="Y327" s="84"/>
    </row>
    <row r="328" spans="1:25" ht="15.75" customHeight="1" x14ac:dyDescent="0.2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  <c r="K328" s="268"/>
      <c r="L328" s="268"/>
      <c r="M328" s="268"/>
      <c r="N328" s="268"/>
      <c r="O328" s="214"/>
      <c r="P328" s="84"/>
      <c r="Q328" s="84"/>
      <c r="R328" s="84"/>
      <c r="S328" s="84"/>
      <c r="T328" s="84"/>
      <c r="U328" s="84"/>
      <c r="V328" s="84"/>
      <c r="W328" s="84"/>
      <c r="X328" s="84"/>
      <c r="Y328" s="84"/>
    </row>
    <row r="329" spans="1:25" ht="15.75" customHeight="1" x14ac:dyDescent="0.2">
      <c r="A329" s="215"/>
      <c r="B329" s="215"/>
      <c r="C329" s="215"/>
      <c r="D329" s="215"/>
      <c r="E329" s="335"/>
      <c r="F329" s="217"/>
      <c r="G329" s="214"/>
      <c r="H329" s="214"/>
      <c r="I329" s="214"/>
      <c r="J329" s="214"/>
      <c r="K329" s="214"/>
      <c r="L329" s="214"/>
      <c r="M329" s="214"/>
      <c r="N329" s="214"/>
      <c r="O329" s="214"/>
      <c r="P329" s="84"/>
      <c r="Q329" s="84"/>
      <c r="R329" s="84"/>
      <c r="S329" s="84"/>
      <c r="T329" s="84"/>
      <c r="U329" s="84"/>
      <c r="V329" s="84"/>
      <c r="W329" s="84"/>
      <c r="X329" s="84"/>
      <c r="Y329" s="84"/>
    </row>
    <row r="330" spans="1:25" ht="15.75" customHeight="1" x14ac:dyDescent="0.2">
      <c r="A330" s="215"/>
      <c r="B330" s="215"/>
      <c r="C330" s="215"/>
      <c r="D330" s="215"/>
      <c r="E330" s="329"/>
      <c r="F330" s="217"/>
      <c r="G330" s="214"/>
      <c r="H330" s="214"/>
      <c r="I330" s="214"/>
      <c r="J330" s="214"/>
      <c r="K330" s="214"/>
      <c r="L330" s="214"/>
      <c r="M330" s="214"/>
      <c r="N330" s="214"/>
      <c r="O330" s="214"/>
      <c r="P330" s="84"/>
      <c r="Q330" s="84"/>
      <c r="R330" s="84"/>
      <c r="S330" s="84"/>
      <c r="T330" s="84"/>
      <c r="U330" s="84"/>
      <c r="V330" s="84"/>
      <c r="W330" s="84"/>
      <c r="X330" s="84"/>
      <c r="Y330" s="84"/>
    </row>
    <row r="331" spans="1:25" ht="15.75" customHeight="1" x14ac:dyDescent="0.2">
      <c r="A331" s="268"/>
      <c r="B331" s="268"/>
      <c r="C331" s="268"/>
      <c r="D331" s="268"/>
      <c r="E331" s="330"/>
      <c r="F331" s="268"/>
      <c r="G331" s="268"/>
      <c r="H331" s="268"/>
      <c r="I331" s="268"/>
      <c r="J331" s="268"/>
      <c r="K331" s="268"/>
      <c r="L331" s="268"/>
      <c r="M331" s="268"/>
      <c r="N331" s="268"/>
      <c r="O331" s="214"/>
      <c r="P331" s="84"/>
      <c r="Q331" s="84"/>
      <c r="R331" s="84"/>
      <c r="S331" s="84"/>
      <c r="T331" s="84"/>
      <c r="U331" s="84"/>
      <c r="V331" s="84"/>
      <c r="W331" s="84"/>
      <c r="X331" s="84"/>
      <c r="Y331" s="84"/>
    </row>
    <row r="332" spans="1:25" ht="15.75" customHeight="1" x14ac:dyDescent="0.2">
      <c r="A332" s="215"/>
      <c r="B332" s="215"/>
      <c r="C332" s="215"/>
      <c r="D332" s="215"/>
      <c r="E332" s="331"/>
      <c r="F332" s="217"/>
      <c r="G332" s="214"/>
      <c r="H332" s="214"/>
      <c r="I332" s="214"/>
      <c r="J332" s="214"/>
      <c r="K332" s="214"/>
      <c r="L332" s="214"/>
      <c r="M332" s="214"/>
      <c r="N332" s="214"/>
      <c r="O332" s="214"/>
      <c r="P332" s="84"/>
      <c r="Q332" s="84"/>
      <c r="R332" s="84"/>
      <c r="S332" s="84"/>
      <c r="T332" s="84"/>
      <c r="U332" s="84"/>
      <c r="V332" s="84"/>
      <c r="W332" s="84"/>
      <c r="X332" s="84"/>
      <c r="Y332" s="84"/>
    </row>
    <row r="333" spans="1:25" ht="15.75" customHeight="1" x14ac:dyDescent="0.2">
      <c r="A333" s="215"/>
      <c r="B333" s="215"/>
      <c r="C333" s="215"/>
      <c r="D333" s="215"/>
      <c r="E333" s="332"/>
      <c r="F333" s="217"/>
      <c r="G333" s="214"/>
      <c r="H333" s="214"/>
      <c r="I333" s="214"/>
      <c r="J333" s="214"/>
      <c r="K333" s="214"/>
      <c r="L333" s="214"/>
      <c r="M333" s="214"/>
      <c r="N333" s="214"/>
      <c r="O333" s="214"/>
      <c r="P333" s="84"/>
      <c r="Q333" s="84"/>
      <c r="R333" s="84"/>
      <c r="S333" s="84"/>
      <c r="T333" s="84"/>
      <c r="U333" s="84"/>
      <c r="V333" s="84"/>
      <c r="W333" s="84"/>
      <c r="X333" s="84"/>
      <c r="Y333" s="84"/>
    </row>
    <row r="334" spans="1:25" ht="15.75" customHeight="1" x14ac:dyDescent="0.2">
      <c r="A334" s="215"/>
      <c r="B334" s="215"/>
      <c r="C334" s="215"/>
      <c r="D334" s="215"/>
      <c r="E334" s="333"/>
      <c r="F334" s="217"/>
      <c r="G334" s="214"/>
      <c r="H334" s="214"/>
      <c r="I334" s="214"/>
      <c r="J334" s="214"/>
      <c r="K334" s="214"/>
      <c r="L334" s="214"/>
      <c r="M334" s="214"/>
      <c r="N334" s="214"/>
      <c r="O334" s="214"/>
      <c r="P334" s="84"/>
      <c r="Q334" s="84"/>
      <c r="R334" s="84"/>
      <c r="S334" s="84"/>
      <c r="T334" s="84"/>
      <c r="U334" s="84"/>
      <c r="V334" s="84"/>
      <c r="W334" s="84"/>
      <c r="X334" s="84"/>
      <c r="Y334" s="84"/>
    </row>
    <row r="335" spans="1:25" ht="15.75" customHeight="1" x14ac:dyDescent="0.2">
      <c r="A335" s="268"/>
      <c r="B335" s="268"/>
      <c r="C335" s="268"/>
      <c r="D335" s="268"/>
      <c r="E335" s="334"/>
      <c r="F335" s="268"/>
      <c r="G335" s="268"/>
      <c r="H335" s="268"/>
      <c r="I335" s="268"/>
      <c r="J335" s="268"/>
      <c r="K335" s="268"/>
      <c r="L335" s="268"/>
      <c r="M335" s="268"/>
      <c r="N335" s="268"/>
      <c r="O335" s="214"/>
      <c r="P335" s="84"/>
      <c r="Q335" s="84"/>
      <c r="R335" s="84"/>
      <c r="S335" s="84"/>
      <c r="T335" s="84"/>
      <c r="U335" s="84"/>
      <c r="V335" s="84"/>
      <c r="W335" s="84"/>
      <c r="X335" s="84"/>
      <c r="Y335" s="84"/>
    </row>
    <row r="336" spans="1:25" ht="15.75" customHeight="1" x14ac:dyDescent="0.2">
      <c r="A336" s="215"/>
      <c r="B336" s="215"/>
      <c r="C336" s="215"/>
      <c r="D336" s="215"/>
      <c r="E336" s="215"/>
      <c r="F336" s="217"/>
      <c r="G336" s="214"/>
      <c r="H336" s="214"/>
      <c r="I336" s="214"/>
      <c r="J336" s="214"/>
      <c r="K336" s="214"/>
      <c r="L336" s="214"/>
      <c r="M336" s="214"/>
      <c r="N336" s="214"/>
      <c r="O336" s="214"/>
      <c r="P336" s="84"/>
      <c r="Q336" s="84"/>
      <c r="R336" s="84"/>
      <c r="S336" s="84"/>
      <c r="T336" s="84"/>
      <c r="U336" s="84"/>
      <c r="V336" s="84"/>
      <c r="W336" s="84"/>
      <c r="X336" s="84"/>
      <c r="Y336" s="84"/>
    </row>
    <row r="337" spans="1:25" ht="15.75" customHeight="1" x14ac:dyDescent="0.2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  <c r="K337" s="268"/>
      <c r="L337" s="268"/>
      <c r="M337" s="268"/>
      <c r="N337" s="268"/>
      <c r="O337" s="214"/>
      <c r="P337" s="84"/>
      <c r="Q337" s="84"/>
      <c r="R337" s="84"/>
      <c r="S337" s="84"/>
      <c r="T337" s="84"/>
      <c r="U337" s="84"/>
      <c r="V337" s="84"/>
      <c r="W337" s="84"/>
      <c r="X337" s="84"/>
      <c r="Y337" s="84"/>
    </row>
    <row r="338" spans="1:25" ht="15.75" customHeight="1" x14ac:dyDescent="0.2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  <c r="K338" s="268"/>
      <c r="L338" s="268"/>
      <c r="M338" s="268"/>
      <c r="N338" s="268"/>
      <c r="O338" s="214"/>
      <c r="P338" s="84"/>
      <c r="Q338" s="84"/>
      <c r="R338" s="84"/>
      <c r="S338" s="84"/>
      <c r="T338" s="84"/>
      <c r="U338" s="84"/>
      <c r="V338" s="84"/>
      <c r="W338" s="84"/>
      <c r="X338" s="84"/>
      <c r="Y338" s="84"/>
    </row>
    <row r="339" spans="1:25" ht="15.75" customHeight="1" x14ac:dyDescent="0.2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  <c r="K339" s="268"/>
      <c r="L339" s="268"/>
      <c r="M339" s="268"/>
      <c r="N339" s="268"/>
      <c r="O339" s="214"/>
      <c r="P339" s="84"/>
      <c r="Q339" s="84"/>
      <c r="R339" s="84"/>
      <c r="S339" s="84"/>
      <c r="T339" s="84"/>
      <c r="U339" s="84"/>
      <c r="V339" s="84"/>
      <c r="W339" s="84"/>
      <c r="X339" s="84"/>
      <c r="Y339" s="84"/>
    </row>
    <row r="340" spans="1:25" ht="15.75" customHeight="1" x14ac:dyDescent="0.2">
      <c r="A340" s="215"/>
      <c r="B340" s="215"/>
      <c r="C340" s="215"/>
      <c r="D340" s="215"/>
      <c r="E340" s="215"/>
      <c r="F340" s="217"/>
      <c r="G340" s="214"/>
      <c r="H340" s="214"/>
      <c r="I340" s="214"/>
      <c r="J340" s="214"/>
      <c r="K340" s="214"/>
      <c r="L340" s="214"/>
      <c r="M340" s="214"/>
      <c r="N340" s="214"/>
      <c r="O340" s="214"/>
      <c r="P340" s="84"/>
      <c r="Q340" s="84"/>
      <c r="R340" s="84"/>
      <c r="S340" s="84"/>
      <c r="T340" s="84"/>
      <c r="U340" s="84"/>
      <c r="V340" s="84"/>
      <c r="W340" s="84"/>
      <c r="X340" s="84"/>
      <c r="Y340" s="84"/>
    </row>
    <row r="341" spans="1:25" ht="15.75" customHeight="1" x14ac:dyDescent="0.2">
      <c r="A341" s="215"/>
      <c r="B341" s="215"/>
      <c r="C341" s="215"/>
      <c r="D341" s="215"/>
      <c r="E341" s="215"/>
      <c r="F341" s="217"/>
      <c r="G341" s="214"/>
      <c r="H341" s="214"/>
      <c r="I341" s="214"/>
      <c r="J341" s="214"/>
      <c r="K341" s="214"/>
      <c r="L341" s="214"/>
      <c r="M341" s="214"/>
      <c r="N341" s="214"/>
      <c r="O341" s="214"/>
      <c r="P341" s="84"/>
      <c r="Q341" s="84"/>
      <c r="R341" s="84"/>
      <c r="S341" s="84"/>
      <c r="T341" s="84"/>
      <c r="U341" s="84"/>
      <c r="V341" s="84"/>
      <c r="W341" s="84"/>
      <c r="X341" s="84"/>
      <c r="Y341" s="84"/>
    </row>
    <row r="342" spans="1:25" ht="15.75" customHeight="1" x14ac:dyDescent="0.2">
      <c r="A342" s="215"/>
      <c r="B342" s="215"/>
      <c r="C342" s="215"/>
      <c r="D342" s="215"/>
      <c r="E342" s="215"/>
      <c r="F342" s="217"/>
      <c r="G342" s="214"/>
      <c r="H342" s="214"/>
      <c r="I342" s="214"/>
      <c r="J342" s="214"/>
      <c r="K342" s="214"/>
      <c r="L342" s="214"/>
      <c r="M342" s="214"/>
      <c r="N342" s="214"/>
      <c r="O342" s="214"/>
      <c r="P342" s="84"/>
      <c r="Q342" s="84"/>
      <c r="R342" s="84"/>
      <c r="S342" s="84"/>
      <c r="T342" s="84"/>
      <c r="U342" s="84"/>
      <c r="V342" s="84"/>
      <c r="W342" s="84"/>
      <c r="X342" s="84"/>
      <c r="Y342" s="84"/>
    </row>
    <row r="343" spans="1:25" ht="15.75" customHeight="1" x14ac:dyDescent="0.2">
      <c r="A343" s="215"/>
      <c r="B343" s="215"/>
      <c r="C343" s="215"/>
      <c r="D343" s="215"/>
      <c r="E343" s="215"/>
      <c r="F343" s="217"/>
      <c r="G343" s="214"/>
      <c r="H343" s="214"/>
      <c r="I343" s="214"/>
      <c r="J343" s="214"/>
      <c r="K343" s="214"/>
      <c r="L343" s="214"/>
      <c r="M343" s="214"/>
      <c r="N343" s="214"/>
      <c r="O343" s="214"/>
      <c r="P343" s="84"/>
      <c r="Q343" s="84"/>
      <c r="R343" s="84"/>
      <c r="S343" s="84"/>
      <c r="T343" s="84"/>
      <c r="U343" s="84"/>
      <c r="V343" s="84"/>
      <c r="W343" s="84"/>
      <c r="X343" s="84"/>
      <c r="Y343" s="84"/>
    </row>
    <row r="344" spans="1:25" ht="15.75" customHeight="1" x14ac:dyDescent="0.2">
      <c r="A344" s="215"/>
      <c r="B344" s="215"/>
      <c r="C344" s="215"/>
      <c r="D344" s="215"/>
      <c r="E344" s="215"/>
      <c r="F344" s="217"/>
      <c r="G344" s="214"/>
      <c r="H344" s="214"/>
      <c r="I344" s="214"/>
      <c r="J344" s="214"/>
      <c r="K344" s="214"/>
      <c r="L344" s="214"/>
      <c r="M344" s="214"/>
      <c r="N344" s="214"/>
      <c r="O344" s="214"/>
      <c r="P344" s="84"/>
      <c r="Q344" s="84"/>
      <c r="R344" s="84"/>
      <c r="S344" s="84"/>
      <c r="T344" s="84"/>
      <c r="U344" s="84"/>
      <c r="V344" s="84"/>
      <c r="W344" s="84"/>
      <c r="X344" s="84"/>
      <c r="Y344" s="84"/>
    </row>
    <row r="345" spans="1:25" ht="15.75" customHeight="1" x14ac:dyDescent="0.2">
      <c r="A345" s="215"/>
      <c r="B345" s="215"/>
      <c r="C345" s="215"/>
      <c r="D345" s="215"/>
      <c r="E345" s="340"/>
      <c r="F345" s="217"/>
      <c r="G345" s="214"/>
      <c r="H345" s="214"/>
      <c r="I345" s="214"/>
      <c r="J345" s="214"/>
      <c r="K345" s="214"/>
      <c r="L345" s="214"/>
      <c r="M345" s="214"/>
      <c r="N345" s="214"/>
      <c r="O345" s="214"/>
      <c r="P345" s="84"/>
      <c r="Q345" s="84"/>
      <c r="R345" s="84"/>
      <c r="S345" s="84"/>
      <c r="T345" s="84"/>
      <c r="U345" s="84"/>
      <c r="V345" s="84"/>
      <c r="W345" s="84"/>
      <c r="X345" s="84"/>
      <c r="Y345" s="84"/>
    </row>
    <row r="346" spans="1:25" ht="15.75" customHeight="1" x14ac:dyDescent="0.2">
      <c r="A346" s="215"/>
      <c r="B346" s="215"/>
      <c r="C346" s="215"/>
      <c r="D346" s="215"/>
      <c r="E346" s="341"/>
      <c r="F346" s="217"/>
      <c r="G346" s="214"/>
      <c r="H346" s="214"/>
      <c r="I346" s="214"/>
      <c r="J346" s="214"/>
      <c r="K346" s="214"/>
      <c r="L346" s="214"/>
      <c r="M346" s="214"/>
      <c r="N346" s="214"/>
      <c r="O346" s="214"/>
      <c r="P346" s="84"/>
      <c r="Q346" s="84"/>
      <c r="R346" s="84"/>
      <c r="S346" s="84"/>
      <c r="T346" s="84"/>
      <c r="U346" s="84"/>
      <c r="V346" s="84"/>
      <c r="W346" s="84"/>
      <c r="X346" s="84"/>
      <c r="Y346" s="84"/>
    </row>
    <row r="347" spans="1:25" ht="15.75" customHeight="1" x14ac:dyDescent="0.2">
      <c r="A347" s="215"/>
      <c r="B347" s="215"/>
      <c r="C347" s="215"/>
      <c r="D347" s="215"/>
      <c r="E347" s="342"/>
      <c r="F347" s="217"/>
      <c r="G347" s="214"/>
      <c r="H347" s="214"/>
      <c r="I347" s="214"/>
      <c r="J347" s="214"/>
      <c r="K347" s="214"/>
      <c r="L347" s="214"/>
      <c r="M347" s="214"/>
      <c r="N347" s="214"/>
      <c r="O347" s="214"/>
      <c r="P347" s="84"/>
      <c r="Q347" s="84"/>
      <c r="R347" s="84"/>
      <c r="S347" s="84"/>
      <c r="T347" s="84"/>
      <c r="U347" s="84"/>
      <c r="V347" s="84"/>
      <c r="W347" s="84"/>
      <c r="X347" s="84"/>
      <c r="Y347" s="84"/>
    </row>
    <row r="348" spans="1:25" ht="15.75" customHeight="1" x14ac:dyDescent="0.2">
      <c r="A348" s="215"/>
      <c r="B348" s="215"/>
      <c r="C348" s="215"/>
      <c r="D348" s="215"/>
      <c r="E348" s="343"/>
      <c r="F348" s="217"/>
      <c r="G348" s="214"/>
      <c r="H348" s="214"/>
      <c r="I348" s="214"/>
      <c r="J348" s="214"/>
      <c r="K348" s="214"/>
      <c r="L348" s="214"/>
      <c r="M348" s="214"/>
      <c r="N348" s="214"/>
      <c r="O348" s="214"/>
      <c r="P348" s="84"/>
      <c r="Q348" s="84"/>
      <c r="R348" s="84"/>
      <c r="S348" s="84"/>
      <c r="T348" s="84"/>
      <c r="U348" s="84"/>
      <c r="V348" s="84"/>
      <c r="W348" s="84"/>
      <c r="X348" s="84"/>
      <c r="Y348" s="84"/>
    </row>
    <row r="349" spans="1:25" ht="15.75" customHeight="1" x14ac:dyDescent="0.2">
      <c r="A349" s="215"/>
      <c r="B349" s="215"/>
      <c r="C349" s="215"/>
      <c r="D349" s="215"/>
      <c r="E349" s="344"/>
      <c r="F349" s="217"/>
      <c r="G349" s="214"/>
      <c r="H349" s="214"/>
      <c r="I349" s="214"/>
      <c r="J349" s="214"/>
      <c r="K349" s="214"/>
      <c r="L349" s="214"/>
      <c r="M349" s="214"/>
      <c r="N349" s="214"/>
      <c r="O349" s="214"/>
      <c r="P349" s="84"/>
      <c r="Q349" s="84"/>
      <c r="R349" s="84"/>
      <c r="S349" s="84"/>
      <c r="T349" s="84"/>
      <c r="U349" s="84"/>
      <c r="V349" s="84"/>
      <c r="W349" s="84"/>
      <c r="X349" s="84"/>
      <c r="Y349" s="84"/>
    </row>
    <row r="350" spans="1:25" ht="15.75" customHeight="1" x14ac:dyDescent="0.2">
      <c r="A350" s="215"/>
      <c r="B350" s="215"/>
      <c r="C350" s="215"/>
      <c r="D350" s="215"/>
      <c r="E350" s="215"/>
      <c r="F350" s="217"/>
      <c r="G350" s="214"/>
      <c r="H350" s="214"/>
      <c r="I350" s="214"/>
      <c r="J350" s="214"/>
      <c r="K350" s="214"/>
      <c r="L350" s="214"/>
      <c r="M350" s="214"/>
      <c r="N350" s="214"/>
      <c r="O350" s="214"/>
      <c r="P350" s="84"/>
      <c r="Q350" s="84"/>
      <c r="R350" s="84"/>
      <c r="S350" s="84"/>
      <c r="T350" s="84"/>
      <c r="U350" s="84"/>
      <c r="V350" s="84"/>
      <c r="W350" s="84"/>
      <c r="X350" s="84"/>
      <c r="Y350" s="84"/>
    </row>
    <row r="351" spans="1:25" ht="15.75" customHeight="1" x14ac:dyDescent="0.2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  <c r="K351" s="268"/>
      <c r="L351" s="268"/>
      <c r="M351" s="268"/>
      <c r="N351" s="268"/>
      <c r="O351" s="214"/>
      <c r="P351" s="84"/>
      <c r="Q351" s="84"/>
      <c r="R351" s="84"/>
      <c r="S351" s="84"/>
      <c r="T351" s="84"/>
      <c r="U351" s="84"/>
      <c r="V351" s="84"/>
      <c r="W351" s="84"/>
      <c r="X351" s="84"/>
      <c r="Y351" s="84"/>
    </row>
    <row r="352" spans="1:25" ht="15.75" customHeight="1" x14ac:dyDescent="0.2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  <c r="K352" s="268"/>
      <c r="L352" s="268"/>
      <c r="M352" s="268"/>
      <c r="N352" s="268"/>
      <c r="O352" s="214"/>
      <c r="P352" s="84"/>
      <c r="Q352" s="84"/>
      <c r="R352" s="84"/>
      <c r="S352" s="84"/>
      <c r="T352" s="84"/>
      <c r="U352" s="84"/>
      <c r="V352" s="84"/>
      <c r="W352" s="84"/>
      <c r="X352" s="84"/>
      <c r="Y352" s="84"/>
    </row>
    <row r="353" spans="1:25" ht="15.75" customHeight="1" x14ac:dyDescent="0.2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  <c r="K353" s="268"/>
      <c r="L353" s="268"/>
      <c r="M353" s="268"/>
      <c r="N353" s="268"/>
      <c r="O353" s="214"/>
      <c r="P353" s="84"/>
      <c r="Q353" s="84"/>
      <c r="R353" s="84"/>
      <c r="S353" s="84"/>
      <c r="T353" s="84"/>
      <c r="U353" s="84"/>
      <c r="V353" s="84"/>
      <c r="W353" s="84"/>
      <c r="X353" s="84"/>
      <c r="Y353" s="84"/>
    </row>
    <row r="354" spans="1:25" ht="15.75" customHeight="1" x14ac:dyDescent="0.2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  <c r="K354" s="268"/>
      <c r="L354" s="268"/>
      <c r="M354" s="268"/>
      <c r="N354" s="268"/>
      <c r="O354" s="345"/>
      <c r="P354" s="84"/>
      <c r="Q354" s="84"/>
      <c r="R354" s="84"/>
      <c r="S354" s="84"/>
      <c r="T354" s="84"/>
      <c r="U354" s="84"/>
      <c r="V354" s="84"/>
      <c r="W354" s="84"/>
      <c r="X354" s="84"/>
      <c r="Y354" s="84"/>
    </row>
    <row r="355" spans="1:25" ht="15.75" customHeight="1" x14ac:dyDescent="0.2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  <c r="K355" s="268"/>
      <c r="L355" s="268"/>
      <c r="M355" s="268"/>
      <c r="N355" s="268"/>
      <c r="O355" s="345"/>
      <c r="P355" s="84"/>
      <c r="Q355" s="84"/>
      <c r="R355" s="84"/>
      <c r="S355" s="84"/>
      <c r="T355" s="84"/>
      <c r="U355" s="84"/>
      <c r="V355" s="84"/>
      <c r="W355" s="84"/>
      <c r="X355" s="84"/>
      <c r="Y355" s="84"/>
    </row>
    <row r="356" spans="1:25" ht="15.75" customHeight="1" x14ac:dyDescent="0.2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  <c r="K356" s="268"/>
      <c r="L356" s="268"/>
      <c r="M356" s="268"/>
      <c r="N356" s="268"/>
      <c r="O356" s="345"/>
      <c r="P356" s="84"/>
      <c r="Q356" s="84"/>
      <c r="R356" s="84"/>
      <c r="S356" s="84"/>
      <c r="T356" s="84"/>
      <c r="U356" s="84"/>
      <c r="V356" s="84"/>
      <c r="W356" s="84"/>
      <c r="X356" s="84"/>
      <c r="Y356" s="84"/>
    </row>
    <row r="357" spans="1:25" ht="15.75" customHeight="1" x14ac:dyDescent="0.2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  <c r="K357" s="268"/>
      <c r="L357" s="268"/>
      <c r="M357" s="268"/>
      <c r="N357" s="268"/>
      <c r="O357" s="345"/>
      <c r="P357" s="84"/>
      <c r="Q357" s="84"/>
      <c r="R357" s="84"/>
      <c r="S357" s="84"/>
      <c r="T357" s="84"/>
      <c r="U357" s="84"/>
      <c r="V357" s="84"/>
      <c r="W357" s="84"/>
      <c r="X357" s="84"/>
      <c r="Y357" s="84"/>
    </row>
    <row r="358" spans="1:25" ht="15.75" customHeight="1" x14ac:dyDescent="0.2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  <c r="K358" s="268"/>
      <c r="L358" s="268"/>
      <c r="M358" s="268"/>
      <c r="N358" s="268"/>
      <c r="O358" s="345"/>
      <c r="P358" s="84"/>
      <c r="Q358" s="84"/>
      <c r="R358" s="84"/>
      <c r="S358" s="84"/>
      <c r="T358" s="84"/>
      <c r="U358" s="84"/>
      <c r="V358" s="84"/>
      <c r="W358" s="84"/>
      <c r="X358" s="84"/>
      <c r="Y358" s="84"/>
    </row>
    <row r="359" spans="1:25" ht="15.75" customHeight="1" x14ac:dyDescent="0.2">
      <c r="A359" s="215"/>
      <c r="B359" s="215"/>
      <c r="C359" s="215"/>
      <c r="D359" s="215"/>
      <c r="E359" s="215"/>
      <c r="F359" s="217"/>
      <c r="G359" s="214"/>
      <c r="H359" s="214"/>
      <c r="I359" s="214"/>
      <c r="J359" s="214"/>
      <c r="K359" s="214"/>
      <c r="L359" s="214"/>
      <c r="M359" s="214"/>
      <c r="N359" s="214"/>
      <c r="O359" s="345"/>
      <c r="P359" s="84"/>
      <c r="Q359" s="84"/>
      <c r="R359" s="84"/>
      <c r="S359" s="84"/>
      <c r="T359" s="84"/>
      <c r="U359" s="84"/>
      <c r="V359" s="84"/>
      <c r="W359" s="84"/>
      <c r="X359" s="84"/>
      <c r="Y359" s="84"/>
    </row>
    <row r="360" spans="1:25" ht="15.75" customHeight="1" x14ac:dyDescent="0.2">
      <c r="A360" s="215"/>
      <c r="B360" s="215"/>
      <c r="C360" s="215"/>
      <c r="D360" s="215"/>
      <c r="E360" s="343"/>
      <c r="F360" s="217"/>
      <c r="G360" s="214"/>
      <c r="H360" s="214"/>
      <c r="I360" s="214"/>
      <c r="J360" s="214"/>
      <c r="K360" s="214"/>
      <c r="L360" s="214"/>
      <c r="M360" s="214"/>
      <c r="N360" s="214"/>
      <c r="O360" s="345"/>
      <c r="P360" s="84"/>
      <c r="Q360" s="84"/>
      <c r="R360" s="84"/>
      <c r="S360" s="84"/>
      <c r="T360" s="84"/>
      <c r="U360" s="84"/>
      <c r="V360" s="84"/>
      <c r="W360" s="84"/>
      <c r="X360" s="84"/>
      <c r="Y360" s="84"/>
    </row>
    <row r="361" spans="1:25" ht="15.75" customHeight="1" x14ac:dyDescent="0.2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  <c r="K361" s="268"/>
      <c r="L361" s="268"/>
      <c r="M361" s="268"/>
      <c r="N361" s="268"/>
      <c r="O361" s="345"/>
      <c r="P361" s="84"/>
      <c r="Q361" s="84"/>
      <c r="R361" s="84"/>
      <c r="S361" s="84"/>
      <c r="T361" s="84"/>
      <c r="U361" s="84"/>
      <c r="V361" s="84"/>
      <c r="W361" s="84"/>
      <c r="X361" s="84"/>
      <c r="Y361" s="84"/>
    </row>
    <row r="362" spans="1:25" ht="15.75" customHeight="1" x14ac:dyDescent="0.2">
      <c r="A362" s="215"/>
      <c r="B362" s="215"/>
      <c r="C362" s="215"/>
      <c r="D362" s="215"/>
      <c r="E362" s="341"/>
      <c r="F362" s="217"/>
      <c r="G362" s="214"/>
      <c r="H362" s="214"/>
      <c r="I362" s="214"/>
      <c r="J362" s="214"/>
      <c r="K362" s="214"/>
      <c r="L362" s="214"/>
      <c r="M362" s="214"/>
      <c r="N362" s="214"/>
      <c r="O362" s="345"/>
      <c r="P362" s="84"/>
      <c r="Q362" s="84"/>
      <c r="R362" s="84"/>
      <c r="S362" s="84"/>
      <c r="T362" s="84"/>
      <c r="U362" s="84"/>
      <c r="V362" s="84"/>
      <c r="W362" s="84"/>
      <c r="X362" s="84"/>
      <c r="Y362" s="84"/>
    </row>
    <row r="363" spans="1:25" ht="15.75" customHeight="1" x14ac:dyDescent="0.2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  <c r="K363" s="268"/>
      <c r="L363" s="268"/>
      <c r="M363" s="268"/>
      <c r="N363" s="268"/>
      <c r="O363" s="345"/>
      <c r="P363" s="84"/>
      <c r="Q363" s="84"/>
      <c r="R363" s="84"/>
      <c r="S363" s="84"/>
      <c r="T363" s="84"/>
      <c r="U363" s="84"/>
      <c r="V363" s="84"/>
      <c r="W363" s="84"/>
      <c r="X363" s="84"/>
      <c r="Y363" s="84"/>
    </row>
    <row r="364" spans="1:25" ht="15.75" customHeight="1" x14ac:dyDescent="0.2">
      <c r="A364" s="215"/>
      <c r="B364" s="215"/>
      <c r="C364" s="215"/>
      <c r="D364" s="215"/>
      <c r="E364" s="215"/>
      <c r="F364" s="217"/>
      <c r="G364" s="214"/>
      <c r="H364" s="214"/>
      <c r="I364" s="214"/>
      <c r="J364" s="214"/>
      <c r="K364" s="214"/>
      <c r="L364" s="214"/>
      <c r="M364" s="214"/>
      <c r="N364" s="214"/>
      <c r="O364" s="345"/>
      <c r="P364" s="84"/>
      <c r="Q364" s="84"/>
      <c r="R364" s="84"/>
      <c r="S364" s="84"/>
      <c r="T364" s="84"/>
      <c r="U364" s="84"/>
      <c r="V364" s="84"/>
      <c r="W364" s="84"/>
      <c r="X364" s="84"/>
      <c r="Y364" s="84"/>
    </row>
    <row r="365" spans="1:25" ht="15.75" customHeight="1" x14ac:dyDescent="0.2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  <c r="K365" s="268"/>
      <c r="L365" s="268"/>
      <c r="M365" s="268"/>
      <c r="N365" s="268"/>
      <c r="O365" s="345"/>
      <c r="P365" s="84"/>
      <c r="Q365" s="84"/>
      <c r="R365" s="84"/>
      <c r="S365" s="84"/>
      <c r="T365" s="84"/>
      <c r="U365" s="84"/>
      <c r="V365" s="84"/>
      <c r="W365" s="84"/>
      <c r="X365" s="84"/>
      <c r="Y365" s="84"/>
    </row>
    <row r="366" spans="1:25" ht="15.75" customHeight="1" x14ac:dyDescent="0.2">
      <c r="A366" s="215"/>
      <c r="B366" s="215"/>
      <c r="C366" s="215"/>
      <c r="D366" s="215"/>
      <c r="E366" s="344"/>
      <c r="F366" s="217"/>
      <c r="G366" s="214"/>
      <c r="H366" s="214"/>
      <c r="I366" s="214"/>
      <c r="J366" s="214"/>
      <c r="K366" s="214"/>
      <c r="L366" s="214"/>
      <c r="M366" s="214"/>
      <c r="N366" s="214"/>
      <c r="O366" s="345"/>
      <c r="P366" s="84"/>
      <c r="Q366" s="84"/>
      <c r="R366" s="84"/>
      <c r="S366" s="84"/>
      <c r="T366" s="84"/>
      <c r="U366" s="84"/>
      <c r="V366" s="84"/>
      <c r="W366" s="84"/>
      <c r="X366" s="84"/>
      <c r="Y366" s="84"/>
    </row>
    <row r="367" spans="1:25" ht="15.75" customHeight="1" x14ac:dyDescent="0.2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  <c r="K367" s="268"/>
      <c r="L367" s="268"/>
      <c r="M367" s="268"/>
      <c r="N367" s="268"/>
      <c r="O367" s="345"/>
      <c r="P367" s="84"/>
      <c r="Q367" s="84"/>
      <c r="R367" s="84"/>
      <c r="S367" s="84"/>
      <c r="T367" s="84"/>
      <c r="U367" s="84"/>
      <c r="V367" s="84"/>
      <c r="W367" s="84"/>
      <c r="X367" s="84"/>
      <c r="Y367" s="84"/>
    </row>
    <row r="368" spans="1:25" ht="15.75" customHeight="1" x14ac:dyDescent="0.2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  <c r="K368" s="268"/>
      <c r="L368" s="268"/>
      <c r="M368" s="268"/>
      <c r="N368" s="268"/>
      <c r="O368" s="345"/>
      <c r="P368" s="84"/>
      <c r="Q368" s="84"/>
      <c r="R368" s="84"/>
      <c r="S368" s="84"/>
      <c r="T368" s="84"/>
      <c r="U368" s="84"/>
      <c r="V368" s="84"/>
      <c r="W368" s="84"/>
      <c r="X368" s="84"/>
      <c r="Y368" s="84"/>
    </row>
    <row r="369" spans="1:25" ht="15.75" customHeight="1" x14ac:dyDescent="0.2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  <c r="K369" s="268"/>
      <c r="L369" s="268"/>
      <c r="M369" s="268"/>
      <c r="N369" s="268"/>
      <c r="O369" s="345"/>
      <c r="P369" s="84"/>
      <c r="Q369" s="84"/>
      <c r="R369" s="84"/>
      <c r="S369" s="84"/>
      <c r="T369" s="84"/>
      <c r="U369" s="84"/>
      <c r="V369" s="84"/>
      <c r="W369" s="84"/>
      <c r="X369" s="84"/>
      <c r="Y369" s="84"/>
    </row>
    <row r="370" spans="1:25" ht="15.75" customHeight="1" x14ac:dyDescent="0.2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  <c r="K370" s="268"/>
      <c r="L370" s="268"/>
      <c r="M370" s="268"/>
      <c r="N370" s="268"/>
      <c r="O370" s="345"/>
      <c r="P370" s="84"/>
      <c r="Q370" s="84"/>
      <c r="R370" s="84"/>
      <c r="S370" s="84"/>
      <c r="T370" s="84"/>
      <c r="U370" s="84"/>
      <c r="V370" s="84"/>
      <c r="W370" s="84"/>
      <c r="X370" s="84"/>
      <c r="Y370" s="84"/>
    </row>
    <row r="371" spans="1:25" ht="15.75" customHeight="1" x14ac:dyDescent="0.2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  <c r="K371" s="268"/>
      <c r="L371" s="268"/>
      <c r="M371" s="268"/>
      <c r="N371" s="268"/>
      <c r="O371" s="345"/>
      <c r="P371" s="84"/>
      <c r="Q371" s="84"/>
      <c r="R371" s="84"/>
      <c r="S371" s="84"/>
      <c r="T371" s="84"/>
      <c r="U371" s="84"/>
      <c r="V371" s="84"/>
      <c r="W371" s="84"/>
      <c r="X371" s="84"/>
      <c r="Y371" s="84"/>
    </row>
    <row r="372" spans="1:25" ht="15.75" customHeight="1" x14ac:dyDescent="0.2">
      <c r="A372" s="268"/>
      <c r="B372" s="215"/>
      <c r="C372" s="378"/>
      <c r="D372" s="379"/>
      <c r="E372" s="379"/>
      <c r="F372" s="215"/>
      <c r="G372" s="217"/>
      <c r="H372" s="214"/>
      <c r="I372" s="214"/>
      <c r="J372" s="214"/>
      <c r="K372" s="214"/>
      <c r="L372" s="214"/>
      <c r="M372" s="214"/>
      <c r="N372" s="214"/>
      <c r="O372" s="214"/>
      <c r="P372" s="84"/>
      <c r="Q372" s="84"/>
      <c r="R372" s="84"/>
      <c r="S372" s="84"/>
      <c r="T372" s="84"/>
      <c r="U372" s="84"/>
      <c r="V372" s="84"/>
      <c r="W372" s="84"/>
      <c r="X372" s="84"/>
      <c r="Y372" s="84"/>
    </row>
    <row r="373" spans="1:25" ht="15.75" customHeight="1" x14ac:dyDescent="0.2">
      <c r="A373" s="268"/>
      <c r="B373" s="268"/>
      <c r="C373" s="336"/>
      <c r="D373" s="325"/>
      <c r="E373" s="215"/>
      <c r="F373" s="268"/>
      <c r="G373" s="268"/>
      <c r="H373" s="268"/>
      <c r="I373" s="268"/>
      <c r="J373" s="268"/>
      <c r="K373" s="268"/>
      <c r="L373" s="268"/>
      <c r="M373" s="268"/>
      <c r="N373" s="268"/>
      <c r="O373" s="268"/>
      <c r="P373" s="84"/>
      <c r="Q373" s="84"/>
      <c r="R373" s="84"/>
      <c r="S373" s="84"/>
      <c r="T373" s="84"/>
      <c r="U373" s="84"/>
      <c r="V373" s="84"/>
      <c r="W373" s="84"/>
      <c r="X373" s="84"/>
      <c r="Y373" s="84"/>
    </row>
    <row r="374" spans="1:25" ht="15.75" customHeight="1" x14ac:dyDescent="0.2">
      <c r="A374" s="215"/>
      <c r="B374" s="268"/>
      <c r="C374" s="338"/>
      <c r="D374" s="326"/>
      <c r="E374" s="215"/>
      <c r="F374" s="268"/>
      <c r="G374" s="268"/>
      <c r="H374" s="268"/>
      <c r="I374" s="268"/>
      <c r="J374" s="268"/>
      <c r="K374" s="268"/>
      <c r="L374" s="268"/>
      <c r="M374" s="268"/>
      <c r="N374" s="268"/>
      <c r="O374" s="268"/>
      <c r="P374" s="84"/>
      <c r="Q374" s="84"/>
      <c r="R374" s="84"/>
      <c r="S374" s="84"/>
      <c r="T374" s="84"/>
      <c r="U374" s="84"/>
      <c r="V374" s="84"/>
      <c r="W374" s="84"/>
      <c r="X374" s="84"/>
      <c r="Y374" s="84"/>
    </row>
    <row r="375" spans="1:25" ht="15.75" customHeight="1" x14ac:dyDescent="0.2">
      <c r="A375" s="268"/>
      <c r="B375" s="268"/>
      <c r="C375" s="339"/>
      <c r="D375" s="327"/>
      <c r="E375" s="215"/>
      <c r="F375" s="268"/>
      <c r="G375" s="268"/>
      <c r="H375" s="268"/>
      <c r="I375" s="268"/>
      <c r="J375" s="268"/>
      <c r="K375" s="268"/>
      <c r="L375" s="268"/>
      <c r="M375" s="268"/>
      <c r="N375" s="268"/>
      <c r="O375" s="268"/>
      <c r="P375" s="84"/>
      <c r="Q375" s="84"/>
      <c r="R375" s="84"/>
      <c r="S375" s="84"/>
      <c r="T375" s="84"/>
      <c r="U375" s="84"/>
      <c r="V375" s="84"/>
      <c r="W375" s="84"/>
      <c r="X375" s="84"/>
      <c r="Y375" s="84"/>
    </row>
    <row r="376" spans="1:25" ht="15.75" customHeight="1" x14ac:dyDescent="0.2">
      <c r="A376" s="268"/>
      <c r="B376" s="268"/>
      <c r="C376" s="337"/>
      <c r="D376" s="328"/>
      <c r="E376" s="215"/>
      <c r="F376" s="268"/>
      <c r="G376" s="268"/>
      <c r="H376" s="268"/>
      <c r="I376" s="268"/>
      <c r="J376" s="268"/>
      <c r="K376" s="268"/>
      <c r="L376" s="268"/>
      <c r="M376" s="268"/>
      <c r="N376" s="268"/>
      <c r="O376" s="268"/>
      <c r="P376" s="84"/>
      <c r="Q376" s="84"/>
      <c r="R376" s="84"/>
      <c r="S376" s="84"/>
      <c r="T376" s="84"/>
      <c r="U376" s="84"/>
      <c r="V376" s="84"/>
      <c r="W376" s="84"/>
      <c r="X376" s="84"/>
      <c r="Y376" s="84"/>
    </row>
    <row r="377" spans="1:25" ht="15.75" customHeight="1" x14ac:dyDescent="0.2">
      <c r="A377" s="268"/>
      <c r="B377" s="215"/>
      <c r="C377" s="215"/>
      <c r="D377" s="215"/>
      <c r="E377" s="215"/>
      <c r="F377" s="346"/>
      <c r="G377" s="217"/>
      <c r="H377" s="214"/>
      <c r="I377" s="214"/>
      <c r="J377" s="214"/>
      <c r="K377" s="214"/>
      <c r="L377" s="214"/>
      <c r="M377" s="214"/>
      <c r="N377" s="214"/>
      <c r="O377" s="214"/>
      <c r="P377" s="84"/>
      <c r="Q377" s="84"/>
      <c r="R377" s="84"/>
      <c r="S377" s="84"/>
      <c r="T377" s="84"/>
      <c r="U377" s="84"/>
      <c r="V377" s="84"/>
      <c r="W377" s="84"/>
      <c r="X377" s="84"/>
      <c r="Y377" s="84"/>
    </row>
    <row r="378" spans="1:25" ht="15.75" customHeight="1" x14ac:dyDescent="0.2">
      <c r="A378" s="215"/>
      <c r="B378" s="215"/>
      <c r="C378" s="215"/>
      <c r="D378" s="215"/>
      <c r="E378" s="215"/>
      <c r="F378" s="215"/>
      <c r="G378" s="217"/>
      <c r="H378" s="214"/>
      <c r="I378" s="214"/>
      <c r="J378" s="214"/>
      <c r="K378" s="214"/>
      <c r="L378" s="214"/>
      <c r="M378" s="214"/>
      <c r="N378" s="214"/>
      <c r="O378" s="214"/>
      <c r="P378" s="84"/>
      <c r="Q378" s="84"/>
      <c r="R378" s="84"/>
      <c r="S378" s="84"/>
      <c r="T378" s="84"/>
      <c r="U378" s="84"/>
      <c r="V378" s="84"/>
      <c r="W378" s="84"/>
      <c r="X378" s="84"/>
      <c r="Y378" s="84"/>
    </row>
    <row r="379" spans="1:25" ht="15.75" customHeight="1" x14ac:dyDescent="0.2">
      <c r="A379" s="215"/>
      <c r="B379" s="215"/>
      <c r="C379" s="215"/>
      <c r="D379" s="215"/>
      <c r="E379" s="268"/>
      <c r="F379" s="215"/>
      <c r="G379" s="214"/>
      <c r="H379" s="215"/>
      <c r="I379" s="215"/>
      <c r="J379" s="215"/>
      <c r="K379" s="215"/>
      <c r="L379" s="215"/>
      <c r="M379" s="215"/>
      <c r="N379" s="215"/>
      <c r="O379" s="345"/>
      <c r="P379" s="84"/>
      <c r="Q379" s="84"/>
      <c r="R379" s="84"/>
      <c r="S379" s="84"/>
      <c r="T379" s="84"/>
      <c r="U379" s="84"/>
      <c r="V379" s="84"/>
      <c r="W379" s="84"/>
      <c r="X379" s="84"/>
      <c r="Y379" s="84"/>
    </row>
    <row r="380" spans="1:25" ht="15.75" customHeight="1" x14ac:dyDescent="0.2">
      <c r="A380" s="215"/>
      <c r="B380" s="215"/>
      <c r="C380" s="215"/>
      <c r="D380" s="215"/>
      <c r="E380" s="268"/>
      <c r="F380" s="215"/>
      <c r="G380" s="214"/>
      <c r="H380" s="215"/>
      <c r="I380" s="215"/>
      <c r="J380" s="215"/>
      <c r="K380" s="215"/>
      <c r="L380" s="215"/>
      <c r="M380" s="215"/>
      <c r="N380" s="215"/>
      <c r="O380" s="345"/>
      <c r="P380" s="84"/>
      <c r="Q380" s="84"/>
      <c r="R380" s="84"/>
      <c r="S380" s="84"/>
      <c r="T380" s="84"/>
      <c r="U380" s="84"/>
      <c r="V380" s="84"/>
      <c r="W380" s="84"/>
      <c r="X380" s="84"/>
      <c r="Y380" s="84"/>
    </row>
    <row r="381" spans="1:25" ht="15.75" customHeight="1" x14ac:dyDescent="0.2">
      <c r="A381" s="215"/>
      <c r="B381" s="215"/>
      <c r="C381" s="215"/>
      <c r="D381" s="215"/>
      <c r="E381" s="268"/>
      <c r="F381" s="215"/>
      <c r="G381" s="214"/>
      <c r="H381" s="215"/>
      <c r="I381" s="215"/>
      <c r="J381" s="215"/>
      <c r="K381" s="215"/>
      <c r="L381" s="215"/>
      <c r="M381" s="215"/>
      <c r="N381" s="215"/>
      <c r="O381" s="345"/>
      <c r="P381" s="84"/>
      <c r="Q381" s="84"/>
      <c r="R381" s="84"/>
      <c r="S381" s="84"/>
      <c r="T381" s="84"/>
      <c r="U381" s="84"/>
      <c r="V381" s="84"/>
      <c r="W381" s="84"/>
      <c r="X381" s="84"/>
      <c r="Y381" s="84"/>
    </row>
    <row r="382" spans="1:25" ht="15.75" customHeight="1" x14ac:dyDescent="0.2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  <c r="K382" s="268"/>
      <c r="L382" s="268"/>
      <c r="M382" s="268"/>
      <c r="N382" s="268"/>
      <c r="O382" s="345"/>
      <c r="P382" s="84"/>
      <c r="Q382" s="84"/>
      <c r="R382" s="84"/>
      <c r="S382" s="84"/>
      <c r="T382" s="84"/>
      <c r="U382" s="84"/>
      <c r="V382" s="84"/>
      <c r="W382" s="84"/>
      <c r="X382" s="84"/>
      <c r="Y382" s="84"/>
    </row>
    <row r="383" spans="1:25" ht="15.75" customHeight="1" x14ac:dyDescent="0.2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  <c r="K383" s="268"/>
      <c r="L383" s="268"/>
      <c r="M383" s="268"/>
      <c r="N383" s="268"/>
      <c r="O383" s="345"/>
      <c r="P383" s="84"/>
      <c r="Q383" s="84"/>
      <c r="R383" s="84"/>
      <c r="S383" s="84"/>
      <c r="T383" s="84"/>
      <c r="U383" s="84"/>
      <c r="V383" s="84"/>
      <c r="W383" s="84"/>
      <c r="X383" s="84"/>
      <c r="Y383" s="84"/>
    </row>
    <row r="384" spans="1:25" ht="15.75" customHeight="1" x14ac:dyDescent="0.2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  <c r="K384" s="268"/>
      <c r="L384" s="268"/>
      <c r="M384" s="268"/>
      <c r="N384" s="268"/>
      <c r="O384" s="345"/>
      <c r="P384" s="84"/>
      <c r="Q384" s="84"/>
      <c r="R384" s="84"/>
      <c r="S384" s="84"/>
      <c r="T384" s="84"/>
      <c r="U384" s="84"/>
      <c r="V384" s="84"/>
      <c r="W384" s="84"/>
      <c r="X384" s="84"/>
      <c r="Y384" s="84"/>
    </row>
    <row r="385" spans="1:25" ht="15.75" customHeight="1" x14ac:dyDescent="0.2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  <c r="K385" s="268"/>
      <c r="L385" s="268"/>
      <c r="M385" s="268"/>
      <c r="N385" s="268"/>
      <c r="O385" s="345"/>
      <c r="P385" s="84"/>
      <c r="Q385" s="84"/>
      <c r="R385" s="84"/>
      <c r="S385" s="84"/>
      <c r="T385" s="84"/>
      <c r="U385" s="84"/>
      <c r="V385" s="84"/>
      <c r="W385" s="84"/>
      <c r="X385" s="84"/>
      <c r="Y385" s="84"/>
    </row>
    <row r="386" spans="1:25" ht="15.75" customHeight="1" x14ac:dyDescent="0.2">
      <c r="A386" s="215"/>
      <c r="B386" s="215"/>
      <c r="C386" s="215"/>
      <c r="D386" s="215"/>
      <c r="E386" s="215"/>
      <c r="F386" s="215"/>
      <c r="G386" s="214"/>
      <c r="H386" s="215"/>
      <c r="I386" s="215"/>
      <c r="J386" s="215"/>
      <c r="K386" s="215"/>
      <c r="L386" s="215"/>
      <c r="M386" s="215"/>
      <c r="N386" s="215"/>
      <c r="O386" s="345"/>
      <c r="P386" s="84"/>
      <c r="Q386" s="84"/>
      <c r="R386" s="84"/>
      <c r="S386" s="84"/>
      <c r="T386" s="84"/>
      <c r="U386" s="84"/>
      <c r="V386" s="84"/>
      <c r="W386" s="84"/>
      <c r="X386" s="84"/>
      <c r="Y386" s="84"/>
    </row>
    <row r="387" spans="1:25" ht="15.75" customHeight="1" x14ac:dyDescent="0.2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  <c r="K387" s="268"/>
      <c r="L387" s="268"/>
      <c r="M387" s="268"/>
      <c r="N387" s="268"/>
      <c r="O387" s="345"/>
      <c r="P387" s="84"/>
      <c r="Q387" s="84"/>
      <c r="R387" s="84"/>
      <c r="S387" s="84"/>
      <c r="T387" s="84"/>
      <c r="U387" s="84"/>
      <c r="V387" s="84"/>
      <c r="W387" s="84"/>
      <c r="X387" s="84"/>
      <c r="Y387" s="84"/>
    </row>
    <row r="388" spans="1:25" ht="15.75" customHeight="1" x14ac:dyDescent="0.2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  <c r="K388" s="268"/>
      <c r="L388" s="268"/>
      <c r="M388" s="268"/>
      <c r="N388" s="268"/>
      <c r="O388" s="345"/>
      <c r="P388" s="84"/>
      <c r="Q388" s="84"/>
      <c r="R388" s="84"/>
      <c r="S388" s="84"/>
      <c r="T388" s="84"/>
      <c r="U388" s="84"/>
      <c r="V388" s="84"/>
      <c r="W388" s="84"/>
      <c r="X388" s="84"/>
      <c r="Y388" s="84"/>
    </row>
    <row r="389" spans="1:25" ht="15.75" customHeight="1" x14ac:dyDescent="0.2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  <c r="K389" s="268"/>
      <c r="L389" s="268"/>
      <c r="M389" s="268"/>
      <c r="N389" s="268"/>
      <c r="O389" s="345"/>
      <c r="P389" s="84"/>
      <c r="Q389" s="84"/>
      <c r="R389" s="84"/>
      <c r="S389" s="84"/>
      <c r="T389" s="84"/>
      <c r="U389" s="84"/>
      <c r="V389" s="84"/>
      <c r="W389" s="84"/>
      <c r="X389" s="84"/>
      <c r="Y389" s="84"/>
    </row>
    <row r="390" spans="1:25" ht="15.75" customHeight="1" x14ac:dyDescent="0.2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  <c r="K390" s="268"/>
      <c r="L390" s="268"/>
      <c r="M390" s="268"/>
      <c r="N390" s="268"/>
      <c r="O390" s="345"/>
      <c r="P390" s="84"/>
      <c r="Q390" s="84"/>
      <c r="R390" s="84"/>
      <c r="S390" s="84"/>
      <c r="T390" s="84"/>
      <c r="U390" s="84"/>
      <c r="V390" s="84"/>
      <c r="W390" s="84"/>
      <c r="X390" s="84"/>
      <c r="Y390" s="84"/>
    </row>
    <row r="391" spans="1:25" ht="15.75" customHeight="1" x14ac:dyDescent="0.2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  <c r="K391" s="268"/>
      <c r="L391" s="268"/>
      <c r="M391" s="268"/>
      <c r="N391" s="268"/>
      <c r="O391" s="345"/>
      <c r="P391" s="84"/>
      <c r="Q391" s="84"/>
      <c r="R391" s="84"/>
      <c r="S391" s="84"/>
      <c r="T391" s="84"/>
      <c r="U391" s="84"/>
      <c r="V391" s="84"/>
      <c r="W391" s="84"/>
      <c r="X391" s="84"/>
      <c r="Y391" s="84"/>
    </row>
    <row r="392" spans="1:25" ht="15.75" customHeight="1" x14ac:dyDescent="0.2">
      <c r="A392" s="215"/>
      <c r="B392" s="215"/>
      <c r="C392" s="215"/>
      <c r="D392" s="215"/>
      <c r="E392" s="215"/>
      <c r="F392" s="215"/>
      <c r="G392" s="214"/>
      <c r="H392" s="215"/>
      <c r="I392" s="215"/>
      <c r="J392" s="215"/>
      <c r="K392" s="215"/>
      <c r="L392" s="215"/>
      <c r="M392" s="215"/>
      <c r="N392" s="215"/>
      <c r="O392" s="345"/>
      <c r="P392" s="84"/>
      <c r="Q392" s="84"/>
      <c r="R392" s="84"/>
      <c r="S392" s="84"/>
      <c r="T392" s="84"/>
      <c r="U392" s="84"/>
      <c r="V392" s="84"/>
      <c r="W392" s="84"/>
      <c r="X392" s="84"/>
      <c r="Y392" s="84"/>
    </row>
    <row r="393" spans="1:25" ht="15.75" customHeight="1" x14ac:dyDescent="0.2">
      <c r="A393" s="215"/>
      <c r="B393" s="215"/>
      <c r="C393" s="215"/>
      <c r="D393" s="215"/>
      <c r="E393" s="215"/>
      <c r="F393" s="215"/>
      <c r="G393" s="214"/>
      <c r="H393" s="215"/>
      <c r="I393" s="215"/>
      <c r="J393" s="215"/>
      <c r="K393" s="215"/>
      <c r="L393" s="215"/>
      <c r="M393" s="215"/>
      <c r="N393" s="215"/>
      <c r="O393" s="345"/>
      <c r="P393" s="84"/>
      <c r="Q393" s="84"/>
      <c r="R393" s="84"/>
      <c r="S393" s="84"/>
      <c r="T393" s="84"/>
      <c r="U393" s="84"/>
      <c r="V393" s="84"/>
      <c r="W393" s="84"/>
      <c r="X393" s="84"/>
      <c r="Y393" s="84"/>
    </row>
    <row r="394" spans="1:25" ht="15.75" customHeight="1" x14ac:dyDescent="0.2">
      <c r="A394" s="215"/>
      <c r="B394" s="215"/>
      <c r="C394" s="215"/>
      <c r="D394" s="215"/>
      <c r="E394" s="215"/>
      <c r="F394" s="215"/>
      <c r="G394" s="214"/>
      <c r="H394" s="215"/>
      <c r="I394" s="215"/>
      <c r="J394" s="215"/>
      <c r="K394" s="215"/>
      <c r="L394" s="215"/>
      <c r="M394" s="215"/>
      <c r="N394" s="215"/>
      <c r="O394" s="345"/>
      <c r="P394" s="84"/>
      <c r="Q394" s="84"/>
      <c r="R394" s="84"/>
      <c r="S394" s="84"/>
      <c r="T394" s="84"/>
      <c r="U394" s="84"/>
      <c r="V394" s="84"/>
      <c r="W394" s="84"/>
      <c r="X394" s="84"/>
      <c r="Y394" s="84"/>
    </row>
    <row r="395" spans="1:25" ht="15.75" customHeight="1" x14ac:dyDescent="0.2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  <c r="K395" s="268"/>
      <c r="L395" s="268"/>
      <c r="M395" s="268"/>
      <c r="N395" s="268"/>
      <c r="O395" s="345"/>
      <c r="P395" s="84"/>
      <c r="Q395" s="84"/>
      <c r="R395" s="84"/>
      <c r="S395" s="84"/>
      <c r="T395" s="84"/>
      <c r="U395" s="84"/>
      <c r="V395" s="84"/>
      <c r="W395" s="84"/>
      <c r="X395" s="84"/>
      <c r="Y395" s="84"/>
    </row>
    <row r="396" spans="1:25" ht="15.75" customHeight="1" x14ac:dyDescent="0.2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  <c r="K396" s="268"/>
      <c r="L396" s="268"/>
      <c r="M396" s="268"/>
      <c r="N396" s="268"/>
      <c r="O396" s="345"/>
      <c r="P396" s="84"/>
      <c r="Q396" s="84"/>
      <c r="R396" s="84"/>
      <c r="S396" s="84"/>
      <c r="T396" s="84"/>
      <c r="U396" s="84"/>
      <c r="V396" s="84"/>
      <c r="W396" s="84"/>
      <c r="X396" s="84"/>
      <c r="Y396" s="84"/>
    </row>
    <row r="397" spans="1:25" ht="15.75" customHeight="1" x14ac:dyDescent="0.2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  <c r="K397" s="268"/>
      <c r="L397" s="268"/>
      <c r="M397" s="268"/>
      <c r="N397" s="268"/>
      <c r="O397" s="345"/>
      <c r="P397" s="84"/>
      <c r="Q397" s="84"/>
      <c r="R397" s="84"/>
      <c r="S397" s="84"/>
      <c r="T397" s="84"/>
      <c r="U397" s="84"/>
      <c r="V397" s="84"/>
      <c r="W397" s="84"/>
      <c r="X397" s="84"/>
      <c r="Y397" s="84"/>
    </row>
    <row r="398" spans="1:25" ht="15.75" customHeight="1" x14ac:dyDescent="0.2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  <c r="K398" s="268"/>
      <c r="L398" s="268"/>
      <c r="M398" s="268"/>
      <c r="N398" s="268"/>
      <c r="O398" s="345"/>
      <c r="P398" s="84"/>
      <c r="Q398" s="84"/>
      <c r="R398" s="84"/>
      <c r="S398" s="84"/>
      <c r="T398" s="84"/>
      <c r="U398" s="84"/>
      <c r="V398" s="84"/>
      <c r="W398" s="84"/>
      <c r="X398" s="84"/>
      <c r="Y398" s="84"/>
    </row>
    <row r="399" spans="1:25" ht="15.75" customHeight="1" x14ac:dyDescent="0.2">
      <c r="A399" s="215"/>
      <c r="B399" s="215"/>
      <c r="C399" s="215"/>
      <c r="D399" s="215"/>
      <c r="E399" s="268"/>
      <c r="F399" s="217"/>
      <c r="G399" s="214"/>
      <c r="H399" s="214"/>
      <c r="I399" s="214"/>
      <c r="J399" s="214"/>
      <c r="K399" s="214"/>
      <c r="L399" s="214"/>
      <c r="M399" s="214"/>
      <c r="N399" s="214"/>
      <c r="O399" s="345"/>
      <c r="P399" s="84"/>
      <c r="Q399" s="84"/>
      <c r="R399" s="84"/>
      <c r="S399" s="84"/>
      <c r="T399" s="84"/>
      <c r="U399" s="84"/>
      <c r="V399" s="84"/>
      <c r="W399" s="84"/>
      <c r="X399" s="84"/>
      <c r="Y399" s="84"/>
    </row>
    <row r="400" spans="1:25" ht="15.75" customHeight="1" x14ac:dyDescent="0.2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  <c r="K400" s="268"/>
      <c r="L400" s="268"/>
      <c r="M400" s="268"/>
      <c r="N400" s="268"/>
      <c r="O400" s="345"/>
      <c r="P400" s="84"/>
      <c r="Q400" s="84"/>
      <c r="R400" s="84"/>
      <c r="S400" s="84"/>
      <c r="T400" s="84"/>
      <c r="U400" s="84"/>
      <c r="V400" s="84"/>
      <c r="W400" s="84"/>
      <c r="X400" s="84"/>
      <c r="Y400" s="84"/>
    </row>
    <row r="401" spans="1:25" ht="15.75" customHeight="1" x14ac:dyDescent="0.2">
      <c r="A401" s="215"/>
      <c r="B401" s="215"/>
      <c r="C401" s="215"/>
      <c r="D401" s="215"/>
      <c r="E401" s="268"/>
      <c r="F401" s="217"/>
      <c r="G401" s="214"/>
      <c r="H401" s="214"/>
      <c r="I401" s="214"/>
      <c r="J401" s="214"/>
      <c r="K401" s="214"/>
      <c r="L401" s="214"/>
      <c r="M401" s="214"/>
      <c r="N401" s="214"/>
      <c r="O401" s="345"/>
      <c r="P401" s="84"/>
      <c r="Q401" s="84"/>
      <c r="R401" s="84"/>
      <c r="S401" s="84"/>
      <c r="T401" s="84"/>
      <c r="U401" s="84"/>
      <c r="V401" s="84"/>
      <c r="W401" s="84"/>
      <c r="X401" s="84"/>
      <c r="Y401" s="84"/>
    </row>
    <row r="402" spans="1:25" ht="15.75" customHeight="1" x14ac:dyDescent="0.2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  <c r="K402" s="268"/>
      <c r="L402" s="268"/>
      <c r="M402" s="268"/>
      <c r="N402" s="268"/>
      <c r="O402" s="345"/>
      <c r="P402" s="84"/>
      <c r="Q402" s="84"/>
      <c r="R402" s="84"/>
      <c r="S402" s="84"/>
      <c r="T402" s="84"/>
      <c r="U402" s="84"/>
      <c r="V402" s="84"/>
      <c r="W402" s="84"/>
      <c r="X402" s="84"/>
      <c r="Y402" s="84"/>
    </row>
    <row r="403" spans="1:25" ht="15.75" customHeight="1" x14ac:dyDescent="0.2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  <c r="K403" s="268"/>
      <c r="L403" s="268"/>
      <c r="M403" s="268"/>
      <c r="N403" s="268"/>
      <c r="O403" s="345"/>
      <c r="P403" s="84"/>
      <c r="Q403" s="84"/>
      <c r="R403" s="84"/>
      <c r="S403" s="84"/>
      <c r="T403" s="84"/>
      <c r="U403" s="84"/>
      <c r="V403" s="84"/>
      <c r="W403" s="84"/>
      <c r="X403" s="84"/>
      <c r="Y403" s="84"/>
    </row>
    <row r="404" spans="1:25" ht="15.75" customHeight="1" x14ac:dyDescent="0.2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  <c r="K404" s="268"/>
      <c r="L404" s="268"/>
      <c r="M404" s="268"/>
      <c r="N404" s="268"/>
      <c r="O404" s="345"/>
      <c r="P404" s="84"/>
      <c r="Q404" s="84"/>
      <c r="R404" s="84"/>
      <c r="S404" s="84"/>
      <c r="T404" s="84"/>
      <c r="U404" s="84"/>
      <c r="V404" s="84"/>
      <c r="W404" s="84"/>
      <c r="X404" s="84"/>
      <c r="Y404" s="84"/>
    </row>
    <row r="405" spans="1:25" ht="15.75" customHeight="1" x14ac:dyDescent="0.2">
      <c r="A405" s="215"/>
      <c r="B405" s="215"/>
      <c r="C405" s="215"/>
      <c r="D405" s="215"/>
      <c r="E405" s="215"/>
      <c r="F405" s="217"/>
      <c r="G405" s="214"/>
      <c r="H405" s="214"/>
      <c r="I405" s="214"/>
      <c r="J405" s="214"/>
      <c r="K405" s="214"/>
      <c r="L405" s="214"/>
      <c r="M405" s="214"/>
      <c r="N405" s="214"/>
      <c r="O405" s="345"/>
      <c r="P405" s="84"/>
      <c r="Q405" s="84"/>
      <c r="R405" s="84"/>
      <c r="S405" s="84"/>
      <c r="T405" s="84"/>
      <c r="U405" s="84"/>
      <c r="V405" s="84"/>
      <c r="W405" s="84"/>
      <c r="X405" s="84"/>
      <c r="Y405" s="84"/>
    </row>
    <row r="406" spans="1:25" ht="15.75" customHeight="1" x14ac:dyDescent="0.2">
      <c r="A406" s="215"/>
      <c r="B406" s="215"/>
      <c r="C406" s="215"/>
      <c r="D406" s="215"/>
      <c r="E406" s="215"/>
      <c r="F406" s="217"/>
      <c r="G406" s="214"/>
      <c r="H406" s="214"/>
      <c r="I406" s="214"/>
      <c r="J406" s="214"/>
      <c r="K406" s="214"/>
      <c r="L406" s="214"/>
      <c r="M406" s="214"/>
      <c r="N406" s="214"/>
      <c r="O406" s="345"/>
      <c r="P406" s="84"/>
      <c r="Q406" s="84"/>
      <c r="R406" s="84"/>
      <c r="S406" s="84"/>
      <c r="T406" s="84"/>
      <c r="U406" s="84"/>
      <c r="V406" s="84"/>
      <c r="W406" s="84"/>
      <c r="X406" s="84"/>
      <c r="Y406" s="84"/>
    </row>
    <row r="407" spans="1:25" ht="15.75" customHeight="1" x14ac:dyDescent="0.2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  <c r="K407" s="268"/>
      <c r="L407" s="268"/>
      <c r="M407" s="268"/>
      <c r="N407" s="268"/>
      <c r="O407" s="345"/>
      <c r="P407" s="84"/>
      <c r="Q407" s="84"/>
      <c r="R407" s="84"/>
      <c r="S407" s="84"/>
      <c r="T407" s="84"/>
      <c r="U407" s="84"/>
      <c r="V407" s="84"/>
      <c r="W407" s="84"/>
      <c r="X407" s="84"/>
      <c r="Y407" s="84"/>
    </row>
    <row r="408" spans="1:25" ht="15.75" customHeight="1" x14ac:dyDescent="0.2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  <c r="K408" s="268"/>
      <c r="L408" s="268"/>
      <c r="M408" s="268"/>
      <c r="N408" s="268"/>
      <c r="O408" s="345"/>
      <c r="P408" s="84"/>
      <c r="Q408" s="84"/>
      <c r="R408" s="84"/>
      <c r="S408" s="84"/>
      <c r="T408" s="84"/>
      <c r="U408" s="84"/>
      <c r="V408" s="84"/>
      <c r="W408" s="84"/>
      <c r="X408" s="84"/>
      <c r="Y408" s="84"/>
    </row>
    <row r="409" spans="1:25" ht="15.75" customHeight="1" x14ac:dyDescent="0.2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345"/>
      <c r="P409" s="84"/>
      <c r="Q409" s="84"/>
      <c r="R409" s="84"/>
      <c r="S409" s="84"/>
      <c r="T409" s="84"/>
      <c r="U409" s="84"/>
      <c r="V409" s="84"/>
      <c r="W409" s="84"/>
      <c r="X409" s="84"/>
      <c r="Y409" s="84"/>
    </row>
    <row r="410" spans="1:25" ht="15.75" customHeight="1" x14ac:dyDescent="0.2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  <c r="K410" s="268"/>
      <c r="L410" s="268"/>
      <c r="M410" s="268"/>
      <c r="N410" s="268"/>
      <c r="O410" s="345"/>
      <c r="P410" s="84"/>
      <c r="Q410" s="84"/>
      <c r="R410" s="84"/>
      <c r="S410" s="84"/>
      <c r="T410" s="84"/>
      <c r="U410" s="84"/>
      <c r="V410" s="84"/>
      <c r="W410" s="84"/>
      <c r="X410" s="84"/>
      <c r="Y410" s="84"/>
    </row>
    <row r="411" spans="1:25" ht="15.75" customHeight="1" x14ac:dyDescent="0.2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  <c r="K411" s="268"/>
      <c r="L411" s="268"/>
      <c r="M411" s="268"/>
      <c r="N411" s="268"/>
      <c r="O411" s="345"/>
      <c r="P411" s="84"/>
      <c r="Q411" s="84"/>
      <c r="R411" s="84"/>
      <c r="S411" s="84"/>
      <c r="T411" s="84"/>
      <c r="U411" s="84"/>
      <c r="V411" s="84"/>
      <c r="W411" s="84"/>
      <c r="X411" s="84"/>
      <c r="Y411" s="84"/>
    </row>
    <row r="412" spans="1:25" ht="15.75" customHeight="1" x14ac:dyDescent="0.2">
      <c r="A412" s="268"/>
      <c r="B412" s="215"/>
      <c r="C412" s="215"/>
      <c r="D412" s="215"/>
      <c r="E412" s="215"/>
      <c r="F412" s="335"/>
      <c r="G412" s="217"/>
      <c r="H412" s="214"/>
      <c r="I412" s="214"/>
      <c r="J412" s="214"/>
      <c r="K412" s="214"/>
      <c r="L412" s="214"/>
      <c r="M412" s="214"/>
      <c r="N412" s="214"/>
      <c r="O412" s="214"/>
      <c r="P412" s="84"/>
      <c r="Q412" s="84"/>
      <c r="R412" s="84"/>
      <c r="S412" s="84"/>
      <c r="T412" s="84"/>
      <c r="U412" s="84"/>
      <c r="V412" s="84"/>
      <c r="W412" s="84"/>
      <c r="X412" s="84"/>
      <c r="Y412" s="84"/>
    </row>
    <row r="413" spans="1:25" ht="15.75" customHeight="1" x14ac:dyDescent="0.2">
      <c r="A413" s="268"/>
      <c r="B413" s="268"/>
      <c r="C413" s="268"/>
      <c r="D413" s="268"/>
      <c r="E413" s="268"/>
      <c r="F413" s="329"/>
      <c r="G413" s="268"/>
      <c r="H413" s="268"/>
      <c r="I413" s="268"/>
      <c r="J413" s="268"/>
      <c r="K413" s="268"/>
      <c r="L413" s="268"/>
      <c r="M413" s="268"/>
      <c r="N413" s="268"/>
      <c r="O413" s="345"/>
      <c r="P413" s="84"/>
      <c r="Q413" s="84"/>
      <c r="R413" s="84"/>
      <c r="S413" s="84"/>
      <c r="T413" s="84"/>
      <c r="U413" s="84"/>
      <c r="V413" s="84"/>
      <c r="W413" s="84"/>
      <c r="X413" s="84"/>
      <c r="Y413" s="84"/>
    </row>
    <row r="414" spans="1:25" ht="15.75" customHeight="1" x14ac:dyDescent="0.2">
      <c r="A414" s="268"/>
      <c r="B414" s="268"/>
      <c r="C414" s="268"/>
      <c r="D414" s="268"/>
      <c r="E414" s="268"/>
      <c r="F414" s="330"/>
      <c r="G414" s="268"/>
      <c r="H414" s="268"/>
      <c r="I414" s="268"/>
      <c r="J414" s="268"/>
      <c r="K414" s="268"/>
      <c r="L414" s="268"/>
      <c r="M414" s="268"/>
      <c r="N414" s="268"/>
      <c r="O414" s="345"/>
      <c r="P414" s="84"/>
      <c r="Q414" s="84"/>
      <c r="R414" s="84"/>
      <c r="S414" s="84"/>
      <c r="T414" s="84"/>
      <c r="U414" s="84"/>
      <c r="V414" s="84"/>
      <c r="W414" s="84"/>
      <c r="X414" s="84"/>
      <c r="Y414" s="84"/>
    </row>
    <row r="415" spans="1:25" ht="15.75" customHeight="1" x14ac:dyDescent="0.2">
      <c r="A415" s="268"/>
      <c r="B415" s="268"/>
      <c r="C415" s="268"/>
      <c r="D415" s="268"/>
      <c r="E415" s="268"/>
      <c r="F415" s="331"/>
      <c r="G415" s="268"/>
      <c r="H415" s="268"/>
      <c r="I415" s="268"/>
      <c r="J415" s="268"/>
      <c r="K415" s="268"/>
      <c r="L415" s="268"/>
      <c r="M415" s="268"/>
      <c r="N415" s="268"/>
      <c r="O415" s="345"/>
      <c r="P415" s="84"/>
      <c r="Q415" s="84"/>
      <c r="R415" s="84"/>
      <c r="S415" s="84"/>
      <c r="T415" s="84"/>
      <c r="U415" s="84"/>
      <c r="V415" s="84"/>
      <c r="W415" s="84"/>
      <c r="X415" s="84"/>
      <c r="Y415" s="84"/>
    </row>
    <row r="416" spans="1:25" ht="15.75" customHeight="1" x14ac:dyDescent="0.2">
      <c r="A416" s="268"/>
      <c r="B416" s="268"/>
      <c r="C416" s="268"/>
      <c r="D416" s="268"/>
      <c r="E416" s="268"/>
      <c r="F416" s="332"/>
      <c r="G416" s="268"/>
      <c r="H416" s="268"/>
      <c r="I416" s="268"/>
      <c r="J416" s="268"/>
      <c r="K416" s="268"/>
      <c r="L416" s="268"/>
      <c r="M416" s="268"/>
      <c r="N416" s="268"/>
      <c r="O416" s="345"/>
      <c r="P416" s="84"/>
      <c r="Q416" s="84"/>
      <c r="R416" s="84"/>
      <c r="S416" s="84"/>
      <c r="T416" s="84"/>
      <c r="U416" s="84"/>
      <c r="V416" s="84"/>
      <c r="W416" s="84"/>
      <c r="X416" s="84"/>
      <c r="Y416" s="84"/>
    </row>
    <row r="417" spans="1:25" ht="15.75" customHeight="1" x14ac:dyDescent="0.2">
      <c r="A417" s="268"/>
      <c r="B417" s="268"/>
      <c r="C417" s="268"/>
      <c r="D417" s="268"/>
      <c r="E417" s="268"/>
      <c r="F417" s="333"/>
      <c r="G417" s="268"/>
      <c r="H417" s="268"/>
      <c r="I417" s="268"/>
      <c r="J417" s="268"/>
      <c r="K417" s="268"/>
      <c r="L417" s="268"/>
      <c r="M417" s="268"/>
      <c r="N417" s="268"/>
      <c r="O417" s="345"/>
      <c r="P417" s="84"/>
      <c r="Q417" s="84"/>
      <c r="R417" s="84"/>
      <c r="S417" s="84"/>
      <c r="T417" s="84"/>
      <c r="U417" s="84"/>
      <c r="V417" s="84"/>
      <c r="W417" s="84"/>
      <c r="X417" s="84"/>
      <c r="Y417" s="84"/>
    </row>
    <row r="418" spans="1:25" ht="15.75" customHeight="1" x14ac:dyDescent="0.2">
      <c r="A418" s="268"/>
      <c r="B418" s="268"/>
      <c r="C418" s="268"/>
      <c r="D418" s="268"/>
      <c r="E418" s="268"/>
      <c r="F418" s="334"/>
      <c r="G418" s="268"/>
      <c r="H418" s="268"/>
      <c r="I418" s="268"/>
      <c r="J418" s="268"/>
      <c r="K418" s="268"/>
      <c r="L418" s="268"/>
      <c r="M418" s="268"/>
      <c r="N418" s="268"/>
      <c r="O418" s="345"/>
      <c r="P418" s="84"/>
      <c r="Q418" s="84"/>
      <c r="R418" s="84"/>
      <c r="S418" s="84"/>
      <c r="T418" s="84"/>
      <c r="U418" s="84"/>
      <c r="V418" s="84"/>
      <c r="W418" s="84"/>
      <c r="X418" s="84"/>
      <c r="Y418" s="84"/>
    </row>
    <row r="419" spans="1:25" ht="15.75" customHeight="1" x14ac:dyDescent="0.2">
      <c r="A419" s="268"/>
      <c r="B419" s="268"/>
      <c r="C419" s="268"/>
      <c r="D419" s="268"/>
      <c r="E419" s="268"/>
      <c r="F419" s="215"/>
      <c r="G419" s="268"/>
      <c r="H419" s="268"/>
      <c r="I419" s="268"/>
      <c r="J419" s="268"/>
      <c r="K419" s="268"/>
      <c r="L419" s="268"/>
      <c r="M419" s="268"/>
      <c r="N419" s="268"/>
      <c r="O419" s="345"/>
      <c r="P419" s="84"/>
      <c r="Q419" s="84"/>
      <c r="R419" s="84"/>
      <c r="S419" s="84"/>
      <c r="T419" s="84"/>
      <c r="U419" s="84"/>
      <c r="V419" s="84"/>
      <c r="W419" s="84"/>
      <c r="X419" s="84"/>
      <c r="Y419" s="84"/>
    </row>
    <row r="420" spans="1:25" ht="15.75" customHeight="1" x14ac:dyDescent="0.2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  <c r="K420" s="268"/>
      <c r="L420" s="268"/>
      <c r="M420" s="268"/>
      <c r="N420" s="268"/>
      <c r="O420" s="345"/>
      <c r="P420" s="84"/>
      <c r="Q420" s="84"/>
      <c r="R420" s="84"/>
      <c r="S420" s="84"/>
      <c r="T420" s="84"/>
      <c r="U420" s="84"/>
      <c r="V420" s="84"/>
      <c r="W420" s="84"/>
      <c r="X420" s="84"/>
      <c r="Y420" s="84"/>
    </row>
    <row r="421" spans="1:25" ht="15.75" customHeight="1" x14ac:dyDescent="0.2">
      <c r="A421" s="215"/>
      <c r="B421" s="215"/>
      <c r="C421" s="215"/>
      <c r="D421" s="215"/>
      <c r="E421" s="215"/>
      <c r="F421" s="217"/>
      <c r="G421" s="214"/>
      <c r="H421" s="214"/>
      <c r="I421" s="214"/>
      <c r="J421" s="214"/>
      <c r="K421" s="214"/>
      <c r="L421" s="214"/>
      <c r="M421" s="214"/>
      <c r="N421" s="214"/>
      <c r="O421" s="345"/>
      <c r="P421" s="84"/>
      <c r="Q421" s="84"/>
      <c r="R421" s="84"/>
      <c r="S421" s="84"/>
      <c r="T421" s="84"/>
      <c r="U421" s="84"/>
      <c r="V421" s="84"/>
      <c r="W421" s="84"/>
      <c r="X421" s="84"/>
      <c r="Y421" s="84"/>
    </row>
    <row r="422" spans="1:25" ht="15.75" customHeight="1" x14ac:dyDescent="0.2">
      <c r="A422" s="215"/>
      <c r="B422" s="215"/>
      <c r="C422" s="215"/>
      <c r="D422" s="215"/>
      <c r="E422" s="215"/>
      <c r="F422" s="217"/>
      <c r="G422" s="214"/>
      <c r="H422" s="214"/>
      <c r="I422" s="214"/>
      <c r="J422" s="214"/>
      <c r="K422" s="214"/>
      <c r="L422" s="214"/>
      <c r="M422" s="214"/>
      <c r="N422" s="214"/>
      <c r="O422" s="345"/>
      <c r="P422" s="84"/>
      <c r="Q422" s="84"/>
      <c r="R422" s="84"/>
      <c r="S422" s="84"/>
      <c r="T422" s="84"/>
      <c r="U422" s="84"/>
      <c r="V422" s="84"/>
      <c r="W422" s="84"/>
      <c r="X422" s="84"/>
      <c r="Y422" s="84"/>
    </row>
    <row r="423" spans="1:25" ht="15.75" customHeight="1" x14ac:dyDescent="0.2">
      <c r="A423" s="215"/>
      <c r="B423" s="215"/>
      <c r="C423" s="215"/>
      <c r="D423" s="215"/>
      <c r="E423" s="215"/>
      <c r="F423" s="217"/>
      <c r="G423" s="214"/>
      <c r="H423" s="214"/>
      <c r="I423" s="214"/>
      <c r="J423" s="214"/>
      <c r="K423" s="214"/>
      <c r="L423" s="214"/>
      <c r="M423" s="214"/>
      <c r="N423" s="214"/>
      <c r="O423" s="345"/>
      <c r="P423" s="84"/>
      <c r="Q423" s="84"/>
      <c r="R423" s="84"/>
      <c r="S423" s="84"/>
      <c r="T423" s="84"/>
      <c r="U423" s="84"/>
      <c r="V423" s="84"/>
      <c r="W423" s="84"/>
      <c r="X423" s="84"/>
      <c r="Y423" s="84"/>
    </row>
    <row r="424" spans="1:25" ht="15.75" customHeight="1" x14ac:dyDescent="0.2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  <c r="K424" s="268"/>
      <c r="L424" s="268"/>
      <c r="M424" s="268"/>
      <c r="N424" s="268"/>
      <c r="O424" s="345"/>
      <c r="P424" s="84"/>
      <c r="Q424" s="84"/>
      <c r="R424" s="84"/>
      <c r="S424" s="84"/>
      <c r="T424" s="84"/>
      <c r="U424" s="84"/>
      <c r="V424" s="84"/>
      <c r="W424" s="84"/>
      <c r="X424" s="84"/>
      <c r="Y424" s="84"/>
    </row>
    <row r="425" spans="1:25" ht="15.75" customHeight="1" x14ac:dyDescent="0.2">
      <c r="A425" s="268"/>
      <c r="B425" s="336"/>
      <c r="C425" s="325"/>
      <c r="D425" s="337"/>
      <c r="E425" s="268"/>
      <c r="F425" s="268"/>
      <c r="G425" s="268"/>
      <c r="H425" s="268"/>
      <c r="I425" s="268"/>
      <c r="J425" s="268"/>
      <c r="K425" s="268"/>
      <c r="L425" s="268"/>
      <c r="M425" s="268"/>
      <c r="N425" s="268"/>
      <c r="O425" s="345"/>
      <c r="P425" s="84"/>
      <c r="Q425" s="84"/>
      <c r="R425" s="84"/>
      <c r="S425" s="84"/>
      <c r="T425" s="84"/>
      <c r="U425" s="84"/>
      <c r="V425" s="84"/>
      <c r="W425" s="84"/>
      <c r="X425" s="84"/>
      <c r="Y425" s="84"/>
    </row>
    <row r="426" spans="1:25" ht="15.75" customHeight="1" x14ac:dyDescent="0.2">
      <c r="A426" s="268"/>
      <c r="B426" s="338"/>
      <c r="C426" s="326"/>
      <c r="D426" s="325"/>
      <c r="E426" s="268"/>
      <c r="F426" s="268"/>
      <c r="G426" s="268"/>
      <c r="H426" s="268"/>
      <c r="I426" s="268"/>
      <c r="J426" s="268"/>
      <c r="K426" s="268"/>
      <c r="L426" s="268"/>
      <c r="M426" s="268"/>
      <c r="N426" s="268"/>
      <c r="O426" s="345"/>
      <c r="P426" s="84"/>
      <c r="Q426" s="84"/>
      <c r="R426" s="84"/>
      <c r="S426" s="84"/>
      <c r="T426" s="84"/>
      <c r="U426" s="84"/>
      <c r="V426" s="84"/>
      <c r="W426" s="84"/>
      <c r="X426" s="84"/>
      <c r="Y426" s="84"/>
    </row>
    <row r="427" spans="1:25" ht="15.75" customHeight="1" x14ac:dyDescent="0.2">
      <c r="A427" s="268"/>
      <c r="B427" s="339"/>
      <c r="C427" s="327"/>
      <c r="D427" s="326"/>
      <c r="E427" s="268"/>
      <c r="F427" s="268"/>
      <c r="G427" s="268"/>
      <c r="H427" s="268"/>
      <c r="I427" s="268"/>
      <c r="J427" s="268"/>
      <c r="K427" s="268"/>
      <c r="L427" s="268"/>
      <c r="M427" s="268"/>
      <c r="N427" s="268"/>
      <c r="O427" s="345"/>
      <c r="P427" s="84"/>
      <c r="Q427" s="84"/>
      <c r="R427" s="84"/>
      <c r="S427" s="84"/>
      <c r="T427" s="84"/>
      <c r="U427" s="84"/>
      <c r="V427" s="84"/>
      <c r="W427" s="84"/>
      <c r="X427" s="84"/>
      <c r="Y427" s="84"/>
    </row>
    <row r="428" spans="1:25" ht="15.75" customHeight="1" x14ac:dyDescent="0.2">
      <c r="A428" s="215"/>
      <c r="B428" s="337"/>
      <c r="C428" s="328"/>
      <c r="D428" s="215"/>
      <c r="E428" s="215"/>
      <c r="F428" s="217"/>
      <c r="G428" s="214"/>
      <c r="H428" s="214"/>
      <c r="I428" s="214"/>
      <c r="J428" s="214"/>
      <c r="K428" s="214"/>
      <c r="L428" s="214"/>
      <c r="M428" s="214"/>
      <c r="N428" s="214"/>
      <c r="O428" s="345"/>
      <c r="P428" s="84"/>
      <c r="Q428" s="84"/>
      <c r="R428" s="84"/>
      <c r="S428" s="84"/>
      <c r="T428" s="84"/>
      <c r="U428" s="84"/>
      <c r="V428" s="84"/>
      <c r="W428" s="84"/>
      <c r="X428" s="84"/>
      <c r="Y428" s="84"/>
    </row>
    <row r="429" spans="1:25" ht="15.75" customHeight="1" x14ac:dyDescent="0.2">
      <c r="A429" s="215"/>
      <c r="B429" s="215"/>
      <c r="C429" s="325"/>
      <c r="D429" s="215"/>
      <c r="E429" s="215"/>
      <c r="F429" s="217"/>
      <c r="G429" s="214"/>
      <c r="H429" s="214"/>
      <c r="I429" s="214"/>
      <c r="J429" s="214"/>
      <c r="K429" s="214"/>
      <c r="L429" s="214"/>
      <c r="M429" s="214"/>
      <c r="N429" s="214"/>
      <c r="O429" s="345"/>
      <c r="P429" s="84"/>
      <c r="Q429" s="84"/>
      <c r="R429" s="84"/>
      <c r="S429" s="84"/>
      <c r="T429" s="84"/>
      <c r="U429" s="84"/>
      <c r="V429" s="84"/>
      <c r="W429" s="84"/>
      <c r="X429" s="84"/>
      <c r="Y429" s="84"/>
    </row>
    <row r="430" spans="1:25" ht="15.75" customHeight="1" x14ac:dyDescent="0.2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  <c r="K430" s="268"/>
      <c r="L430" s="268"/>
      <c r="M430" s="268"/>
      <c r="N430" s="268"/>
      <c r="O430" s="345"/>
      <c r="P430" s="84"/>
      <c r="Q430" s="84"/>
      <c r="R430" s="84"/>
      <c r="S430" s="84"/>
      <c r="T430" s="84"/>
      <c r="U430" s="84"/>
      <c r="V430" s="84"/>
      <c r="W430" s="84"/>
      <c r="X430" s="84"/>
      <c r="Y430" s="84"/>
    </row>
    <row r="431" spans="1:25" ht="15.75" customHeight="1" x14ac:dyDescent="0.2">
      <c r="A431" s="215"/>
      <c r="B431" s="215"/>
      <c r="C431" s="215"/>
      <c r="D431" s="215"/>
      <c r="E431" s="215"/>
      <c r="F431" s="217"/>
      <c r="G431" s="214"/>
      <c r="H431" s="214"/>
      <c r="I431" s="214"/>
      <c r="J431" s="214"/>
      <c r="K431" s="214"/>
      <c r="L431" s="214"/>
      <c r="M431" s="214"/>
      <c r="N431" s="214"/>
      <c r="O431" s="345"/>
      <c r="P431" s="84"/>
      <c r="Q431" s="84"/>
      <c r="R431" s="84"/>
      <c r="S431" s="84"/>
      <c r="T431" s="84"/>
      <c r="U431" s="84"/>
      <c r="V431" s="84"/>
      <c r="W431" s="84"/>
      <c r="X431" s="84"/>
      <c r="Y431" s="84"/>
    </row>
    <row r="432" spans="1:25" ht="15.75" customHeight="1" x14ac:dyDescent="0.2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  <c r="K432" s="268"/>
      <c r="L432" s="268"/>
      <c r="M432" s="268"/>
      <c r="N432" s="268"/>
      <c r="O432" s="345"/>
      <c r="P432" s="84"/>
      <c r="Q432" s="84"/>
      <c r="R432" s="84"/>
      <c r="S432" s="84"/>
      <c r="T432" s="84"/>
      <c r="U432" s="84"/>
      <c r="V432" s="84"/>
      <c r="W432" s="84"/>
      <c r="X432" s="84"/>
      <c r="Y432" s="84"/>
    </row>
    <row r="433" spans="1:25" ht="15.75" customHeight="1" x14ac:dyDescent="0.2">
      <c r="A433" s="215"/>
      <c r="B433" s="215"/>
      <c r="C433" s="215"/>
      <c r="D433" s="215"/>
      <c r="E433" s="215"/>
      <c r="F433" s="217"/>
      <c r="G433" s="214"/>
      <c r="H433" s="214"/>
      <c r="I433" s="214"/>
      <c r="J433" s="214"/>
      <c r="K433" s="214"/>
      <c r="L433" s="214"/>
      <c r="M433" s="214"/>
      <c r="N433" s="214"/>
      <c r="O433" s="345"/>
      <c r="P433" s="84"/>
      <c r="Q433" s="84"/>
      <c r="R433" s="84"/>
      <c r="S433" s="84"/>
      <c r="T433" s="84"/>
      <c r="U433" s="84"/>
      <c r="V433" s="84"/>
      <c r="W433" s="84"/>
      <c r="X433" s="84"/>
      <c r="Y433" s="84"/>
    </row>
    <row r="434" spans="1:25" ht="15.75" customHeight="1" x14ac:dyDescent="0.2">
      <c r="A434" s="215"/>
      <c r="B434" s="215"/>
      <c r="C434" s="215"/>
      <c r="D434" s="215"/>
      <c r="E434" s="215"/>
      <c r="F434" s="217"/>
      <c r="G434" s="214"/>
      <c r="H434" s="214"/>
      <c r="I434" s="214"/>
      <c r="J434" s="214"/>
      <c r="K434" s="214"/>
      <c r="L434" s="214"/>
      <c r="M434" s="214"/>
      <c r="N434" s="214"/>
      <c r="O434" s="345"/>
      <c r="P434" s="84"/>
      <c r="Q434" s="84"/>
      <c r="R434" s="84"/>
      <c r="S434" s="84"/>
      <c r="T434" s="84"/>
      <c r="U434" s="84"/>
      <c r="V434" s="84"/>
      <c r="W434" s="84"/>
      <c r="X434" s="84"/>
      <c r="Y434" s="84"/>
    </row>
    <row r="435" spans="1:25" ht="15.75" customHeight="1" x14ac:dyDescent="0.2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  <c r="K435" s="268"/>
      <c r="L435" s="268"/>
      <c r="M435" s="268"/>
      <c r="N435" s="268"/>
      <c r="O435" s="345"/>
      <c r="P435" s="84"/>
      <c r="Q435" s="84"/>
      <c r="R435" s="84"/>
      <c r="S435" s="84"/>
      <c r="T435" s="84"/>
      <c r="U435" s="84"/>
      <c r="V435" s="84"/>
      <c r="W435" s="84"/>
      <c r="X435" s="84"/>
      <c r="Y435" s="84"/>
    </row>
    <row r="436" spans="1:25" ht="15.75" customHeight="1" x14ac:dyDescent="0.2">
      <c r="A436" s="215"/>
      <c r="B436" s="215"/>
      <c r="C436" s="215"/>
      <c r="D436" s="215"/>
      <c r="E436" s="215"/>
      <c r="F436" s="217"/>
      <c r="G436" s="214"/>
      <c r="H436" s="214"/>
      <c r="I436" s="214"/>
      <c r="J436" s="214"/>
      <c r="K436" s="214"/>
      <c r="L436" s="214"/>
      <c r="M436" s="214"/>
      <c r="N436" s="214"/>
      <c r="O436" s="345"/>
      <c r="P436" s="84"/>
      <c r="Q436" s="84"/>
      <c r="R436" s="84"/>
      <c r="S436" s="84"/>
      <c r="T436" s="84"/>
      <c r="U436" s="84"/>
      <c r="V436" s="84"/>
      <c r="W436" s="84"/>
      <c r="X436" s="84"/>
      <c r="Y436" s="84"/>
    </row>
    <row r="437" spans="1:25" ht="15.75" customHeight="1" x14ac:dyDescent="0.2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  <c r="K437" s="268"/>
      <c r="L437" s="268"/>
      <c r="M437" s="268"/>
      <c r="N437" s="268"/>
      <c r="O437" s="345"/>
      <c r="P437" s="84"/>
      <c r="Q437" s="84"/>
      <c r="R437" s="84"/>
      <c r="S437" s="84"/>
      <c r="T437" s="84"/>
      <c r="U437" s="84"/>
      <c r="V437" s="84"/>
      <c r="W437" s="84"/>
      <c r="X437" s="84"/>
      <c r="Y437" s="84"/>
    </row>
    <row r="438" spans="1:25" ht="15.75" customHeight="1" x14ac:dyDescent="0.2">
      <c r="A438" s="215"/>
      <c r="B438" s="215"/>
      <c r="C438" s="215"/>
      <c r="D438" s="215"/>
      <c r="E438" s="215"/>
      <c r="F438" s="217"/>
      <c r="G438" s="214"/>
      <c r="H438" s="214"/>
      <c r="I438" s="214"/>
      <c r="J438" s="214"/>
      <c r="K438" s="214"/>
      <c r="L438" s="214"/>
      <c r="M438" s="214"/>
      <c r="N438" s="214"/>
      <c r="O438" s="345"/>
      <c r="P438" s="84"/>
      <c r="Q438" s="84"/>
      <c r="R438" s="84"/>
      <c r="S438" s="84"/>
      <c r="T438" s="84"/>
      <c r="U438" s="84"/>
      <c r="V438" s="84"/>
      <c r="W438" s="84"/>
      <c r="X438" s="84"/>
      <c r="Y438" s="84"/>
    </row>
    <row r="439" spans="1:25" ht="15.75" customHeight="1" x14ac:dyDescent="0.2">
      <c r="A439" s="215"/>
      <c r="B439" s="328"/>
      <c r="C439" s="328"/>
      <c r="D439" s="328"/>
      <c r="E439" s="335"/>
      <c r="F439" s="217"/>
      <c r="G439" s="214"/>
      <c r="H439" s="214"/>
      <c r="I439" s="214"/>
      <c r="J439" s="214"/>
      <c r="K439" s="214"/>
      <c r="L439" s="214"/>
      <c r="M439" s="214"/>
      <c r="N439" s="214"/>
      <c r="O439" s="345"/>
      <c r="P439" s="84"/>
      <c r="Q439" s="84"/>
      <c r="R439" s="84"/>
      <c r="S439" s="84"/>
      <c r="T439" s="84"/>
      <c r="U439" s="84"/>
      <c r="V439" s="84"/>
      <c r="W439" s="84"/>
      <c r="X439" s="84"/>
      <c r="Y439" s="84"/>
    </row>
    <row r="440" spans="1:25" ht="15.75" customHeight="1" x14ac:dyDescent="0.2">
      <c r="A440" s="268"/>
      <c r="B440" s="268"/>
      <c r="C440" s="268"/>
      <c r="D440" s="268"/>
      <c r="E440" s="329"/>
      <c r="F440" s="268"/>
      <c r="G440" s="268"/>
      <c r="H440" s="268"/>
      <c r="I440" s="268"/>
      <c r="J440" s="268"/>
      <c r="K440" s="268"/>
      <c r="L440" s="268"/>
      <c r="M440" s="268"/>
      <c r="N440" s="268"/>
      <c r="O440" s="345"/>
      <c r="P440" s="84"/>
      <c r="Q440" s="84"/>
      <c r="R440" s="84"/>
      <c r="S440" s="84"/>
      <c r="T440" s="84"/>
      <c r="U440" s="84"/>
      <c r="V440" s="84"/>
      <c r="W440" s="84"/>
      <c r="X440" s="84"/>
      <c r="Y440" s="84"/>
    </row>
    <row r="441" spans="1:25" ht="15.75" customHeight="1" x14ac:dyDescent="0.2">
      <c r="A441" s="215"/>
      <c r="B441" s="215"/>
      <c r="C441" s="215"/>
      <c r="D441" s="215"/>
      <c r="E441" s="330"/>
      <c r="F441" s="217"/>
      <c r="G441" s="214"/>
      <c r="H441" s="214"/>
      <c r="I441" s="214"/>
      <c r="J441" s="214"/>
      <c r="K441" s="214"/>
      <c r="L441" s="214"/>
      <c r="M441" s="214"/>
      <c r="N441" s="214"/>
      <c r="O441" s="345"/>
      <c r="P441" s="84"/>
      <c r="Q441" s="84"/>
      <c r="R441" s="84"/>
      <c r="S441" s="84"/>
      <c r="T441" s="84"/>
      <c r="U441" s="84"/>
      <c r="V441" s="84"/>
      <c r="W441" s="84"/>
      <c r="X441" s="84"/>
      <c r="Y441" s="84"/>
    </row>
    <row r="442" spans="1:25" ht="15.75" customHeight="1" x14ac:dyDescent="0.2">
      <c r="A442" s="215"/>
      <c r="B442" s="215"/>
      <c r="C442" s="215"/>
      <c r="D442" s="215"/>
      <c r="E442" s="331"/>
      <c r="F442" s="217"/>
      <c r="G442" s="214"/>
      <c r="H442" s="214"/>
      <c r="I442" s="214"/>
      <c r="J442" s="214"/>
      <c r="K442" s="214"/>
      <c r="L442" s="214"/>
      <c r="M442" s="214"/>
      <c r="N442" s="214"/>
      <c r="O442" s="345"/>
      <c r="P442" s="84"/>
      <c r="Q442" s="84"/>
      <c r="R442" s="84"/>
      <c r="S442" s="84"/>
      <c r="T442" s="84"/>
      <c r="U442" s="84"/>
      <c r="V442" s="84"/>
      <c r="W442" s="84"/>
      <c r="X442" s="84"/>
      <c r="Y442" s="84"/>
    </row>
    <row r="443" spans="1:25" ht="15.75" customHeight="1" x14ac:dyDescent="0.2">
      <c r="A443" s="215"/>
      <c r="B443" s="215"/>
      <c r="C443" s="215"/>
      <c r="D443" s="215"/>
      <c r="E443" s="332"/>
      <c r="F443" s="217"/>
      <c r="G443" s="214"/>
      <c r="H443" s="214"/>
      <c r="I443" s="214"/>
      <c r="J443" s="214"/>
      <c r="K443" s="214"/>
      <c r="L443" s="214"/>
      <c r="M443" s="214"/>
      <c r="N443" s="214"/>
      <c r="O443" s="345"/>
      <c r="P443" s="84"/>
      <c r="Q443" s="84"/>
      <c r="R443" s="84"/>
      <c r="S443" s="84"/>
      <c r="T443" s="84"/>
      <c r="U443" s="84"/>
      <c r="V443" s="84"/>
      <c r="W443" s="84"/>
      <c r="X443" s="84"/>
      <c r="Y443" s="84"/>
    </row>
    <row r="444" spans="1:25" ht="15.75" customHeight="1" x14ac:dyDescent="0.2">
      <c r="A444" s="268"/>
      <c r="B444" s="268"/>
      <c r="C444" s="268"/>
      <c r="D444" s="268"/>
      <c r="E444" s="333"/>
      <c r="F444" s="268"/>
      <c r="G444" s="268"/>
      <c r="H444" s="268"/>
      <c r="I444" s="268"/>
      <c r="J444" s="268"/>
      <c r="K444" s="268"/>
      <c r="L444" s="268"/>
      <c r="M444" s="268"/>
      <c r="N444" s="268"/>
      <c r="O444" s="345"/>
      <c r="P444" s="84"/>
      <c r="Q444" s="84"/>
      <c r="R444" s="84"/>
      <c r="S444" s="84"/>
      <c r="T444" s="84"/>
      <c r="U444" s="84"/>
      <c r="V444" s="84"/>
      <c r="W444" s="84"/>
      <c r="X444" s="84"/>
      <c r="Y444" s="84"/>
    </row>
    <row r="445" spans="1:25" ht="15.75" customHeight="1" x14ac:dyDescent="0.2">
      <c r="A445" s="215"/>
      <c r="B445" s="215"/>
      <c r="C445" s="215"/>
      <c r="D445" s="215"/>
      <c r="E445" s="334"/>
      <c r="F445" s="217"/>
      <c r="G445" s="214"/>
      <c r="H445" s="214"/>
      <c r="I445" s="214"/>
      <c r="J445" s="214"/>
      <c r="K445" s="214"/>
      <c r="L445" s="214"/>
      <c r="M445" s="214"/>
      <c r="N445" s="214"/>
      <c r="O445" s="345"/>
      <c r="P445" s="84"/>
      <c r="Q445" s="84"/>
      <c r="R445" s="84"/>
      <c r="S445" s="84"/>
      <c r="T445" s="84"/>
      <c r="U445" s="84"/>
      <c r="V445" s="84"/>
      <c r="W445" s="84"/>
      <c r="X445" s="84"/>
      <c r="Y445" s="84"/>
    </row>
    <row r="446" spans="1:25" ht="15.75" customHeight="1" x14ac:dyDescent="0.2">
      <c r="A446" s="215"/>
      <c r="B446" s="215"/>
      <c r="C446" s="215"/>
      <c r="D446" s="215"/>
      <c r="E446" s="215"/>
      <c r="F446" s="217"/>
      <c r="G446" s="214"/>
      <c r="H446" s="214"/>
      <c r="I446" s="214"/>
      <c r="J446" s="214"/>
      <c r="K446" s="214"/>
      <c r="L446" s="214"/>
      <c r="M446" s="214"/>
      <c r="N446" s="214"/>
      <c r="O446" s="345"/>
      <c r="P446" s="84"/>
      <c r="Q446" s="84"/>
      <c r="R446" s="84"/>
      <c r="S446" s="84"/>
      <c r="T446" s="84"/>
      <c r="U446" s="84"/>
      <c r="V446" s="84"/>
      <c r="W446" s="84"/>
      <c r="X446" s="84"/>
      <c r="Y446" s="84"/>
    </row>
    <row r="447" spans="1:25" ht="15.75" customHeight="1" x14ac:dyDescent="0.2">
      <c r="A447" s="215"/>
      <c r="B447" s="215"/>
      <c r="C447" s="215"/>
      <c r="D447" s="215"/>
      <c r="E447" s="215"/>
      <c r="F447" s="215"/>
      <c r="G447" s="214"/>
      <c r="H447" s="215"/>
      <c r="I447" s="215"/>
      <c r="J447" s="215"/>
      <c r="K447" s="215"/>
      <c r="L447" s="215"/>
      <c r="M447" s="215"/>
      <c r="N447" s="215"/>
      <c r="O447" s="345"/>
      <c r="P447" s="84"/>
      <c r="Q447" s="84"/>
      <c r="R447" s="84"/>
      <c r="S447" s="84"/>
      <c r="T447" s="84"/>
      <c r="U447" s="84"/>
      <c r="V447" s="84"/>
      <c r="W447" s="84"/>
      <c r="X447" s="84"/>
      <c r="Y447" s="84"/>
    </row>
    <row r="448" spans="1:25" ht="15.75" customHeight="1" x14ac:dyDescent="0.2">
      <c r="A448" s="215"/>
      <c r="B448" s="215"/>
      <c r="C448" s="215"/>
      <c r="D448" s="215"/>
      <c r="E448" s="215"/>
      <c r="F448" s="215"/>
      <c r="G448" s="214"/>
      <c r="H448" s="215"/>
      <c r="I448" s="215"/>
      <c r="J448" s="215"/>
      <c r="K448" s="215"/>
      <c r="L448" s="215"/>
      <c r="M448" s="215"/>
      <c r="N448" s="215"/>
      <c r="O448" s="345"/>
      <c r="P448" s="84"/>
      <c r="Q448" s="84"/>
      <c r="R448" s="84"/>
      <c r="S448" s="84"/>
      <c r="T448" s="84"/>
      <c r="U448" s="84"/>
      <c r="V448" s="84"/>
      <c r="W448" s="84"/>
      <c r="X448" s="84"/>
      <c r="Y448" s="84"/>
    </row>
    <row r="449" spans="1:25" ht="15.75" customHeight="1" x14ac:dyDescent="0.2">
      <c r="A449" s="215"/>
      <c r="B449" s="215"/>
      <c r="C449" s="215"/>
      <c r="D449" s="215"/>
      <c r="E449" s="215"/>
      <c r="F449" s="215"/>
      <c r="G449" s="214"/>
      <c r="H449" s="215"/>
      <c r="I449" s="215"/>
      <c r="J449" s="215"/>
      <c r="K449" s="215"/>
      <c r="L449" s="215"/>
      <c r="M449" s="215"/>
      <c r="N449" s="215"/>
      <c r="O449" s="345"/>
      <c r="P449" s="84"/>
      <c r="Q449" s="84"/>
      <c r="R449" s="84"/>
      <c r="S449" s="84"/>
      <c r="T449" s="84"/>
      <c r="U449" s="84"/>
      <c r="V449" s="84"/>
      <c r="W449" s="84"/>
      <c r="X449" s="84"/>
      <c r="Y449" s="84"/>
    </row>
    <row r="450" spans="1:25" ht="15.75" customHeight="1" x14ac:dyDescent="0.2">
      <c r="A450" s="215"/>
      <c r="B450" s="215"/>
      <c r="C450" s="215"/>
      <c r="D450" s="215"/>
      <c r="E450" s="215"/>
      <c r="F450" s="215"/>
      <c r="G450" s="214"/>
      <c r="H450" s="215"/>
      <c r="I450" s="215"/>
      <c r="J450" s="215"/>
      <c r="K450" s="215"/>
      <c r="L450" s="215"/>
      <c r="M450" s="215"/>
      <c r="N450" s="215"/>
      <c r="O450" s="345"/>
      <c r="P450" s="84"/>
      <c r="Q450" s="84"/>
      <c r="R450" s="84"/>
      <c r="S450" s="84"/>
      <c r="T450" s="84"/>
      <c r="U450" s="84"/>
      <c r="V450" s="84"/>
      <c r="W450" s="84"/>
      <c r="X450" s="84"/>
      <c r="Y450" s="84"/>
    </row>
    <row r="451" spans="1:25" ht="15.75" customHeight="1" x14ac:dyDescent="0.2">
      <c r="A451" s="215"/>
      <c r="B451" s="215"/>
      <c r="C451" s="215"/>
      <c r="D451" s="215"/>
      <c r="E451" s="215"/>
      <c r="F451" s="215"/>
      <c r="G451" s="214"/>
      <c r="H451" s="215"/>
      <c r="I451" s="215"/>
      <c r="J451" s="215"/>
      <c r="K451" s="215"/>
      <c r="L451" s="215"/>
      <c r="M451" s="215"/>
      <c r="N451" s="215"/>
      <c r="O451" s="345"/>
      <c r="P451" s="84"/>
      <c r="Q451" s="84"/>
      <c r="R451" s="84"/>
      <c r="S451" s="84"/>
      <c r="T451" s="84"/>
      <c r="U451" s="84"/>
      <c r="V451" s="84"/>
      <c r="W451" s="84"/>
      <c r="X451" s="84"/>
      <c r="Y451" s="84"/>
    </row>
    <row r="452" spans="1:25" ht="15.75" customHeight="1" x14ac:dyDescent="0.2">
      <c r="A452" s="215"/>
      <c r="B452" s="215"/>
      <c r="C452" s="215"/>
      <c r="D452" s="215"/>
      <c r="E452" s="215"/>
      <c r="F452" s="215"/>
      <c r="G452" s="214"/>
      <c r="H452" s="215"/>
      <c r="I452" s="215"/>
      <c r="J452" s="215"/>
      <c r="K452" s="215"/>
      <c r="L452" s="215"/>
      <c r="M452" s="215"/>
      <c r="N452" s="215"/>
      <c r="O452" s="345"/>
      <c r="P452" s="84"/>
      <c r="Q452" s="84"/>
      <c r="R452" s="84"/>
      <c r="S452" s="84"/>
      <c r="T452" s="84"/>
      <c r="U452" s="84"/>
      <c r="V452" s="84"/>
      <c r="W452" s="84"/>
      <c r="X452" s="84"/>
      <c r="Y452" s="84"/>
    </row>
    <row r="453" spans="1:25" ht="15.75" customHeight="1" x14ac:dyDescent="0.2">
      <c r="A453" s="215"/>
      <c r="B453" s="215"/>
      <c r="C453" s="215"/>
      <c r="D453" s="215"/>
      <c r="E453" s="215"/>
      <c r="F453" s="215"/>
      <c r="G453" s="214"/>
      <c r="H453" s="215"/>
      <c r="I453" s="215"/>
      <c r="J453" s="215"/>
      <c r="K453" s="215"/>
      <c r="L453" s="215"/>
      <c r="M453" s="215"/>
      <c r="N453" s="215"/>
      <c r="O453" s="345"/>
      <c r="P453" s="84"/>
      <c r="Q453" s="84"/>
      <c r="R453" s="84"/>
      <c r="S453" s="84"/>
      <c r="T453" s="84"/>
      <c r="U453" s="84"/>
      <c r="V453" s="84"/>
      <c r="W453" s="84"/>
      <c r="X453" s="84"/>
      <c r="Y453" s="84"/>
    </row>
    <row r="454" spans="1:25" ht="15.75" customHeight="1" x14ac:dyDescent="0.2">
      <c r="A454" s="215"/>
      <c r="B454" s="215"/>
      <c r="C454" s="215"/>
      <c r="D454" s="215"/>
      <c r="E454" s="215"/>
      <c r="F454" s="215"/>
      <c r="G454" s="214"/>
      <c r="H454" s="215"/>
      <c r="I454" s="215"/>
      <c r="J454" s="215"/>
      <c r="K454" s="215"/>
      <c r="L454" s="215"/>
      <c r="M454" s="215"/>
      <c r="N454" s="215"/>
      <c r="O454" s="345"/>
      <c r="P454" s="84"/>
      <c r="Q454" s="84"/>
      <c r="R454" s="84"/>
      <c r="S454" s="84"/>
      <c r="T454" s="84"/>
      <c r="U454" s="84"/>
      <c r="V454" s="84"/>
      <c r="W454" s="84"/>
      <c r="X454" s="84"/>
      <c r="Y454" s="84"/>
    </row>
    <row r="455" spans="1:25" ht="15.75" customHeight="1" x14ac:dyDescent="0.2">
      <c r="A455" s="215"/>
      <c r="B455" s="215"/>
      <c r="C455" s="215"/>
      <c r="D455" s="215"/>
      <c r="E455" s="215"/>
      <c r="F455" s="215"/>
      <c r="G455" s="214"/>
      <c r="H455" s="215"/>
      <c r="I455" s="215"/>
      <c r="J455" s="215"/>
      <c r="K455" s="215"/>
      <c r="L455" s="215"/>
      <c r="M455" s="215"/>
      <c r="N455" s="215"/>
      <c r="O455" s="345"/>
      <c r="P455" s="84"/>
      <c r="Q455" s="84"/>
      <c r="R455" s="84"/>
      <c r="S455" s="84"/>
      <c r="T455" s="84"/>
      <c r="U455" s="84"/>
      <c r="V455" s="84"/>
      <c r="W455" s="84"/>
      <c r="X455" s="84"/>
      <c r="Y455" s="84"/>
    </row>
    <row r="456" spans="1:25" ht="15.75" customHeight="1" x14ac:dyDescent="0.2">
      <c r="A456" s="215"/>
      <c r="B456" s="215"/>
      <c r="C456" s="215"/>
      <c r="D456" s="215"/>
      <c r="E456" s="215"/>
      <c r="F456" s="215"/>
      <c r="G456" s="214"/>
      <c r="H456" s="215"/>
      <c r="I456" s="215"/>
      <c r="J456" s="215"/>
      <c r="K456" s="215"/>
      <c r="L456" s="215"/>
      <c r="M456" s="215"/>
      <c r="N456" s="215"/>
      <c r="O456" s="345"/>
      <c r="P456" s="84"/>
      <c r="Q456" s="84"/>
      <c r="R456" s="84"/>
      <c r="S456" s="84"/>
      <c r="T456" s="84"/>
      <c r="U456" s="84"/>
      <c r="V456" s="84"/>
      <c r="W456" s="84"/>
      <c r="X456" s="84"/>
      <c r="Y456" s="84"/>
    </row>
    <row r="457" spans="1:25" ht="15.75" customHeight="1" x14ac:dyDescent="0.2">
      <c r="A457" s="215"/>
      <c r="B457" s="215"/>
      <c r="C457" s="215"/>
      <c r="D457" s="215"/>
      <c r="E457" s="215"/>
      <c r="F457" s="215"/>
      <c r="G457" s="214"/>
      <c r="H457" s="215"/>
      <c r="I457" s="215"/>
      <c r="J457" s="215"/>
      <c r="K457" s="215"/>
      <c r="L457" s="215"/>
      <c r="M457" s="215"/>
      <c r="N457" s="215"/>
      <c r="O457" s="345"/>
      <c r="P457" s="84"/>
      <c r="Q457" s="84"/>
      <c r="R457" s="84"/>
      <c r="S457" s="84"/>
      <c r="T457" s="84"/>
      <c r="U457" s="84"/>
      <c r="V457" s="84"/>
      <c r="W457" s="84"/>
      <c r="X457" s="84"/>
      <c r="Y457" s="84"/>
    </row>
    <row r="458" spans="1:25" ht="15.75" customHeight="1" x14ac:dyDescent="0.2">
      <c r="A458" s="215"/>
      <c r="B458" s="215"/>
      <c r="C458" s="215"/>
      <c r="D458" s="215"/>
      <c r="E458" s="215"/>
      <c r="F458" s="215"/>
      <c r="G458" s="214"/>
      <c r="H458" s="215"/>
      <c r="I458" s="215"/>
      <c r="J458" s="215"/>
      <c r="K458" s="215"/>
      <c r="L458" s="215"/>
      <c r="M458" s="215"/>
      <c r="N458" s="215"/>
      <c r="O458" s="345"/>
      <c r="P458" s="84"/>
      <c r="Q458" s="84"/>
      <c r="R458" s="84"/>
      <c r="S458" s="84"/>
      <c r="T458" s="84"/>
      <c r="U458" s="84"/>
      <c r="V458" s="84"/>
      <c r="W458" s="84"/>
      <c r="X458" s="84"/>
      <c r="Y458" s="84"/>
    </row>
    <row r="459" spans="1:25" ht="15.75" customHeight="1" x14ac:dyDescent="0.2">
      <c r="A459" s="215"/>
      <c r="B459" s="215"/>
      <c r="C459" s="215"/>
      <c r="D459" s="215"/>
      <c r="E459" s="215"/>
      <c r="F459" s="215"/>
      <c r="G459" s="214"/>
      <c r="H459" s="215"/>
      <c r="I459" s="215"/>
      <c r="J459" s="215"/>
      <c r="K459" s="215"/>
      <c r="L459" s="215"/>
      <c r="M459" s="215"/>
      <c r="N459" s="215"/>
      <c r="O459" s="345"/>
      <c r="P459" s="84"/>
      <c r="Q459" s="84"/>
      <c r="R459" s="84"/>
      <c r="S459" s="84"/>
      <c r="T459" s="84"/>
      <c r="U459" s="84"/>
      <c r="V459" s="84"/>
      <c r="W459" s="84"/>
      <c r="X459" s="84"/>
      <c r="Y459" s="84"/>
    </row>
    <row r="460" spans="1:25" ht="15.75" customHeight="1" x14ac:dyDescent="0.2">
      <c r="A460" s="215"/>
      <c r="B460" s="215"/>
      <c r="C460" s="215"/>
      <c r="D460" s="215"/>
      <c r="E460" s="215"/>
      <c r="F460" s="215"/>
      <c r="G460" s="214"/>
      <c r="H460" s="215"/>
      <c r="I460" s="215"/>
      <c r="J460" s="215"/>
      <c r="K460" s="215"/>
      <c r="L460" s="215"/>
      <c r="M460" s="215"/>
      <c r="N460" s="215"/>
      <c r="O460" s="345"/>
      <c r="P460" s="84"/>
      <c r="Q460" s="84"/>
      <c r="R460" s="84"/>
      <c r="S460" s="84"/>
      <c r="T460" s="84"/>
      <c r="U460" s="84"/>
      <c r="V460" s="84"/>
      <c r="W460" s="84"/>
      <c r="X460" s="84"/>
      <c r="Y460" s="84"/>
    </row>
    <row r="461" spans="1:25" ht="15.75" customHeight="1" x14ac:dyDescent="0.2">
      <c r="A461" s="215"/>
      <c r="B461" s="215"/>
      <c r="C461" s="215"/>
      <c r="D461" s="215"/>
      <c r="E461" s="215"/>
      <c r="F461" s="215"/>
      <c r="G461" s="214"/>
      <c r="H461" s="215"/>
      <c r="I461" s="215"/>
      <c r="J461" s="215"/>
      <c r="K461" s="215"/>
      <c r="L461" s="215"/>
      <c r="M461" s="215"/>
      <c r="N461" s="215"/>
      <c r="O461" s="345"/>
      <c r="P461" s="84"/>
      <c r="Q461" s="84"/>
      <c r="R461" s="84"/>
      <c r="S461" s="84"/>
      <c r="T461" s="84"/>
      <c r="U461" s="84"/>
      <c r="V461" s="84"/>
      <c r="W461" s="84"/>
      <c r="X461" s="84"/>
      <c r="Y461" s="84"/>
    </row>
    <row r="462" spans="1:25" ht="15.75" customHeight="1" x14ac:dyDescent="0.2">
      <c r="A462" s="215"/>
      <c r="B462" s="215"/>
      <c r="C462" s="215"/>
      <c r="D462" s="215"/>
      <c r="E462" s="215"/>
      <c r="F462" s="215"/>
      <c r="G462" s="214"/>
      <c r="H462" s="215"/>
      <c r="I462" s="215"/>
      <c r="J462" s="215"/>
      <c r="K462" s="215"/>
      <c r="L462" s="215"/>
      <c r="M462" s="215"/>
      <c r="N462" s="215"/>
      <c r="O462" s="345"/>
      <c r="P462" s="84"/>
      <c r="Q462" s="84"/>
      <c r="R462" s="84"/>
      <c r="S462" s="84"/>
      <c r="T462" s="84"/>
      <c r="U462" s="84"/>
      <c r="V462" s="84"/>
      <c r="W462" s="84"/>
      <c r="X462" s="84"/>
      <c r="Y462" s="84"/>
    </row>
    <row r="463" spans="1:25" ht="15.75" customHeight="1" x14ac:dyDescent="0.2">
      <c r="A463" s="215"/>
      <c r="B463" s="215"/>
      <c r="C463" s="215"/>
      <c r="D463" s="215"/>
      <c r="E463" s="215"/>
      <c r="F463" s="215"/>
      <c r="G463" s="214"/>
      <c r="H463" s="215"/>
      <c r="I463" s="215"/>
      <c r="J463" s="215"/>
      <c r="K463" s="215"/>
      <c r="L463" s="215"/>
      <c r="M463" s="215"/>
      <c r="N463" s="215"/>
      <c r="O463" s="345"/>
      <c r="P463" s="84"/>
      <c r="Q463" s="84"/>
      <c r="R463" s="84"/>
      <c r="S463" s="84"/>
      <c r="T463" s="84"/>
      <c r="U463" s="84"/>
      <c r="V463" s="84"/>
      <c r="W463" s="84"/>
      <c r="X463" s="84"/>
      <c r="Y463" s="84"/>
    </row>
    <row r="464" spans="1:25" ht="15.75" customHeight="1" x14ac:dyDescent="0.2">
      <c r="A464" s="1"/>
      <c r="B464" s="1"/>
      <c r="C464" s="1"/>
      <c r="D464" s="1"/>
      <c r="E464" s="1"/>
      <c r="F464" s="1"/>
      <c r="G464" s="83"/>
      <c r="H464" s="1"/>
      <c r="I464" s="1"/>
      <c r="J464" s="1"/>
      <c r="K464" s="1"/>
      <c r="L464" s="1"/>
      <c r="M464" s="1"/>
      <c r="N464" s="1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</row>
    <row r="465" spans="1:25" ht="15.75" customHeight="1" x14ac:dyDescent="0.2">
      <c r="A465" s="1"/>
      <c r="B465" s="1"/>
      <c r="C465" s="1"/>
      <c r="D465" s="1"/>
      <c r="E465" s="1"/>
      <c r="F465" s="1"/>
      <c r="G465" s="83"/>
      <c r="H465" s="1"/>
      <c r="I465" s="1"/>
      <c r="J465" s="1"/>
      <c r="K465" s="1"/>
      <c r="L465" s="1"/>
      <c r="M465" s="1"/>
      <c r="N465" s="1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</row>
    <row r="466" spans="1:25" ht="15.75" customHeight="1" x14ac:dyDescent="0.2">
      <c r="A466" s="1"/>
      <c r="B466" s="1"/>
      <c r="C466" s="1"/>
      <c r="D466" s="1"/>
      <c r="E466" s="1"/>
      <c r="F466" s="1"/>
      <c r="G466" s="83"/>
      <c r="H466" s="1"/>
      <c r="I466" s="1"/>
      <c r="J466" s="1"/>
      <c r="K466" s="1"/>
      <c r="L466" s="1"/>
      <c r="M466" s="1"/>
      <c r="N466" s="1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</row>
    <row r="467" spans="1:25" ht="15.75" customHeight="1" x14ac:dyDescent="0.2">
      <c r="A467" s="1"/>
      <c r="B467" s="1"/>
      <c r="C467" s="1"/>
      <c r="D467" s="1"/>
      <c r="E467" s="1"/>
      <c r="F467" s="1"/>
      <c r="G467" s="83"/>
      <c r="H467" s="1"/>
      <c r="I467" s="1"/>
      <c r="J467" s="1"/>
      <c r="K467" s="1"/>
      <c r="L467" s="1"/>
      <c r="M467" s="1"/>
      <c r="N467" s="1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</row>
    <row r="468" spans="1:25" ht="15.75" customHeight="1" x14ac:dyDescent="0.2">
      <c r="A468" s="1"/>
      <c r="B468" s="1"/>
      <c r="C468" s="1"/>
      <c r="D468" s="1"/>
      <c r="E468" s="1"/>
      <c r="F468" s="1"/>
      <c r="G468" s="83"/>
      <c r="H468" s="1"/>
      <c r="I468" s="1"/>
      <c r="J468" s="1"/>
      <c r="K468" s="1"/>
      <c r="L468" s="1"/>
      <c r="M468" s="1"/>
      <c r="N468" s="1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</row>
    <row r="469" spans="1:25" ht="15.75" customHeight="1" x14ac:dyDescent="0.2">
      <c r="A469" s="1"/>
      <c r="B469" s="1"/>
      <c r="C469" s="1"/>
      <c r="D469" s="1"/>
      <c r="E469" s="1"/>
      <c r="F469" s="1"/>
      <c r="G469" s="83"/>
      <c r="H469" s="1"/>
      <c r="I469" s="1"/>
      <c r="J469" s="1"/>
      <c r="K469" s="1"/>
      <c r="L469" s="1"/>
      <c r="M469" s="1"/>
      <c r="N469" s="1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</row>
    <row r="470" spans="1:25" ht="15.75" customHeight="1" x14ac:dyDescent="0.2">
      <c r="A470" s="1"/>
      <c r="B470" s="1"/>
      <c r="C470" s="1"/>
      <c r="D470" s="1"/>
      <c r="E470" s="1"/>
      <c r="F470" s="1"/>
      <c r="G470" s="83"/>
      <c r="H470" s="1"/>
      <c r="I470" s="1"/>
      <c r="J470" s="1"/>
      <c r="K470" s="1"/>
      <c r="L470" s="1"/>
      <c r="M470" s="1"/>
      <c r="N470" s="1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</row>
    <row r="471" spans="1:25" ht="15.75" customHeight="1" x14ac:dyDescent="0.2">
      <c r="A471" s="1"/>
      <c r="B471" s="1"/>
      <c r="C471" s="1"/>
      <c r="D471" s="1"/>
      <c r="E471" s="1"/>
      <c r="F471" s="1"/>
      <c r="G471" s="83"/>
      <c r="H471" s="1"/>
      <c r="I471" s="1"/>
      <c r="J471" s="1"/>
      <c r="K471" s="1"/>
      <c r="L471" s="1"/>
      <c r="M471" s="1"/>
      <c r="N471" s="1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</row>
    <row r="472" spans="1:25" ht="15.75" customHeight="1" x14ac:dyDescent="0.2">
      <c r="A472" s="1"/>
      <c r="B472" s="1"/>
      <c r="C472" s="1"/>
      <c r="D472" s="1"/>
      <c r="E472" s="1"/>
      <c r="F472" s="1"/>
      <c r="G472" s="83"/>
      <c r="H472" s="1"/>
      <c r="I472" s="1"/>
      <c r="J472" s="1"/>
      <c r="K472" s="1"/>
      <c r="L472" s="1"/>
      <c r="M472" s="1"/>
      <c r="N472" s="1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</row>
    <row r="473" spans="1:25" ht="15.75" customHeight="1" x14ac:dyDescent="0.2">
      <c r="A473" s="1"/>
      <c r="B473" s="1"/>
      <c r="C473" s="1"/>
      <c r="D473" s="1"/>
      <c r="E473" s="1"/>
      <c r="F473" s="1"/>
      <c r="G473" s="83"/>
      <c r="H473" s="1"/>
      <c r="I473" s="1"/>
      <c r="J473" s="1"/>
      <c r="K473" s="1"/>
      <c r="L473" s="1"/>
      <c r="M473" s="1"/>
      <c r="N473" s="1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</row>
    <row r="474" spans="1:25" ht="15.75" customHeight="1" x14ac:dyDescent="0.2">
      <c r="A474" s="1"/>
      <c r="B474" s="1"/>
      <c r="C474" s="1"/>
      <c r="D474" s="1"/>
      <c r="E474" s="1"/>
      <c r="F474" s="1"/>
      <c r="G474" s="83"/>
      <c r="H474" s="1"/>
      <c r="I474" s="1"/>
      <c r="J474" s="1"/>
      <c r="K474" s="1"/>
      <c r="L474" s="1"/>
      <c r="M474" s="1"/>
      <c r="N474" s="1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</row>
    <row r="475" spans="1:25" ht="15.75" customHeight="1" x14ac:dyDescent="0.2">
      <c r="A475" s="1"/>
      <c r="B475" s="1"/>
      <c r="C475" s="1"/>
      <c r="D475" s="1"/>
      <c r="E475" s="1"/>
      <c r="F475" s="1"/>
      <c r="G475" s="83"/>
      <c r="H475" s="1"/>
      <c r="I475" s="1"/>
      <c r="J475" s="1"/>
      <c r="K475" s="1"/>
      <c r="L475" s="1"/>
      <c r="M475" s="1"/>
      <c r="N475" s="1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</row>
    <row r="476" spans="1:25" ht="15.75" customHeight="1" x14ac:dyDescent="0.2">
      <c r="A476" s="1"/>
      <c r="B476" s="1"/>
      <c r="C476" s="1"/>
      <c r="D476" s="1"/>
      <c r="E476" s="1"/>
      <c r="F476" s="1"/>
      <c r="G476" s="83"/>
      <c r="H476" s="1"/>
      <c r="I476" s="1"/>
      <c r="J476" s="1"/>
      <c r="K476" s="1"/>
      <c r="L476" s="1"/>
      <c r="M476" s="1"/>
      <c r="N476" s="1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</row>
    <row r="477" spans="1:25" ht="15.75" customHeight="1" x14ac:dyDescent="0.2">
      <c r="A477" s="1"/>
      <c r="B477" s="1"/>
      <c r="C477" s="1"/>
      <c r="D477" s="1"/>
      <c r="E477" s="1"/>
      <c r="F477" s="1"/>
      <c r="G477" s="83"/>
      <c r="H477" s="1"/>
      <c r="I477" s="1"/>
      <c r="J477" s="1"/>
      <c r="K477" s="1"/>
      <c r="L477" s="1"/>
      <c r="M477" s="1"/>
      <c r="N477" s="1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</row>
    <row r="478" spans="1:25" ht="15.75" customHeight="1" x14ac:dyDescent="0.2">
      <c r="A478" s="1"/>
      <c r="B478" s="1"/>
      <c r="C478" s="1"/>
      <c r="D478" s="1"/>
      <c r="E478" s="1"/>
      <c r="F478" s="1"/>
      <c r="G478" s="83"/>
      <c r="H478" s="1"/>
      <c r="I478" s="1"/>
      <c r="J478" s="1"/>
      <c r="K478" s="1"/>
      <c r="L478" s="1"/>
      <c r="M478" s="1"/>
      <c r="N478" s="1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</row>
    <row r="479" spans="1:25" ht="15.75" customHeight="1" x14ac:dyDescent="0.2">
      <c r="A479" s="1"/>
      <c r="B479" s="1"/>
      <c r="C479" s="1"/>
      <c r="D479" s="1"/>
      <c r="E479" s="1"/>
      <c r="F479" s="1"/>
      <c r="G479" s="83"/>
      <c r="H479" s="1"/>
      <c r="I479" s="1"/>
      <c r="J479" s="1"/>
      <c r="K479" s="1"/>
      <c r="L479" s="1"/>
      <c r="M479" s="1"/>
      <c r="N479" s="1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</row>
    <row r="480" spans="1:25" ht="15.75" customHeight="1" x14ac:dyDescent="0.2">
      <c r="A480" s="1"/>
      <c r="B480" s="1"/>
      <c r="C480" s="1"/>
      <c r="D480" s="1"/>
      <c r="E480" s="1"/>
      <c r="F480" s="1"/>
      <c r="G480" s="83"/>
      <c r="H480" s="1"/>
      <c r="I480" s="1"/>
      <c r="J480" s="1"/>
      <c r="K480" s="1"/>
      <c r="L480" s="1"/>
      <c r="M480" s="1"/>
      <c r="N480" s="1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</row>
    <row r="481" spans="1:25" ht="15.75" customHeight="1" x14ac:dyDescent="0.2">
      <c r="A481" s="1"/>
      <c r="B481" s="1"/>
      <c r="C481" s="1"/>
      <c r="D481" s="1"/>
      <c r="E481" s="1"/>
      <c r="F481" s="1"/>
      <c r="G481" s="83"/>
      <c r="H481" s="1"/>
      <c r="I481" s="1"/>
      <c r="J481" s="1"/>
      <c r="K481" s="1"/>
      <c r="L481" s="1"/>
      <c r="M481" s="1"/>
      <c r="N481" s="1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</row>
    <row r="482" spans="1:25" ht="15.75" customHeight="1" x14ac:dyDescent="0.2">
      <c r="A482" s="1"/>
      <c r="B482" s="1"/>
      <c r="C482" s="1"/>
      <c r="D482" s="1"/>
      <c r="E482" s="1"/>
      <c r="F482" s="1"/>
      <c r="G482" s="83"/>
      <c r="H482" s="1"/>
      <c r="I482" s="1"/>
      <c r="J482" s="1"/>
      <c r="K482" s="1"/>
      <c r="L482" s="1"/>
      <c r="M482" s="1"/>
      <c r="N482" s="1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</row>
    <row r="483" spans="1:25" ht="15.75" customHeight="1" x14ac:dyDescent="0.2">
      <c r="A483" s="1"/>
      <c r="B483" s="1"/>
      <c r="C483" s="1"/>
      <c r="D483" s="1"/>
      <c r="E483" s="1"/>
      <c r="F483" s="1"/>
      <c r="G483" s="83"/>
      <c r="H483" s="1"/>
      <c r="I483" s="1"/>
      <c r="J483" s="1"/>
      <c r="K483" s="1"/>
      <c r="L483" s="1"/>
      <c r="M483" s="1"/>
      <c r="N483" s="1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</row>
    <row r="484" spans="1:25" ht="15.75" customHeight="1" x14ac:dyDescent="0.2">
      <c r="A484" s="1"/>
      <c r="B484" s="1"/>
      <c r="C484" s="1"/>
      <c r="D484" s="1"/>
      <c r="E484" s="1"/>
      <c r="F484" s="1"/>
      <c r="G484" s="83"/>
      <c r="H484" s="1"/>
      <c r="I484" s="1"/>
      <c r="J484" s="1"/>
      <c r="K484" s="1"/>
      <c r="L484" s="1"/>
      <c r="M484" s="1"/>
      <c r="N484" s="1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</row>
    <row r="485" spans="1:25" ht="15.75" customHeight="1" x14ac:dyDescent="0.2">
      <c r="A485" s="1"/>
      <c r="B485" s="1"/>
      <c r="C485" s="1"/>
      <c r="D485" s="1"/>
      <c r="E485" s="1"/>
      <c r="F485" s="1"/>
      <c r="G485" s="83"/>
      <c r="H485" s="1"/>
      <c r="I485" s="1"/>
      <c r="J485" s="1"/>
      <c r="K485" s="1"/>
      <c r="L485" s="1"/>
      <c r="M485" s="1"/>
      <c r="N485" s="1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</row>
    <row r="486" spans="1:25" ht="15.75" customHeight="1" x14ac:dyDescent="0.2">
      <c r="A486" s="1"/>
      <c r="B486" s="1"/>
      <c r="C486" s="1"/>
      <c r="D486" s="1"/>
      <c r="E486" s="1"/>
      <c r="F486" s="1"/>
      <c r="G486" s="83"/>
      <c r="H486" s="1"/>
      <c r="I486" s="1"/>
      <c r="J486" s="1"/>
      <c r="K486" s="1"/>
      <c r="L486" s="1"/>
      <c r="M486" s="1"/>
      <c r="N486" s="1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</row>
    <row r="487" spans="1:25" ht="15.75" customHeight="1" x14ac:dyDescent="0.2">
      <c r="A487" s="1"/>
      <c r="B487" s="1"/>
      <c r="C487" s="1"/>
      <c r="D487" s="1"/>
      <c r="E487" s="1"/>
      <c r="F487" s="1"/>
      <c r="G487" s="83"/>
      <c r="H487" s="1"/>
      <c r="I487" s="1"/>
      <c r="J487" s="1"/>
      <c r="K487" s="1"/>
      <c r="L487" s="1"/>
      <c r="M487" s="1"/>
      <c r="N487" s="1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</row>
    <row r="488" spans="1:25" ht="15.75" customHeight="1" x14ac:dyDescent="0.2">
      <c r="A488" s="1"/>
      <c r="B488" s="1"/>
      <c r="C488" s="1"/>
      <c r="D488" s="1"/>
      <c r="E488" s="1"/>
      <c r="F488" s="1"/>
      <c r="G488" s="83"/>
      <c r="H488" s="1"/>
      <c r="I488" s="1"/>
      <c r="J488" s="1"/>
      <c r="K488" s="1"/>
      <c r="L488" s="1"/>
      <c r="M488" s="1"/>
      <c r="N488" s="1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</row>
    <row r="489" spans="1:25" ht="15.75" customHeight="1" x14ac:dyDescent="0.2">
      <c r="A489" s="1"/>
      <c r="B489" s="1"/>
      <c r="C489" s="1"/>
      <c r="D489" s="1"/>
      <c r="E489" s="1"/>
      <c r="F489" s="1"/>
      <c r="G489" s="83"/>
      <c r="H489" s="1"/>
      <c r="I489" s="1"/>
      <c r="J489" s="1"/>
      <c r="K489" s="1"/>
      <c r="L489" s="1"/>
      <c r="M489" s="1"/>
      <c r="N489" s="1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</row>
    <row r="490" spans="1:25" ht="15.75" customHeight="1" x14ac:dyDescent="0.2">
      <c r="A490" s="1"/>
      <c r="B490" s="1"/>
      <c r="C490" s="1"/>
      <c r="D490" s="1"/>
      <c r="E490" s="1"/>
      <c r="F490" s="1"/>
      <c r="G490" s="83"/>
      <c r="H490" s="1"/>
      <c r="I490" s="1"/>
      <c r="J490" s="1"/>
      <c r="K490" s="1"/>
      <c r="L490" s="1"/>
      <c r="M490" s="1"/>
      <c r="N490" s="1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</row>
    <row r="491" spans="1:25" ht="15.75" customHeight="1" x14ac:dyDescent="0.2">
      <c r="A491" s="1"/>
      <c r="B491" s="1"/>
      <c r="C491" s="1"/>
      <c r="D491" s="1"/>
      <c r="E491" s="1"/>
      <c r="F491" s="1"/>
      <c r="G491" s="83"/>
      <c r="H491" s="1"/>
      <c r="I491" s="1"/>
      <c r="J491" s="1"/>
      <c r="K491" s="1"/>
      <c r="L491" s="1"/>
      <c r="M491" s="1"/>
      <c r="N491" s="1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</row>
    <row r="492" spans="1:25" ht="15.75" customHeight="1" x14ac:dyDescent="0.2">
      <c r="A492" s="1"/>
      <c r="B492" s="1"/>
      <c r="C492" s="1"/>
      <c r="D492" s="1"/>
      <c r="E492" s="1"/>
      <c r="F492" s="1"/>
      <c r="G492" s="83"/>
      <c r="H492" s="1"/>
      <c r="I492" s="1"/>
      <c r="J492" s="1"/>
      <c r="K492" s="1"/>
      <c r="L492" s="1"/>
      <c r="M492" s="1"/>
      <c r="N492" s="1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</row>
    <row r="493" spans="1:25" ht="15.75" customHeight="1" x14ac:dyDescent="0.2">
      <c r="A493" s="1"/>
      <c r="B493" s="1"/>
      <c r="C493" s="1"/>
      <c r="D493" s="1"/>
      <c r="E493" s="1"/>
      <c r="F493" s="1"/>
      <c r="G493" s="83"/>
      <c r="H493" s="1"/>
      <c r="I493" s="1"/>
      <c r="J493" s="1"/>
      <c r="K493" s="1"/>
      <c r="L493" s="1"/>
      <c r="M493" s="1"/>
      <c r="N493" s="1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</row>
    <row r="494" spans="1:25" ht="15.75" customHeight="1" x14ac:dyDescent="0.2">
      <c r="A494" s="1"/>
      <c r="B494" s="1"/>
      <c r="C494" s="1"/>
      <c r="D494" s="1"/>
      <c r="E494" s="1"/>
      <c r="F494" s="1"/>
      <c r="G494" s="83"/>
      <c r="H494" s="1"/>
      <c r="I494" s="1"/>
      <c r="J494" s="1"/>
      <c r="K494" s="1"/>
      <c r="L494" s="1"/>
      <c r="M494" s="1"/>
      <c r="N494" s="1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</row>
    <row r="495" spans="1:25" ht="15.75" customHeight="1" x14ac:dyDescent="0.2">
      <c r="A495" s="1"/>
      <c r="B495" s="1"/>
      <c r="C495" s="1"/>
      <c r="D495" s="1"/>
      <c r="E495" s="1"/>
      <c r="F495" s="1"/>
      <c r="G495" s="83"/>
      <c r="H495" s="1"/>
      <c r="I495" s="1"/>
      <c r="J495" s="1"/>
      <c r="K495" s="1"/>
      <c r="L495" s="1"/>
      <c r="M495" s="1"/>
      <c r="N495" s="1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</row>
    <row r="496" spans="1:25" ht="15.75" customHeight="1" x14ac:dyDescent="0.2">
      <c r="A496" s="1"/>
      <c r="B496" s="1"/>
      <c r="C496" s="1"/>
      <c r="D496" s="1"/>
      <c r="E496" s="1"/>
      <c r="F496" s="1"/>
      <c r="G496" s="83"/>
      <c r="H496" s="1"/>
      <c r="I496" s="1"/>
      <c r="J496" s="1"/>
      <c r="K496" s="1"/>
      <c r="L496" s="1"/>
      <c r="M496" s="1"/>
      <c r="N496" s="1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</row>
    <row r="497" spans="1:25" ht="15.75" customHeight="1" x14ac:dyDescent="0.2">
      <c r="A497" s="1"/>
      <c r="B497" s="1"/>
      <c r="C497" s="1"/>
      <c r="D497" s="1"/>
      <c r="E497" s="1"/>
      <c r="F497" s="1"/>
      <c r="G497" s="83"/>
      <c r="H497" s="1"/>
      <c r="I497" s="1"/>
      <c r="J497" s="1"/>
      <c r="K497" s="1"/>
      <c r="L497" s="1"/>
      <c r="M497" s="1"/>
      <c r="N497" s="1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</row>
    <row r="498" spans="1:25" ht="15.75" customHeight="1" x14ac:dyDescent="0.2">
      <c r="A498" s="1"/>
      <c r="B498" s="1"/>
      <c r="C498" s="1"/>
      <c r="D498" s="1"/>
      <c r="E498" s="1"/>
      <c r="F498" s="1"/>
      <c r="G498" s="83"/>
      <c r="H498" s="1"/>
      <c r="I498" s="1"/>
      <c r="J498" s="1"/>
      <c r="K498" s="1"/>
      <c r="L498" s="1"/>
      <c r="M498" s="1"/>
      <c r="N498" s="1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</row>
    <row r="499" spans="1:25" ht="15.75" customHeight="1" x14ac:dyDescent="0.2">
      <c r="A499" s="1"/>
      <c r="B499" s="1"/>
      <c r="C499" s="1"/>
      <c r="D499" s="1"/>
      <c r="E499" s="1"/>
      <c r="F499" s="1"/>
      <c r="G499" s="83"/>
      <c r="H499" s="1"/>
      <c r="I499" s="1"/>
      <c r="J499" s="1"/>
      <c r="K499" s="1"/>
      <c r="L499" s="1"/>
      <c r="M499" s="1"/>
      <c r="N499" s="1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</row>
    <row r="500" spans="1:25" ht="15.75" customHeight="1" x14ac:dyDescent="0.2">
      <c r="A500" s="1"/>
      <c r="B500" s="1"/>
      <c r="C500" s="1"/>
      <c r="D500" s="1"/>
      <c r="E500" s="1"/>
      <c r="F500" s="1"/>
      <c r="G500" s="83"/>
      <c r="H500" s="1"/>
      <c r="I500" s="1"/>
      <c r="J500" s="1"/>
      <c r="K500" s="1"/>
      <c r="L500" s="1"/>
      <c r="M500" s="1"/>
      <c r="N500" s="1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</row>
    <row r="501" spans="1:25" ht="15.75" customHeight="1" x14ac:dyDescent="0.2">
      <c r="A501" s="1"/>
      <c r="B501" s="1"/>
      <c r="C501" s="1"/>
      <c r="D501" s="1"/>
      <c r="E501" s="1"/>
      <c r="F501" s="1"/>
      <c r="G501" s="83"/>
      <c r="H501" s="1"/>
      <c r="I501" s="1"/>
      <c r="J501" s="1"/>
      <c r="K501" s="1"/>
      <c r="L501" s="1"/>
      <c r="M501" s="1"/>
      <c r="N501" s="1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</row>
    <row r="502" spans="1:25" ht="15.75" customHeight="1" x14ac:dyDescent="0.2">
      <c r="A502" s="1"/>
      <c r="B502" s="1"/>
      <c r="C502" s="1"/>
      <c r="D502" s="1"/>
      <c r="E502" s="1"/>
      <c r="F502" s="1"/>
      <c r="G502" s="83"/>
      <c r="H502" s="1"/>
      <c r="I502" s="1"/>
      <c r="J502" s="1"/>
      <c r="K502" s="1"/>
      <c r="L502" s="1"/>
      <c r="M502" s="1"/>
      <c r="N502" s="1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</row>
    <row r="503" spans="1:25" ht="15.75" customHeight="1" x14ac:dyDescent="0.2">
      <c r="A503" s="1"/>
      <c r="B503" s="1"/>
      <c r="C503" s="1"/>
      <c r="D503" s="1"/>
      <c r="E503" s="1"/>
      <c r="F503" s="1"/>
      <c r="G503" s="83"/>
      <c r="H503" s="1"/>
      <c r="I503" s="1"/>
      <c r="J503" s="1"/>
      <c r="K503" s="1"/>
      <c r="L503" s="1"/>
      <c r="M503" s="1"/>
      <c r="N503" s="1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</row>
    <row r="504" spans="1:25" ht="15.75" customHeight="1" x14ac:dyDescent="0.2">
      <c r="A504" s="1"/>
      <c r="B504" s="1"/>
      <c r="C504" s="1"/>
      <c r="D504" s="1"/>
      <c r="E504" s="1"/>
      <c r="F504" s="1"/>
      <c r="G504" s="83"/>
      <c r="H504" s="1"/>
      <c r="I504" s="1"/>
      <c r="J504" s="1"/>
      <c r="K504" s="1"/>
      <c r="L504" s="1"/>
      <c r="M504" s="1"/>
      <c r="N504" s="1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</row>
    <row r="505" spans="1:25" ht="15.75" customHeight="1" x14ac:dyDescent="0.2">
      <c r="A505" s="1"/>
      <c r="B505" s="1"/>
      <c r="C505" s="1"/>
      <c r="D505" s="1"/>
      <c r="E505" s="1"/>
      <c r="F505" s="1"/>
      <c r="G505" s="83"/>
      <c r="H505" s="1"/>
      <c r="I505" s="1"/>
      <c r="J505" s="1"/>
      <c r="K505" s="1"/>
      <c r="L505" s="1"/>
      <c r="M505" s="1"/>
      <c r="N505" s="1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</row>
    <row r="506" spans="1:25" ht="15.75" customHeight="1" x14ac:dyDescent="0.2">
      <c r="A506" s="1"/>
      <c r="B506" s="1"/>
      <c r="C506" s="1"/>
      <c r="D506" s="1"/>
      <c r="E506" s="1"/>
      <c r="F506" s="1"/>
      <c r="G506" s="83"/>
      <c r="H506" s="1"/>
      <c r="I506" s="1"/>
      <c r="J506" s="1"/>
      <c r="K506" s="1"/>
      <c r="L506" s="1"/>
      <c r="M506" s="1"/>
      <c r="N506" s="1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</row>
    <row r="507" spans="1:25" ht="15.75" customHeight="1" x14ac:dyDescent="0.2">
      <c r="A507" s="1"/>
      <c r="B507" s="1"/>
      <c r="C507" s="1"/>
      <c r="D507" s="1"/>
      <c r="E507" s="1"/>
      <c r="F507" s="1"/>
      <c r="G507" s="83"/>
      <c r="H507" s="1"/>
      <c r="I507" s="1"/>
      <c r="J507" s="1"/>
      <c r="K507" s="1"/>
      <c r="L507" s="1"/>
      <c r="M507" s="1"/>
      <c r="N507" s="1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</row>
    <row r="508" spans="1:25" ht="15.75" customHeight="1" x14ac:dyDescent="0.2">
      <c r="A508" s="1"/>
      <c r="B508" s="1"/>
      <c r="C508" s="1"/>
      <c r="D508" s="1"/>
      <c r="E508" s="1"/>
      <c r="F508" s="1"/>
      <c r="G508" s="83"/>
      <c r="H508" s="1"/>
      <c r="I508" s="1"/>
      <c r="J508" s="1"/>
      <c r="K508" s="1"/>
      <c r="L508" s="1"/>
      <c r="M508" s="1"/>
      <c r="N508" s="1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</row>
    <row r="509" spans="1:25" ht="15.75" customHeight="1" x14ac:dyDescent="0.2">
      <c r="A509" s="1"/>
      <c r="B509" s="1"/>
      <c r="C509" s="1"/>
      <c r="D509" s="1"/>
      <c r="E509" s="1"/>
      <c r="F509" s="1"/>
      <c r="G509" s="83"/>
      <c r="H509" s="1"/>
      <c r="I509" s="1"/>
      <c r="J509" s="1"/>
      <c r="K509" s="1"/>
      <c r="L509" s="1"/>
      <c r="M509" s="1"/>
      <c r="N509" s="1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</row>
    <row r="510" spans="1:25" ht="15.75" customHeight="1" x14ac:dyDescent="0.2">
      <c r="A510" s="1"/>
      <c r="B510" s="1"/>
      <c r="C510" s="1"/>
      <c r="D510" s="1"/>
      <c r="E510" s="1"/>
      <c r="F510" s="1"/>
      <c r="G510" s="83"/>
      <c r="H510" s="1"/>
      <c r="I510" s="1"/>
      <c r="J510" s="1"/>
      <c r="K510" s="1"/>
      <c r="L510" s="1"/>
      <c r="M510" s="1"/>
      <c r="N510" s="1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</row>
    <row r="511" spans="1:25" ht="15.75" customHeight="1" x14ac:dyDescent="0.2">
      <c r="A511" s="1"/>
      <c r="B511" s="1"/>
      <c r="C511" s="1"/>
      <c r="D511" s="1"/>
      <c r="E511" s="1"/>
      <c r="F511" s="1"/>
      <c r="G511" s="83"/>
      <c r="H511" s="1"/>
      <c r="I511" s="1"/>
      <c r="J511" s="1"/>
      <c r="K511" s="1"/>
      <c r="L511" s="1"/>
      <c r="M511" s="1"/>
      <c r="N511" s="1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</row>
    <row r="512" spans="1:25" ht="15.75" customHeight="1" x14ac:dyDescent="0.2">
      <c r="A512" s="1"/>
      <c r="B512" s="1"/>
      <c r="C512" s="1"/>
      <c r="D512" s="1"/>
      <c r="E512" s="1"/>
      <c r="F512" s="1"/>
      <c r="G512" s="83"/>
      <c r="H512" s="1"/>
      <c r="I512" s="1"/>
      <c r="J512" s="1"/>
      <c r="K512" s="1"/>
      <c r="L512" s="1"/>
      <c r="M512" s="1"/>
      <c r="N512" s="1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</row>
    <row r="513" spans="1:25" ht="15.75" customHeight="1" x14ac:dyDescent="0.2">
      <c r="A513" s="1"/>
      <c r="B513" s="1"/>
      <c r="C513" s="1"/>
      <c r="D513" s="1"/>
      <c r="E513" s="1"/>
      <c r="F513" s="1"/>
      <c r="G513" s="83"/>
      <c r="H513" s="1"/>
      <c r="I513" s="1"/>
      <c r="J513" s="1"/>
      <c r="K513" s="1"/>
      <c r="L513" s="1"/>
      <c r="M513" s="1"/>
      <c r="N513" s="1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</row>
    <row r="514" spans="1:25" ht="15.75" customHeight="1" x14ac:dyDescent="0.2">
      <c r="A514" s="1"/>
      <c r="B514" s="1"/>
      <c r="C514" s="1"/>
      <c r="D514" s="1"/>
      <c r="E514" s="1"/>
      <c r="F514" s="1"/>
      <c r="G514" s="83"/>
      <c r="H514" s="1"/>
      <c r="I514" s="1"/>
      <c r="J514" s="1"/>
      <c r="K514" s="1"/>
      <c r="L514" s="1"/>
      <c r="M514" s="1"/>
      <c r="N514" s="1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</row>
    <row r="515" spans="1:25" ht="15.75" customHeight="1" x14ac:dyDescent="0.2">
      <c r="A515" s="1"/>
      <c r="B515" s="1"/>
      <c r="C515" s="1"/>
      <c r="D515" s="1"/>
      <c r="E515" s="1"/>
      <c r="F515" s="1"/>
      <c r="G515" s="83"/>
      <c r="H515" s="1"/>
      <c r="I515" s="1"/>
      <c r="J515" s="1"/>
      <c r="K515" s="1"/>
      <c r="L515" s="1"/>
      <c r="M515" s="1"/>
      <c r="N515" s="1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</row>
    <row r="516" spans="1:25" ht="15.75" customHeight="1" x14ac:dyDescent="0.2">
      <c r="A516" s="1"/>
      <c r="B516" s="1"/>
      <c r="C516" s="1"/>
      <c r="D516" s="1"/>
      <c r="E516" s="1"/>
      <c r="F516" s="1"/>
      <c r="G516" s="83"/>
      <c r="H516" s="1"/>
      <c r="I516" s="1"/>
      <c r="J516" s="1"/>
      <c r="K516" s="1"/>
      <c r="L516" s="1"/>
      <c r="M516" s="1"/>
      <c r="N516" s="1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</row>
    <row r="517" spans="1:25" ht="15.75" customHeight="1" x14ac:dyDescent="0.2">
      <c r="A517" s="1"/>
      <c r="B517" s="1"/>
      <c r="C517" s="1"/>
      <c r="D517" s="1"/>
      <c r="E517" s="1"/>
      <c r="F517" s="1"/>
      <c r="G517" s="83"/>
      <c r="H517" s="1"/>
      <c r="I517" s="1"/>
      <c r="J517" s="1"/>
      <c r="K517" s="1"/>
      <c r="L517" s="1"/>
      <c r="M517" s="1"/>
      <c r="N517" s="1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</row>
    <row r="518" spans="1:25" ht="15.75" customHeight="1" x14ac:dyDescent="0.2">
      <c r="A518" s="1"/>
      <c r="B518" s="1"/>
      <c r="C518" s="1"/>
      <c r="D518" s="1"/>
      <c r="E518" s="1"/>
      <c r="F518" s="1"/>
      <c r="G518" s="83"/>
      <c r="H518" s="1"/>
      <c r="I518" s="1"/>
      <c r="J518" s="1"/>
      <c r="K518" s="1"/>
      <c r="L518" s="1"/>
      <c r="M518" s="1"/>
      <c r="N518" s="1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</row>
    <row r="519" spans="1:25" ht="15.75" customHeight="1" x14ac:dyDescent="0.2">
      <c r="A519" s="1"/>
      <c r="B519" s="1"/>
      <c r="C519" s="1"/>
      <c r="D519" s="1"/>
      <c r="E519" s="1"/>
      <c r="F519" s="1"/>
      <c r="G519" s="83"/>
      <c r="H519" s="1"/>
      <c r="I519" s="1"/>
      <c r="J519" s="1"/>
      <c r="K519" s="1"/>
      <c r="L519" s="1"/>
      <c r="M519" s="1"/>
      <c r="N519" s="1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</row>
    <row r="520" spans="1:25" ht="15.75" customHeight="1" x14ac:dyDescent="0.2">
      <c r="A520" s="1"/>
      <c r="B520" s="1"/>
      <c r="C520" s="1"/>
      <c r="D520" s="1"/>
      <c r="E520" s="1"/>
      <c r="F520" s="1"/>
      <c r="G520" s="83"/>
      <c r="H520" s="1"/>
      <c r="I520" s="1"/>
      <c r="J520" s="1"/>
      <c r="K520" s="1"/>
      <c r="L520" s="1"/>
      <c r="M520" s="1"/>
      <c r="N520" s="1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</row>
    <row r="521" spans="1:25" ht="15.75" customHeight="1" x14ac:dyDescent="0.2">
      <c r="A521" s="1"/>
      <c r="B521" s="1"/>
      <c r="C521" s="1"/>
      <c r="D521" s="1"/>
      <c r="E521" s="1"/>
      <c r="F521" s="1"/>
      <c r="G521" s="83"/>
      <c r="H521" s="1"/>
      <c r="I521" s="1"/>
      <c r="J521" s="1"/>
      <c r="K521" s="1"/>
      <c r="L521" s="1"/>
      <c r="M521" s="1"/>
      <c r="N521" s="1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</row>
    <row r="522" spans="1:25" ht="15.75" customHeight="1" x14ac:dyDescent="0.2">
      <c r="A522" s="1"/>
      <c r="B522" s="1"/>
      <c r="C522" s="1"/>
      <c r="D522" s="1"/>
      <c r="E522" s="1"/>
      <c r="F522" s="1"/>
      <c r="G522" s="83"/>
      <c r="H522" s="1"/>
      <c r="I522" s="1"/>
      <c r="J522" s="1"/>
      <c r="K522" s="1"/>
      <c r="L522" s="1"/>
      <c r="M522" s="1"/>
      <c r="N522" s="1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</row>
    <row r="523" spans="1:25" ht="15.75" customHeight="1" x14ac:dyDescent="0.2">
      <c r="A523" s="1"/>
      <c r="B523" s="1"/>
      <c r="C523" s="1"/>
      <c r="D523" s="1"/>
      <c r="E523" s="1"/>
      <c r="F523" s="1"/>
      <c r="G523" s="83"/>
      <c r="H523" s="1"/>
      <c r="I523" s="1"/>
      <c r="J523" s="1"/>
      <c r="K523" s="1"/>
      <c r="L523" s="1"/>
      <c r="M523" s="1"/>
      <c r="N523" s="1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</row>
    <row r="524" spans="1:25" ht="15.75" customHeight="1" x14ac:dyDescent="0.2">
      <c r="A524" s="1"/>
      <c r="B524" s="1"/>
      <c r="C524" s="1"/>
      <c r="D524" s="1"/>
      <c r="E524" s="1"/>
      <c r="F524" s="1"/>
      <c r="G524" s="83"/>
      <c r="H524" s="1"/>
      <c r="I524" s="1"/>
      <c r="J524" s="1"/>
      <c r="K524" s="1"/>
      <c r="L524" s="1"/>
      <c r="M524" s="1"/>
      <c r="N524" s="1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</row>
    <row r="525" spans="1:25" ht="15.75" customHeight="1" x14ac:dyDescent="0.2">
      <c r="A525" s="1"/>
      <c r="B525" s="1"/>
      <c r="C525" s="1"/>
      <c r="D525" s="1"/>
      <c r="E525" s="1"/>
      <c r="F525" s="1"/>
      <c r="G525" s="83"/>
      <c r="H525" s="1"/>
      <c r="I525" s="1"/>
      <c r="J525" s="1"/>
      <c r="K525" s="1"/>
      <c r="L525" s="1"/>
      <c r="M525" s="1"/>
      <c r="N525" s="1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</row>
    <row r="526" spans="1:25" ht="15.75" customHeight="1" x14ac:dyDescent="0.2">
      <c r="A526" s="1"/>
      <c r="B526" s="1"/>
      <c r="C526" s="1"/>
      <c r="D526" s="1"/>
      <c r="E526" s="1"/>
      <c r="F526" s="1"/>
      <c r="G526" s="83"/>
      <c r="H526" s="1"/>
      <c r="I526" s="1"/>
      <c r="J526" s="1"/>
      <c r="K526" s="1"/>
      <c r="L526" s="1"/>
      <c r="M526" s="1"/>
      <c r="N526" s="1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</row>
    <row r="527" spans="1:25" ht="15.75" customHeight="1" x14ac:dyDescent="0.2">
      <c r="A527" s="1"/>
      <c r="B527" s="1"/>
      <c r="C527" s="1"/>
      <c r="D527" s="1"/>
      <c r="E527" s="1"/>
      <c r="F527" s="1"/>
      <c r="G527" s="83"/>
      <c r="H527" s="1"/>
      <c r="I527" s="1"/>
      <c r="J527" s="1"/>
      <c r="K527" s="1"/>
      <c r="L527" s="1"/>
      <c r="M527" s="1"/>
      <c r="N527" s="1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</row>
    <row r="528" spans="1:25" ht="15.75" customHeight="1" x14ac:dyDescent="0.2">
      <c r="A528" s="1"/>
      <c r="B528" s="1"/>
      <c r="C528" s="1"/>
      <c r="D528" s="1"/>
      <c r="E528" s="1"/>
      <c r="F528" s="1"/>
      <c r="G528" s="83"/>
      <c r="H528" s="1"/>
      <c r="I528" s="1"/>
      <c r="J528" s="1"/>
      <c r="K528" s="1"/>
      <c r="L528" s="1"/>
      <c r="M528" s="1"/>
      <c r="N528" s="1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</row>
    <row r="529" spans="1:25" ht="15.75" customHeight="1" x14ac:dyDescent="0.2">
      <c r="A529" s="1"/>
      <c r="B529" s="1"/>
      <c r="C529" s="1"/>
      <c r="D529" s="1"/>
      <c r="E529" s="1"/>
      <c r="F529" s="1"/>
      <c r="G529" s="83"/>
      <c r="H529" s="1"/>
      <c r="I529" s="1"/>
      <c r="J529" s="1"/>
      <c r="K529" s="1"/>
      <c r="L529" s="1"/>
      <c r="M529" s="1"/>
      <c r="N529" s="1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</row>
    <row r="530" spans="1:25" ht="15.75" customHeight="1" x14ac:dyDescent="0.2">
      <c r="A530" s="1"/>
      <c r="B530" s="1"/>
      <c r="C530" s="1"/>
      <c r="D530" s="1"/>
      <c r="E530" s="1"/>
      <c r="F530" s="1"/>
      <c r="G530" s="83"/>
      <c r="H530" s="1"/>
      <c r="I530" s="1"/>
      <c r="J530" s="1"/>
      <c r="K530" s="1"/>
      <c r="L530" s="1"/>
      <c r="M530" s="1"/>
      <c r="N530" s="1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</row>
    <row r="531" spans="1:25" ht="15.75" customHeight="1" x14ac:dyDescent="0.2">
      <c r="A531" s="1"/>
      <c r="B531" s="1"/>
      <c r="C531" s="1"/>
      <c r="D531" s="1"/>
      <c r="E531" s="1"/>
      <c r="F531" s="1"/>
      <c r="G531" s="83"/>
      <c r="H531" s="1"/>
      <c r="I531" s="1"/>
      <c r="J531" s="1"/>
      <c r="K531" s="1"/>
      <c r="L531" s="1"/>
      <c r="M531" s="1"/>
      <c r="N531" s="1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</row>
    <row r="532" spans="1:25" ht="15.75" customHeight="1" x14ac:dyDescent="0.2">
      <c r="A532" s="1"/>
      <c r="B532" s="1"/>
      <c r="C532" s="1"/>
      <c r="D532" s="1"/>
      <c r="E532" s="1"/>
      <c r="F532" s="1"/>
      <c r="G532" s="83"/>
      <c r="H532" s="1"/>
      <c r="I532" s="1"/>
      <c r="J532" s="1"/>
      <c r="K532" s="1"/>
      <c r="L532" s="1"/>
      <c r="M532" s="1"/>
      <c r="N532" s="1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</row>
    <row r="533" spans="1:25" ht="15.75" customHeight="1" x14ac:dyDescent="0.2">
      <c r="A533" s="1"/>
      <c r="B533" s="1"/>
      <c r="C533" s="1"/>
      <c r="D533" s="1"/>
      <c r="E533" s="1"/>
      <c r="F533" s="1"/>
      <c r="G533" s="83"/>
      <c r="H533" s="1"/>
      <c r="I533" s="1"/>
      <c r="J533" s="1"/>
      <c r="K533" s="1"/>
      <c r="L533" s="1"/>
      <c r="M533" s="1"/>
      <c r="N533" s="1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</row>
    <row r="534" spans="1:25" ht="15.75" customHeight="1" x14ac:dyDescent="0.2">
      <c r="A534" s="1"/>
      <c r="B534" s="1"/>
      <c r="C534" s="1"/>
      <c r="D534" s="1"/>
      <c r="E534" s="1"/>
      <c r="F534" s="1"/>
      <c r="G534" s="83"/>
      <c r="H534" s="1"/>
      <c r="I534" s="1"/>
      <c r="J534" s="1"/>
      <c r="K534" s="1"/>
      <c r="L534" s="1"/>
      <c r="M534" s="1"/>
      <c r="N534" s="1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</row>
    <row r="535" spans="1:25" ht="15.75" customHeight="1" x14ac:dyDescent="0.2">
      <c r="A535" s="1"/>
      <c r="B535" s="1"/>
      <c r="C535" s="1"/>
      <c r="D535" s="1"/>
      <c r="E535" s="1"/>
      <c r="F535" s="1"/>
      <c r="G535" s="83"/>
      <c r="H535" s="1"/>
      <c r="I535" s="1"/>
      <c r="J535" s="1"/>
      <c r="K535" s="1"/>
      <c r="L535" s="1"/>
      <c r="M535" s="1"/>
      <c r="N535" s="1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</row>
    <row r="536" spans="1:25" ht="15.75" customHeight="1" x14ac:dyDescent="0.2">
      <c r="A536" s="1"/>
      <c r="B536" s="1"/>
      <c r="C536" s="1"/>
      <c r="D536" s="1"/>
      <c r="E536" s="1"/>
      <c r="F536" s="1"/>
      <c r="G536" s="83"/>
      <c r="H536" s="1"/>
      <c r="I536" s="1"/>
      <c r="J536" s="1"/>
      <c r="K536" s="1"/>
      <c r="L536" s="1"/>
      <c r="M536" s="1"/>
      <c r="N536" s="1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</row>
    <row r="537" spans="1:25" ht="15.75" customHeight="1" x14ac:dyDescent="0.2">
      <c r="A537" s="1"/>
      <c r="B537" s="1"/>
      <c r="C537" s="1"/>
      <c r="D537" s="1"/>
      <c r="E537" s="1"/>
      <c r="F537" s="1"/>
      <c r="G537" s="83"/>
      <c r="H537" s="1"/>
      <c r="I537" s="1"/>
      <c r="J537" s="1"/>
      <c r="K537" s="1"/>
      <c r="L537" s="1"/>
      <c r="M537" s="1"/>
      <c r="N537" s="1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</row>
    <row r="538" spans="1:25" ht="15.75" customHeight="1" x14ac:dyDescent="0.2">
      <c r="A538" s="1"/>
      <c r="B538" s="1"/>
      <c r="C538" s="1"/>
      <c r="D538" s="1"/>
      <c r="E538" s="1"/>
      <c r="F538" s="1"/>
      <c r="G538" s="83"/>
      <c r="H538" s="1"/>
      <c r="I538" s="1"/>
      <c r="J538" s="1"/>
      <c r="K538" s="1"/>
      <c r="L538" s="1"/>
      <c r="M538" s="1"/>
      <c r="N538" s="1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</row>
    <row r="539" spans="1:25" ht="15.75" customHeight="1" x14ac:dyDescent="0.2">
      <c r="A539" s="1"/>
      <c r="B539" s="1"/>
      <c r="C539" s="1"/>
      <c r="D539" s="1"/>
      <c r="E539" s="1"/>
      <c r="F539" s="1"/>
      <c r="G539" s="83"/>
      <c r="H539" s="1"/>
      <c r="I539" s="1"/>
      <c r="J539" s="1"/>
      <c r="K539" s="1"/>
      <c r="L539" s="1"/>
      <c r="M539" s="1"/>
      <c r="N539" s="1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</row>
    <row r="540" spans="1:25" ht="15.75" customHeight="1" x14ac:dyDescent="0.2">
      <c r="A540" s="1"/>
      <c r="B540" s="1"/>
      <c r="C540" s="1"/>
      <c r="D540" s="1"/>
      <c r="E540" s="1"/>
      <c r="F540" s="1"/>
      <c r="G540" s="83"/>
      <c r="H540" s="1"/>
      <c r="I540" s="1"/>
      <c r="J540" s="1"/>
      <c r="K540" s="1"/>
      <c r="L540" s="1"/>
      <c r="M540" s="1"/>
      <c r="N540" s="1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</row>
    <row r="541" spans="1:25" ht="15.75" customHeight="1" x14ac:dyDescent="0.2">
      <c r="A541" s="1"/>
      <c r="B541" s="1"/>
      <c r="C541" s="1"/>
      <c r="D541" s="1"/>
      <c r="E541" s="1"/>
      <c r="F541" s="1"/>
      <c r="G541" s="83"/>
      <c r="H541" s="1"/>
      <c r="I541" s="1"/>
      <c r="J541" s="1"/>
      <c r="K541" s="1"/>
      <c r="L541" s="1"/>
      <c r="M541" s="1"/>
      <c r="N541" s="1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</row>
    <row r="542" spans="1:25" ht="15.75" customHeight="1" x14ac:dyDescent="0.2">
      <c r="A542" s="1"/>
      <c r="B542" s="1"/>
      <c r="C542" s="1"/>
      <c r="D542" s="1"/>
      <c r="E542" s="1"/>
      <c r="F542" s="1"/>
      <c r="G542" s="83"/>
      <c r="H542" s="1"/>
      <c r="I542" s="1"/>
      <c r="J542" s="1"/>
      <c r="K542" s="1"/>
      <c r="L542" s="1"/>
      <c r="M542" s="1"/>
      <c r="N542" s="1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</row>
    <row r="543" spans="1:25" ht="15.75" customHeight="1" x14ac:dyDescent="0.2">
      <c r="A543" s="1"/>
      <c r="B543" s="1"/>
      <c r="C543" s="1"/>
      <c r="D543" s="1"/>
      <c r="E543" s="1"/>
      <c r="F543" s="1"/>
      <c r="G543" s="83"/>
      <c r="H543" s="1"/>
      <c r="I543" s="1"/>
      <c r="J543" s="1"/>
      <c r="K543" s="1"/>
      <c r="L543" s="1"/>
      <c r="M543" s="1"/>
      <c r="N543" s="1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</row>
    <row r="544" spans="1:25" ht="15.75" customHeight="1" x14ac:dyDescent="0.2">
      <c r="A544" s="1"/>
      <c r="B544" s="1"/>
      <c r="C544" s="1"/>
      <c r="D544" s="1"/>
      <c r="E544" s="1"/>
      <c r="F544" s="1"/>
      <c r="G544" s="83"/>
      <c r="H544" s="1"/>
      <c r="I544" s="1"/>
      <c r="J544" s="1"/>
      <c r="K544" s="1"/>
      <c r="L544" s="1"/>
      <c r="M544" s="1"/>
      <c r="N544" s="1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</row>
    <row r="545" spans="1:25" ht="15.75" customHeight="1" x14ac:dyDescent="0.2">
      <c r="A545" s="1"/>
      <c r="B545" s="1"/>
      <c r="C545" s="1"/>
      <c r="D545" s="1"/>
      <c r="E545" s="1"/>
      <c r="F545" s="1"/>
      <c r="G545" s="83"/>
      <c r="H545" s="1"/>
      <c r="I545" s="1"/>
      <c r="J545" s="1"/>
      <c r="K545" s="1"/>
      <c r="L545" s="1"/>
      <c r="M545" s="1"/>
      <c r="N545" s="1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</row>
    <row r="546" spans="1:25" ht="15.75" customHeight="1" x14ac:dyDescent="0.2">
      <c r="A546" s="1"/>
      <c r="B546" s="1"/>
      <c r="C546" s="1"/>
      <c r="D546" s="1"/>
      <c r="E546" s="1"/>
      <c r="F546" s="1"/>
      <c r="G546" s="83"/>
      <c r="H546" s="1"/>
      <c r="I546" s="1"/>
      <c r="J546" s="1"/>
      <c r="K546" s="1"/>
      <c r="L546" s="1"/>
      <c r="M546" s="1"/>
      <c r="N546" s="1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</row>
    <row r="547" spans="1:25" ht="15.75" customHeight="1" x14ac:dyDescent="0.2">
      <c r="A547" s="1"/>
      <c r="B547" s="1"/>
      <c r="C547" s="1"/>
      <c r="D547" s="1"/>
      <c r="E547" s="1"/>
      <c r="F547" s="1"/>
      <c r="G547" s="83"/>
      <c r="H547" s="1"/>
      <c r="I547" s="1"/>
      <c r="J547" s="1"/>
      <c r="K547" s="1"/>
      <c r="L547" s="1"/>
      <c r="M547" s="1"/>
      <c r="N547" s="1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</row>
    <row r="548" spans="1:25" ht="15.75" customHeight="1" x14ac:dyDescent="0.2">
      <c r="A548" s="1"/>
      <c r="B548" s="1"/>
      <c r="C548" s="1"/>
      <c r="D548" s="1"/>
      <c r="E548" s="1"/>
      <c r="F548" s="1"/>
      <c r="G548" s="83"/>
      <c r="H548" s="1"/>
      <c r="I548" s="1"/>
      <c r="J548" s="1"/>
      <c r="K548" s="1"/>
      <c r="L548" s="1"/>
      <c r="M548" s="1"/>
      <c r="N548" s="1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</row>
    <row r="549" spans="1:25" ht="15.75" customHeight="1" x14ac:dyDescent="0.2">
      <c r="A549" s="1"/>
      <c r="B549" s="1"/>
      <c r="C549" s="1"/>
      <c r="D549" s="1"/>
      <c r="E549" s="1"/>
      <c r="F549" s="1"/>
      <c r="G549" s="83"/>
      <c r="H549" s="1"/>
      <c r="I549" s="1"/>
      <c r="J549" s="1"/>
      <c r="K549" s="1"/>
      <c r="L549" s="1"/>
      <c r="M549" s="1"/>
      <c r="N549" s="1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</row>
    <row r="550" spans="1:25" ht="15.75" customHeight="1" x14ac:dyDescent="0.2">
      <c r="A550" s="1"/>
      <c r="B550" s="1"/>
      <c r="C550" s="1"/>
      <c r="D550" s="1"/>
      <c r="E550" s="1"/>
      <c r="F550" s="1"/>
      <c r="G550" s="83"/>
      <c r="H550" s="1"/>
      <c r="I550" s="1"/>
      <c r="J550" s="1"/>
      <c r="K550" s="1"/>
      <c r="L550" s="1"/>
      <c r="M550" s="1"/>
      <c r="N550" s="1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</row>
    <row r="551" spans="1:25" ht="15.75" customHeight="1" x14ac:dyDescent="0.2">
      <c r="A551" s="1"/>
      <c r="B551" s="1"/>
      <c r="C551" s="1"/>
      <c r="D551" s="1"/>
      <c r="E551" s="1"/>
      <c r="F551" s="1"/>
      <c r="G551" s="83"/>
      <c r="H551" s="1"/>
      <c r="I551" s="1"/>
      <c r="J551" s="1"/>
      <c r="K551" s="1"/>
      <c r="L551" s="1"/>
      <c r="M551" s="1"/>
      <c r="N551" s="1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</row>
    <row r="552" spans="1:25" ht="15.75" customHeight="1" x14ac:dyDescent="0.2">
      <c r="A552" s="1"/>
      <c r="B552" s="1"/>
      <c r="C552" s="1"/>
      <c r="D552" s="1"/>
      <c r="E552" s="1"/>
      <c r="F552" s="1"/>
      <c r="G552" s="83"/>
      <c r="H552" s="1"/>
      <c r="I552" s="1"/>
      <c r="J552" s="1"/>
      <c r="K552" s="1"/>
      <c r="L552" s="1"/>
      <c r="M552" s="1"/>
      <c r="N552" s="1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</row>
    <row r="553" spans="1:25" ht="15.75" customHeight="1" x14ac:dyDescent="0.2">
      <c r="A553" s="1"/>
      <c r="B553" s="1"/>
      <c r="C553" s="1"/>
      <c r="D553" s="1"/>
      <c r="E553" s="1"/>
      <c r="F553" s="1"/>
      <c r="G553" s="83"/>
      <c r="H553" s="1"/>
      <c r="I553" s="1"/>
      <c r="J553" s="1"/>
      <c r="K553" s="1"/>
      <c r="L553" s="1"/>
      <c r="M553" s="1"/>
      <c r="N553" s="1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</row>
    <row r="554" spans="1:25" ht="15.75" customHeight="1" x14ac:dyDescent="0.2">
      <c r="A554" s="1"/>
      <c r="B554" s="1"/>
      <c r="C554" s="1"/>
      <c r="D554" s="1"/>
      <c r="E554" s="1"/>
      <c r="F554" s="1"/>
      <c r="G554" s="83"/>
      <c r="H554" s="1"/>
      <c r="I554" s="1"/>
      <c r="J554" s="1"/>
      <c r="K554" s="1"/>
      <c r="L554" s="1"/>
      <c r="M554" s="1"/>
      <c r="N554" s="1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</row>
    <row r="555" spans="1:25" ht="15.75" customHeight="1" x14ac:dyDescent="0.2">
      <c r="A555" s="1"/>
      <c r="B555" s="1"/>
      <c r="C555" s="1"/>
      <c r="D555" s="1"/>
      <c r="E555" s="1"/>
      <c r="F555" s="1"/>
      <c r="G555" s="83"/>
      <c r="H555" s="1"/>
      <c r="I555" s="1"/>
      <c r="J555" s="1"/>
      <c r="K555" s="1"/>
      <c r="L555" s="1"/>
      <c r="M555" s="1"/>
      <c r="N555" s="1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</row>
    <row r="556" spans="1:25" ht="15.75" customHeight="1" x14ac:dyDescent="0.2">
      <c r="A556" s="1"/>
      <c r="B556" s="1"/>
      <c r="C556" s="1"/>
      <c r="D556" s="1"/>
      <c r="E556" s="1"/>
      <c r="F556" s="1"/>
      <c r="G556" s="83"/>
      <c r="H556" s="1"/>
      <c r="I556" s="1"/>
      <c r="J556" s="1"/>
      <c r="K556" s="1"/>
      <c r="L556" s="1"/>
      <c r="M556" s="1"/>
      <c r="N556" s="1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</row>
    <row r="557" spans="1:25" ht="15.75" customHeight="1" x14ac:dyDescent="0.2">
      <c r="A557" s="1"/>
      <c r="B557" s="1"/>
      <c r="C557" s="1"/>
      <c r="D557" s="1"/>
      <c r="E557" s="1"/>
      <c r="F557" s="1"/>
      <c r="G557" s="83"/>
      <c r="H557" s="1"/>
      <c r="I557" s="1"/>
      <c r="J557" s="1"/>
      <c r="K557" s="1"/>
      <c r="L557" s="1"/>
      <c r="M557" s="1"/>
      <c r="N557" s="1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</row>
    <row r="558" spans="1:25" ht="15.75" customHeight="1" x14ac:dyDescent="0.2">
      <c r="A558" s="1"/>
      <c r="B558" s="1"/>
      <c r="C558" s="1"/>
      <c r="D558" s="1"/>
      <c r="E558" s="1"/>
      <c r="F558" s="1"/>
      <c r="G558" s="83"/>
      <c r="H558" s="1"/>
      <c r="I558" s="1"/>
      <c r="J558" s="1"/>
      <c r="K558" s="1"/>
      <c r="L558" s="1"/>
      <c r="M558" s="1"/>
      <c r="N558" s="1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</row>
    <row r="559" spans="1:25" ht="15.75" customHeight="1" x14ac:dyDescent="0.2">
      <c r="A559" s="1"/>
      <c r="B559" s="1"/>
      <c r="C559" s="1"/>
      <c r="D559" s="1"/>
      <c r="E559" s="1"/>
      <c r="F559" s="1"/>
      <c r="G559" s="83"/>
      <c r="H559" s="1"/>
      <c r="I559" s="1"/>
      <c r="J559" s="1"/>
      <c r="K559" s="1"/>
      <c r="L559" s="1"/>
      <c r="M559" s="1"/>
      <c r="N559" s="1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</row>
    <row r="560" spans="1:25" ht="15.75" customHeight="1" x14ac:dyDescent="0.2">
      <c r="A560" s="1"/>
      <c r="B560" s="1"/>
      <c r="C560" s="1"/>
      <c r="D560" s="1"/>
      <c r="E560" s="1"/>
      <c r="F560" s="1"/>
      <c r="G560" s="83"/>
      <c r="H560" s="1"/>
      <c r="I560" s="1"/>
      <c r="J560" s="1"/>
      <c r="K560" s="1"/>
      <c r="L560" s="1"/>
      <c r="M560" s="1"/>
      <c r="N560" s="1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</row>
    <row r="561" spans="1:25" ht="15.75" customHeight="1" x14ac:dyDescent="0.2">
      <c r="A561" s="1"/>
      <c r="B561" s="1"/>
      <c r="C561" s="1"/>
      <c r="D561" s="1"/>
      <c r="E561" s="1"/>
      <c r="F561" s="1"/>
      <c r="G561" s="83"/>
      <c r="H561" s="1"/>
      <c r="I561" s="1"/>
      <c r="J561" s="1"/>
      <c r="K561" s="1"/>
      <c r="L561" s="1"/>
      <c r="M561" s="1"/>
      <c r="N561" s="1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</row>
    <row r="562" spans="1:25" ht="15.75" customHeight="1" x14ac:dyDescent="0.2">
      <c r="A562" s="1"/>
      <c r="B562" s="1"/>
      <c r="C562" s="1"/>
      <c r="D562" s="1"/>
      <c r="E562" s="1"/>
      <c r="F562" s="1"/>
      <c r="G562" s="83"/>
      <c r="H562" s="1"/>
      <c r="I562" s="1"/>
      <c r="J562" s="1"/>
      <c r="K562" s="1"/>
      <c r="L562" s="1"/>
      <c r="M562" s="1"/>
      <c r="N562" s="1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</row>
    <row r="563" spans="1:25" ht="15.75" customHeight="1" x14ac:dyDescent="0.2">
      <c r="A563" s="1"/>
      <c r="B563" s="1"/>
      <c r="C563" s="1"/>
      <c r="D563" s="1"/>
      <c r="E563" s="1"/>
      <c r="F563" s="1"/>
      <c r="G563" s="83"/>
      <c r="H563" s="1"/>
      <c r="I563" s="1"/>
      <c r="J563" s="1"/>
      <c r="K563" s="1"/>
      <c r="L563" s="1"/>
      <c r="M563" s="1"/>
      <c r="N563" s="1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</row>
    <row r="564" spans="1:25" ht="15.75" customHeight="1" x14ac:dyDescent="0.2">
      <c r="A564" s="1"/>
      <c r="B564" s="1"/>
      <c r="C564" s="1"/>
      <c r="D564" s="1"/>
      <c r="E564" s="1"/>
      <c r="F564" s="1"/>
      <c r="G564" s="83"/>
      <c r="H564" s="1"/>
      <c r="I564" s="1"/>
      <c r="J564" s="1"/>
      <c r="K564" s="1"/>
      <c r="L564" s="1"/>
      <c r="M564" s="1"/>
      <c r="N564" s="1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</row>
    <row r="565" spans="1:25" ht="15.75" customHeight="1" x14ac:dyDescent="0.2">
      <c r="A565" s="1"/>
      <c r="B565" s="1"/>
      <c r="C565" s="1"/>
      <c r="D565" s="1"/>
      <c r="E565" s="1"/>
      <c r="F565" s="1"/>
      <c r="G565" s="83"/>
      <c r="H565" s="1"/>
      <c r="I565" s="1"/>
      <c r="J565" s="1"/>
      <c r="K565" s="1"/>
      <c r="L565" s="1"/>
      <c r="M565" s="1"/>
      <c r="N565" s="1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</row>
    <row r="566" spans="1:25" ht="15.75" customHeight="1" x14ac:dyDescent="0.2">
      <c r="A566" s="1"/>
      <c r="B566" s="1"/>
      <c r="C566" s="1"/>
      <c r="D566" s="1"/>
      <c r="E566" s="1"/>
      <c r="F566" s="1"/>
      <c r="G566" s="83"/>
      <c r="H566" s="1"/>
      <c r="I566" s="1"/>
      <c r="J566" s="1"/>
      <c r="K566" s="1"/>
      <c r="L566" s="1"/>
      <c r="M566" s="1"/>
      <c r="N566" s="1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</row>
    <row r="567" spans="1:25" ht="15.75" customHeight="1" x14ac:dyDescent="0.2">
      <c r="A567" s="1"/>
      <c r="B567" s="1"/>
      <c r="C567" s="1"/>
      <c r="D567" s="1"/>
      <c r="E567" s="1"/>
      <c r="F567" s="1"/>
      <c r="G567" s="83"/>
      <c r="H567" s="1"/>
      <c r="I567" s="1"/>
      <c r="J567" s="1"/>
      <c r="K567" s="1"/>
      <c r="L567" s="1"/>
      <c r="M567" s="1"/>
      <c r="N567" s="1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</row>
    <row r="568" spans="1:25" ht="15.75" customHeight="1" x14ac:dyDescent="0.2">
      <c r="A568" s="1"/>
      <c r="B568" s="1"/>
      <c r="C568" s="1"/>
      <c r="D568" s="1"/>
      <c r="E568" s="1"/>
      <c r="F568" s="1"/>
      <c r="G568" s="83"/>
      <c r="H568" s="1"/>
      <c r="I568" s="1"/>
      <c r="J568" s="1"/>
      <c r="K568" s="1"/>
      <c r="L568" s="1"/>
      <c r="M568" s="1"/>
      <c r="N568" s="1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</row>
    <row r="569" spans="1:25" ht="15.75" customHeight="1" x14ac:dyDescent="0.2">
      <c r="A569" s="1"/>
      <c r="B569" s="1"/>
      <c r="C569" s="1"/>
      <c r="D569" s="1"/>
      <c r="E569" s="1"/>
      <c r="F569" s="1"/>
      <c r="G569" s="83"/>
      <c r="H569" s="1"/>
      <c r="I569" s="1"/>
      <c r="J569" s="1"/>
      <c r="K569" s="1"/>
      <c r="L569" s="1"/>
      <c r="M569" s="1"/>
      <c r="N569" s="1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</row>
    <row r="570" spans="1:25" ht="15.75" customHeight="1" x14ac:dyDescent="0.2">
      <c r="A570" s="1"/>
      <c r="B570" s="1"/>
      <c r="C570" s="1"/>
      <c r="D570" s="1"/>
      <c r="E570" s="1"/>
      <c r="F570" s="1"/>
      <c r="G570" s="83"/>
      <c r="H570" s="1"/>
      <c r="I570" s="1"/>
      <c r="J570" s="1"/>
      <c r="K570" s="1"/>
      <c r="L570" s="1"/>
      <c r="M570" s="1"/>
      <c r="N570" s="1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</row>
    <row r="571" spans="1:25" ht="15.75" customHeight="1" x14ac:dyDescent="0.2">
      <c r="A571" s="1"/>
      <c r="B571" s="1"/>
      <c r="C571" s="1"/>
      <c r="D571" s="1"/>
      <c r="E571" s="1"/>
      <c r="F571" s="1"/>
      <c r="G571" s="83"/>
      <c r="H571" s="1"/>
      <c r="I571" s="1"/>
      <c r="J571" s="1"/>
      <c r="K571" s="1"/>
      <c r="L571" s="1"/>
      <c r="M571" s="1"/>
      <c r="N571" s="1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</row>
    <row r="572" spans="1:25" ht="15.75" customHeight="1" x14ac:dyDescent="0.2">
      <c r="A572" s="1"/>
      <c r="B572" s="1"/>
      <c r="C572" s="1"/>
      <c r="D572" s="1"/>
      <c r="E572" s="1"/>
      <c r="F572" s="1"/>
      <c r="G572" s="83"/>
      <c r="H572" s="1"/>
      <c r="I572" s="1"/>
      <c r="J572" s="1"/>
      <c r="K572" s="1"/>
      <c r="L572" s="1"/>
      <c r="M572" s="1"/>
      <c r="N572" s="1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</row>
    <row r="573" spans="1:25" ht="15.75" customHeight="1" x14ac:dyDescent="0.2">
      <c r="A573" s="1"/>
      <c r="B573" s="1"/>
      <c r="C573" s="1"/>
      <c r="D573" s="1"/>
      <c r="E573" s="1"/>
      <c r="F573" s="1"/>
      <c r="G573" s="83"/>
      <c r="H573" s="1"/>
      <c r="I573" s="1"/>
      <c r="J573" s="1"/>
      <c r="K573" s="1"/>
      <c r="L573" s="1"/>
      <c r="M573" s="1"/>
      <c r="N573" s="1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</row>
    <row r="574" spans="1:25" ht="15.75" customHeight="1" x14ac:dyDescent="0.2">
      <c r="A574" s="1"/>
      <c r="B574" s="1"/>
      <c r="C574" s="1"/>
      <c r="D574" s="1"/>
      <c r="E574" s="1"/>
      <c r="F574" s="1"/>
      <c r="G574" s="83"/>
      <c r="H574" s="1"/>
      <c r="I574" s="1"/>
      <c r="J574" s="1"/>
      <c r="K574" s="1"/>
      <c r="L574" s="1"/>
      <c r="M574" s="1"/>
      <c r="N574" s="1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</row>
    <row r="575" spans="1:25" ht="15.75" customHeight="1" x14ac:dyDescent="0.2">
      <c r="A575" s="1"/>
      <c r="B575" s="1"/>
      <c r="C575" s="1"/>
      <c r="D575" s="1"/>
      <c r="E575" s="1"/>
      <c r="F575" s="1"/>
      <c r="G575" s="83"/>
      <c r="H575" s="1"/>
      <c r="I575" s="1"/>
      <c r="J575" s="1"/>
      <c r="K575" s="1"/>
      <c r="L575" s="1"/>
      <c r="M575" s="1"/>
      <c r="N575" s="1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</row>
    <row r="576" spans="1:25" ht="15.75" customHeight="1" x14ac:dyDescent="0.2">
      <c r="A576" s="1"/>
      <c r="B576" s="1"/>
      <c r="C576" s="1"/>
      <c r="D576" s="1"/>
      <c r="E576" s="1"/>
      <c r="F576" s="1"/>
      <c r="G576" s="83"/>
      <c r="H576" s="1"/>
      <c r="I576" s="1"/>
      <c r="J576" s="1"/>
      <c r="K576" s="1"/>
      <c r="L576" s="1"/>
      <c r="M576" s="1"/>
      <c r="N576" s="1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</row>
    <row r="577" spans="1:25" ht="15.75" customHeight="1" x14ac:dyDescent="0.2">
      <c r="A577" s="1"/>
      <c r="B577" s="1"/>
      <c r="C577" s="1"/>
      <c r="D577" s="1"/>
      <c r="E577" s="1"/>
      <c r="F577" s="1"/>
      <c r="G577" s="83"/>
      <c r="H577" s="1"/>
      <c r="I577" s="1"/>
      <c r="J577" s="1"/>
      <c r="K577" s="1"/>
      <c r="L577" s="1"/>
      <c r="M577" s="1"/>
      <c r="N577" s="1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</row>
    <row r="578" spans="1:25" ht="15.75" customHeight="1" x14ac:dyDescent="0.2">
      <c r="A578" s="1"/>
      <c r="B578" s="1"/>
      <c r="C578" s="1"/>
      <c r="D578" s="1"/>
      <c r="E578" s="1"/>
      <c r="F578" s="1"/>
      <c r="G578" s="83"/>
      <c r="H578" s="1"/>
      <c r="I578" s="1"/>
      <c r="J578" s="1"/>
      <c r="K578" s="1"/>
      <c r="L578" s="1"/>
      <c r="M578" s="1"/>
      <c r="N578" s="1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</row>
    <row r="579" spans="1:25" ht="15.75" customHeight="1" x14ac:dyDescent="0.2">
      <c r="A579" s="1"/>
      <c r="B579" s="1"/>
      <c r="C579" s="1"/>
      <c r="D579" s="1"/>
      <c r="E579" s="1"/>
      <c r="F579" s="1"/>
      <c r="G579" s="83"/>
      <c r="H579" s="1"/>
      <c r="I579" s="1"/>
      <c r="J579" s="1"/>
      <c r="K579" s="1"/>
      <c r="L579" s="1"/>
      <c r="M579" s="1"/>
      <c r="N579" s="1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</row>
    <row r="580" spans="1:25" ht="15.75" customHeight="1" x14ac:dyDescent="0.2">
      <c r="A580" s="1"/>
      <c r="B580" s="1"/>
      <c r="C580" s="1"/>
      <c r="D580" s="1"/>
      <c r="E580" s="1"/>
      <c r="F580" s="1"/>
      <c r="G580" s="83"/>
      <c r="H580" s="1"/>
      <c r="I580" s="1"/>
      <c r="J580" s="1"/>
      <c r="K580" s="1"/>
      <c r="L580" s="1"/>
      <c r="M580" s="1"/>
      <c r="N580" s="1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</row>
    <row r="581" spans="1:25" ht="15.75" customHeight="1" x14ac:dyDescent="0.2">
      <c r="A581" s="1"/>
      <c r="B581" s="1"/>
      <c r="C581" s="1"/>
      <c r="D581" s="1"/>
      <c r="E581" s="1"/>
      <c r="F581" s="1"/>
      <c r="G581" s="83"/>
      <c r="H581" s="1"/>
      <c r="I581" s="1"/>
      <c r="J581" s="1"/>
      <c r="K581" s="1"/>
      <c r="L581" s="1"/>
      <c r="M581" s="1"/>
      <c r="N581" s="1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</row>
    <row r="582" spans="1:25" ht="15.75" customHeight="1" x14ac:dyDescent="0.2">
      <c r="A582" s="1"/>
      <c r="B582" s="1"/>
      <c r="C582" s="1"/>
      <c r="D582" s="1"/>
      <c r="E582" s="1"/>
      <c r="F582" s="1"/>
      <c r="G582" s="83"/>
      <c r="H582" s="1"/>
      <c r="I582" s="1"/>
      <c r="J582" s="1"/>
      <c r="K582" s="1"/>
      <c r="L582" s="1"/>
      <c r="M582" s="1"/>
      <c r="N582" s="1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</row>
    <row r="583" spans="1:25" ht="15.75" customHeight="1" x14ac:dyDescent="0.2">
      <c r="A583" s="1"/>
      <c r="B583" s="1"/>
      <c r="C583" s="1"/>
      <c r="D583" s="1"/>
      <c r="E583" s="1"/>
      <c r="F583" s="1"/>
      <c r="G583" s="83"/>
      <c r="H583" s="1"/>
      <c r="I583" s="1"/>
      <c r="J583" s="1"/>
      <c r="K583" s="1"/>
      <c r="L583" s="1"/>
      <c r="M583" s="1"/>
      <c r="N583" s="1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</row>
    <row r="584" spans="1:25" ht="15.75" customHeight="1" x14ac:dyDescent="0.2">
      <c r="A584" s="1"/>
      <c r="B584" s="1"/>
      <c r="C584" s="1"/>
      <c r="D584" s="1"/>
      <c r="E584" s="1"/>
      <c r="F584" s="1"/>
      <c r="G584" s="83"/>
      <c r="H584" s="1"/>
      <c r="I584" s="1"/>
      <c r="J584" s="1"/>
      <c r="K584" s="1"/>
      <c r="L584" s="1"/>
      <c r="M584" s="1"/>
      <c r="N584" s="1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</row>
    <row r="585" spans="1:25" ht="15.75" customHeight="1" x14ac:dyDescent="0.2">
      <c r="A585" s="1"/>
      <c r="B585" s="1"/>
      <c r="C585" s="1"/>
      <c r="D585" s="1"/>
      <c r="E585" s="1"/>
      <c r="F585" s="1"/>
      <c r="G585" s="83"/>
      <c r="H585" s="1"/>
      <c r="I585" s="1"/>
      <c r="J585" s="1"/>
      <c r="K585" s="1"/>
      <c r="L585" s="1"/>
      <c r="M585" s="1"/>
      <c r="N585" s="1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</row>
    <row r="586" spans="1:25" ht="15.75" customHeight="1" x14ac:dyDescent="0.2">
      <c r="A586" s="1"/>
      <c r="B586" s="1"/>
      <c r="C586" s="1"/>
      <c r="D586" s="1"/>
      <c r="E586" s="1"/>
      <c r="F586" s="1"/>
      <c r="G586" s="83"/>
      <c r="H586" s="1"/>
      <c r="I586" s="1"/>
      <c r="J586" s="1"/>
      <c r="K586" s="1"/>
      <c r="L586" s="1"/>
      <c r="M586" s="1"/>
      <c r="N586" s="1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</row>
    <row r="587" spans="1:25" ht="15.75" customHeight="1" x14ac:dyDescent="0.2">
      <c r="A587" s="1"/>
      <c r="B587" s="1"/>
      <c r="C587" s="1"/>
      <c r="D587" s="1"/>
      <c r="E587" s="1"/>
      <c r="F587" s="1"/>
      <c r="G587" s="83"/>
      <c r="H587" s="1"/>
      <c r="I587" s="1"/>
      <c r="J587" s="1"/>
      <c r="K587" s="1"/>
      <c r="L587" s="1"/>
      <c r="M587" s="1"/>
      <c r="N587" s="1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</row>
    <row r="588" spans="1:25" ht="15.75" customHeight="1" x14ac:dyDescent="0.2">
      <c r="A588" s="1"/>
      <c r="B588" s="1"/>
      <c r="C588" s="1"/>
      <c r="D588" s="1"/>
      <c r="E588" s="1"/>
      <c r="F588" s="1"/>
      <c r="G588" s="83"/>
      <c r="H588" s="1"/>
      <c r="I588" s="1"/>
      <c r="J588" s="1"/>
      <c r="K588" s="1"/>
      <c r="L588" s="1"/>
      <c r="M588" s="1"/>
      <c r="N588" s="1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</row>
    <row r="589" spans="1:25" ht="15.75" customHeight="1" x14ac:dyDescent="0.2">
      <c r="A589" s="1"/>
      <c r="B589" s="1"/>
      <c r="C589" s="1"/>
      <c r="D589" s="1"/>
      <c r="E589" s="1"/>
      <c r="F589" s="1"/>
      <c r="G589" s="83"/>
      <c r="H589" s="1"/>
      <c r="I589" s="1"/>
      <c r="J589" s="1"/>
      <c r="K589" s="1"/>
      <c r="L589" s="1"/>
      <c r="M589" s="1"/>
      <c r="N589" s="1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</row>
    <row r="590" spans="1:25" ht="15.75" customHeight="1" x14ac:dyDescent="0.2">
      <c r="A590" s="1"/>
      <c r="B590" s="1"/>
      <c r="C590" s="1"/>
      <c r="D590" s="1"/>
      <c r="E590" s="1"/>
      <c r="F590" s="1"/>
      <c r="G590" s="83"/>
      <c r="H590" s="1"/>
      <c r="I590" s="1"/>
      <c r="J590" s="1"/>
      <c r="K590" s="1"/>
      <c r="L590" s="1"/>
      <c r="M590" s="1"/>
      <c r="N590" s="1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</row>
    <row r="591" spans="1:25" ht="15.75" customHeight="1" x14ac:dyDescent="0.2">
      <c r="A591" s="1"/>
      <c r="B591" s="1"/>
      <c r="C591" s="1"/>
      <c r="D591" s="1"/>
      <c r="E591" s="1"/>
      <c r="F591" s="1"/>
      <c r="G591" s="83"/>
      <c r="H591" s="1"/>
      <c r="I591" s="1"/>
      <c r="J591" s="1"/>
      <c r="K591" s="1"/>
      <c r="L591" s="1"/>
      <c r="M591" s="1"/>
      <c r="N591" s="1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</row>
    <row r="592" spans="1:25" ht="15.75" customHeight="1" x14ac:dyDescent="0.2">
      <c r="A592" s="1"/>
      <c r="B592" s="1"/>
      <c r="C592" s="1"/>
      <c r="D592" s="1"/>
      <c r="E592" s="1"/>
      <c r="F592" s="1"/>
      <c r="G592" s="83"/>
      <c r="H592" s="1"/>
      <c r="I592" s="1"/>
      <c r="J592" s="1"/>
      <c r="K592" s="1"/>
      <c r="L592" s="1"/>
      <c r="M592" s="1"/>
      <c r="N592" s="1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</row>
    <row r="593" spans="1:25" ht="15.75" customHeight="1" x14ac:dyDescent="0.2">
      <c r="A593" s="1"/>
      <c r="B593" s="1"/>
      <c r="C593" s="1"/>
      <c r="D593" s="1"/>
      <c r="E593" s="1"/>
      <c r="F593" s="1"/>
      <c r="G593" s="83"/>
      <c r="H593" s="1"/>
      <c r="I593" s="1"/>
      <c r="J593" s="1"/>
      <c r="K593" s="1"/>
      <c r="L593" s="1"/>
      <c r="M593" s="1"/>
      <c r="N593" s="1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</row>
    <row r="594" spans="1:25" ht="15.75" customHeight="1" x14ac:dyDescent="0.2">
      <c r="A594" s="1"/>
      <c r="B594" s="1"/>
      <c r="C594" s="1"/>
      <c r="D594" s="1"/>
      <c r="E594" s="1"/>
      <c r="F594" s="1"/>
      <c r="G594" s="83"/>
      <c r="H594" s="1"/>
      <c r="I594" s="1"/>
      <c r="J594" s="1"/>
      <c r="K594" s="1"/>
      <c r="L594" s="1"/>
      <c r="M594" s="1"/>
      <c r="N594" s="1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</row>
    <row r="595" spans="1:25" ht="15.75" customHeight="1" x14ac:dyDescent="0.2">
      <c r="A595" s="1"/>
      <c r="B595" s="1"/>
      <c r="C595" s="1"/>
      <c r="D595" s="1"/>
      <c r="E595" s="1"/>
      <c r="F595" s="1"/>
      <c r="G595" s="83"/>
      <c r="H595" s="1"/>
      <c r="I595" s="1"/>
      <c r="J595" s="1"/>
      <c r="K595" s="1"/>
      <c r="L595" s="1"/>
      <c r="M595" s="1"/>
      <c r="N595" s="1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</row>
    <row r="596" spans="1:25" ht="15.75" customHeight="1" x14ac:dyDescent="0.2">
      <c r="A596" s="1"/>
      <c r="B596" s="1"/>
      <c r="C596" s="1"/>
      <c r="D596" s="1"/>
      <c r="E596" s="1"/>
      <c r="F596" s="1"/>
      <c r="G596" s="83"/>
      <c r="H596" s="1"/>
      <c r="I596" s="1"/>
      <c r="J596" s="1"/>
      <c r="K596" s="1"/>
      <c r="L596" s="1"/>
      <c r="M596" s="1"/>
      <c r="N596" s="1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</row>
    <row r="597" spans="1:25" ht="15.75" customHeight="1" x14ac:dyDescent="0.2">
      <c r="A597" s="1"/>
      <c r="B597" s="1"/>
      <c r="C597" s="1"/>
      <c r="D597" s="1"/>
      <c r="E597" s="1"/>
      <c r="F597" s="1"/>
      <c r="G597" s="83"/>
      <c r="H597" s="1"/>
      <c r="I597" s="1"/>
      <c r="J597" s="1"/>
      <c r="K597" s="1"/>
      <c r="L597" s="1"/>
      <c r="M597" s="1"/>
      <c r="N597" s="1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</row>
    <row r="598" spans="1:25" ht="15.75" customHeight="1" x14ac:dyDescent="0.2">
      <c r="A598" s="1"/>
      <c r="B598" s="1"/>
      <c r="C598" s="1"/>
      <c r="D598" s="1"/>
      <c r="E598" s="1"/>
      <c r="F598" s="1"/>
      <c r="G598" s="83"/>
      <c r="H598" s="1"/>
      <c r="I598" s="1"/>
      <c r="J598" s="1"/>
      <c r="K598" s="1"/>
      <c r="L598" s="1"/>
      <c r="M598" s="1"/>
      <c r="N598" s="1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</row>
    <row r="599" spans="1:25" ht="15.75" customHeight="1" x14ac:dyDescent="0.2">
      <c r="A599" s="1"/>
      <c r="B599" s="1"/>
      <c r="C599" s="1"/>
      <c r="D599" s="1"/>
      <c r="E599" s="1"/>
      <c r="F599" s="1"/>
      <c r="G599" s="83"/>
      <c r="H599" s="1"/>
      <c r="I599" s="1"/>
      <c r="J599" s="1"/>
      <c r="K599" s="1"/>
      <c r="L599" s="1"/>
      <c r="M599" s="1"/>
      <c r="N599" s="1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</row>
    <row r="600" spans="1:25" ht="15.75" customHeight="1" x14ac:dyDescent="0.2">
      <c r="A600" s="1"/>
      <c r="B600" s="1"/>
      <c r="C600" s="1"/>
      <c r="D600" s="1"/>
      <c r="E600" s="1"/>
      <c r="F600" s="1"/>
      <c r="G600" s="83"/>
      <c r="H600" s="1"/>
      <c r="I600" s="1"/>
      <c r="J600" s="1"/>
      <c r="K600" s="1"/>
      <c r="L600" s="1"/>
      <c r="M600" s="1"/>
      <c r="N600" s="1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</row>
    <row r="601" spans="1:25" ht="15.75" customHeight="1" x14ac:dyDescent="0.2">
      <c r="A601" s="1"/>
      <c r="B601" s="1"/>
      <c r="C601" s="1"/>
      <c r="D601" s="1"/>
      <c r="E601" s="1"/>
      <c r="F601" s="1"/>
      <c r="G601" s="83"/>
      <c r="H601" s="1"/>
      <c r="I601" s="1"/>
      <c r="J601" s="1"/>
      <c r="K601" s="1"/>
      <c r="L601" s="1"/>
      <c r="M601" s="1"/>
      <c r="N601" s="1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</row>
    <row r="602" spans="1:25" ht="15.75" customHeight="1" x14ac:dyDescent="0.2">
      <c r="A602" s="1"/>
      <c r="B602" s="1"/>
      <c r="C602" s="1"/>
      <c r="D602" s="1"/>
      <c r="E602" s="1"/>
      <c r="F602" s="1"/>
      <c r="G602" s="83"/>
      <c r="H602" s="1"/>
      <c r="I602" s="1"/>
      <c r="J602" s="1"/>
      <c r="K602" s="1"/>
      <c r="L602" s="1"/>
      <c r="M602" s="1"/>
      <c r="N602" s="1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</row>
    <row r="603" spans="1:25" ht="15.75" customHeight="1" x14ac:dyDescent="0.2">
      <c r="A603" s="1"/>
      <c r="B603" s="1"/>
      <c r="C603" s="1"/>
      <c r="D603" s="1"/>
      <c r="E603" s="1"/>
      <c r="F603" s="1"/>
      <c r="G603" s="83"/>
      <c r="H603" s="1"/>
      <c r="I603" s="1"/>
      <c r="J603" s="1"/>
      <c r="K603" s="1"/>
      <c r="L603" s="1"/>
      <c r="M603" s="1"/>
      <c r="N603" s="1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</row>
    <row r="604" spans="1:25" ht="15.75" customHeight="1" x14ac:dyDescent="0.2">
      <c r="A604" s="1"/>
      <c r="B604" s="1"/>
      <c r="C604" s="1"/>
      <c r="D604" s="1"/>
      <c r="E604" s="1"/>
      <c r="F604" s="1"/>
      <c r="G604" s="83"/>
      <c r="H604" s="1"/>
      <c r="I604" s="1"/>
      <c r="J604" s="1"/>
      <c r="K604" s="1"/>
      <c r="L604" s="1"/>
      <c r="M604" s="1"/>
      <c r="N604" s="1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</row>
    <row r="605" spans="1:25" ht="15.75" customHeight="1" x14ac:dyDescent="0.2">
      <c r="A605" s="1"/>
      <c r="B605" s="1"/>
      <c r="C605" s="1"/>
      <c r="D605" s="1"/>
      <c r="E605" s="1"/>
      <c r="F605" s="1"/>
      <c r="G605" s="83"/>
      <c r="H605" s="1"/>
      <c r="I605" s="1"/>
      <c r="J605" s="1"/>
      <c r="K605" s="1"/>
      <c r="L605" s="1"/>
      <c r="M605" s="1"/>
      <c r="N605" s="1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</row>
    <row r="606" spans="1:25" ht="15.75" customHeight="1" x14ac:dyDescent="0.2">
      <c r="A606" s="1"/>
      <c r="B606" s="1"/>
      <c r="C606" s="1"/>
      <c r="D606" s="1"/>
      <c r="E606" s="1"/>
      <c r="F606" s="1"/>
      <c r="G606" s="83"/>
      <c r="H606" s="1"/>
      <c r="I606" s="1"/>
      <c r="J606" s="1"/>
      <c r="K606" s="1"/>
      <c r="L606" s="1"/>
      <c r="M606" s="1"/>
      <c r="N606" s="1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</row>
    <row r="607" spans="1:25" ht="15.75" customHeight="1" x14ac:dyDescent="0.2">
      <c r="A607" s="1"/>
      <c r="B607" s="1"/>
      <c r="C607" s="1"/>
      <c r="D607" s="1"/>
      <c r="E607" s="1"/>
      <c r="F607" s="1"/>
      <c r="G607" s="83"/>
      <c r="H607" s="1"/>
      <c r="I607" s="1"/>
      <c r="J607" s="1"/>
      <c r="K607" s="1"/>
      <c r="L607" s="1"/>
      <c r="M607" s="1"/>
      <c r="N607" s="1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</row>
    <row r="608" spans="1:25" ht="15.75" customHeight="1" x14ac:dyDescent="0.2">
      <c r="A608" s="1"/>
      <c r="B608" s="1"/>
      <c r="C608" s="1"/>
      <c r="D608" s="1"/>
      <c r="E608" s="1"/>
      <c r="F608" s="1"/>
      <c r="G608" s="83"/>
      <c r="H608" s="1"/>
      <c r="I608" s="1"/>
      <c r="J608" s="1"/>
      <c r="K608" s="1"/>
      <c r="L608" s="1"/>
      <c r="M608" s="1"/>
      <c r="N608" s="1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</row>
    <row r="609" spans="1:25" ht="15.75" customHeight="1" x14ac:dyDescent="0.2">
      <c r="A609" s="1"/>
      <c r="B609" s="1"/>
      <c r="C609" s="1"/>
      <c r="D609" s="1"/>
      <c r="E609" s="1"/>
      <c r="F609" s="1"/>
      <c r="G609" s="83"/>
      <c r="H609" s="1"/>
      <c r="I609" s="1"/>
      <c r="J609" s="1"/>
      <c r="K609" s="1"/>
      <c r="L609" s="1"/>
      <c r="M609" s="1"/>
      <c r="N609" s="1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</row>
    <row r="610" spans="1:25" ht="15.75" customHeight="1" x14ac:dyDescent="0.2">
      <c r="A610" s="1"/>
      <c r="B610" s="1"/>
      <c r="C610" s="1"/>
      <c r="D610" s="1"/>
      <c r="E610" s="1"/>
      <c r="F610" s="1"/>
      <c r="G610" s="83"/>
      <c r="H610" s="1"/>
      <c r="I610" s="1"/>
      <c r="J610" s="1"/>
      <c r="K610" s="1"/>
      <c r="L610" s="1"/>
      <c r="M610" s="1"/>
      <c r="N610" s="1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</row>
    <row r="611" spans="1:25" ht="15.75" customHeight="1" x14ac:dyDescent="0.2">
      <c r="A611" s="1"/>
      <c r="B611" s="1"/>
      <c r="C611" s="1"/>
      <c r="D611" s="1"/>
      <c r="E611" s="1"/>
      <c r="F611" s="1"/>
      <c r="G611" s="83"/>
      <c r="H611" s="1"/>
      <c r="I611" s="1"/>
      <c r="J611" s="1"/>
      <c r="K611" s="1"/>
      <c r="L611" s="1"/>
      <c r="M611" s="1"/>
      <c r="N611" s="1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</row>
    <row r="612" spans="1:25" ht="15.75" customHeight="1" x14ac:dyDescent="0.2">
      <c r="A612" s="1"/>
      <c r="B612" s="1"/>
      <c r="C612" s="1"/>
      <c r="D612" s="1"/>
      <c r="E612" s="1"/>
      <c r="F612" s="1"/>
      <c r="G612" s="83"/>
      <c r="H612" s="1"/>
      <c r="I612" s="1"/>
      <c r="J612" s="1"/>
      <c r="K612" s="1"/>
      <c r="L612" s="1"/>
      <c r="M612" s="1"/>
      <c r="N612" s="1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</row>
    <row r="613" spans="1:25" ht="15.75" customHeight="1" x14ac:dyDescent="0.2">
      <c r="A613" s="1"/>
      <c r="B613" s="1"/>
      <c r="C613" s="1"/>
      <c r="D613" s="1"/>
      <c r="E613" s="1"/>
      <c r="F613" s="1"/>
      <c r="G613" s="83"/>
      <c r="H613" s="1"/>
      <c r="I613" s="1"/>
      <c r="J613" s="1"/>
      <c r="K613" s="1"/>
      <c r="L613" s="1"/>
      <c r="M613" s="1"/>
      <c r="N613" s="1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</row>
    <row r="614" spans="1:25" ht="15.75" customHeight="1" x14ac:dyDescent="0.2">
      <c r="A614" s="1"/>
      <c r="B614" s="1"/>
      <c r="C614" s="1"/>
      <c r="D614" s="1"/>
      <c r="E614" s="1"/>
      <c r="F614" s="1"/>
      <c r="G614" s="83"/>
      <c r="H614" s="1"/>
      <c r="I614" s="1"/>
      <c r="J614" s="1"/>
      <c r="K614" s="1"/>
      <c r="L614" s="1"/>
      <c r="M614" s="1"/>
      <c r="N614" s="1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</row>
    <row r="615" spans="1:25" ht="15.75" customHeight="1" x14ac:dyDescent="0.2">
      <c r="A615" s="1"/>
      <c r="B615" s="1"/>
      <c r="C615" s="1"/>
      <c r="D615" s="1"/>
      <c r="E615" s="1"/>
      <c r="F615" s="1"/>
      <c r="G615" s="83"/>
      <c r="H615" s="1"/>
      <c r="I615" s="1"/>
      <c r="J615" s="1"/>
      <c r="K615" s="1"/>
      <c r="L615" s="1"/>
      <c r="M615" s="1"/>
      <c r="N615" s="1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</row>
    <row r="616" spans="1:25" ht="15.75" customHeight="1" x14ac:dyDescent="0.2">
      <c r="A616" s="1"/>
      <c r="B616" s="1"/>
      <c r="C616" s="1"/>
      <c r="D616" s="1"/>
      <c r="E616" s="1"/>
      <c r="F616" s="1"/>
      <c r="G616" s="83"/>
      <c r="H616" s="1"/>
      <c r="I616" s="1"/>
      <c r="J616" s="1"/>
      <c r="K616" s="1"/>
      <c r="L616" s="1"/>
      <c r="M616" s="1"/>
      <c r="N616" s="1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</row>
    <row r="617" spans="1:25" ht="15.75" customHeight="1" x14ac:dyDescent="0.2">
      <c r="A617" s="1"/>
      <c r="B617" s="1"/>
      <c r="C617" s="1"/>
      <c r="D617" s="1"/>
      <c r="E617" s="1"/>
      <c r="F617" s="1"/>
      <c r="G617" s="83"/>
      <c r="H617" s="1"/>
      <c r="I617" s="1"/>
      <c r="J617" s="1"/>
      <c r="K617" s="1"/>
      <c r="L617" s="1"/>
      <c r="M617" s="1"/>
      <c r="N617" s="1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</row>
    <row r="618" spans="1:25" ht="15.75" customHeight="1" x14ac:dyDescent="0.2">
      <c r="A618" s="1"/>
      <c r="B618" s="1"/>
      <c r="C618" s="1"/>
      <c r="D618" s="1"/>
      <c r="E618" s="1"/>
      <c r="F618" s="1"/>
      <c r="G618" s="83"/>
      <c r="H618" s="1"/>
      <c r="I618" s="1"/>
      <c r="J618" s="1"/>
      <c r="K618" s="1"/>
      <c r="L618" s="1"/>
      <c r="M618" s="1"/>
      <c r="N618" s="1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</row>
    <row r="619" spans="1:25" ht="15.75" customHeight="1" x14ac:dyDescent="0.2">
      <c r="A619" s="1"/>
      <c r="B619" s="1"/>
      <c r="C619" s="1"/>
      <c r="D619" s="1"/>
      <c r="E619" s="1"/>
      <c r="F619" s="1"/>
      <c r="G619" s="83"/>
      <c r="H619" s="1"/>
      <c r="I619" s="1"/>
      <c r="J619" s="1"/>
      <c r="K619" s="1"/>
      <c r="L619" s="1"/>
      <c r="M619" s="1"/>
      <c r="N619" s="1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</row>
    <row r="620" spans="1:25" ht="15.75" customHeight="1" x14ac:dyDescent="0.2">
      <c r="A620" s="1"/>
      <c r="B620" s="1"/>
      <c r="C620" s="1"/>
      <c r="D620" s="1"/>
      <c r="E620" s="1"/>
      <c r="F620" s="1"/>
      <c r="G620" s="83"/>
      <c r="H620" s="1"/>
      <c r="I620" s="1"/>
      <c r="J620" s="1"/>
      <c r="K620" s="1"/>
      <c r="L620" s="1"/>
      <c r="M620" s="1"/>
      <c r="N620" s="1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</row>
    <row r="621" spans="1:25" ht="15.75" customHeight="1" x14ac:dyDescent="0.2">
      <c r="A621" s="1"/>
      <c r="B621" s="1"/>
      <c r="C621" s="1"/>
      <c r="D621" s="1"/>
      <c r="E621" s="1"/>
      <c r="F621" s="1"/>
      <c r="G621" s="83"/>
      <c r="H621" s="1"/>
      <c r="I621" s="1"/>
      <c r="J621" s="1"/>
      <c r="K621" s="1"/>
      <c r="L621" s="1"/>
      <c r="M621" s="1"/>
      <c r="N621" s="1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</row>
    <row r="622" spans="1:25" ht="15.75" customHeight="1" x14ac:dyDescent="0.2">
      <c r="A622" s="1"/>
      <c r="B622" s="1"/>
      <c r="C622" s="1"/>
      <c r="D622" s="1"/>
      <c r="E622" s="1"/>
      <c r="F622" s="1"/>
      <c r="G622" s="83"/>
      <c r="H622" s="1"/>
      <c r="I622" s="1"/>
      <c r="J622" s="1"/>
      <c r="K622" s="1"/>
      <c r="L622" s="1"/>
      <c r="M622" s="1"/>
      <c r="N622" s="1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</row>
    <row r="623" spans="1:25" ht="15.75" customHeight="1" x14ac:dyDescent="0.2">
      <c r="A623" s="1"/>
      <c r="B623" s="1"/>
      <c r="C623" s="1"/>
      <c r="D623" s="1"/>
      <c r="E623" s="1"/>
      <c r="F623" s="1"/>
      <c r="G623" s="83"/>
      <c r="H623" s="1"/>
      <c r="I623" s="1"/>
      <c r="J623" s="1"/>
      <c r="K623" s="1"/>
      <c r="L623" s="1"/>
      <c r="M623" s="1"/>
      <c r="N623" s="1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</row>
    <row r="624" spans="1:25" ht="15.75" customHeight="1" x14ac:dyDescent="0.2">
      <c r="A624" s="1"/>
      <c r="B624" s="1"/>
      <c r="C624" s="1"/>
      <c r="D624" s="1"/>
      <c r="E624" s="1"/>
      <c r="F624" s="1"/>
      <c r="G624" s="83"/>
      <c r="H624" s="1"/>
      <c r="I624" s="1"/>
      <c r="J624" s="1"/>
      <c r="K624" s="1"/>
      <c r="L624" s="1"/>
      <c r="M624" s="1"/>
      <c r="N624" s="1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</row>
    <row r="625" spans="1:25" ht="15.75" customHeight="1" x14ac:dyDescent="0.2">
      <c r="A625" s="1"/>
      <c r="B625" s="1"/>
      <c r="C625" s="1"/>
      <c r="D625" s="1"/>
      <c r="E625" s="1"/>
      <c r="F625" s="1"/>
      <c r="G625" s="83"/>
      <c r="H625" s="1"/>
      <c r="I625" s="1"/>
      <c r="J625" s="1"/>
      <c r="K625" s="1"/>
      <c r="L625" s="1"/>
      <c r="M625" s="1"/>
      <c r="N625" s="1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</row>
    <row r="626" spans="1:25" ht="15.75" customHeight="1" x14ac:dyDescent="0.2">
      <c r="A626" s="1"/>
      <c r="B626" s="1"/>
      <c r="C626" s="1"/>
      <c r="D626" s="1"/>
      <c r="E626" s="1"/>
      <c r="F626" s="1"/>
      <c r="G626" s="83"/>
      <c r="H626" s="1"/>
      <c r="I626" s="1"/>
      <c r="J626" s="1"/>
      <c r="K626" s="1"/>
      <c r="L626" s="1"/>
      <c r="M626" s="1"/>
      <c r="N626" s="1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</row>
    <row r="627" spans="1:25" ht="15.75" customHeight="1" x14ac:dyDescent="0.2">
      <c r="A627" s="1"/>
      <c r="B627" s="1"/>
      <c r="C627" s="1"/>
      <c r="D627" s="1"/>
      <c r="E627" s="1"/>
      <c r="F627" s="1"/>
      <c r="G627" s="83"/>
      <c r="H627" s="1"/>
      <c r="I627" s="1"/>
      <c r="J627" s="1"/>
      <c r="K627" s="1"/>
      <c r="L627" s="1"/>
      <c r="M627" s="1"/>
      <c r="N627" s="1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</row>
    <row r="628" spans="1:25" ht="15.75" customHeight="1" x14ac:dyDescent="0.2">
      <c r="A628" s="1"/>
      <c r="B628" s="1"/>
      <c r="C628" s="1"/>
      <c r="D628" s="1"/>
      <c r="E628" s="1"/>
      <c r="F628" s="1"/>
      <c r="G628" s="83"/>
      <c r="H628" s="1"/>
      <c r="I628" s="1"/>
      <c r="J628" s="1"/>
      <c r="K628" s="1"/>
      <c r="L628" s="1"/>
      <c r="M628" s="1"/>
      <c r="N628" s="1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</row>
    <row r="629" spans="1:25" ht="15.75" customHeight="1" x14ac:dyDescent="0.2">
      <c r="A629" s="1"/>
      <c r="B629" s="1"/>
      <c r="C629" s="1"/>
      <c r="D629" s="1"/>
      <c r="E629" s="1"/>
      <c r="F629" s="1"/>
      <c r="G629" s="83"/>
      <c r="H629" s="1"/>
      <c r="I629" s="1"/>
      <c r="J629" s="1"/>
      <c r="K629" s="1"/>
      <c r="L629" s="1"/>
      <c r="M629" s="1"/>
      <c r="N629" s="1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</row>
    <row r="630" spans="1:25" ht="15.75" customHeight="1" x14ac:dyDescent="0.2">
      <c r="A630" s="1"/>
      <c r="B630" s="1"/>
      <c r="C630" s="1"/>
      <c r="D630" s="1"/>
      <c r="E630" s="1"/>
      <c r="F630" s="1"/>
      <c r="G630" s="83"/>
      <c r="H630" s="1"/>
      <c r="I630" s="1"/>
      <c r="J630" s="1"/>
      <c r="K630" s="1"/>
      <c r="L630" s="1"/>
      <c r="M630" s="1"/>
      <c r="N630" s="1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</row>
    <row r="631" spans="1:25" ht="15.75" customHeight="1" x14ac:dyDescent="0.2">
      <c r="A631" s="1"/>
      <c r="B631" s="1"/>
      <c r="C631" s="1"/>
      <c r="D631" s="1"/>
      <c r="E631" s="1"/>
      <c r="F631" s="1"/>
      <c r="G631" s="83"/>
      <c r="H631" s="1"/>
      <c r="I631" s="1"/>
      <c r="J631" s="1"/>
      <c r="K631" s="1"/>
      <c r="L631" s="1"/>
      <c r="M631" s="1"/>
      <c r="N631" s="1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</row>
    <row r="632" spans="1:25" ht="15.75" customHeight="1" x14ac:dyDescent="0.2">
      <c r="A632" s="1"/>
      <c r="B632" s="1"/>
      <c r="C632" s="1"/>
      <c r="D632" s="1"/>
      <c r="E632" s="1"/>
      <c r="F632" s="1"/>
      <c r="G632" s="83"/>
      <c r="H632" s="1"/>
      <c r="I632" s="1"/>
      <c r="J632" s="1"/>
      <c r="K632" s="1"/>
      <c r="L632" s="1"/>
      <c r="M632" s="1"/>
      <c r="N632" s="1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</row>
    <row r="633" spans="1:25" ht="15.75" customHeight="1" x14ac:dyDescent="0.2">
      <c r="A633" s="1"/>
      <c r="B633" s="1"/>
      <c r="C633" s="1"/>
      <c r="D633" s="1"/>
      <c r="E633" s="1"/>
      <c r="F633" s="1"/>
      <c r="G633" s="83"/>
      <c r="H633" s="1"/>
      <c r="I633" s="1"/>
      <c r="J633" s="1"/>
      <c r="K633" s="1"/>
      <c r="L633" s="1"/>
      <c r="M633" s="1"/>
      <c r="N633" s="1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</row>
    <row r="634" spans="1:25" ht="15.75" customHeight="1" x14ac:dyDescent="0.2">
      <c r="A634" s="1"/>
      <c r="B634" s="1"/>
      <c r="C634" s="1"/>
      <c r="D634" s="1"/>
      <c r="E634" s="1"/>
      <c r="F634" s="1"/>
      <c r="G634" s="83"/>
      <c r="H634" s="1"/>
      <c r="I634" s="1"/>
      <c r="J634" s="1"/>
      <c r="K634" s="1"/>
      <c r="L634" s="1"/>
      <c r="M634" s="1"/>
      <c r="N634" s="1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</row>
    <row r="635" spans="1:25" ht="15.75" customHeight="1" x14ac:dyDescent="0.2">
      <c r="A635" s="1"/>
      <c r="B635" s="1"/>
      <c r="C635" s="1"/>
      <c r="D635" s="1"/>
      <c r="E635" s="1"/>
      <c r="F635" s="1"/>
      <c r="G635" s="83"/>
      <c r="H635" s="1"/>
      <c r="I635" s="1"/>
      <c r="J635" s="1"/>
      <c r="K635" s="1"/>
      <c r="L635" s="1"/>
      <c r="M635" s="1"/>
      <c r="N635" s="1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</row>
    <row r="636" spans="1:25" ht="15.75" customHeight="1" x14ac:dyDescent="0.2">
      <c r="A636" s="1"/>
      <c r="B636" s="1"/>
      <c r="C636" s="1"/>
      <c r="D636" s="1"/>
      <c r="E636" s="1"/>
      <c r="F636" s="1"/>
      <c r="G636" s="83"/>
      <c r="H636" s="1"/>
      <c r="I636" s="1"/>
      <c r="J636" s="1"/>
      <c r="K636" s="1"/>
      <c r="L636" s="1"/>
      <c r="M636" s="1"/>
      <c r="N636" s="1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</row>
    <row r="637" spans="1:25" ht="15.75" customHeight="1" x14ac:dyDescent="0.2">
      <c r="A637" s="1"/>
      <c r="B637" s="1"/>
      <c r="C637" s="1"/>
      <c r="D637" s="1"/>
      <c r="E637" s="1"/>
      <c r="F637" s="1"/>
      <c r="G637" s="83"/>
      <c r="H637" s="1"/>
      <c r="I637" s="1"/>
      <c r="J637" s="1"/>
      <c r="K637" s="1"/>
      <c r="L637" s="1"/>
      <c r="M637" s="1"/>
      <c r="N637" s="1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</row>
    <row r="638" spans="1:25" ht="15.75" customHeight="1" x14ac:dyDescent="0.2">
      <c r="A638" s="1"/>
      <c r="B638" s="1"/>
      <c r="C638" s="1"/>
      <c r="D638" s="1"/>
      <c r="E638" s="1"/>
      <c r="F638" s="1"/>
      <c r="G638" s="83"/>
      <c r="H638" s="1"/>
      <c r="I638" s="1"/>
      <c r="J638" s="1"/>
      <c r="K638" s="1"/>
      <c r="L638" s="1"/>
      <c r="M638" s="1"/>
      <c r="N638" s="1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</row>
    <row r="639" spans="1:25" ht="15.75" customHeight="1" x14ac:dyDescent="0.2">
      <c r="A639" s="1"/>
      <c r="B639" s="1"/>
      <c r="C639" s="1"/>
      <c r="D639" s="1"/>
      <c r="E639" s="1"/>
      <c r="F639" s="1"/>
      <c r="G639" s="83"/>
      <c r="H639" s="1"/>
      <c r="I639" s="1"/>
      <c r="J639" s="1"/>
      <c r="K639" s="1"/>
      <c r="L639" s="1"/>
      <c r="M639" s="1"/>
      <c r="N639" s="1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</row>
    <row r="640" spans="1:25" ht="15.75" customHeight="1" x14ac:dyDescent="0.2">
      <c r="A640" s="1"/>
      <c r="B640" s="1"/>
      <c r="C640" s="1"/>
      <c r="D640" s="1"/>
      <c r="E640" s="1"/>
      <c r="F640" s="1"/>
      <c r="G640" s="83"/>
      <c r="H640" s="1"/>
      <c r="I640" s="1"/>
      <c r="J640" s="1"/>
      <c r="K640" s="1"/>
      <c r="L640" s="1"/>
      <c r="M640" s="1"/>
      <c r="N640" s="1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</row>
    <row r="641" spans="1:25" ht="15.75" customHeight="1" x14ac:dyDescent="0.2">
      <c r="A641" s="1"/>
      <c r="B641" s="1"/>
      <c r="C641" s="1"/>
      <c r="D641" s="1"/>
      <c r="E641" s="1"/>
      <c r="F641" s="1"/>
      <c r="G641" s="83"/>
      <c r="H641" s="1"/>
      <c r="I641" s="1"/>
      <c r="J641" s="1"/>
      <c r="K641" s="1"/>
      <c r="L641" s="1"/>
      <c r="M641" s="1"/>
      <c r="N641" s="1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</row>
    <row r="642" spans="1:25" ht="15.75" customHeight="1" x14ac:dyDescent="0.2">
      <c r="A642" s="1"/>
      <c r="B642" s="1"/>
      <c r="C642" s="1"/>
      <c r="D642" s="1"/>
      <c r="E642" s="1"/>
      <c r="F642" s="1"/>
      <c r="G642" s="83"/>
      <c r="H642" s="1"/>
      <c r="I642" s="1"/>
      <c r="J642" s="1"/>
      <c r="K642" s="1"/>
      <c r="L642" s="1"/>
      <c r="M642" s="1"/>
      <c r="N642" s="1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</row>
    <row r="643" spans="1:25" ht="15.75" customHeight="1" x14ac:dyDescent="0.2">
      <c r="A643" s="1"/>
      <c r="B643" s="1"/>
      <c r="C643" s="1"/>
      <c r="D643" s="1"/>
      <c r="E643" s="1"/>
      <c r="F643" s="1"/>
      <c r="G643" s="83"/>
      <c r="H643" s="1"/>
      <c r="I643" s="1"/>
      <c r="J643" s="1"/>
      <c r="K643" s="1"/>
      <c r="L643" s="1"/>
      <c r="M643" s="1"/>
      <c r="N643" s="1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</row>
    <row r="644" spans="1:25" ht="15.75" customHeight="1" x14ac:dyDescent="0.2">
      <c r="A644" s="1"/>
      <c r="B644" s="1"/>
      <c r="C644" s="1"/>
      <c r="D644" s="1"/>
      <c r="E644" s="1"/>
      <c r="F644" s="1"/>
      <c r="G644" s="83"/>
      <c r="H644" s="1"/>
      <c r="I644" s="1"/>
      <c r="J644" s="1"/>
      <c r="K644" s="1"/>
      <c r="L644" s="1"/>
      <c r="M644" s="1"/>
      <c r="N644" s="1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</row>
    <row r="645" spans="1:25" ht="15.75" customHeight="1" x14ac:dyDescent="0.2">
      <c r="A645" s="1"/>
      <c r="B645" s="1"/>
      <c r="C645" s="1"/>
      <c r="D645" s="1"/>
      <c r="E645" s="1"/>
      <c r="F645" s="1"/>
      <c r="G645" s="83"/>
      <c r="H645" s="1"/>
      <c r="I645" s="1"/>
      <c r="J645" s="1"/>
      <c r="K645" s="1"/>
      <c r="L645" s="1"/>
      <c r="M645" s="1"/>
      <c r="N645" s="1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</row>
    <row r="646" spans="1:25" ht="15.75" customHeight="1" x14ac:dyDescent="0.2">
      <c r="A646" s="1"/>
      <c r="B646" s="1"/>
      <c r="C646" s="1"/>
      <c r="D646" s="1"/>
      <c r="E646" s="1"/>
      <c r="F646" s="1"/>
      <c r="G646" s="83"/>
      <c r="H646" s="1"/>
      <c r="I646" s="1"/>
      <c r="J646" s="1"/>
      <c r="K646" s="1"/>
      <c r="L646" s="1"/>
      <c r="M646" s="1"/>
      <c r="N646" s="1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</row>
    <row r="647" spans="1:25" ht="15.75" customHeight="1" x14ac:dyDescent="0.2">
      <c r="A647" s="1"/>
      <c r="B647" s="1"/>
      <c r="C647" s="1"/>
      <c r="D647" s="1"/>
      <c r="E647" s="1"/>
      <c r="F647" s="1"/>
      <c r="G647" s="83"/>
      <c r="H647" s="1"/>
      <c r="I647" s="1"/>
      <c r="J647" s="1"/>
      <c r="K647" s="1"/>
      <c r="L647" s="1"/>
      <c r="M647" s="1"/>
      <c r="N647" s="1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</row>
    <row r="648" spans="1:25" ht="15.75" customHeight="1" x14ac:dyDescent="0.2">
      <c r="A648" s="1"/>
      <c r="B648" s="1"/>
      <c r="C648" s="1"/>
      <c r="D648" s="1"/>
      <c r="E648" s="1"/>
      <c r="F648" s="1"/>
      <c r="G648" s="83"/>
      <c r="H648" s="1"/>
      <c r="I648" s="1"/>
      <c r="J648" s="1"/>
      <c r="K648" s="1"/>
      <c r="L648" s="1"/>
      <c r="M648" s="1"/>
      <c r="N648" s="1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</row>
    <row r="649" spans="1:25" ht="15.75" customHeight="1" x14ac:dyDescent="0.2">
      <c r="A649" s="1"/>
      <c r="B649" s="1"/>
      <c r="C649" s="1"/>
      <c r="D649" s="1"/>
      <c r="E649" s="1"/>
      <c r="F649" s="1"/>
      <c r="G649" s="83"/>
      <c r="H649" s="1"/>
      <c r="I649" s="1"/>
      <c r="J649" s="1"/>
      <c r="K649" s="1"/>
      <c r="L649" s="1"/>
      <c r="M649" s="1"/>
      <c r="N649" s="1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</row>
    <row r="650" spans="1:25" ht="15.75" customHeight="1" x14ac:dyDescent="0.2">
      <c r="A650" s="1"/>
      <c r="B650" s="1"/>
      <c r="C650" s="1"/>
      <c r="D650" s="1"/>
      <c r="E650" s="1"/>
      <c r="F650" s="1"/>
      <c r="G650" s="83"/>
      <c r="H650" s="1"/>
      <c r="I650" s="1"/>
      <c r="J650" s="1"/>
      <c r="K650" s="1"/>
      <c r="L650" s="1"/>
      <c r="M650" s="1"/>
      <c r="N650" s="1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</row>
    <row r="651" spans="1:25" ht="15.75" customHeight="1" x14ac:dyDescent="0.2">
      <c r="A651" s="1"/>
      <c r="B651" s="1"/>
      <c r="C651" s="1"/>
      <c r="D651" s="1"/>
      <c r="E651" s="1"/>
      <c r="F651" s="1"/>
      <c r="G651" s="83"/>
      <c r="H651" s="1"/>
      <c r="I651" s="1"/>
      <c r="J651" s="1"/>
      <c r="K651" s="1"/>
      <c r="L651" s="1"/>
      <c r="M651" s="1"/>
      <c r="N651" s="1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</row>
    <row r="652" spans="1:25" ht="15.75" customHeight="1" x14ac:dyDescent="0.2">
      <c r="A652" s="1"/>
      <c r="B652" s="1"/>
      <c r="C652" s="1"/>
      <c r="D652" s="1"/>
      <c r="E652" s="1"/>
      <c r="F652" s="1"/>
      <c r="G652" s="83"/>
      <c r="H652" s="1"/>
      <c r="I652" s="1"/>
      <c r="J652" s="1"/>
      <c r="K652" s="1"/>
      <c r="L652" s="1"/>
      <c r="M652" s="1"/>
      <c r="N652" s="1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</row>
    <row r="653" spans="1:25" ht="15.75" customHeight="1" x14ac:dyDescent="0.2">
      <c r="A653" s="1"/>
      <c r="B653" s="1"/>
      <c r="C653" s="1"/>
      <c r="D653" s="1"/>
      <c r="E653" s="1"/>
      <c r="F653" s="1"/>
      <c r="G653" s="83"/>
      <c r="H653" s="1"/>
      <c r="I653" s="1"/>
      <c r="J653" s="1"/>
      <c r="K653" s="1"/>
      <c r="L653" s="1"/>
      <c r="M653" s="1"/>
      <c r="N653" s="1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</row>
    <row r="654" spans="1:25" ht="15.75" customHeight="1" x14ac:dyDescent="0.2">
      <c r="A654" s="1"/>
      <c r="B654" s="1"/>
      <c r="C654" s="1"/>
      <c r="D654" s="1"/>
      <c r="E654" s="1"/>
      <c r="F654" s="1"/>
      <c r="G654" s="83"/>
      <c r="H654" s="1"/>
      <c r="I654" s="1"/>
      <c r="J654" s="1"/>
      <c r="K654" s="1"/>
      <c r="L654" s="1"/>
      <c r="M654" s="1"/>
      <c r="N654" s="1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</row>
    <row r="655" spans="1:25" ht="15.75" customHeight="1" x14ac:dyDescent="0.2">
      <c r="A655" s="1"/>
      <c r="B655" s="1"/>
      <c r="C655" s="1"/>
      <c r="D655" s="1"/>
      <c r="E655" s="1"/>
      <c r="F655" s="1"/>
      <c r="G655" s="83"/>
      <c r="H655" s="1"/>
      <c r="I655" s="1"/>
      <c r="J655" s="1"/>
      <c r="K655" s="1"/>
      <c r="L655" s="1"/>
      <c r="M655" s="1"/>
      <c r="N655" s="1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</row>
    <row r="656" spans="1:25" ht="15.75" customHeight="1" x14ac:dyDescent="0.2">
      <c r="A656" s="1"/>
      <c r="B656" s="1"/>
      <c r="C656" s="1"/>
      <c r="D656" s="1"/>
      <c r="E656" s="1"/>
      <c r="F656" s="1"/>
      <c r="G656" s="83"/>
      <c r="H656" s="1"/>
      <c r="I656" s="1"/>
      <c r="J656" s="1"/>
      <c r="K656" s="1"/>
      <c r="L656" s="1"/>
      <c r="M656" s="1"/>
      <c r="N656" s="1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</row>
    <row r="657" spans="1:25" ht="15.75" customHeight="1" x14ac:dyDescent="0.2">
      <c r="A657" s="1"/>
      <c r="B657" s="1"/>
      <c r="C657" s="1"/>
      <c r="D657" s="1"/>
      <c r="E657" s="1"/>
      <c r="F657" s="1"/>
      <c r="G657" s="83"/>
      <c r="H657" s="1"/>
      <c r="I657" s="1"/>
      <c r="J657" s="1"/>
      <c r="K657" s="1"/>
      <c r="L657" s="1"/>
      <c r="M657" s="1"/>
      <c r="N657" s="1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</row>
    <row r="658" spans="1:25" ht="15.75" customHeight="1" x14ac:dyDescent="0.2">
      <c r="A658" s="1"/>
      <c r="B658" s="1"/>
      <c r="C658" s="1"/>
      <c r="D658" s="1"/>
      <c r="E658" s="1"/>
      <c r="F658" s="1"/>
      <c r="G658" s="83"/>
      <c r="H658" s="1"/>
      <c r="I658" s="1"/>
      <c r="J658" s="1"/>
      <c r="K658" s="1"/>
      <c r="L658" s="1"/>
      <c r="M658" s="1"/>
      <c r="N658" s="1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</row>
    <row r="659" spans="1:25" ht="15.75" customHeight="1" x14ac:dyDescent="0.2">
      <c r="A659" s="1"/>
      <c r="B659" s="1"/>
      <c r="C659" s="1"/>
      <c r="D659" s="1"/>
      <c r="E659" s="1"/>
      <c r="F659" s="1"/>
      <c r="G659" s="83"/>
      <c r="H659" s="1"/>
      <c r="I659" s="1"/>
      <c r="J659" s="1"/>
      <c r="K659" s="1"/>
      <c r="L659" s="1"/>
      <c r="M659" s="1"/>
      <c r="N659" s="1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</row>
    <row r="660" spans="1:25" ht="15.75" customHeight="1" x14ac:dyDescent="0.2">
      <c r="A660" s="1"/>
      <c r="B660" s="1"/>
      <c r="C660" s="1"/>
      <c r="D660" s="1"/>
      <c r="E660" s="1"/>
      <c r="F660" s="1"/>
      <c r="G660" s="83"/>
      <c r="H660" s="1"/>
      <c r="I660" s="1"/>
      <c r="J660" s="1"/>
      <c r="K660" s="1"/>
      <c r="L660" s="1"/>
      <c r="M660" s="1"/>
      <c r="N660" s="1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</row>
    <row r="661" spans="1:25" ht="15.75" customHeight="1" x14ac:dyDescent="0.2">
      <c r="A661" s="1"/>
      <c r="B661" s="1"/>
      <c r="C661" s="1"/>
      <c r="D661" s="1"/>
      <c r="E661" s="1"/>
      <c r="F661" s="1"/>
      <c r="G661" s="83"/>
      <c r="H661" s="1"/>
      <c r="I661" s="1"/>
      <c r="J661" s="1"/>
      <c r="K661" s="1"/>
      <c r="L661" s="1"/>
      <c r="M661" s="1"/>
      <c r="N661" s="1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</row>
    <row r="662" spans="1:25" ht="15.75" customHeight="1" x14ac:dyDescent="0.2">
      <c r="A662" s="1"/>
      <c r="B662" s="1"/>
      <c r="C662" s="1"/>
      <c r="D662" s="1"/>
      <c r="E662" s="1"/>
      <c r="F662" s="1"/>
      <c r="G662" s="83"/>
      <c r="H662" s="1"/>
      <c r="I662" s="1"/>
      <c r="J662" s="1"/>
      <c r="K662" s="1"/>
      <c r="L662" s="1"/>
      <c r="M662" s="1"/>
      <c r="N662" s="1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</row>
    <row r="663" spans="1:25" ht="15.75" customHeight="1" x14ac:dyDescent="0.2">
      <c r="A663" s="1"/>
      <c r="B663" s="1"/>
      <c r="C663" s="1"/>
      <c r="D663" s="1"/>
      <c r="E663" s="1"/>
      <c r="F663" s="1"/>
      <c r="G663" s="83"/>
      <c r="H663" s="1"/>
      <c r="I663" s="1"/>
      <c r="J663" s="1"/>
      <c r="K663" s="1"/>
      <c r="L663" s="1"/>
      <c r="M663" s="1"/>
      <c r="N663" s="1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</row>
    <row r="664" spans="1:25" ht="15.75" customHeight="1" x14ac:dyDescent="0.2">
      <c r="A664" s="1"/>
      <c r="B664" s="1"/>
      <c r="C664" s="1"/>
      <c r="D664" s="1"/>
      <c r="E664" s="1"/>
      <c r="F664" s="1"/>
      <c r="G664" s="83"/>
      <c r="H664" s="1"/>
      <c r="I664" s="1"/>
      <c r="J664" s="1"/>
      <c r="K664" s="1"/>
      <c r="L664" s="1"/>
      <c r="M664" s="1"/>
      <c r="N664" s="1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</row>
    <row r="665" spans="1:25" ht="15.75" customHeight="1" x14ac:dyDescent="0.2">
      <c r="A665" s="1"/>
      <c r="B665" s="1"/>
      <c r="C665" s="1"/>
      <c r="D665" s="1"/>
      <c r="E665" s="1"/>
      <c r="F665" s="1"/>
      <c r="G665" s="83"/>
      <c r="H665" s="1"/>
      <c r="I665" s="1"/>
      <c r="J665" s="1"/>
      <c r="K665" s="1"/>
      <c r="L665" s="1"/>
      <c r="M665" s="1"/>
      <c r="N665" s="1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</row>
    <row r="666" spans="1:25" ht="15.75" customHeight="1" x14ac:dyDescent="0.2">
      <c r="A666" s="1"/>
      <c r="B666" s="1"/>
      <c r="C666" s="1"/>
      <c r="D666" s="1"/>
      <c r="E666" s="1"/>
      <c r="F666" s="1"/>
      <c r="G666" s="83"/>
      <c r="H666" s="1"/>
      <c r="I666" s="1"/>
      <c r="J666" s="1"/>
      <c r="K666" s="1"/>
      <c r="L666" s="1"/>
      <c r="M666" s="1"/>
      <c r="N666" s="1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</row>
    <row r="667" spans="1:25" ht="15.75" customHeight="1" x14ac:dyDescent="0.2">
      <c r="A667" s="1"/>
      <c r="B667" s="1"/>
      <c r="C667" s="1"/>
      <c r="D667" s="1"/>
      <c r="E667" s="1"/>
      <c r="F667" s="1"/>
      <c r="G667" s="83"/>
      <c r="H667" s="1"/>
      <c r="I667" s="1"/>
      <c r="J667" s="1"/>
      <c r="K667" s="1"/>
      <c r="L667" s="1"/>
      <c r="M667" s="1"/>
      <c r="N667" s="1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</row>
    <row r="668" spans="1:25" ht="15.75" customHeight="1" x14ac:dyDescent="0.2">
      <c r="A668" s="1"/>
      <c r="B668" s="1"/>
      <c r="C668" s="1"/>
      <c r="D668" s="1"/>
      <c r="E668" s="1"/>
      <c r="F668" s="1"/>
      <c r="G668" s="83"/>
      <c r="H668" s="1"/>
      <c r="I668" s="1"/>
      <c r="J668" s="1"/>
      <c r="K668" s="1"/>
      <c r="L668" s="1"/>
      <c r="M668" s="1"/>
      <c r="N668" s="1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</row>
    <row r="669" spans="1:25" ht="15.75" customHeight="1" x14ac:dyDescent="0.2">
      <c r="A669" s="1"/>
      <c r="B669" s="1"/>
      <c r="C669" s="1"/>
      <c r="D669" s="1"/>
      <c r="E669" s="1"/>
      <c r="F669" s="1"/>
      <c r="G669" s="83"/>
      <c r="H669" s="1"/>
      <c r="I669" s="1"/>
      <c r="J669" s="1"/>
      <c r="K669" s="1"/>
      <c r="L669" s="1"/>
      <c r="M669" s="1"/>
      <c r="N669" s="1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</row>
    <row r="670" spans="1:25" ht="15.75" customHeight="1" x14ac:dyDescent="0.2">
      <c r="A670" s="1"/>
      <c r="B670" s="1"/>
      <c r="C670" s="1"/>
      <c r="D670" s="1"/>
      <c r="E670" s="1"/>
      <c r="F670" s="1"/>
      <c r="G670" s="83"/>
      <c r="H670" s="1"/>
      <c r="I670" s="1"/>
      <c r="J670" s="1"/>
      <c r="K670" s="1"/>
      <c r="L670" s="1"/>
      <c r="M670" s="1"/>
      <c r="N670" s="1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</row>
    <row r="671" spans="1:25" ht="15.75" customHeight="1" x14ac:dyDescent="0.2">
      <c r="A671" s="1"/>
      <c r="B671" s="1"/>
      <c r="C671" s="1"/>
      <c r="D671" s="1"/>
      <c r="E671" s="1"/>
      <c r="F671" s="1"/>
      <c r="G671" s="83"/>
      <c r="H671" s="1"/>
      <c r="I671" s="1"/>
      <c r="J671" s="1"/>
      <c r="K671" s="1"/>
      <c r="L671" s="1"/>
      <c r="M671" s="1"/>
      <c r="N671" s="1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</row>
    <row r="672" spans="1:25" ht="15.75" customHeight="1" x14ac:dyDescent="0.2">
      <c r="A672" s="1"/>
      <c r="B672" s="1"/>
      <c r="C672" s="1"/>
      <c r="D672" s="1"/>
      <c r="E672" s="1"/>
      <c r="F672" s="1"/>
      <c r="G672" s="83"/>
      <c r="H672" s="1"/>
      <c r="I672" s="1"/>
      <c r="J672" s="1"/>
      <c r="K672" s="1"/>
      <c r="L672" s="1"/>
      <c r="M672" s="1"/>
      <c r="N672" s="1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</row>
    <row r="673" spans="1:25" ht="15.75" customHeight="1" x14ac:dyDescent="0.2">
      <c r="A673" s="1"/>
      <c r="B673" s="1"/>
      <c r="C673" s="1"/>
      <c r="D673" s="1"/>
      <c r="E673" s="1"/>
      <c r="F673" s="1"/>
      <c r="G673" s="83"/>
      <c r="H673" s="1"/>
      <c r="I673" s="1"/>
      <c r="J673" s="1"/>
      <c r="K673" s="1"/>
      <c r="L673" s="1"/>
      <c r="M673" s="1"/>
      <c r="N673" s="1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</row>
    <row r="674" spans="1:25" ht="15.75" customHeight="1" x14ac:dyDescent="0.2">
      <c r="A674" s="1"/>
      <c r="B674" s="1"/>
      <c r="C674" s="1"/>
      <c r="D674" s="1"/>
      <c r="E674" s="1"/>
      <c r="F674" s="1"/>
      <c r="G674" s="83"/>
      <c r="H674" s="1"/>
      <c r="I674" s="1"/>
      <c r="J674" s="1"/>
      <c r="K674" s="1"/>
      <c r="L674" s="1"/>
      <c r="M674" s="1"/>
      <c r="N674" s="1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</row>
    <row r="675" spans="1:25" ht="15.75" customHeight="1" x14ac:dyDescent="0.2">
      <c r="A675" s="1"/>
      <c r="B675" s="1"/>
      <c r="C675" s="1"/>
      <c r="D675" s="1"/>
      <c r="E675" s="1"/>
      <c r="F675" s="1"/>
      <c r="G675" s="83"/>
      <c r="H675" s="1"/>
      <c r="I675" s="1"/>
      <c r="J675" s="1"/>
      <c r="K675" s="1"/>
      <c r="L675" s="1"/>
      <c r="M675" s="1"/>
      <c r="N675" s="1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</row>
    <row r="676" spans="1:25" ht="15.75" customHeight="1" x14ac:dyDescent="0.2">
      <c r="A676" s="1"/>
      <c r="B676" s="1"/>
      <c r="C676" s="1"/>
      <c r="D676" s="1"/>
      <c r="E676" s="1"/>
      <c r="F676" s="1"/>
      <c r="G676" s="83"/>
      <c r="H676" s="1"/>
      <c r="I676" s="1"/>
      <c r="J676" s="1"/>
      <c r="K676" s="1"/>
      <c r="L676" s="1"/>
      <c r="M676" s="1"/>
      <c r="N676" s="1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</row>
    <row r="677" spans="1:25" ht="15.75" customHeight="1" x14ac:dyDescent="0.2">
      <c r="A677" s="1"/>
      <c r="B677" s="1"/>
      <c r="C677" s="1"/>
      <c r="D677" s="1"/>
      <c r="E677" s="1"/>
      <c r="F677" s="1"/>
      <c r="G677" s="83"/>
      <c r="H677" s="1"/>
      <c r="I677" s="1"/>
      <c r="J677" s="1"/>
      <c r="K677" s="1"/>
      <c r="L677" s="1"/>
      <c r="M677" s="1"/>
      <c r="N677" s="1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</row>
    <row r="678" spans="1:25" ht="15.75" customHeight="1" x14ac:dyDescent="0.2">
      <c r="A678" s="1"/>
      <c r="B678" s="1"/>
      <c r="C678" s="1"/>
      <c r="D678" s="1"/>
      <c r="E678" s="1"/>
      <c r="F678" s="1"/>
      <c r="G678" s="83"/>
      <c r="H678" s="1"/>
      <c r="I678" s="1"/>
      <c r="J678" s="1"/>
      <c r="K678" s="1"/>
      <c r="L678" s="1"/>
      <c r="M678" s="1"/>
      <c r="N678" s="1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</row>
    <row r="679" spans="1:25" ht="15.75" customHeight="1" x14ac:dyDescent="0.2">
      <c r="A679" s="1"/>
      <c r="B679" s="1"/>
      <c r="C679" s="1"/>
      <c r="D679" s="1"/>
      <c r="E679" s="1"/>
      <c r="F679" s="1"/>
      <c r="G679" s="83"/>
      <c r="H679" s="1"/>
      <c r="I679" s="1"/>
      <c r="J679" s="1"/>
      <c r="K679" s="1"/>
      <c r="L679" s="1"/>
      <c r="M679" s="1"/>
      <c r="N679" s="1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</row>
    <row r="680" spans="1:25" ht="15.75" customHeight="1" x14ac:dyDescent="0.2">
      <c r="A680" s="1"/>
      <c r="B680" s="1"/>
      <c r="C680" s="1"/>
      <c r="D680" s="1"/>
      <c r="E680" s="1"/>
      <c r="F680" s="1"/>
      <c r="G680" s="83"/>
      <c r="H680" s="1"/>
      <c r="I680" s="1"/>
      <c r="J680" s="1"/>
      <c r="K680" s="1"/>
      <c r="L680" s="1"/>
      <c r="M680" s="1"/>
      <c r="N680" s="1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</row>
    <row r="681" spans="1:25" ht="15.75" customHeight="1" x14ac:dyDescent="0.2">
      <c r="A681" s="1"/>
      <c r="B681" s="1"/>
      <c r="C681" s="1"/>
      <c r="D681" s="1"/>
      <c r="E681" s="1"/>
      <c r="F681" s="1"/>
      <c r="G681" s="83"/>
      <c r="H681" s="1"/>
      <c r="I681" s="1"/>
      <c r="J681" s="1"/>
      <c r="K681" s="1"/>
      <c r="L681" s="1"/>
      <c r="M681" s="1"/>
      <c r="N681" s="1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</row>
    <row r="682" spans="1:25" ht="15.75" customHeight="1" x14ac:dyDescent="0.2">
      <c r="A682" s="1"/>
      <c r="B682" s="1"/>
      <c r="C682" s="1"/>
      <c r="D682" s="1"/>
      <c r="E682" s="1"/>
      <c r="F682" s="1"/>
      <c r="G682" s="83"/>
      <c r="H682" s="1"/>
      <c r="I682" s="1"/>
      <c r="J682" s="1"/>
      <c r="K682" s="1"/>
      <c r="L682" s="1"/>
      <c r="M682" s="1"/>
      <c r="N682" s="1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</row>
    <row r="683" spans="1:25" ht="15.75" customHeight="1" x14ac:dyDescent="0.2">
      <c r="A683" s="1"/>
      <c r="B683" s="1"/>
      <c r="C683" s="1"/>
      <c r="D683" s="1"/>
      <c r="E683" s="1"/>
      <c r="F683" s="1"/>
      <c r="G683" s="83"/>
      <c r="H683" s="1"/>
      <c r="I683" s="1"/>
      <c r="J683" s="1"/>
      <c r="K683" s="1"/>
      <c r="L683" s="1"/>
      <c r="M683" s="1"/>
      <c r="N683" s="1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</row>
    <row r="684" spans="1:25" ht="15.75" customHeight="1" x14ac:dyDescent="0.2">
      <c r="A684" s="1"/>
      <c r="B684" s="1"/>
      <c r="C684" s="1"/>
      <c r="D684" s="1"/>
      <c r="E684" s="1"/>
      <c r="F684" s="1"/>
      <c r="G684" s="83"/>
      <c r="H684" s="1"/>
      <c r="I684" s="1"/>
      <c r="J684" s="1"/>
      <c r="K684" s="1"/>
      <c r="L684" s="1"/>
      <c r="M684" s="1"/>
      <c r="N684" s="1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</row>
    <row r="685" spans="1:25" ht="15.75" customHeight="1" x14ac:dyDescent="0.2">
      <c r="A685" s="1"/>
      <c r="B685" s="1"/>
      <c r="C685" s="1"/>
      <c r="D685" s="1"/>
      <c r="E685" s="1"/>
      <c r="F685" s="1"/>
      <c r="G685" s="83"/>
      <c r="H685" s="1"/>
      <c r="I685" s="1"/>
      <c r="J685" s="1"/>
      <c r="K685" s="1"/>
      <c r="L685" s="1"/>
      <c r="M685" s="1"/>
      <c r="N685" s="1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</row>
    <row r="686" spans="1:25" ht="15.75" customHeight="1" x14ac:dyDescent="0.2">
      <c r="A686" s="1"/>
      <c r="B686" s="1"/>
      <c r="C686" s="1"/>
      <c r="D686" s="1"/>
      <c r="E686" s="1"/>
      <c r="F686" s="1"/>
      <c r="G686" s="83"/>
      <c r="H686" s="1"/>
      <c r="I686" s="1"/>
      <c r="J686" s="1"/>
      <c r="K686" s="1"/>
      <c r="L686" s="1"/>
      <c r="M686" s="1"/>
      <c r="N686" s="1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</row>
    <row r="687" spans="1:25" ht="15.75" customHeight="1" x14ac:dyDescent="0.2">
      <c r="A687" s="1"/>
      <c r="B687" s="1"/>
      <c r="C687" s="1"/>
      <c r="D687" s="1"/>
      <c r="E687" s="1"/>
      <c r="F687" s="1"/>
      <c r="G687" s="83"/>
      <c r="H687" s="1"/>
      <c r="I687" s="1"/>
      <c r="J687" s="1"/>
      <c r="K687" s="1"/>
      <c r="L687" s="1"/>
      <c r="M687" s="1"/>
      <c r="N687" s="1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</row>
    <row r="688" spans="1:25" ht="15.75" customHeight="1" x14ac:dyDescent="0.2">
      <c r="A688" s="1"/>
      <c r="B688" s="1"/>
      <c r="C688" s="1"/>
      <c r="D688" s="1"/>
      <c r="E688" s="1"/>
      <c r="F688" s="1"/>
      <c r="G688" s="83"/>
      <c r="H688" s="1"/>
      <c r="I688" s="1"/>
      <c r="J688" s="1"/>
      <c r="K688" s="1"/>
      <c r="L688" s="1"/>
      <c r="M688" s="1"/>
      <c r="N688" s="1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</row>
    <row r="689" spans="1:25" ht="15.75" customHeight="1" x14ac:dyDescent="0.2">
      <c r="A689" s="1"/>
      <c r="B689" s="1"/>
      <c r="C689" s="1"/>
      <c r="D689" s="1"/>
      <c r="E689" s="1"/>
      <c r="F689" s="1"/>
      <c r="G689" s="83"/>
      <c r="H689" s="1"/>
      <c r="I689" s="1"/>
      <c r="J689" s="1"/>
      <c r="K689" s="1"/>
      <c r="L689" s="1"/>
      <c r="M689" s="1"/>
      <c r="N689" s="1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</row>
    <row r="690" spans="1:25" ht="15.75" customHeight="1" x14ac:dyDescent="0.2">
      <c r="A690" s="1"/>
      <c r="B690" s="1"/>
      <c r="C690" s="1"/>
      <c r="D690" s="1"/>
      <c r="E690" s="1"/>
      <c r="F690" s="1"/>
      <c r="G690" s="83"/>
      <c r="H690" s="1"/>
      <c r="I690" s="1"/>
      <c r="J690" s="1"/>
      <c r="K690" s="1"/>
      <c r="L690" s="1"/>
      <c r="M690" s="1"/>
      <c r="N690" s="1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</row>
    <row r="691" spans="1:25" ht="15.75" customHeight="1" x14ac:dyDescent="0.2">
      <c r="A691" s="1"/>
      <c r="B691" s="1"/>
      <c r="C691" s="1"/>
      <c r="D691" s="1"/>
      <c r="E691" s="1"/>
      <c r="F691" s="1"/>
      <c r="G691" s="83"/>
      <c r="H691" s="1"/>
      <c r="I691" s="1"/>
      <c r="J691" s="1"/>
      <c r="K691" s="1"/>
      <c r="L691" s="1"/>
      <c r="M691" s="1"/>
      <c r="N691" s="1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</row>
    <row r="692" spans="1:25" ht="15.75" customHeight="1" x14ac:dyDescent="0.2">
      <c r="A692" s="1"/>
      <c r="B692" s="1"/>
      <c r="C692" s="1"/>
      <c r="D692" s="1"/>
      <c r="E692" s="1"/>
      <c r="F692" s="1"/>
      <c r="G692" s="83"/>
      <c r="H692" s="1"/>
      <c r="I692" s="1"/>
      <c r="J692" s="1"/>
      <c r="K692" s="1"/>
      <c r="L692" s="1"/>
      <c r="M692" s="1"/>
      <c r="N692" s="1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</row>
    <row r="693" spans="1:25" ht="15.75" customHeight="1" x14ac:dyDescent="0.2">
      <c r="A693" s="1"/>
      <c r="B693" s="1"/>
      <c r="C693" s="1"/>
      <c r="D693" s="1"/>
      <c r="E693" s="1"/>
      <c r="F693" s="1"/>
      <c r="G693" s="83"/>
      <c r="H693" s="1"/>
      <c r="I693" s="1"/>
      <c r="J693" s="1"/>
      <c r="K693" s="1"/>
      <c r="L693" s="1"/>
      <c r="M693" s="1"/>
      <c r="N693" s="1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</row>
    <row r="694" spans="1:25" ht="15.75" customHeight="1" x14ac:dyDescent="0.2">
      <c r="A694" s="1"/>
      <c r="B694" s="1"/>
      <c r="C694" s="1"/>
      <c r="D694" s="1"/>
      <c r="E694" s="1"/>
      <c r="F694" s="1"/>
      <c r="G694" s="83"/>
      <c r="H694" s="1"/>
      <c r="I694" s="1"/>
      <c r="J694" s="1"/>
      <c r="K694" s="1"/>
      <c r="L694" s="1"/>
      <c r="M694" s="1"/>
      <c r="N694" s="1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</row>
    <row r="695" spans="1:25" ht="15.75" customHeight="1" x14ac:dyDescent="0.2">
      <c r="A695" s="1"/>
      <c r="B695" s="1"/>
      <c r="C695" s="1"/>
      <c r="D695" s="1"/>
      <c r="E695" s="1"/>
      <c r="F695" s="1"/>
      <c r="G695" s="83"/>
      <c r="H695" s="1"/>
      <c r="I695" s="1"/>
      <c r="J695" s="1"/>
      <c r="K695" s="1"/>
      <c r="L695" s="1"/>
      <c r="M695" s="1"/>
      <c r="N695" s="1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</row>
    <row r="696" spans="1:25" ht="15.75" customHeight="1" x14ac:dyDescent="0.2">
      <c r="A696" s="1"/>
      <c r="B696" s="1"/>
      <c r="C696" s="1"/>
      <c r="D696" s="1"/>
      <c r="E696" s="1"/>
      <c r="F696" s="1"/>
      <c r="G696" s="83"/>
      <c r="H696" s="1"/>
      <c r="I696" s="1"/>
      <c r="J696" s="1"/>
      <c r="K696" s="1"/>
      <c r="L696" s="1"/>
      <c r="M696" s="1"/>
      <c r="N696" s="1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</row>
    <row r="697" spans="1:25" ht="15.75" customHeight="1" x14ac:dyDescent="0.2">
      <c r="A697" s="1"/>
      <c r="B697" s="1"/>
      <c r="C697" s="1"/>
      <c r="D697" s="1"/>
      <c r="E697" s="1"/>
      <c r="F697" s="1"/>
      <c r="G697" s="83"/>
      <c r="H697" s="1"/>
      <c r="I697" s="1"/>
      <c r="J697" s="1"/>
      <c r="K697" s="1"/>
      <c r="L697" s="1"/>
      <c r="M697" s="1"/>
      <c r="N697" s="1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</row>
    <row r="698" spans="1:25" ht="15.75" customHeight="1" x14ac:dyDescent="0.2">
      <c r="A698" s="1"/>
      <c r="B698" s="1"/>
      <c r="C698" s="1"/>
      <c r="D698" s="1"/>
      <c r="E698" s="1"/>
      <c r="F698" s="1"/>
      <c r="G698" s="83"/>
      <c r="H698" s="1"/>
      <c r="I698" s="1"/>
      <c r="J698" s="1"/>
      <c r="K698" s="1"/>
      <c r="L698" s="1"/>
      <c r="M698" s="1"/>
      <c r="N698" s="1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</row>
    <row r="699" spans="1:25" ht="15.75" customHeight="1" x14ac:dyDescent="0.2">
      <c r="A699" s="1"/>
      <c r="B699" s="1"/>
      <c r="C699" s="1"/>
      <c r="D699" s="1"/>
      <c r="E699" s="1"/>
      <c r="F699" s="1"/>
      <c r="G699" s="83"/>
      <c r="H699" s="1"/>
      <c r="I699" s="1"/>
      <c r="J699" s="1"/>
      <c r="K699" s="1"/>
      <c r="L699" s="1"/>
      <c r="M699" s="1"/>
      <c r="N699" s="1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</row>
    <row r="700" spans="1:25" ht="15.75" customHeight="1" x14ac:dyDescent="0.2">
      <c r="A700" s="1"/>
      <c r="B700" s="1"/>
      <c r="C700" s="1"/>
      <c r="D700" s="1"/>
      <c r="E700" s="1"/>
      <c r="F700" s="1"/>
      <c r="G700" s="83"/>
      <c r="H700" s="1"/>
      <c r="I700" s="1"/>
      <c r="J700" s="1"/>
      <c r="K700" s="1"/>
      <c r="L700" s="1"/>
      <c r="M700" s="1"/>
      <c r="N700" s="1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</row>
    <row r="701" spans="1:25" ht="15.75" customHeight="1" x14ac:dyDescent="0.2">
      <c r="A701" s="1"/>
      <c r="B701" s="1"/>
      <c r="C701" s="1"/>
      <c r="D701" s="1"/>
      <c r="E701" s="1"/>
      <c r="F701" s="1"/>
      <c r="G701" s="83"/>
      <c r="H701" s="1"/>
      <c r="I701" s="1"/>
      <c r="J701" s="1"/>
      <c r="K701" s="1"/>
      <c r="L701" s="1"/>
      <c r="M701" s="1"/>
      <c r="N701" s="1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</row>
    <row r="702" spans="1:25" ht="15.75" customHeight="1" x14ac:dyDescent="0.2">
      <c r="A702" s="1"/>
      <c r="B702" s="1"/>
      <c r="C702" s="1"/>
      <c r="D702" s="1"/>
      <c r="E702" s="1"/>
      <c r="F702" s="1"/>
      <c r="G702" s="83"/>
      <c r="H702" s="1"/>
      <c r="I702" s="1"/>
      <c r="J702" s="1"/>
      <c r="K702" s="1"/>
      <c r="L702" s="1"/>
      <c r="M702" s="1"/>
      <c r="N702" s="1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</row>
    <row r="703" spans="1:25" ht="15.75" customHeight="1" x14ac:dyDescent="0.2">
      <c r="A703" s="1"/>
      <c r="B703" s="1"/>
      <c r="C703" s="1"/>
      <c r="D703" s="1"/>
      <c r="E703" s="1"/>
      <c r="F703" s="1"/>
      <c r="G703" s="83"/>
      <c r="H703" s="1"/>
      <c r="I703" s="1"/>
      <c r="J703" s="1"/>
      <c r="K703" s="1"/>
      <c r="L703" s="1"/>
      <c r="M703" s="1"/>
      <c r="N703" s="1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</row>
    <row r="704" spans="1:25" ht="15.75" customHeight="1" x14ac:dyDescent="0.2">
      <c r="A704" s="1"/>
      <c r="B704" s="1"/>
      <c r="C704" s="1"/>
      <c r="D704" s="1"/>
      <c r="E704" s="1"/>
      <c r="F704" s="1"/>
      <c r="G704" s="83"/>
      <c r="H704" s="1"/>
      <c r="I704" s="1"/>
      <c r="J704" s="1"/>
      <c r="K704" s="1"/>
      <c r="L704" s="1"/>
      <c r="M704" s="1"/>
      <c r="N704" s="1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</row>
    <row r="705" spans="1:25" ht="15.75" customHeight="1" x14ac:dyDescent="0.2">
      <c r="A705" s="1"/>
      <c r="B705" s="1"/>
      <c r="C705" s="1"/>
      <c r="D705" s="1"/>
      <c r="E705" s="1"/>
      <c r="F705" s="1"/>
      <c r="G705" s="83"/>
      <c r="H705" s="1"/>
      <c r="I705" s="1"/>
      <c r="J705" s="1"/>
      <c r="K705" s="1"/>
      <c r="L705" s="1"/>
      <c r="M705" s="1"/>
      <c r="N705" s="1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</row>
    <row r="706" spans="1:25" ht="15.75" customHeight="1" x14ac:dyDescent="0.2">
      <c r="A706" s="1"/>
      <c r="B706" s="1"/>
      <c r="C706" s="1"/>
      <c r="D706" s="1"/>
      <c r="E706" s="1"/>
      <c r="F706" s="1"/>
      <c r="G706" s="83"/>
      <c r="H706" s="1"/>
      <c r="I706" s="1"/>
      <c r="J706" s="1"/>
      <c r="K706" s="1"/>
      <c r="L706" s="1"/>
      <c r="M706" s="1"/>
      <c r="N706" s="1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</row>
    <row r="707" spans="1:25" ht="15.75" customHeight="1" x14ac:dyDescent="0.2">
      <c r="A707" s="1"/>
      <c r="B707" s="1"/>
      <c r="C707" s="1"/>
      <c r="D707" s="1"/>
      <c r="E707" s="1"/>
      <c r="F707" s="1"/>
      <c r="G707" s="83"/>
      <c r="H707" s="1"/>
      <c r="I707" s="1"/>
      <c r="J707" s="1"/>
      <c r="K707" s="1"/>
      <c r="L707" s="1"/>
      <c r="M707" s="1"/>
      <c r="N707" s="1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</row>
    <row r="708" spans="1:25" ht="15.75" customHeight="1" x14ac:dyDescent="0.2">
      <c r="A708" s="1"/>
      <c r="B708" s="1"/>
      <c r="C708" s="1"/>
      <c r="D708" s="1"/>
      <c r="E708" s="1"/>
      <c r="F708" s="1"/>
      <c r="G708" s="83"/>
      <c r="H708" s="1"/>
      <c r="I708" s="1"/>
      <c r="J708" s="1"/>
      <c r="K708" s="1"/>
      <c r="L708" s="1"/>
      <c r="M708" s="1"/>
      <c r="N708" s="1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</row>
    <row r="709" spans="1:25" ht="15.75" customHeight="1" x14ac:dyDescent="0.2">
      <c r="A709" s="1"/>
      <c r="B709" s="1"/>
      <c r="C709" s="1"/>
      <c r="D709" s="1"/>
      <c r="E709" s="1"/>
      <c r="F709" s="1"/>
      <c r="G709" s="83"/>
      <c r="H709" s="1"/>
      <c r="I709" s="1"/>
      <c r="J709" s="1"/>
      <c r="K709" s="1"/>
      <c r="L709" s="1"/>
      <c r="M709" s="1"/>
      <c r="N709" s="1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</row>
    <row r="710" spans="1:25" ht="15.75" customHeight="1" x14ac:dyDescent="0.2">
      <c r="A710" s="1"/>
      <c r="B710" s="1"/>
      <c r="C710" s="1"/>
      <c r="D710" s="1"/>
      <c r="E710" s="1"/>
      <c r="F710" s="1"/>
      <c r="G710" s="83"/>
      <c r="H710" s="1"/>
      <c r="I710" s="1"/>
      <c r="J710" s="1"/>
      <c r="K710" s="1"/>
      <c r="L710" s="1"/>
      <c r="M710" s="1"/>
      <c r="N710" s="1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</row>
    <row r="711" spans="1:25" ht="15.75" customHeight="1" x14ac:dyDescent="0.2">
      <c r="A711" s="1"/>
      <c r="B711" s="1"/>
      <c r="C711" s="1"/>
      <c r="D711" s="1"/>
      <c r="E711" s="1"/>
      <c r="F711" s="1"/>
      <c r="G711" s="83"/>
      <c r="H711" s="1"/>
      <c r="I711" s="1"/>
      <c r="J711" s="1"/>
      <c r="K711" s="1"/>
      <c r="L711" s="1"/>
      <c r="M711" s="1"/>
      <c r="N711" s="1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</row>
    <row r="712" spans="1:25" ht="15.75" customHeight="1" x14ac:dyDescent="0.2">
      <c r="A712" s="1"/>
      <c r="B712" s="1"/>
      <c r="C712" s="1"/>
      <c r="D712" s="1"/>
      <c r="E712" s="1"/>
      <c r="F712" s="1"/>
      <c r="G712" s="83"/>
      <c r="H712" s="1"/>
      <c r="I712" s="1"/>
      <c r="J712" s="1"/>
      <c r="K712" s="1"/>
      <c r="L712" s="1"/>
      <c r="M712" s="1"/>
      <c r="N712" s="1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</row>
    <row r="713" spans="1:25" ht="15.75" customHeight="1" x14ac:dyDescent="0.2">
      <c r="A713" s="1"/>
      <c r="B713" s="1"/>
      <c r="C713" s="1"/>
      <c r="D713" s="1"/>
      <c r="E713" s="1"/>
      <c r="F713" s="1"/>
      <c r="G713" s="83"/>
      <c r="H713" s="1"/>
      <c r="I713" s="1"/>
      <c r="J713" s="1"/>
      <c r="K713" s="1"/>
      <c r="L713" s="1"/>
      <c r="M713" s="1"/>
      <c r="N713" s="1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</row>
    <row r="714" spans="1:25" ht="15.75" customHeight="1" x14ac:dyDescent="0.2">
      <c r="A714" s="1"/>
      <c r="B714" s="1"/>
      <c r="C714" s="1"/>
      <c r="D714" s="1"/>
      <c r="E714" s="1"/>
      <c r="F714" s="1"/>
      <c r="G714" s="83"/>
      <c r="H714" s="1"/>
      <c r="I714" s="1"/>
      <c r="J714" s="1"/>
      <c r="K714" s="1"/>
      <c r="L714" s="1"/>
      <c r="M714" s="1"/>
      <c r="N714" s="1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</row>
    <row r="715" spans="1:25" ht="15.75" customHeight="1" x14ac:dyDescent="0.2">
      <c r="A715" s="1"/>
      <c r="B715" s="1"/>
      <c r="C715" s="1"/>
      <c r="D715" s="1"/>
      <c r="E715" s="1"/>
      <c r="F715" s="1"/>
      <c r="G715" s="83"/>
      <c r="H715" s="1"/>
      <c r="I715" s="1"/>
      <c r="J715" s="1"/>
      <c r="K715" s="1"/>
      <c r="L715" s="1"/>
      <c r="M715" s="1"/>
      <c r="N715" s="1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</row>
    <row r="716" spans="1:25" ht="15.75" customHeight="1" x14ac:dyDescent="0.2">
      <c r="A716" s="1"/>
      <c r="B716" s="1"/>
      <c r="C716" s="1"/>
      <c r="D716" s="1"/>
      <c r="E716" s="1"/>
      <c r="F716" s="1"/>
      <c r="G716" s="83"/>
      <c r="H716" s="1"/>
      <c r="I716" s="1"/>
      <c r="J716" s="1"/>
      <c r="K716" s="1"/>
      <c r="L716" s="1"/>
      <c r="M716" s="1"/>
      <c r="N716" s="1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</row>
    <row r="717" spans="1:25" ht="15.75" customHeight="1" x14ac:dyDescent="0.2">
      <c r="A717" s="1"/>
      <c r="B717" s="1"/>
      <c r="C717" s="1"/>
      <c r="D717" s="1"/>
      <c r="E717" s="1"/>
      <c r="F717" s="1"/>
      <c r="G717" s="83"/>
      <c r="H717" s="1"/>
      <c r="I717" s="1"/>
      <c r="J717" s="1"/>
      <c r="K717" s="1"/>
      <c r="L717" s="1"/>
      <c r="M717" s="1"/>
      <c r="N717" s="1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</row>
    <row r="718" spans="1:25" ht="15.75" customHeight="1" x14ac:dyDescent="0.2">
      <c r="A718" s="1"/>
      <c r="B718" s="1"/>
      <c r="C718" s="1"/>
      <c r="D718" s="1"/>
      <c r="E718" s="1"/>
      <c r="F718" s="1"/>
      <c r="G718" s="83"/>
      <c r="H718" s="1"/>
      <c r="I718" s="1"/>
      <c r="J718" s="1"/>
      <c r="K718" s="1"/>
      <c r="L718" s="1"/>
      <c r="M718" s="1"/>
      <c r="N718" s="1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</row>
    <row r="719" spans="1:25" ht="15.75" customHeight="1" x14ac:dyDescent="0.2">
      <c r="A719" s="1"/>
      <c r="B719" s="1"/>
      <c r="C719" s="1"/>
      <c r="D719" s="1"/>
      <c r="E719" s="1"/>
      <c r="F719" s="1"/>
      <c r="G719" s="83"/>
      <c r="H719" s="1"/>
      <c r="I719" s="1"/>
      <c r="J719" s="1"/>
      <c r="K719" s="1"/>
      <c r="L719" s="1"/>
      <c r="M719" s="1"/>
      <c r="N719" s="1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</row>
    <row r="720" spans="1:25" ht="15.75" customHeight="1" x14ac:dyDescent="0.2">
      <c r="A720" s="1"/>
      <c r="B720" s="1"/>
      <c r="C720" s="1"/>
      <c r="D720" s="1"/>
      <c r="E720" s="1"/>
      <c r="F720" s="1"/>
      <c r="G720" s="83"/>
      <c r="H720" s="1"/>
      <c r="I720" s="1"/>
      <c r="J720" s="1"/>
      <c r="K720" s="1"/>
      <c r="L720" s="1"/>
      <c r="M720" s="1"/>
      <c r="N720" s="1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</row>
    <row r="721" spans="1:25" ht="15.75" customHeight="1" x14ac:dyDescent="0.2">
      <c r="A721" s="1"/>
      <c r="B721" s="1"/>
      <c r="C721" s="1"/>
      <c r="D721" s="1"/>
      <c r="E721" s="1"/>
      <c r="F721" s="1"/>
      <c r="G721" s="83"/>
      <c r="H721" s="1"/>
      <c r="I721" s="1"/>
      <c r="J721" s="1"/>
      <c r="K721" s="1"/>
      <c r="L721" s="1"/>
      <c r="M721" s="1"/>
      <c r="N721" s="1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</row>
    <row r="722" spans="1:25" ht="15.75" customHeight="1" x14ac:dyDescent="0.2">
      <c r="A722" s="1"/>
      <c r="B722" s="1"/>
      <c r="C722" s="1"/>
      <c r="D722" s="1"/>
      <c r="E722" s="1"/>
      <c r="F722" s="1"/>
      <c r="G722" s="83"/>
      <c r="H722" s="1"/>
      <c r="I722" s="1"/>
      <c r="J722" s="1"/>
      <c r="K722" s="1"/>
      <c r="L722" s="1"/>
      <c r="M722" s="1"/>
      <c r="N722" s="1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</row>
    <row r="723" spans="1:25" ht="15.75" customHeight="1" x14ac:dyDescent="0.2">
      <c r="A723" s="1"/>
      <c r="B723" s="1"/>
      <c r="C723" s="1"/>
      <c r="D723" s="1"/>
      <c r="E723" s="1"/>
      <c r="F723" s="1"/>
      <c r="G723" s="83"/>
      <c r="H723" s="1"/>
      <c r="I723" s="1"/>
      <c r="J723" s="1"/>
      <c r="K723" s="1"/>
      <c r="L723" s="1"/>
      <c r="M723" s="1"/>
      <c r="N723" s="1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</row>
    <row r="724" spans="1:25" ht="15.75" customHeight="1" x14ac:dyDescent="0.2">
      <c r="A724" s="1"/>
      <c r="B724" s="1"/>
      <c r="C724" s="1"/>
      <c r="D724" s="1"/>
      <c r="E724" s="1"/>
      <c r="F724" s="1"/>
      <c r="G724" s="83"/>
      <c r="H724" s="1"/>
      <c r="I724" s="1"/>
      <c r="J724" s="1"/>
      <c r="K724" s="1"/>
      <c r="L724" s="1"/>
      <c r="M724" s="1"/>
      <c r="N724" s="1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</row>
    <row r="725" spans="1:25" ht="15.75" customHeight="1" x14ac:dyDescent="0.2">
      <c r="A725" s="1"/>
      <c r="B725" s="1"/>
      <c r="C725" s="1"/>
      <c r="D725" s="1"/>
      <c r="E725" s="1"/>
      <c r="F725" s="1"/>
      <c r="G725" s="83"/>
      <c r="H725" s="1"/>
      <c r="I725" s="1"/>
      <c r="J725" s="1"/>
      <c r="K725" s="1"/>
      <c r="L725" s="1"/>
      <c r="M725" s="1"/>
      <c r="N725" s="1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</row>
    <row r="726" spans="1:25" ht="15.75" customHeight="1" x14ac:dyDescent="0.2">
      <c r="A726" s="1"/>
      <c r="B726" s="1"/>
      <c r="C726" s="1"/>
      <c r="D726" s="1"/>
      <c r="E726" s="1"/>
      <c r="F726" s="1"/>
      <c r="G726" s="83"/>
      <c r="H726" s="1"/>
      <c r="I726" s="1"/>
      <c r="J726" s="1"/>
      <c r="K726" s="1"/>
      <c r="L726" s="1"/>
      <c r="M726" s="1"/>
      <c r="N726" s="1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</row>
    <row r="727" spans="1:25" ht="15.75" customHeight="1" x14ac:dyDescent="0.2">
      <c r="A727" s="1"/>
      <c r="B727" s="1"/>
      <c r="C727" s="1"/>
      <c r="D727" s="1"/>
      <c r="E727" s="1"/>
      <c r="F727" s="1"/>
      <c r="G727" s="83"/>
      <c r="H727" s="1"/>
      <c r="I727" s="1"/>
      <c r="J727" s="1"/>
      <c r="K727" s="1"/>
      <c r="L727" s="1"/>
      <c r="M727" s="1"/>
      <c r="N727" s="1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</row>
    <row r="728" spans="1:25" ht="15.75" customHeight="1" x14ac:dyDescent="0.2">
      <c r="A728" s="1"/>
      <c r="B728" s="1"/>
      <c r="C728" s="1"/>
      <c r="D728" s="1"/>
      <c r="E728" s="1"/>
      <c r="F728" s="1"/>
      <c r="G728" s="83"/>
      <c r="H728" s="1"/>
      <c r="I728" s="1"/>
      <c r="J728" s="1"/>
      <c r="K728" s="1"/>
      <c r="L728" s="1"/>
      <c r="M728" s="1"/>
      <c r="N728" s="1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</row>
    <row r="729" spans="1:25" ht="15.75" customHeight="1" x14ac:dyDescent="0.2">
      <c r="A729" s="1"/>
      <c r="B729" s="1"/>
      <c r="C729" s="1"/>
      <c r="D729" s="1"/>
      <c r="E729" s="1"/>
      <c r="F729" s="1"/>
      <c r="G729" s="83"/>
      <c r="H729" s="1"/>
      <c r="I729" s="1"/>
      <c r="J729" s="1"/>
      <c r="K729" s="1"/>
      <c r="L729" s="1"/>
      <c r="M729" s="1"/>
      <c r="N729" s="1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</row>
    <row r="730" spans="1:25" ht="15.75" customHeight="1" x14ac:dyDescent="0.2">
      <c r="A730" s="1"/>
      <c r="B730" s="1"/>
      <c r="C730" s="1"/>
      <c r="D730" s="1"/>
      <c r="E730" s="1"/>
      <c r="F730" s="1"/>
      <c r="G730" s="83"/>
      <c r="H730" s="1"/>
      <c r="I730" s="1"/>
      <c r="J730" s="1"/>
      <c r="K730" s="1"/>
      <c r="L730" s="1"/>
      <c r="M730" s="1"/>
      <c r="N730" s="1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</row>
    <row r="731" spans="1:25" ht="15.75" customHeight="1" x14ac:dyDescent="0.2">
      <c r="A731" s="1"/>
      <c r="B731" s="1"/>
      <c r="C731" s="1"/>
      <c r="D731" s="1"/>
      <c r="E731" s="1"/>
      <c r="F731" s="1"/>
      <c r="G731" s="83"/>
      <c r="H731" s="1"/>
      <c r="I731" s="1"/>
      <c r="J731" s="1"/>
      <c r="K731" s="1"/>
      <c r="L731" s="1"/>
      <c r="M731" s="1"/>
      <c r="N731" s="1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</row>
    <row r="732" spans="1:25" ht="15.75" customHeight="1" x14ac:dyDescent="0.2">
      <c r="A732" s="1"/>
      <c r="B732" s="1"/>
      <c r="C732" s="1"/>
      <c r="D732" s="1"/>
      <c r="E732" s="1"/>
      <c r="F732" s="1"/>
      <c r="G732" s="83"/>
      <c r="H732" s="1"/>
      <c r="I732" s="1"/>
      <c r="J732" s="1"/>
      <c r="K732" s="1"/>
      <c r="L732" s="1"/>
      <c r="M732" s="1"/>
      <c r="N732" s="1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</row>
    <row r="733" spans="1:25" ht="15.75" customHeight="1" x14ac:dyDescent="0.2">
      <c r="A733" s="1"/>
      <c r="B733" s="1"/>
      <c r="C733" s="1"/>
      <c r="D733" s="1"/>
      <c r="E733" s="1"/>
      <c r="F733" s="1"/>
      <c r="G733" s="83"/>
      <c r="H733" s="1"/>
      <c r="I733" s="1"/>
      <c r="J733" s="1"/>
      <c r="K733" s="1"/>
      <c r="L733" s="1"/>
      <c r="M733" s="1"/>
      <c r="N733" s="1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</row>
    <row r="734" spans="1:25" ht="15.75" customHeight="1" x14ac:dyDescent="0.2">
      <c r="A734" s="1"/>
      <c r="B734" s="1"/>
      <c r="C734" s="1"/>
      <c r="D734" s="1"/>
      <c r="E734" s="1"/>
      <c r="F734" s="1"/>
      <c r="G734" s="83"/>
      <c r="H734" s="1"/>
      <c r="I734" s="1"/>
      <c r="J734" s="1"/>
      <c r="K734" s="1"/>
      <c r="L734" s="1"/>
      <c r="M734" s="1"/>
      <c r="N734" s="1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</row>
    <row r="735" spans="1:25" ht="15.75" customHeight="1" x14ac:dyDescent="0.2">
      <c r="A735" s="1"/>
      <c r="B735" s="1"/>
      <c r="C735" s="1"/>
      <c r="D735" s="1"/>
      <c r="E735" s="1"/>
      <c r="F735" s="1"/>
      <c r="G735" s="83"/>
      <c r="H735" s="1"/>
      <c r="I735" s="1"/>
      <c r="J735" s="1"/>
      <c r="K735" s="1"/>
      <c r="L735" s="1"/>
      <c r="M735" s="1"/>
      <c r="N735" s="1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</row>
    <row r="736" spans="1:25" ht="15.75" customHeight="1" x14ac:dyDescent="0.2">
      <c r="A736" s="1"/>
      <c r="B736" s="1"/>
      <c r="C736" s="1"/>
      <c r="D736" s="1"/>
      <c r="E736" s="1"/>
      <c r="F736" s="1"/>
      <c r="G736" s="83"/>
      <c r="H736" s="1"/>
      <c r="I736" s="1"/>
      <c r="J736" s="1"/>
      <c r="K736" s="1"/>
      <c r="L736" s="1"/>
      <c r="M736" s="1"/>
      <c r="N736" s="1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</row>
    <row r="737" spans="1:25" ht="15.75" customHeight="1" x14ac:dyDescent="0.2">
      <c r="A737" s="1"/>
      <c r="B737" s="1"/>
      <c r="C737" s="1"/>
      <c r="D737" s="1"/>
      <c r="E737" s="1"/>
      <c r="F737" s="1"/>
      <c r="G737" s="83"/>
      <c r="H737" s="1"/>
      <c r="I737" s="1"/>
      <c r="J737" s="1"/>
      <c r="K737" s="1"/>
      <c r="L737" s="1"/>
      <c r="M737" s="1"/>
      <c r="N737" s="1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</row>
    <row r="738" spans="1:25" ht="15.75" customHeight="1" x14ac:dyDescent="0.2">
      <c r="A738" s="1"/>
      <c r="B738" s="1"/>
      <c r="C738" s="1"/>
      <c r="D738" s="1"/>
      <c r="E738" s="1"/>
      <c r="F738" s="1"/>
      <c r="G738" s="83"/>
      <c r="H738" s="1"/>
      <c r="I738" s="1"/>
      <c r="J738" s="1"/>
      <c r="K738" s="1"/>
      <c r="L738" s="1"/>
      <c r="M738" s="1"/>
      <c r="N738" s="1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</row>
    <row r="739" spans="1:25" ht="15.75" customHeight="1" x14ac:dyDescent="0.2">
      <c r="A739" s="1"/>
      <c r="B739" s="1"/>
      <c r="C739" s="1"/>
      <c r="D739" s="1"/>
      <c r="E739" s="1"/>
      <c r="F739" s="1"/>
      <c r="G739" s="83"/>
      <c r="H739" s="1"/>
      <c r="I739" s="1"/>
      <c r="J739" s="1"/>
      <c r="K739" s="1"/>
      <c r="L739" s="1"/>
      <c r="M739" s="1"/>
      <c r="N739" s="1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</row>
    <row r="740" spans="1:25" ht="15.75" customHeight="1" x14ac:dyDescent="0.2">
      <c r="A740" s="1"/>
      <c r="B740" s="1"/>
      <c r="C740" s="1"/>
      <c r="D740" s="1"/>
      <c r="E740" s="1"/>
      <c r="F740" s="1"/>
      <c r="G740" s="83"/>
      <c r="H740" s="1"/>
      <c r="I740" s="1"/>
      <c r="J740" s="1"/>
      <c r="K740" s="1"/>
      <c r="L740" s="1"/>
      <c r="M740" s="1"/>
      <c r="N740" s="1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</row>
    <row r="741" spans="1:25" ht="15.75" customHeight="1" x14ac:dyDescent="0.2">
      <c r="A741" s="1"/>
      <c r="B741" s="1"/>
      <c r="C741" s="1"/>
      <c r="D741" s="1"/>
      <c r="E741" s="1"/>
      <c r="F741" s="1"/>
      <c r="G741" s="83"/>
      <c r="H741" s="1"/>
      <c r="I741" s="1"/>
      <c r="J741" s="1"/>
      <c r="K741" s="1"/>
      <c r="L741" s="1"/>
      <c r="M741" s="1"/>
      <c r="N741" s="1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</row>
    <row r="742" spans="1:25" ht="15.75" customHeight="1" x14ac:dyDescent="0.2">
      <c r="A742" s="1"/>
      <c r="B742" s="1"/>
      <c r="C742" s="1"/>
      <c r="D742" s="1"/>
      <c r="E742" s="1"/>
      <c r="F742" s="1"/>
      <c r="G742" s="83"/>
      <c r="H742" s="1"/>
      <c r="I742" s="1"/>
      <c r="J742" s="1"/>
      <c r="K742" s="1"/>
      <c r="L742" s="1"/>
      <c r="M742" s="1"/>
      <c r="N742" s="1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</row>
    <row r="743" spans="1:25" ht="15.75" customHeight="1" x14ac:dyDescent="0.2">
      <c r="A743" s="1"/>
      <c r="B743" s="1"/>
      <c r="C743" s="1"/>
      <c r="D743" s="1"/>
      <c r="E743" s="1"/>
      <c r="F743" s="1"/>
      <c r="G743" s="83"/>
      <c r="H743" s="1"/>
      <c r="I743" s="1"/>
      <c r="J743" s="1"/>
      <c r="K743" s="1"/>
      <c r="L743" s="1"/>
      <c r="M743" s="1"/>
      <c r="N743" s="1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</row>
    <row r="744" spans="1:25" ht="15.75" customHeight="1" x14ac:dyDescent="0.2">
      <c r="A744" s="1"/>
      <c r="B744" s="1"/>
      <c r="C744" s="1"/>
      <c r="D744" s="1"/>
      <c r="E744" s="1"/>
      <c r="F744" s="1"/>
      <c r="G744" s="83"/>
      <c r="H744" s="1"/>
      <c r="I744" s="1"/>
      <c r="J744" s="1"/>
      <c r="K744" s="1"/>
      <c r="L744" s="1"/>
      <c r="M744" s="1"/>
      <c r="N744" s="1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</row>
    <row r="745" spans="1:25" ht="15.75" customHeight="1" x14ac:dyDescent="0.2">
      <c r="A745" s="1"/>
      <c r="B745" s="1"/>
      <c r="C745" s="1"/>
      <c r="D745" s="1"/>
      <c r="E745" s="1"/>
      <c r="F745" s="1"/>
      <c r="G745" s="83"/>
      <c r="H745" s="1"/>
      <c r="I745" s="1"/>
      <c r="J745" s="1"/>
      <c r="K745" s="1"/>
      <c r="L745" s="1"/>
      <c r="M745" s="1"/>
      <c r="N745" s="1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</row>
    <row r="746" spans="1:25" ht="15.75" customHeight="1" x14ac:dyDescent="0.2">
      <c r="A746" s="1"/>
      <c r="B746" s="1"/>
      <c r="C746" s="1"/>
      <c r="D746" s="1"/>
      <c r="E746" s="1"/>
      <c r="F746" s="1"/>
      <c r="G746" s="83"/>
      <c r="H746" s="1"/>
      <c r="I746" s="1"/>
      <c r="J746" s="1"/>
      <c r="K746" s="1"/>
      <c r="L746" s="1"/>
      <c r="M746" s="1"/>
      <c r="N746" s="1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</row>
    <row r="747" spans="1:25" ht="15.75" customHeight="1" x14ac:dyDescent="0.2">
      <c r="A747" s="1"/>
      <c r="B747" s="1"/>
      <c r="C747" s="1"/>
      <c r="D747" s="1"/>
      <c r="E747" s="1"/>
      <c r="F747" s="1"/>
      <c r="G747" s="83"/>
      <c r="H747" s="1"/>
      <c r="I747" s="1"/>
      <c r="J747" s="1"/>
      <c r="K747" s="1"/>
      <c r="L747" s="1"/>
      <c r="M747" s="1"/>
      <c r="N747" s="1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</row>
    <row r="748" spans="1:25" ht="15.75" customHeight="1" x14ac:dyDescent="0.2">
      <c r="A748" s="1"/>
      <c r="B748" s="1"/>
      <c r="C748" s="1"/>
      <c r="D748" s="1"/>
      <c r="E748" s="1"/>
      <c r="F748" s="1"/>
      <c r="G748" s="83"/>
      <c r="H748" s="1"/>
      <c r="I748" s="1"/>
      <c r="J748" s="1"/>
      <c r="K748" s="1"/>
      <c r="L748" s="1"/>
      <c r="M748" s="1"/>
      <c r="N748" s="1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</row>
    <row r="749" spans="1:25" ht="15.75" customHeight="1" x14ac:dyDescent="0.2">
      <c r="A749" s="1"/>
      <c r="B749" s="1"/>
      <c r="C749" s="1"/>
      <c r="D749" s="1"/>
      <c r="E749" s="1"/>
      <c r="F749" s="1"/>
      <c r="G749" s="83"/>
      <c r="H749" s="1"/>
      <c r="I749" s="1"/>
      <c r="J749" s="1"/>
      <c r="K749" s="1"/>
      <c r="L749" s="1"/>
      <c r="M749" s="1"/>
      <c r="N749" s="1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</row>
    <row r="750" spans="1:25" ht="15.75" customHeight="1" x14ac:dyDescent="0.2">
      <c r="A750" s="1"/>
      <c r="B750" s="1"/>
      <c r="C750" s="1"/>
      <c r="D750" s="1"/>
      <c r="E750" s="1"/>
      <c r="F750" s="1"/>
      <c r="G750" s="83"/>
      <c r="H750" s="1"/>
      <c r="I750" s="1"/>
      <c r="J750" s="1"/>
      <c r="K750" s="1"/>
      <c r="L750" s="1"/>
      <c r="M750" s="1"/>
      <c r="N750" s="1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</row>
    <row r="751" spans="1:25" ht="15.75" customHeight="1" x14ac:dyDescent="0.2">
      <c r="A751" s="1"/>
      <c r="B751" s="1"/>
      <c r="C751" s="1"/>
      <c r="D751" s="1"/>
      <c r="E751" s="1"/>
      <c r="F751" s="1"/>
      <c r="G751" s="83"/>
      <c r="H751" s="1"/>
      <c r="I751" s="1"/>
      <c r="J751" s="1"/>
      <c r="K751" s="1"/>
      <c r="L751" s="1"/>
      <c r="M751" s="1"/>
      <c r="N751" s="1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</row>
    <row r="752" spans="1:25" ht="15.75" customHeight="1" x14ac:dyDescent="0.2">
      <c r="A752" s="1"/>
      <c r="B752" s="1"/>
      <c r="C752" s="1"/>
      <c r="D752" s="1"/>
      <c r="E752" s="1"/>
      <c r="F752" s="1"/>
      <c r="G752" s="83"/>
      <c r="H752" s="1"/>
      <c r="I752" s="1"/>
      <c r="J752" s="1"/>
      <c r="K752" s="1"/>
      <c r="L752" s="1"/>
      <c r="M752" s="1"/>
      <c r="N752" s="1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</row>
    <row r="753" spans="1:25" ht="15.75" customHeight="1" x14ac:dyDescent="0.2">
      <c r="A753" s="1"/>
      <c r="B753" s="1"/>
      <c r="C753" s="1"/>
      <c r="D753" s="1"/>
      <c r="E753" s="1"/>
      <c r="F753" s="1"/>
      <c r="G753" s="83"/>
      <c r="H753" s="1"/>
      <c r="I753" s="1"/>
      <c r="J753" s="1"/>
      <c r="K753" s="1"/>
      <c r="L753" s="1"/>
      <c r="M753" s="1"/>
      <c r="N753" s="1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</row>
    <row r="754" spans="1:25" ht="15.75" customHeight="1" x14ac:dyDescent="0.2">
      <c r="A754" s="1"/>
      <c r="B754" s="1"/>
      <c r="C754" s="1"/>
      <c r="D754" s="1"/>
      <c r="E754" s="1"/>
      <c r="F754" s="1"/>
      <c r="G754" s="83"/>
      <c r="H754" s="1"/>
      <c r="I754" s="1"/>
      <c r="J754" s="1"/>
      <c r="K754" s="1"/>
      <c r="L754" s="1"/>
      <c r="M754" s="1"/>
      <c r="N754" s="1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</row>
    <row r="755" spans="1:25" ht="15.75" customHeight="1" x14ac:dyDescent="0.2">
      <c r="A755" s="1"/>
      <c r="B755" s="1"/>
      <c r="C755" s="1"/>
      <c r="D755" s="1"/>
      <c r="E755" s="1"/>
      <c r="F755" s="1"/>
      <c r="G755" s="83"/>
      <c r="H755" s="1"/>
      <c r="I755" s="1"/>
      <c r="J755" s="1"/>
      <c r="K755" s="1"/>
      <c r="L755" s="1"/>
      <c r="M755" s="1"/>
      <c r="N755" s="1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</row>
    <row r="756" spans="1:25" ht="15.75" customHeight="1" x14ac:dyDescent="0.2">
      <c r="A756" s="1"/>
      <c r="B756" s="1"/>
      <c r="C756" s="1"/>
      <c r="D756" s="1"/>
      <c r="E756" s="1"/>
      <c r="F756" s="1"/>
      <c r="G756" s="83"/>
      <c r="H756" s="1"/>
      <c r="I756" s="1"/>
      <c r="J756" s="1"/>
      <c r="K756" s="1"/>
      <c r="L756" s="1"/>
      <c r="M756" s="1"/>
      <c r="N756" s="1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</row>
    <row r="757" spans="1:25" ht="15.75" customHeight="1" x14ac:dyDescent="0.2">
      <c r="A757" s="1"/>
      <c r="B757" s="1"/>
      <c r="C757" s="1"/>
      <c r="D757" s="1"/>
      <c r="E757" s="1"/>
      <c r="F757" s="1"/>
      <c r="G757" s="83"/>
      <c r="H757" s="1"/>
      <c r="I757" s="1"/>
      <c r="J757" s="1"/>
      <c r="K757" s="1"/>
      <c r="L757" s="1"/>
      <c r="M757" s="1"/>
      <c r="N757" s="1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</row>
    <row r="758" spans="1:25" ht="15.75" customHeight="1" x14ac:dyDescent="0.2">
      <c r="A758" s="1"/>
      <c r="B758" s="1"/>
      <c r="C758" s="1"/>
      <c r="D758" s="1"/>
      <c r="E758" s="1"/>
      <c r="F758" s="1"/>
      <c r="G758" s="83"/>
      <c r="H758" s="1"/>
      <c r="I758" s="1"/>
      <c r="J758" s="1"/>
      <c r="K758" s="1"/>
      <c r="L758" s="1"/>
      <c r="M758" s="1"/>
      <c r="N758" s="1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</row>
    <row r="759" spans="1:25" ht="15.75" customHeight="1" x14ac:dyDescent="0.2">
      <c r="A759" s="1"/>
      <c r="B759" s="1"/>
      <c r="C759" s="1"/>
      <c r="D759" s="1"/>
      <c r="E759" s="1"/>
      <c r="F759" s="1"/>
      <c r="G759" s="83"/>
      <c r="H759" s="1"/>
      <c r="I759" s="1"/>
      <c r="J759" s="1"/>
      <c r="K759" s="1"/>
      <c r="L759" s="1"/>
      <c r="M759" s="1"/>
      <c r="N759" s="1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</row>
    <row r="760" spans="1:25" ht="15.75" customHeight="1" x14ac:dyDescent="0.2">
      <c r="A760" s="1"/>
      <c r="B760" s="1"/>
      <c r="C760" s="1"/>
      <c r="D760" s="1"/>
      <c r="E760" s="1"/>
      <c r="F760" s="1"/>
      <c r="G760" s="83"/>
      <c r="H760" s="1"/>
      <c r="I760" s="1"/>
      <c r="J760" s="1"/>
      <c r="K760" s="1"/>
      <c r="L760" s="1"/>
      <c r="M760" s="1"/>
      <c r="N760" s="1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</row>
    <row r="761" spans="1:25" ht="15.75" customHeight="1" x14ac:dyDescent="0.2">
      <c r="A761" s="1"/>
      <c r="B761" s="1"/>
      <c r="C761" s="1"/>
      <c r="D761" s="1"/>
      <c r="E761" s="1"/>
      <c r="F761" s="1"/>
      <c r="G761" s="83"/>
      <c r="H761" s="1"/>
      <c r="I761" s="1"/>
      <c r="J761" s="1"/>
      <c r="K761" s="1"/>
      <c r="L761" s="1"/>
      <c r="M761" s="1"/>
      <c r="N761" s="1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</row>
    <row r="762" spans="1:25" ht="15.75" customHeight="1" x14ac:dyDescent="0.2">
      <c r="A762" s="1"/>
      <c r="B762" s="1"/>
      <c r="C762" s="1"/>
      <c r="D762" s="1"/>
      <c r="E762" s="1"/>
      <c r="F762" s="1"/>
      <c r="G762" s="83"/>
      <c r="H762" s="1"/>
      <c r="I762" s="1"/>
      <c r="J762" s="1"/>
      <c r="K762" s="1"/>
      <c r="L762" s="1"/>
      <c r="M762" s="1"/>
      <c r="N762" s="1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</row>
    <row r="763" spans="1:25" ht="15.75" customHeight="1" x14ac:dyDescent="0.2">
      <c r="A763" s="1"/>
      <c r="B763" s="1"/>
      <c r="C763" s="1"/>
      <c r="D763" s="1"/>
      <c r="E763" s="1"/>
      <c r="F763" s="1"/>
      <c r="G763" s="83"/>
      <c r="H763" s="1"/>
      <c r="I763" s="1"/>
      <c r="J763" s="1"/>
      <c r="K763" s="1"/>
      <c r="L763" s="1"/>
      <c r="M763" s="1"/>
      <c r="N763" s="1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</row>
    <row r="764" spans="1:25" ht="15.75" customHeight="1" x14ac:dyDescent="0.2">
      <c r="A764" s="1"/>
      <c r="B764" s="1"/>
      <c r="C764" s="1"/>
      <c r="D764" s="1"/>
      <c r="E764" s="1"/>
      <c r="F764" s="1"/>
      <c r="G764" s="83"/>
      <c r="H764" s="1"/>
      <c r="I764" s="1"/>
      <c r="J764" s="1"/>
      <c r="K764" s="1"/>
      <c r="L764" s="1"/>
      <c r="M764" s="1"/>
      <c r="N764" s="1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</row>
    <row r="765" spans="1:25" ht="15.75" customHeight="1" x14ac:dyDescent="0.2">
      <c r="A765" s="1"/>
      <c r="B765" s="1"/>
      <c r="C765" s="1"/>
      <c r="D765" s="1"/>
      <c r="E765" s="1"/>
      <c r="F765" s="1"/>
      <c r="G765" s="83"/>
      <c r="H765" s="1"/>
      <c r="I765" s="1"/>
      <c r="J765" s="1"/>
      <c r="K765" s="1"/>
      <c r="L765" s="1"/>
      <c r="M765" s="1"/>
      <c r="N765" s="1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</row>
    <row r="766" spans="1:25" ht="15.75" customHeight="1" x14ac:dyDescent="0.2">
      <c r="A766" s="1"/>
      <c r="B766" s="1"/>
      <c r="C766" s="1"/>
      <c r="D766" s="1"/>
      <c r="E766" s="1"/>
      <c r="F766" s="1"/>
      <c r="G766" s="83"/>
      <c r="H766" s="1"/>
      <c r="I766" s="1"/>
      <c r="J766" s="1"/>
      <c r="K766" s="1"/>
      <c r="L766" s="1"/>
      <c r="M766" s="1"/>
      <c r="N766" s="1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</row>
    <row r="767" spans="1:25" ht="15.75" customHeight="1" x14ac:dyDescent="0.2">
      <c r="A767" s="1"/>
      <c r="B767" s="1"/>
      <c r="C767" s="1"/>
      <c r="D767" s="1"/>
      <c r="E767" s="1"/>
      <c r="F767" s="1"/>
      <c r="G767" s="83"/>
      <c r="H767" s="1"/>
      <c r="I767" s="1"/>
      <c r="J767" s="1"/>
      <c r="K767" s="1"/>
      <c r="L767" s="1"/>
      <c r="M767" s="1"/>
      <c r="N767" s="1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</row>
    <row r="768" spans="1:25" ht="15.75" customHeight="1" x14ac:dyDescent="0.2">
      <c r="A768" s="1"/>
      <c r="B768" s="1"/>
      <c r="C768" s="1"/>
      <c r="D768" s="1"/>
      <c r="E768" s="1"/>
      <c r="F768" s="1"/>
      <c r="G768" s="83"/>
      <c r="H768" s="1"/>
      <c r="I768" s="1"/>
      <c r="J768" s="1"/>
      <c r="K768" s="1"/>
      <c r="L768" s="1"/>
      <c r="M768" s="1"/>
      <c r="N768" s="1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</row>
    <row r="769" spans="1:25" ht="15.75" customHeight="1" x14ac:dyDescent="0.2">
      <c r="A769" s="1"/>
      <c r="B769" s="1"/>
      <c r="C769" s="1"/>
      <c r="D769" s="1"/>
      <c r="E769" s="1"/>
      <c r="F769" s="1"/>
      <c r="G769" s="83"/>
      <c r="H769" s="1"/>
      <c r="I769" s="1"/>
      <c r="J769" s="1"/>
      <c r="K769" s="1"/>
      <c r="L769" s="1"/>
      <c r="M769" s="1"/>
      <c r="N769" s="1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</row>
    <row r="770" spans="1:25" ht="15.75" customHeight="1" x14ac:dyDescent="0.2">
      <c r="A770" s="1"/>
      <c r="B770" s="1"/>
      <c r="C770" s="1"/>
      <c r="D770" s="1"/>
      <c r="E770" s="1"/>
      <c r="F770" s="1"/>
      <c r="G770" s="83"/>
      <c r="H770" s="1"/>
      <c r="I770" s="1"/>
      <c r="J770" s="1"/>
      <c r="K770" s="1"/>
      <c r="L770" s="1"/>
      <c r="M770" s="1"/>
      <c r="N770" s="1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</row>
    <row r="771" spans="1:25" ht="15.75" customHeight="1" x14ac:dyDescent="0.2">
      <c r="A771" s="1"/>
      <c r="B771" s="1"/>
      <c r="C771" s="1"/>
      <c r="D771" s="1"/>
      <c r="E771" s="1"/>
      <c r="F771" s="1"/>
      <c r="G771" s="83"/>
      <c r="H771" s="1"/>
      <c r="I771" s="1"/>
      <c r="J771" s="1"/>
      <c r="K771" s="1"/>
      <c r="L771" s="1"/>
      <c r="M771" s="1"/>
      <c r="N771" s="1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</row>
    <row r="772" spans="1:25" ht="15.75" customHeight="1" x14ac:dyDescent="0.2">
      <c r="A772" s="1"/>
      <c r="B772" s="1"/>
      <c r="C772" s="1"/>
      <c r="D772" s="1"/>
      <c r="E772" s="1"/>
      <c r="F772" s="1"/>
      <c r="G772" s="83"/>
      <c r="H772" s="1"/>
      <c r="I772" s="1"/>
      <c r="J772" s="1"/>
      <c r="K772" s="1"/>
      <c r="L772" s="1"/>
      <c r="M772" s="1"/>
      <c r="N772" s="1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</row>
    <row r="773" spans="1:25" ht="15.75" customHeight="1" x14ac:dyDescent="0.2">
      <c r="A773" s="1"/>
      <c r="B773" s="1"/>
      <c r="C773" s="1"/>
      <c r="D773" s="1"/>
      <c r="E773" s="1"/>
      <c r="F773" s="1"/>
      <c r="G773" s="83"/>
      <c r="H773" s="1"/>
      <c r="I773" s="1"/>
      <c r="J773" s="1"/>
      <c r="K773" s="1"/>
      <c r="L773" s="1"/>
      <c r="M773" s="1"/>
      <c r="N773" s="1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</row>
    <row r="774" spans="1:25" ht="15.75" customHeight="1" x14ac:dyDescent="0.2">
      <c r="A774" s="1"/>
      <c r="B774" s="1"/>
      <c r="C774" s="1"/>
      <c r="D774" s="1"/>
      <c r="E774" s="1"/>
      <c r="F774" s="1"/>
      <c r="G774" s="83"/>
      <c r="H774" s="1"/>
      <c r="I774" s="1"/>
      <c r="J774" s="1"/>
      <c r="K774" s="1"/>
      <c r="L774" s="1"/>
      <c r="M774" s="1"/>
      <c r="N774" s="1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</row>
    <row r="775" spans="1:25" ht="15.75" customHeight="1" x14ac:dyDescent="0.2">
      <c r="A775" s="1"/>
      <c r="B775" s="1"/>
      <c r="C775" s="1"/>
      <c r="D775" s="1"/>
      <c r="E775" s="1"/>
      <c r="F775" s="1"/>
      <c r="G775" s="83"/>
      <c r="H775" s="1"/>
      <c r="I775" s="1"/>
      <c r="J775" s="1"/>
      <c r="K775" s="1"/>
      <c r="L775" s="1"/>
      <c r="M775" s="1"/>
      <c r="N775" s="1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</row>
    <row r="776" spans="1:25" ht="15.75" customHeight="1" x14ac:dyDescent="0.2">
      <c r="A776" s="1"/>
      <c r="B776" s="1"/>
      <c r="C776" s="1"/>
      <c r="D776" s="1"/>
      <c r="E776" s="1"/>
      <c r="F776" s="1"/>
      <c r="G776" s="83"/>
      <c r="H776" s="1"/>
      <c r="I776" s="1"/>
      <c r="J776" s="1"/>
      <c r="K776" s="1"/>
      <c r="L776" s="1"/>
      <c r="M776" s="1"/>
      <c r="N776" s="1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</row>
    <row r="777" spans="1:25" ht="15.75" customHeight="1" x14ac:dyDescent="0.2">
      <c r="A777" s="1"/>
      <c r="B777" s="1"/>
      <c r="C777" s="1"/>
      <c r="D777" s="1"/>
      <c r="E777" s="1"/>
      <c r="F777" s="1"/>
      <c r="G777" s="83"/>
      <c r="H777" s="1"/>
      <c r="I777" s="1"/>
      <c r="J777" s="1"/>
      <c r="K777" s="1"/>
      <c r="L777" s="1"/>
      <c r="M777" s="1"/>
      <c r="N777" s="1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</row>
    <row r="778" spans="1:25" ht="15.75" customHeight="1" x14ac:dyDescent="0.2">
      <c r="A778" s="1"/>
      <c r="B778" s="1"/>
      <c r="C778" s="1"/>
      <c r="D778" s="1"/>
      <c r="E778" s="1"/>
      <c r="F778" s="1"/>
      <c r="G778" s="83"/>
      <c r="H778" s="1"/>
      <c r="I778" s="1"/>
      <c r="J778" s="1"/>
      <c r="K778" s="1"/>
      <c r="L778" s="1"/>
      <c r="M778" s="1"/>
      <c r="N778" s="1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</row>
    <row r="779" spans="1:25" ht="15.75" customHeight="1" x14ac:dyDescent="0.2">
      <c r="A779" s="1"/>
      <c r="B779" s="1"/>
      <c r="C779" s="1"/>
      <c r="D779" s="1"/>
      <c r="E779" s="1"/>
      <c r="F779" s="1"/>
      <c r="G779" s="83"/>
      <c r="H779" s="1"/>
      <c r="I779" s="1"/>
      <c r="J779" s="1"/>
      <c r="K779" s="1"/>
      <c r="L779" s="1"/>
      <c r="M779" s="1"/>
      <c r="N779" s="1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</row>
    <row r="780" spans="1:25" ht="15.75" customHeight="1" x14ac:dyDescent="0.2">
      <c r="A780" s="1"/>
      <c r="B780" s="1"/>
      <c r="C780" s="1"/>
      <c r="D780" s="1"/>
      <c r="E780" s="1"/>
      <c r="F780" s="1"/>
      <c r="G780" s="83"/>
      <c r="H780" s="1"/>
      <c r="I780" s="1"/>
      <c r="J780" s="1"/>
      <c r="K780" s="1"/>
      <c r="L780" s="1"/>
      <c r="M780" s="1"/>
      <c r="N780" s="1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</row>
    <row r="781" spans="1:25" ht="15.75" customHeight="1" x14ac:dyDescent="0.2">
      <c r="A781" s="1"/>
      <c r="B781" s="1"/>
      <c r="C781" s="1"/>
      <c r="D781" s="1"/>
      <c r="E781" s="1"/>
      <c r="F781" s="1"/>
      <c r="G781" s="83"/>
      <c r="H781" s="1"/>
      <c r="I781" s="1"/>
      <c r="J781" s="1"/>
      <c r="K781" s="1"/>
      <c r="L781" s="1"/>
      <c r="M781" s="1"/>
      <c r="N781" s="1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</row>
    <row r="782" spans="1:25" ht="15.75" customHeight="1" x14ac:dyDescent="0.2">
      <c r="A782" s="1"/>
      <c r="B782" s="1"/>
      <c r="C782" s="1"/>
      <c r="D782" s="1"/>
      <c r="E782" s="1"/>
      <c r="F782" s="1"/>
      <c r="G782" s="83"/>
      <c r="H782" s="1"/>
      <c r="I782" s="1"/>
      <c r="J782" s="1"/>
      <c r="K782" s="1"/>
      <c r="L782" s="1"/>
      <c r="M782" s="1"/>
      <c r="N782" s="1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</row>
    <row r="783" spans="1:25" ht="15.75" customHeight="1" x14ac:dyDescent="0.2">
      <c r="A783" s="1"/>
      <c r="B783" s="1"/>
      <c r="C783" s="1"/>
      <c r="D783" s="1"/>
      <c r="E783" s="1"/>
      <c r="F783" s="1"/>
      <c r="G783" s="83"/>
      <c r="H783" s="1"/>
      <c r="I783" s="1"/>
      <c r="J783" s="1"/>
      <c r="K783" s="1"/>
      <c r="L783" s="1"/>
      <c r="M783" s="1"/>
      <c r="N783" s="1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</row>
    <row r="784" spans="1:25" ht="15.75" customHeight="1" x14ac:dyDescent="0.2">
      <c r="A784" s="1"/>
      <c r="B784" s="1"/>
      <c r="C784" s="1"/>
      <c r="D784" s="1"/>
      <c r="E784" s="1"/>
      <c r="F784" s="1"/>
      <c r="G784" s="83"/>
      <c r="H784" s="1"/>
      <c r="I784" s="1"/>
      <c r="J784" s="1"/>
      <c r="K784" s="1"/>
      <c r="L784" s="1"/>
      <c r="M784" s="1"/>
      <c r="N784" s="1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</row>
    <row r="785" spans="1:25" ht="15.75" customHeight="1" x14ac:dyDescent="0.2">
      <c r="A785" s="1"/>
      <c r="B785" s="1"/>
      <c r="C785" s="1"/>
      <c r="D785" s="1"/>
      <c r="E785" s="1"/>
      <c r="F785" s="1"/>
      <c r="G785" s="83"/>
      <c r="H785" s="1"/>
      <c r="I785" s="1"/>
      <c r="J785" s="1"/>
      <c r="K785" s="1"/>
      <c r="L785" s="1"/>
      <c r="M785" s="1"/>
      <c r="N785" s="1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</row>
    <row r="786" spans="1:25" ht="15.75" customHeight="1" x14ac:dyDescent="0.2">
      <c r="A786" s="1"/>
      <c r="B786" s="1"/>
      <c r="C786" s="1"/>
      <c r="D786" s="1"/>
      <c r="E786" s="1"/>
      <c r="F786" s="1"/>
      <c r="G786" s="83"/>
      <c r="H786" s="1"/>
      <c r="I786" s="1"/>
      <c r="J786" s="1"/>
      <c r="K786" s="1"/>
      <c r="L786" s="1"/>
      <c r="M786" s="1"/>
      <c r="N786" s="1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</row>
    <row r="787" spans="1:25" ht="15.75" customHeight="1" x14ac:dyDescent="0.2">
      <c r="A787" s="1"/>
      <c r="B787" s="1"/>
      <c r="C787" s="1"/>
      <c r="D787" s="1"/>
      <c r="E787" s="1"/>
      <c r="F787" s="1"/>
      <c r="G787" s="83"/>
      <c r="H787" s="1"/>
      <c r="I787" s="1"/>
      <c r="J787" s="1"/>
      <c r="K787" s="1"/>
      <c r="L787" s="1"/>
      <c r="M787" s="1"/>
      <c r="N787" s="1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</row>
    <row r="788" spans="1:25" ht="15.75" customHeight="1" x14ac:dyDescent="0.2">
      <c r="A788" s="1"/>
      <c r="B788" s="1"/>
      <c r="C788" s="1"/>
      <c r="D788" s="1"/>
      <c r="E788" s="1"/>
      <c r="F788" s="1"/>
      <c r="G788" s="83"/>
      <c r="H788" s="1"/>
      <c r="I788" s="1"/>
      <c r="J788" s="1"/>
      <c r="K788" s="1"/>
      <c r="L788" s="1"/>
      <c r="M788" s="1"/>
      <c r="N788" s="1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</row>
    <row r="789" spans="1:25" ht="15.75" customHeight="1" x14ac:dyDescent="0.2">
      <c r="A789" s="1"/>
      <c r="B789" s="1"/>
      <c r="C789" s="1"/>
      <c r="D789" s="1"/>
      <c r="E789" s="1"/>
      <c r="F789" s="1"/>
      <c r="G789" s="83"/>
      <c r="H789" s="1"/>
      <c r="I789" s="1"/>
      <c r="J789" s="1"/>
      <c r="K789" s="1"/>
      <c r="L789" s="1"/>
      <c r="M789" s="1"/>
      <c r="N789" s="1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</row>
    <row r="790" spans="1:25" ht="15.75" customHeight="1" x14ac:dyDescent="0.2">
      <c r="A790" s="1"/>
      <c r="B790" s="1"/>
      <c r="C790" s="1"/>
      <c r="D790" s="1"/>
      <c r="E790" s="1"/>
      <c r="F790" s="1"/>
      <c r="G790" s="83"/>
      <c r="H790" s="1"/>
      <c r="I790" s="1"/>
      <c r="J790" s="1"/>
      <c r="K790" s="1"/>
      <c r="L790" s="1"/>
      <c r="M790" s="1"/>
      <c r="N790" s="1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</row>
    <row r="791" spans="1:25" ht="15.75" customHeight="1" x14ac:dyDescent="0.2">
      <c r="A791" s="1"/>
      <c r="B791" s="1"/>
      <c r="C791" s="1"/>
      <c r="D791" s="1"/>
      <c r="E791" s="1"/>
      <c r="F791" s="1"/>
      <c r="G791" s="83"/>
      <c r="H791" s="1"/>
      <c r="I791" s="1"/>
      <c r="J791" s="1"/>
      <c r="K791" s="1"/>
      <c r="L791" s="1"/>
      <c r="M791" s="1"/>
      <c r="N791" s="1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</row>
    <row r="792" spans="1:25" ht="15.75" customHeight="1" x14ac:dyDescent="0.2">
      <c r="A792" s="1"/>
      <c r="B792" s="1"/>
      <c r="C792" s="1"/>
      <c r="D792" s="1"/>
      <c r="E792" s="1"/>
      <c r="F792" s="1"/>
      <c r="G792" s="83"/>
      <c r="H792" s="1"/>
      <c r="I792" s="1"/>
      <c r="J792" s="1"/>
      <c r="K792" s="1"/>
      <c r="L792" s="1"/>
      <c r="M792" s="1"/>
      <c r="N792" s="1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</row>
    <row r="793" spans="1:25" ht="15.75" customHeight="1" x14ac:dyDescent="0.2">
      <c r="A793" s="1"/>
      <c r="B793" s="1"/>
      <c r="C793" s="1"/>
      <c r="D793" s="1"/>
      <c r="E793" s="1"/>
      <c r="F793" s="1"/>
      <c r="G793" s="83"/>
      <c r="H793" s="1"/>
      <c r="I793" s="1"/>
      <c r="J793" s="1"/>
      <c r="K793" s="1"/>
      <c r="L793" s="1"/>
      <c r="M793" s="1"/>
      <c r="N793" s="1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</row>
    <row r="794" spans="1:25" ht="15.75" customHeight="1" x14ac:dyDescent="0.2">
      <c r="A794" s="1"/>
      <c r="B794" s="1"/>
      <c r="C794" s="1"/>
      <c r="D794" s="1"/>
      <c r="E794" s="1"/>
      <c r="F794" s="1"/>
      <c r="G794" s="83"/>
      <c r="H794" s="1"/>
      <c r="I794" s="1"/>
      <c r="J794" s="1"/>
      <c r="K794" s="1"/>
      <c r="L794" s="1"/>
      <c r="M794" s="1"/>
      <c r="N794" s="1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</row>
    <row r="795" spans="1:25" ht="15.75" customHeight="1" x14ac:dyDescent="0.2">
      <c r="A795" s="1"/>
      <c r="B795" s="1"/>
      <c r="C795" s="1"/>
      <c r="D795" s="1"/>
      <c r="E795" s="1"/>
      <c r="F795" s="1"/>
      <c r="G795" s="83"/>
      <c r="H795" s="1"/>
      <c r="I795" s="1"/>
      <c r="J795" s="1"/>
      <c r="K795" s="1"/>
      <c r="L795" s="1"/>
      <c r="M795" s="1"/>
      <c r="N795" s="1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</row>
    <row r="796" spans="1:25" ht="15.75" customHeight="1" x14ac:dyDescent="0.2">
      <c r="A796" s="1"/>
      <c r="B796" s="1"/>
      <c r="C796" s="1"/>
      <c r="D796" s="1"/>
      <c r="E796" s="1"/>
      <c r="F796" s="1"/>
      <c r="G796" s="83"/>
      <c r="H796" s="1"/>
      <c r="I796" s="1"/>
      <c r="J796" s="1"/>
      <c r="K796" s="1"/>
      <c r="L796" s="1"/>
      <c r="M796" s="1"/>
      <c r="N796" s="1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</row>
    <row r="797" spans="1:25" ht="15.75" customHeight="1" x14ac:dyDescent="0.2">
      <c r="A797" s="1"/>
      <c r="B797" s="1"/>
      <c r="C797" s="1"/>
      <c r="D797" s="1"/>
      <c r="E797" s="1"/>
      <c r="F797" s="1"/>
      <c r="G797" s="83"/>
      <c r="H797" s="1"/>
      <c r="I797" s="1"/>
      <c r="J797" s="1"/>
      <c r="K797" s="1"/>
      <c r="L797" s="1"/>
      <c r="M797" s="1"/>
      <c r="N797" s="1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</row>
    <row r="798" spans="1:25" ht="15.75" customHeight="1" x14ac:dyDescent="0.2">
      <c r="A798" s="1"/>
      <c r="B798" s="1"/>
      <c r="C798" s="1"/>
      <c r="D798" s="1"/>
      <c r="E798" s="1"/>
      <c r="F798" s="1"/>
      <c r="G798" s="83"/>
      <c r="H798" s="1"/>
      <c r="I798" s="1"/>
      <c r="J798" s="1"/>
      <c r="K798" s="1"/>
      <c r="L798" s="1"/>
      <c r="M798" s="1"/>
      <c r="N798" s="1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</row>
    <row r="799" spans="1:25" ht="15.75" customHeight="1" x14ac:dyDescent="0.2">
      <c r="A799" s="1"/>
      <c r="B799" s="1"/>
      <c r="C799" s="1"/>
      <c r="D799" s="1"/>
      <c r="E799" s="1"/>
      <c r="F799" s="1"/>
      <c r="G799" s="83"/>
      <c r="H799" s="1"/>
      <c r="I799" s="1"/>
      <c r="J799" s="1"/>
      <c r="K799" s="1"/>
      <c r="L799" s="1"/>
      <c r="M799" s="1"/>
      <c r="N799" s="1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</row>
    <row r="800" spans="1:25" ht="15.75" customHeight="1" x14ac:dyDescent="0.2">
      <c r="A800" s="1"/>
      <c r="B800" s="1"/>
      <c r="C800" s="1"/>
      <c r="D800" s="1"/>
      <c r="E800" s="1"/>
      <c r="F800" s="1"/>
      <c r="G800" s="83"/>
      <c r="H800" s="1"/>
      <c r="I800" s="1"/>
      <c r="J800" s="1"/>
      <c r="K800" s="1"/>
      <c r="L800" s="1"/>
      <c r="M800" s="1"/>
      <c r="N800" s="1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</row>
    <row r="801" spans="1:25" ht="15.75" customHeight="1" x14ac:dyDescent="0.2">
      <c r="A801" s="1"/>
      <c r="B801" s="1"/>
      <c r="C801" s="1"/>
      <c r="D801" s="1"/>
      <c r="E801" s="1"/>
      <c r="F801" s="1"/>
      <c r="G801" s="83"/>
      <c r="H801" s="1"/>
      <c r="I801" s="1"/>
      <c r="J801" s="1"/>
      <c r="K801" s="1"/>
      <c r="L801" s="1"/>
      <c r="M801" s="1"/>
      <c r="N801" s="1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</row>
    <row r="802" spans="1:25" ht="15.75" customHeight="1" x14ac:dyDescent="0.2">
      <c r="A802" s="1"/>
      <c r="B802" s="1"/>
      <c r="C802" s="1"/>
      <c r="D802" s="1"/>
      <c r="E802" s="1"/>
      <c r="F802" s="1"/>
      <c r="G802" s="83"/>
      <c r="H802" s="1"/>
      <c r="I802" s="1"/>
      <c r="J802" s="1"/>
      <c r="K802" s="1"/>
      <c r="L802" s="1"/>
      <c r="M802" s="1"/>
      <c r="N802" s="1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</row>
    <row r="803" spans="1:25" ht="15.75" customHeight="1" x14ac:dyDescent="0.2">
      <c r="A803" s="1"/>
      <c r="B803" s="1"/>
      <c r="C803" s="1"/>
      <c r="D803" s="1"/>
      <c r="E803" s="1"/>
      <c r="F803" s="1"/>
      <c r="G803" s="83"/>
      <c r="H803" s="1"/>
      <c r="I803" s="1"/>
      <c r="J803" s="1"/>
      <c r="K803" s="1"/>
      <c r="L803" s="1"/>
      <c r="M803" s="1"/>
      <c r="N803" s="1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</row>
    <row r="804" spans="1:25" ht="15.75" customHeight="1" x14ac:dyDescent="0.2">
      <c r="A804" s="1"/>
      <c r="B804" s="1"/>
      <c r="C804" s="1"/>
      <c r="D804" s="1"/>
      <c r="E804" s="1"/>
      <c r="F804" s="1"/>
      <c r="G804" s="83"/>
      <c r="H804" s="1"/>
      <c r="I804" s="1"/>
      <c r="J804" s="1"/>
      <c r="K804" s="1"/>
      <c r="L804" s="1"/>
      <c r="M804" s="1"/>
      <c r="N804" s="1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</row>
    <row r="805" spans="1:25" ht="15.75" customHeight="1" x14ac:dyDescent="0.2">
      <c r="A805" s="1"/>
      <c r="B805" s="1"/>
      <c r="C805" s="1"/>
      <c r="D805" s="1"/>
      <c r="E805" s="1"/>
      <c r="F805" s="1"/>
      <c r="G805" s="83"/>
      <c r="H805" s="1"/>
      <c r="I805" s="1"/>
      <c r="J805" s="1"/>
      <c r="K805" s="1"/>
      <c r="L805" s="1"/>
      <c r="M805" s="1"/>
      <c r="N805" s="1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</row>
    <row r="806" spans="1:25" ht="15.75" customHeight="1" x14ac:dyDescent="0.2">
      <c r="A806" s="1"/>
      <c r="B806" s="1"/>
      <c r="C806" s="1"/>
      <c r="D806" s="1"/>
      <c r="E806" s="1"/>
      <c r="F806" s="1"/>
      <c r="G806" s="83"/>
      <c r="H806" s="1"/>
      <c r="I806" s="1"/>
      <c r="J806" s="1"/>
      <c r="K806" s="1"/>
      <c r="L806" s="1"/>
      <c r="M806" s="1"/>
      <c r="N806" s="1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</row>
    <row r="807" spans="1:25" ht="15.75" customHeight="1" x14ac:dyDescent="0.2">
      <c r="A807" s="1"/>
      <c r="B807" s="1"/>
      <c r="C807" s="1"/>
      <c r="D807" s="1"/>
      <c r="E807" s="1"/>
      <c r="F807" s="1"/>
      <c r="G807" s="83"/>
      <c r="H807" s="1"/>
      <c r="I807" s="1"/>
      <c r="J807" s="1"/>
      <c r="K807" s="1"/>
      <c r="L807" s="1"/>
      <c r="M807" s="1"/>
      <c r="N807" s="1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</row>
    <row r="808" spans="1:25" ht="15.75" customHeight="1" x14ac:dyDescent="0.2">
      <c r="A808" s="1"/>
      <c r="B808" s="1"/>
      <c r="C808" s="1"/>
      <c r="D808" s="1"/>
      <c r="E808" s="1"/>
      <c r="F808" s="1"/>
      <c r="G808" s="83"/>
      <c r="H808" s="1"/>
      <c r="I808" s="1"/>
      <c r="J808" s="1"/>
      <c r="K808" s="1"/>
      <c r="L808" s="1"/>
      <c r="M808" s="1"/>
      <c r="N808" s="1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</row>
    <row r="809" spans="1:25" ht="15.75" customHeight="1" x14ac:dyDescent="0.2">
      <c r="A809" s="1"/>
      <c r="B809" s="1"/>
      <c r="C809" s="1"/>
      <c r="D809" s="1"/>
      <c r="E809" s="1"/>
      <c r="F809" s="1"/>
      <c r="G809" s="83"/>
      <c r="H809" s="1"/>
      <c r="I809" s="1"/>
      <c r="J809" s="1"/>
      <c r="K809" s="1"/>
      <c r="L809" s="1"/>
      <c r="M809" s="1"/>
      <c r="N809" s="1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</row>
    <row r="810" spans="1:25" ht="15.75" customHeight="1" x14ac:dyDescent="0.2">
      <c r="A810" s="1"/>
      <c r="B810" s="1"/>
      <c r="C810" s="1"/>
      <c r="D810" s="1"/>
      <c r="E810" s="1"/>
      <c r="F810" s="1"/>
      <c r="G810" s="83"/>
      <c r="H810" s="1"/>
      <c r="I810" s="1"/>
      <c r="J810" s="1"/>
      <c r="K810" s="1"/>
      <c r="L810" s="1"/>
      <c r="M810" s="1"/>
      <c r="N810" s="1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</row>
    <row r="811" spans="1:25" ht="15.75" customHeight="1" x14ac:dyDescent="0.2">
      <c r="A811" s="1"/>
      <c r="B811" s="1"/>
      <c r="C811" s="1"/>
      <c r="D811" s="1"/>
      <c r="E811" s="1"/>
      <c r="F811" s="1"/>
      <c r="G811" s="83"/>
      <c r="H811" s="1"/>
      <c r="I811" s="1"/>
      <c r="J811" s="1"/>
      <c r="K811" s="1"/>
      <c r="L811" s="1"/>
      <c r="M811" s="1"/>
      <c r="N811" s="1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</row>
    <row r="812" spans="1:25" ht="15.75" customHeight="1" x14ac:dyDescent="0.2">
      <c r="A812" s="1"/>
      <c r="B812" s="1"/>
      <c r="C812" s="1"/>
      <c r="D812" s="1"/>
      <c r="E812" s="1"/>
      <c r="F812" s="1"/>
      <c r="G812" s="83"/>
      <c r="H812" s="1"/>
      <c r="I812" s="1"/>
      <c r="J812" s="1"/>
      <c r="K812" s="1"/>
      <c r="L812" s="1"/>
      <c r="M812" s="1"/>
      <c r="N812" s="1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</row>
    <row r="813" spans="1:25" ht="15.75" customHeight="1" x14ac:dyDescent="0.2">
      <c r="A813" s="1"/>
      <c r="B813" s="1"/>
      <c r="C813" s="1"/>
      <c r="D813" s="1"/>
      <c r="E813" s="1"/>
      <c r="F813" s="1"/>
      <c r="G813" s="83"/>
      <c r="H813" s="1"/>
      <c r="I813" s="1"/>
      <c r="J813" s="1"/>
      <c r="K813" s="1"/>
      <c r="L813" s="1"/>
      <c r="M813" s="1"/>
      <c r="N813" s="1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</row>
    <row r="814" spans="1:25" ht="15.75" customHeight="1" x14ac:dyDescent="0.2">
      <c r="A814" s="1"/>
      <c r="B814" s="1"/>
      <c r="C814" s="1"/>
      <c r="D814" s="1"/>
      <c r="E814" s="1"/>
      <c r="F814" s="1"/>
      <c r="G814" s="83"/>
      <c r="H814" s="1"/>
      <c r="I814" s="1"/>
      <c r="J814" s="1"/>
      <c r="K814" s="1"/>
      <c r="L814" s="1"/>
      <c r="M814" s="1"/>
      <c r="N814" s="1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</row>
    <row r="815" spans="1:25" ht="15.75" customHeight="1" x14ac:dyDescent="0.2">
      <c r="A815" s="1"/>
      <c r="B815" s="1"/>
      <c r="C815" s="1"/>
      <c r="D815" s="1"/>
      <c r="E815" s="1"/>
      <c r="F815" s="1"/>
      <c r="G815" s="83"/>
      <c r="H815" s="1"/>
      <c r="I815" s="1"/>
      <c r="J815" s="1"/>
      <c r="K815" s="1"/>
      <c r="L815" s="1"/>
      <c r="M815" s="1"/>
      <c r="N815" s="1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</row>
    <row r="816" spans="1:25" ht="15.75" customHeight="1" x14ac:dyDescent="0.2">
      <c r="A816" s="1"/>
      <c r="B816" s="1"/>
      <c r="C816" s="1"/>
      <c r="D816" s="1"/>
      <c r="E816" s="1"/>
      <c r="F816" s="1"/>
      <c r="G816" s="83"/>
      <c r="H816" s="1"/>
      <c r="I816" s="1"/>
      <c r="J816" s="1"/>
      <c r="K816" s="1"/>
      <c r="L816" s="1"/>
      <c r="M816" s="1"/>
      <c r="N816" s="1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</row>
    <row r="817" spans="1:25" ht="15.75" customHeight="1" x14ac:dyDescent="0.2">
      <c r="A817" s="1"/>
      <c r="B817" s="1"/>
      <c r="C817" s="1"/>
      <c r="D817" s="1"/>
      <c r="E817" s="1"/>
      <c r="F817" s="1"/>
      <c r="G817" s="83"/>
      <c r="H817" s="1"/>
      <c r="I817" s="1"/>
      <c r="J817" s="1"/>
      <c r="K817" s="1"/>
      <c r="L817" s="1"/>
      <c r="M817" s="1"/>
      <c r="N817" s="1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</row>
    <row r="818" spans="1:25" ht="15.75" customHeight="1" x14ac:dyDescent="0.2">
      <c r="A818" s="1"/>
      <c r="B818" s="1"/>
      <c r="C818" s="1"/>
      <c r="D818" s="1"/>
      <c r="E818" s="1"/>
      <c r="F818" s="1"/>
      <c r="G818" s="83"/>
      <c r="H818" s="1"/>
      <c r="I818" s="1"/>
      <c r="J818" s="1"/>
      <c r="K818" s="1"/>
      <c r="L818" s="1"/>
      <c r="M818" s="1"/>
      <c r="N818" s="1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</row>
    <row r="819" spans="1:25" ht="15.75" customHeight="1" x14ac:dyDescent="0.2">
      <c r="A819" s="1"/>
      <c r="B819" s="1"/>
      <c r="C819" s="1"/>
      <c r="D819" s="1"/>
      <c r="E819" s="1"/>
      <c r="F819" s="1"/>
      <c r="G819" s="83"/>
      <c r="H819" s="1"/>
      <c r="I819" s="1"/>
      <c r="J819" s="1"/>
      <c r="K819" s="1"/>
      <c r="L819" s="1"/>
      <c r="M819" s="1"/>
      <c r="N819" s="1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</row>
    <row r="820" spans="1:25" ht="15.75" customHeight="1" x14ac:dyDescent="0.2">
      <c r="A820" s="1"/>
      <c r="B820" s="1"/>
      <c r="C820" s="1"/>
      <c r="D820" s="1"/>
      <c r="E820" s="1"/>
      <c r="F820" s="1"/>
      <c r="G820" s="83"/>
      <c r="H820" s="1"/>
      <c r="I820" s="1"/>
      <c r="J820" s="1"/>
      <c r="K820" s="1"/>
      <c r="L820" s="1"/>
      <c r="M820" s="1"/>
      <c r="N820" s="1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</row>
    <row r="821" spans="1:25" ht="15.75" customHeight="1" x14ac:dyDescent="0.2">
      <c r="A821" s="1"/>
      <c r="B821" s="1"/>
      <c r="C821" s="1"/>
      <c r="D821" s="1"/>
      <c r="E821" s="1"/>
      <c r="F821" s="1"/>
      <c r="G821" s="83"/>
      <c r="H821" s="1"/>
      <c r="I821" s="1"/>
      <c r="J821" s="1"/>
      <c r="K821" s="1"/>
      <c r="L821" s="1"/>
      <c r="M821" s="1"/>
      <c r="N821" s="1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</row>
    <row r="822" spans="1:25" ht="15.75" customHeight="1" x14ac:dyDescent="0.2">
      <c r="A822" s="1"/>
      <c r="B822" s="1"/>
      <c r="C822" s="1"/>
      <c r="D822" s="1"/>
      <c r="E822" s="1"/>
      <c r="F822" s="1"/>
      <c r="G822" s="83"/>
      <c r="H822" s="1"/>
      <c r="I822" s="1"/>
      <c r="J822" s="1"/>
      <c r="K822" s="1"/>
      <c r="L822" s="1"/>
      <c r="M822" s="1"/>
      <c r="N822" s="1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</row>
    <row r="823" spans="1:25" ht="15.75" customHeight="1" x14ac:dyDescent="0.2">
      <c r="A823" s="1"/>
      <c r="B823" s="1"/>
      <c r="C823" s="1"/>
      <c r="D823" s="1"/>
      <c r="E823" s="1"/>
      <c r="F823" s="1"/>
      <c r="G823" s="83"/>
      <c r="H823" s="1"/>
      <c r="I823" s="1"/>
      <c r="J823" s="1"/>
      <c r="K823" s="1"/>
      <c r="L823" s="1"/>
      <c r="M823" s="1"/>
      <c r="N823" s="1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</row>
    <row r="824" spans="1:25" ht="15.75" customHeight="1" x14ac:dyDescent="0.2">
      <c r="A824" s="1"/>
      <c r="B824" s="1"/>
      <c r="C824" s="1"/>
      <c r="D824" s="1"/>
      <c r="E824" s="1"/>
      <c r="F824" s="1"/>
      <c r="G824" s="83"/>
      <c r="H824" s="1"/>
      <c r="I824" s="1"/>
      <c r="J824" s="1"/>
      <c r="K824" s="1"/>
      <c r="L824" s="1"/>
      <c r="M824" s="1"/>
      <c r="N824" s="1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</row>
    <row r="825" spans="1:25" ht="15.75" customHeight="1" x14ac:dyDescent="0.2">
      <c r="A825" s="1"/>
      <c r="B825" s="1"/>
      <c r="C825" s="1"/>
      <c r="D825" s="1"/>
      <c r="E825" s="1"/>
      <c r="F825" s="1"/>
      <c r="G825" s="83"/>
      <c r="H825" s="1"/>
      <c r="I825" s="1"/>
      <c r="J825" s="1"/>
      <c r="K825" s="1"/>
      <c r="L825" s="1"/>
      <c r="M825" s="1"/>
      <c r="N825" s="1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</row>
    <row r="826" spans="1:25" ht="15.75" customHeight="1" x14ac:dyDescent="0.2">
      <c r="A826" s="1"/>
      <c r="B826" s="1"/>
      <c r="C826" s="1"/>
      <c r="D826" s="1"/>
      <c r="E826" s="1"/>
      <c r="F826" s="1"/>
      <c r="G826" s="83"/>
      <c r="H826" s="1"/>
      <c r="I826" s="1"/>
      <c r="J826" s="1"/>
      <c r="K826" s="1"/>
      <c r="L826" s="1"/>
      <c r="M826" s="1"/>
      <c r="N826" s="1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</row>
    <row r="827" spans="1:25" ht="15.75" customHeight="1" x14ac:dyDescent="0.2">
      <c r="A827" s="1"/>
      <c r="B827" s="1"/>
      <c r="C827" s="1"/>
      <c r="D827" s="1"/>
      <c r="E827" s="1"/>
      <c r="F827" s="1"/>
      <c r="G827" s="83"/>
      <c r="H827" s="1"/>
      <c r="I827" s="1"/>
      <c r="J827" s="1"/>
      <c r="K827" s="1"/>
      <c r="L827" s="1"/>
      <c r="M827" s="1"/>
      <c r="N827" s="1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</row>
    <row r="828" spans="1:25" ht="15.75" customHeight="1" x14ac:dyDescent="0.2">
      <c r="A828" s="1"/>
      <c r="B828" s="1"/>
      <c r="C828" s="1"/>
      <c r="D828" s="1"/>
      <c r="E828" s="1"/>
      <c r="F828" s="1"/>
      <c r="G828" s="83"/>
      <c r="H828" s="1"/>
      <c r="I828" s="1"/>
      <c r="J828" s="1"/>
      <c r="K828" s="1"/>
      <c r="L828" s="1"/>
      <c r="M828" s="1"/>
      <c r="N828" s="1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</row>
    <row r="829" spans="1:25" ht="15.75" customHeight="1" x14ac:dyDescent="0.2">
      <c r="A829" s="1"/>
      <c r="B829" s="1"/>
      <c r="C829" s="1"/>
      <c r="D829" s="1"/>
      <c r="E829" s="1"/>
      <c r="F829" s="1"/>
      <c r="G829" s="83"/>
      <c r="H829" s="1"/>
      <c r="I829" s="1"/>
      <c r="J829" s="1"/>
      <c r="K829" s="1"/>
      <c r="L829" s="1"/>
      <c r="M829" s="1"/>
      <c r="N829" s="1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</row>
    <row r="830" spans="1:25" ht="15.75" customHeight="1" x14ac:dyDescent="0.2">
      <c r="A830" s="1"/>
      <c r="B830" s="1"/>
      <c r="C830" s="1"/>
      <c r="D830" s="1"/>
      <c r="E830" s="1"/>
      <c r="F830" s="1"/>
      <c r="G830" s="83"/>
      <c r="H830" s="1"/>
      <c r="I830" s="1"/>
      <c r="J830" s="1"/>
      <c r="K830" s="1"/>
      <c r="L830" s="1"/>
      <c r="M830" s="1"/>
      <c r="N830" s="1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</row>
    <row r="831" spans="1:25" ht="15.75" customHeight="1" x14ac:dyDescent="0.2">
      <c r="A831" s="1"/>
      <c r="B831" s="1"/>
      <c r="C831" s="1"/>
      <c r="D831" s="1"/>
      <c r="E831" s="1"/>
      <c r="F831" s="1"/>
      <c r="G831" s="83"/>
      <c r="H831" s="1"/>
      <c r="I831" s="1"/>
      <c r="J831" s="1"/>
      <c r="K831" s="1"/>
      <c r="L831" s="1"/>
      <c r="M831" s="1"/>
      <c r="N831" s="1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</row>
    <row r="832" spans="1:25" ht="15.75" customHeight="1" x14ac:dyDescent="0.2">
      <c r="A832" s="1"/>
      <c r="B832" s="1"/>
      <c r="C832" s="1"/>
      <c r="D832" s="1"/>
      <c r="E832" s="1"/>
      <c r="F832" s="1"/>
      <c r="G832" s="83"/>
      <c r="H832" s="1"/>
      <c r="I832" s="1"/>
      <c r="J832" s="1"/>
      <c r="K832" s="1"/>
      <c r="L832" s="1"/>
      <c r="M832" s="1"/>
      <c r="N832" s="1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</row>
    <row r="833" spans="1:25" ht="15.75" customHeight="1" x14ac:dyDescent="0.2">
      <c r="A833" s="1"/>
      <c r="B833" s="1"/>
      <c r="C833" s="1"/>
      <c r="D833" s="1"/>
      <c r="E833" s="1"/>
      <c r="F833" s="1"/>
      <c r="G833" s="83"/>
      <c r="H833" s="1"/>
      <c r="I833" s="1"/>
      <c r="J833" s="1"/>
      <c r="K833" s="1"/>
      <c r="L833" s="1"/>
      <c r="M833" s="1"/>
      <c r="N833" s="1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</row>
    <row r="834" spans="1:25" ht="15.75" customHeight="1" x14ac:dyDescent="0.2">
      <c r="A834" s="1"/>
      <c r="B834" s="1"/>
      <c r="C834" s="1"/>
      <c r="D834" s="1"/>
      <c r="E834" s="1"/>
      <c r="F834" s="1"/>
      <c r="G834" s="83"/>
      <c r="H834" s="1"/>
      <c r="I834" s="1"/>
      <c r="J834" s="1"/>
      <c r="K834" s="1"/>
      <c r="L834" s="1"/>
      <c r="M834" s="1"/>
      <c r="N834" s="1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</row>
    <row r="835" spans="1:25" ht="15.75" customHeight="1" x14ac:dyDescent="0.2">
      <c r="A835" s="1"/>
      <c r="B835" s="1"/>
      <c r="C835" s="1"/>
      <c r="D835" s="1"/>
      <c r="E835" s="1"/>
      <c r="F835" s="1"/>
      <c r="G835" s="83"/>
      <c r="H835" s="1"/>
      <c r="I835" s="1"/>
      <c r="J835" s="1"/>
      <c r="K835" s="1"/>
      <c r="L835" s="1"/>
      <c r="M835" s="1"/>
      <c r="N835" s="1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</row>
    <row r="836" spans="1:25" ht="15.75" customHeight="1" x14ac:dyDescent="0.2">
      <c r="A836" s="1"/>
      <c r="B836" s="1"/>
      <c r="C836" s="1"/>
      <c r="D836" s="1"/>
      <c r="E836" s="1"/>
      <c r="F836" s="1"/>
      <c r="G836" s="83"/>
      <c r="H836" s="1"/>
      <c r="I836" s="1"/>
      <c r="J836" s="1"/>
      <c r="K836" s="1"/>
      <c r="L836" s="1"/>
      <c r="M836" s="1"/>
      <c r="N836" s="1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</row>
    <row r="837" spans="1:25" ht="15.75" customHeight="1" x14ac:dyDescent="0.2">
      <c r="A837" s="1"/>
      <c r="B837" s="1"/>
      <c r="C837" s="1"/>
      <c r="D837" s="1"/>
      <c r="E837" s="1"/>
      <c r="F837" s="1"/>
      <c r="G837" s="83"/>
      <c r="H837" s="1"/>
      <c r="I837" s="1"/>
      <c r="J837" s="1"/>
      <c r="K837" s="1"/>
      <c r="L837" s="1"/>
      <c r="M837" s="1"/>
      <c r="N837" s="1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</row>
    <row r="838" spans="1:25" ht="15.75" customHeight="1" x14ac:dyDescent="0.2">
      <c r="A838" s="1"/>
      <c r="B838" s="1"/>
      <c r="C838" s="1"/>
      <c r="D838" s="1"/>
      <c r="E838" s="1"/>
      <c r="F838" s="1"/>
      <c r="G838" s="83"/>
      <c r="H838" s="1"/>
      <c r="I838" s="1"/>
      <c r="J838" s="1"/>
      <c r="K838" s="1"/>
      <c r="L838" s="1"/>
      <c r="M838" s="1"/>
      <c r="N838" s="1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</row>
    <row r="839" spans="1:25" ht="15.75" customHeight="1" x14ac:dyDescent="0.2">
      <c r="A839" s="1"/>
      <c r="B839" s="1"/>
      <c r="C839" s="1"/>
      <c r="D839" s="1"/>
      <c r="E839" s="1"/>
      <c r="F839" s="1"/>
      <c r="G839" s="83"/>
      <c r="H839" s="1"/>
      <c r="I839" s="1"/>
      <c r="J839" s="1"/>
      <c r="K839" s="1"/>
      <c r="L839" s="1"/>
      <c r="M839" s="1"/>
      <c r="N839" s="1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</row>
    <row r="840" spans="1:25" ht="15.75" customHeight="1" x14ac:dyDescent="0.2">
      <c r="A840" s="1"/>
      <c r="B840" s="1"/>
      <c r="C840" s="1"/>
      <c r="D840" s="1"/>
      <c r="E840" s="1"/>
      <c r="F840" s="1"/>
      <c r="G840" s="83"/>
      <c r="H840" s="1"/>
      <c r="I840" s="1"/>
      <c r="J840" s="1"/>
      <c r="K840" s="1"/>
      <c r="L840" s="1"/>
      <c r="M840" s="1"/>
      <c r="N840" s="1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</row>
    <row r="841" spans="1:25" ht="15.75" customHeight="1" x14ac:dyDescent="0.2">
      <c r="A841" s="1"/>
      <c r="B841" s="1"/>
      <c r="C841" s="1"/>
      <c r="D841" s="1"/>
      <c r="E841" s="1"/>
      <c r="F841" s="1"/>
      <c r="G841" s="83"/>
      <c r="H841" s="1"/>
      <c r="I841" s="1"/>
      <c r="J841" s="1"/>
      <c r="K841" s="1"/>
      <c r="L841" s="1"/>
      <c r="M841" s="1"/>
      <c r="N841" s="1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</row>
    <row r="842" spans="1:25" ht="15.75" customHeight="1" x14ac:dyDescent="0.2">
      <c r="A842" s="1"/>
      <c r="B842" s="1"/>
      <c r="C842" s="1"/>
      <c r="D842" s="1"/>
      <c r="E842" s="1"/>
      <c r="F842" s="1"/>
      <c r="G842" s="83"/>
      <c r="H842" s="1"/>
      <c r="I842" s="1"/>
      <c r="J842" s="1"/>
      <c r="K842" s="1"/>
      <c r="L842" s="1"/>
      <c r="M842" s="1"/>
      <c r="N842" s="1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</row>
    <row r="843" spans="1:25" ht="15.75" customHeight="1" x14ac:dyDescent="0.2">
      <c r="A843" s="1"/>
      <c r="B843" s="1"/>
      <c r="C843" s="1"/>
      <c r="D843" s="1"/>
      <c r="E843" s="1"/>
      <c r="F843" s="1"/>
      <c r="G843" s="83"/>
      <c r="H843" s="1"/>
      <c r="I843" s="1"/>
      <c r="J843" s="1"/>
      <c r="K843" s="1"/>
      <c r="L843" s="1"/>
      <c r="M843" s="1"/>
      <c r="N843" s="1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</row>
    <row r="844" spans="1:25" ht="15.75" customHeight="1" x14ac:dyDescent="0.2">
      <c r="A844" s="1"/>
      <c r="B844" s="1"/>
      <c r="C844" s="1"/>
      <c r="D844" s="1"/>
      <c r="E844" s="1"/>
      <c r="F844" s="1"/>
      <c r="G844" s="83"/>
      <c r="H844" s="1"/>
      <c r="I844" s="1"/>
      <c r="J844" s="1"/>
      <c r="K844" s="1"/>
      <c r="L844" s="1"/>
      <c r="M844" s="1"/>
      <c r="N844" s="1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</row>
    <row r="845" spans="1:25" ht="15.75" customHeight="1" x14ac:dyDescent="0.2">
      <c r="A845" s="1"/>
      <c r="B845" s="1"/>
      <c r="C845" s="1"/>
      <c r="D845" s="1"/>
      <c r="E845" s="1"/>
      <c r="F845" s="1"/>
      <c r="G845" s="83"/>
      <c r="H845" s="1"/>
      <c r="I845" s="1"/>
      <c r="J845" s="1"/>
      <c r="K845" s="1"/>
      <c r="L845" s="1"/>
      <c r="M845" s="1"/>
      <c r="N845" s="1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</row>
    <row r="846" spans="1:25" ht="15.75" customHeight="1" x14ac:dyDescent="0.2">
      <c r="A846" s="1"/>
      <c r="B846" s="1"/>
      <c r="C846" s="1"/>
      <c r="D846" s="1"/>
      <c r="E846" s="1"/>
      <c r="F846" s="1"/>
      <c r="G846" s="83"/>
      <c r="H846" s="1"/>
      <c r="I846" s="1"/>
      <c r="J846" s="1"/>
      <c r="K846" s="1"/>
      <c r="L846" s="1"/>
      <c r="M846" s="1"/>
      <c r="N846" s="1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</row>
    <row r="847" spans="1:25" ht="15.75" customHeight="1" x14ac:dyDescent="0.2">
      <c r="A847" s="1"/>
      <c r="B847" s="1"/>
      <c r="C847" s="1"/>
      <c r="D847" s="1"/>
      <c r="E847" s="1"/>
      <c r="F847" s="1"/>
      <c r="G847" s="83"/>
      <c r="H847" s="1"/>
      <c r="I847" s="1"/>
      <c r="J847" s="1"/>
      <c r="K847" s="1"/>
      <c r="L847" s="1"/>
      <c r="M847" s="1"/>
      <c r="N847" s="1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</row>
    <row r="848" spans="1:25" ht="15.75" customHeight="1" x14ac:dyDescent="0.2">
      <c r="A848" s="1"/>
      <c r="B848" s="1"/>
      <c r="C848" s="1"/>
      <c r="D848" s="1"/>
      <c r="E848" s="1"/>
      <c r="F848" s="1"/>
      <c r="G848" s="83"/>
      <c r="H848" s="1"/>
      <c r="I848" s="1"/>
      <c r="J848" s="1"/>
      <c r="K848" s="1"/>
      <c r="L848" s="1"/>
      <c r="M848" s="1"/>
      <c r="N848" s="1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</row>
    <row r="849" spans="1:25" ht="15.75" customHeight="1" x14ac:dyDescent="0.2">
      <c r="A849" s="1"/>
      <c r="B849" s="1"/>
      <c r="C849" s="1"/>
      <c r="D849" s="1"/>
      <c r="E849" s="1"/>
      <c r="F849" s="1"/>
      <c r="G849" s="83"/>
      <c r="H849" s="1"/>
      <c r="I849" s="1"/>
      <c r="J849" s="1"/>
      <c r="K849" s="1"/>
      <c r="L849" s="1"/>
      <c r="M849" s="1"/>
      <c r="N849" s="1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</row>
    <row r="850" spans="1:25" ht="15.75" customHeight="1" x14ac:dyDescent="0.2">
      <c r="A850" s="1"/>
      <c r="B850" s="1"/>
      <c r="C850" s="1"/>
      <c r="D850" s="1"/>
      <c r="E850" s="1"/>
      <c r="F850" s="1"/>
      <c r="G850" s="83"/>
      <c r="H850" s="1"/>
      <c r="I850" s="1"/>
      <c r="J850" s="1"/>
      <c r="K850" s="1"/>
      <c r="L850" s="1"/>
      <c r="M850" s="1"/>
      <c r="N850" s="1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</row>
    <row r="851" spans="1:25" ht="15.75" customHeight="1" x14ac:dyDescent="0.2">
      <c r="A851" s="1"/>
      <c r="B851" s="1"/>
      <c r="C851" s="1"/>
      <c r="D851" s="1"/>
      <c r="E851" s="1"/>
      <c r="F851" s="1"/>
      <c r="G851" s="83"/>
      <c r="H851" s="1"/>
      <c r="I851" s="1"/>
      <c r="J851" s="1"/>
      <c r="K851" s="1"/>
      <c r="L851" s="1"/>
      <c r="M851" s="1"/>
      <c r="N851" s="1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</row>
    <row r="852" spans="1:25" ht="15.75" customHeight="1" x14ac:dyDescent="0.2">
      <c r="A852" s="1"/>
      <c r="B852" s="1"/>
      <c r="C852" s="1"/>
      <c r="D852" s="1"/>
      <c r="E852" s="1"/>
      <c r="F852" s="1"/>
      <c r="G852" s="83"/>
      <c r="H852" s="1"/>
      <c r="I852" s="1"/>
      <c r="J852" s="1"/>
      <c r="K852" s="1"/>
      <c r="L852" s="1"/>
      <c r="M852" s="1"/>
      <c r="N852" s="1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</row>
    <row r="853" spans="1:25" ht="15.75" customHeight="1" x14ac:dyDescent="0.2">
      <c r="A853" s="1"/>
      <c r="B853" s="1"/>
      <c r="C853" s="1"/>
      <c r="D853" s="1"/>
      <c r="E853" s="1"/>
      <c r="F853" s="1"/>
      <c r="G853" s="83"/>
      <c r="H853" s="1"/>
      <c r="I853" s="1"/>
      <c r="J853" s="1"/>
      <c r="K853" s="1"/>
      <c r="L853" s="1"/>
      <c r="M853" s="1"/>
      <c r="N853" s="1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</row>
    <row r="854" spans="1:25" ht="15.75" customHeight="1" x14ac:dyDescent="0.2">
      <c r="A854" s="1"/>
      <c r="B854" s="1"/>
      <c r="C854" s="1"/>
      <c r="D854" s="1"/>
      <c r="E854" s="1"/>
      <c r="F854" s="1"/>
      <c r="G854" s="83"/>
      <c r="H854" s="1"/>
      <c r="I854" s="1"/>
      <c r="J854" s="1"/>
      <c r="K854" s="1"/>
      <c r="L854" s="1"/>
      <c r="M854" s="1"/>
      <c r="N854" s="1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</row>
    <row r="855" spans="1:25" ht="15.75" customHeight="1" x14ac:dyDescent="0.2">
      <c r="A855" s="1"/>
      <c r="B855" s="1"/>
      <c r="C855" s="1"/>
      <c r="D855" s="1"/>
      <c r="E855" s="1"/>
      <c r="F855" s="1"/>
      <c r="G855" s="83"/>
      <c r="H855" s="1"/>
      <c r="I855" s="1"/>
      <c r="J855" s="1"/>
      <c r="K855" s="1"/>
      <c r="L855" s="1"/>
      <c r="M855" s="1"/>
      <c r="N855" s="1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</row>
    <row r="856" spans="1:25" ht="15.75" customHeight="1" x14ac:dyDescent="0.2">
      <c r="A856" s="1"/>
      <c r="B856" s="1"/>
      <c r="C856" s="1"/>
      <c r="D856" s="1"/>
      <c r="E856" s="1"/>
      <c r="F856" s="1"/>
      <c r="G856" s="83"/>
      <c r="H856" s="1"/>
      <c r="I856" s="1"/>
      <c r="J856" s="1"/>
      <c r="K856" s="1"/>
      <c r="L856" s="1"/>
      <c r="M856" s="1"/>
      <c r="N856" s="1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</row>
    <row r="857" spans="1:25" ht="15.75" customHeight="1" x14ac:dyDescent="0.2">
      <c r="A857" s="1"/>
      <c r="B857" s="1"/>
      <c r="C857" s="1"/>
      <c r="D857" s="1"/>
      <c r="E857" s="1"/>
      <c r="F857" s="1"/>
      <c r="G857" s="83"/>
      <c r="H857" s="1"/>
      <c r="I857" s="1"/>
      <c r="J857" s="1"/>
      <c r="K857" s="1"/>
      <c r="L857" s="1"/>
      <c r="M857" s="1"/>
      <c r="N857" s="1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</row>
    <row r="858" spans="1:25" ht="15.75" customHeight="1" x14ac:dyDescent="0.2">
      <c r="A858" s="1"/>
      <c r="B858" s="1"/>
      <c r="C858" s="1"/>
      <c r="D858" s="1"/>
      <c r="E858" s="1"/>
      <c r="F858" s="1"/>
      <c r="G858" s="83"/>
      <c r="H858" s="1"/>
      <c r="I858" s="1"/>
      <c r="J858" s="1"/>
      <c r="K858" s="1"/>
      <c r="L858" s="1"/>
      <c r="M858" s="1"/>
      <c r="N858" s="1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</row>
    <row r="859" spans="1:25" ht="15.75" customHeight="1" x14ac:dyDescent="0.2">
      <c r="A859" s="1"/>
      <c r="B859" s="1"/>
      <c r="C859" s="1"/>
      <c r="D859" s="1"/>
      <c r="E859" s="1"/>
      <c r="F859" s="1"/>
      <c r="G859" s="83"/>
      <c r="H859" s="1"/>
      <c r="I859" s="1"/>
      <c r="J859" s="1"/>
      <c r="K859" s="1"/>
      <c r="L859" s="1"/>
      <c r="M859" s="1"/>
      <c r="N859" s="1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</row>
    <row r="860" spans="1:25" ht="15.75" customHeight="1" x14ac:dyDescent="0.2">
      <c r="A860" s="1"/>
      <c r="B860" s="1"/>
      <c r="C860" s="1"/>
      <c r="D860" s="1"/>
      <c r="E860" s="1"/>
      <c r="F860" s="1"/>
      <c r="G860" s="83"/>
      <c r="H860" s="1"/>
      <c r="I860" s="1"/>
      <c r="J860" s="1"/>
      <c r="K860" s="1"/>
      <c r="L860" s="1"/>
      <c r="M860" s="1"/>
      <c r="N860" s="1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</row>
    <row r="861" spans="1:25" ht="15.75" customHeight="1" x14ac:dyDescent="0.2">
      <c r="A861" s="1"/>
      <c r="B861" s="1"/>
      <c r="C861" s="1"/>
      <c r="D861" s="1"/>
      <c r="E861" s="1"/>
      <c r="F861" s="1"/>
      <c r="G861" s="83"/>
      <c r="H861" s="1"/>
      <c r="I861" s="1"/>
      <c r="J861" s="1"/>
      <c r="K861" s="1"/>
      <c r="L861" s="1"/>
      <c r="M861" s="1"/>
      <c r="N861" s="1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</row>
    <row r="862" spans="1:25" ht="15.75" customHeight="1" x14ac:dyDescent="0.2">
      <c r="A862" s="1"/>
      <c r="B862" s="1"/>
      <c r="C862" s="1"/>
      <c r="D862" s="1"/>
      <c r="E862" s="1"/>
      <c r="F862" s="1"/>
      <c r="G862" s="83"/>
      <c r="H862" s="1"/>
      <c r="I862" s="1"/>
      <c r="J862" s="1"/>
      <c r="K862" s="1"/>
      <c r="L862" s="1"/>
      <c r="M862" s="1"/>
      <c r="N862" s="1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</row>
    <row r="863" spans="1:25" ht="15.75" customHeight="1" x14ac:dyDescent="0.2">
      <c r="A863" s="1"/>
      <c r="B863" s="1"/>
      <c r="C863" s="1"/>
      <c r="D863" s="1"/>
      <c r="E863" s="1"/>
      <c r="F863" s="1"/>
      <c r="G863" s="83"/>
      <c r="H863" s="1"/>
      <c r="I863" s="1"/>
      <c r="J863" s="1"/>
      <c r="K863" s="1"/>
      <c r="L863" s="1"/>
      <c r="M863" s="1"/>
      <c r="N863" s="1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</row>
    <row r="864" spans="1:25" ht="15.75" customHeight="1" x14ac:dyDescent="0.2">
      <c r="A864" s="1"/>
      <c r="B864" s="1"/>
      <c r="C864" s="1"/>
      <c r="D864" s="1"/>
      <c r="E864" s="1"/>
      <c r="F864" s="1"/>
      <c r="G864" s="83"/>
      <c r="H864" s="1"/>
      <c r="I864" s="1"/>
      <c r="J864" s="1"/>
      <c r="K864" s="1"/>
      <c r="L864" s="1"/>
      <c r="M864" s="1"/>
      <c r="N864" s="1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</row>
    <row r="865" spans="1:25" ht="15.75" customHeight="1" x14ac:dyDescent="0.2">
      <c r="A865" s="1"/>
      <c r="B865" s="1"/>
      <c r="C865" s="1"/>
      <c r="D865" s="1"/>
      <c r="E865" s="1"/>
      <c r="F865" s="1"/>
      <c r="G865" s="83"/>
      <c r="H865" s="1"/>
      <c r="I865" s="1"/>
      <c r="J865" s="1"/>
      <c r="K865" s="1"/>
      <c r="L865" s="1"/>
      <c r="M865" s="1"/>
      <c r="N865" s="1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</row>
    <row r="866" spans="1:25" ht="15.75" customHeight="1" x14ac:dyDescent="0.2">
      <c r="A866" s="1"/>
      <c r="B866" s="1"/>
      <c r="C866" s="1"/>
      <c r="D866" s="1"/>
      <c r="E866" s="1"/>
      <c r="F866" s="1"/>
      <c r="G866" s="83"/>
      <c r="H866" s="1"/>
      <c r="I866" s="1"/>
      <c r="J866" s="1"/>
      <c r="K866" s="1"/>
      <c r="L866" s="1"/>
      <c r="M866" s="1"/>
      <c r="N866" s="1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</row>
    <row r="867" spans="1:25" ht="15.75" customHeight="1" x14ac:dyDescent="0.2">
      <c r="A867" s="1"/>
      <c r="B867" s="1"/>
      <c r="C867" s="1"/>
      <c r="D867" s="1"/>
      <c r="E867" s="1"/>
      <c r="F867" s="1"/>
      <c r="G867" s="83"/>
      <c r="H867" s="1"/>
      <c r="I867" s="1"/>
      <c r="J867" s="1"/>
      <c r="K867" s="1"/>
      <c r="L867" s="1"/>
      <c r="M867" s="1"/>
      <c r="N867" s="1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</row>
    <row r="868" spans="1:25" ht="15.75" customHeight="1" x14ac:dyDescent="0.2">
      <c r="A868" s="1"/>
      <c r="B868" s="1"/>
      <c r="C868" s="1"/>
      <c r="D868" s="1"/>
      <c r="E868" s="1"/>
      <c r="F868" s="1"/>
      <c r="G868" s="83"/>
      <c r="H868" s="1"/>
      <c r="I868" s="1"/>
      <c r="J868" s="1"/>
      <c r="K868" s="1"/>
      <c r="L868" s="1"/>
      <c r="M868" s="1"/>
      <c r="N868" s="1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</row>
    <row r="869" spans="1:25" ht="15.75" customHeight="1" x14ac:dyDescent="0.2">
      <c r="A869" s="1"/>
      <c r="B869" s="1"/>
      <c r="C869" s="1"/>
      <c r="D869" s="1"/>
      <c r="E869" s="1"/>
      <c r="F869" s="1"/>
      <c r="G869" s="83"/>
      <c r="H869" s="1"/>
      <c r="I869" s="1"/>
      <c r="J869" s="1"/>
      <c r="K869" s="1"/>
      <c r="L869" s="1"/>
      <c r="M869" s="1"/>
      <c r="N869" s="1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</row>
    <row r="870" spans="1:25" ht="15.75" customHeight="1" x14ac:dyDescent="0.2">
      <c r="A870" s="1"/>
      <c r="B870" s="1"/>
      <c r="C870" s="1"/>
      <c r="D870" s="1"/>
      <c r="E870" s="1"/>
      <c r="F870" s="1"/>
      <c r="G870" s="83"/>
      <c r="H870" s="1"/>
      <c r="I870" s="1"/>
      <c r="J870" s="1"/>
      <c r="K870" s="1"/>
      <c r="L870" s="1"/>
      <c r="M870" s="1"/>
      <c r="N870" s="1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</row>
    <row r="871" spans="1:25" ht="15.75" customHeight="1" x14ac:dyDescent="0.2">
      <c r="A871" s="1"/>
      <c r="B871" s="1"/>
      <c r="C871" s="1"/>
      <c r="D871" s="1"/>
      <c r="E871" s="1"/>
      <c r="F871" s="1"/>
      <c r="G871" s="83"/>
      <c r="H871" s="1"/>
      <c r="I871" s="1"/>
      <c r="J871" s="1"/>
      <c r="K871" s="1"/>
      <c r="L871" s="1"/>
      <c r="M871" s="1"/>
      <c r="N871" s="1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</row>
    <row r="872" spans="1:25" ht="15.75" customHeight="1" x14ac:dyDescent="0.2">
      <c r="A872" s="1"/>
      <c r="B872" s="1"/>
      <c r="C872" s="1"/>
      <c r="D872" s="1"/>
      <c r="E872" s="1"/>
      <c r="F872" s="1"/>
      <c r="G872" s="83"/>
      <c r="H872" s="1"/>
      <c r="I872" s="1"/>
      <c r="J872" s="1"/>
      <c r="K872" s="1"/>
      <c r="L872" s="1"/>
      <c r="M872" s="1"/>
      <c r="N872" s="1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</row>
    <row r="873" spans="1:25" ht="15.75" customHeight="1" x14ac:dyDescent="0.2">
      <c r="A873" s="1"/>
      <c r="B873" s="1"/>
      <c r="C873" s="1"/>
      <c r="D873" s="1"/>
      <c r="E873" s="1"/>
      <c r="F873" s="1"/>
      <c r="G873" s="83"/>
      <c r="H873" s="1"/>
      <c r="I873" s="1"/>
      <c r="J873" s="1"/>
      <c r="K873" s="1"/>
      <c r="L873" s="1"/>
      <c r="M873" s="1"/>
      <c r="N873" s="1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</row>
    <row r="874" spans="1:25" ht="15.75" customHeight="1" x14ac:dyDescent="0.2">
      <c r="A874" s="1"/>
      <c r="B874" s="1"/>
      <c r="C874" s="1"/>
      <c r="D874" s="1"/>
      <c r="E874" s="1"/>
      <c r="F874" s="1"/>
      <c r="G874" s="83"/>
      <c r="H874" s="1"/>
      <c r="I874" s="1"/>
      <c r="J874" s="1"/>
      <c r="K874" s="1"/>
      <c r="L874" s="1"/>
      <c r="M874" s="1"/>
      <c r="N874" s="1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</row>
    <row r="875" spans="1:25" ht="15.75" customHeight="1" x14ac:dyDescent="0.2">
      <c r="A875" s="1"/>
      <c r="B875" s="1"/>
      <c r="C875" s="1"/>
      <c r="D875" s="1"/>
      <c r="E875" s="1"/>
      <c r="F875" s="1"/>
      <c r="G875" s="83"/>
      <c r="H875" s="1"/>
      <c r="I875" s="1"/>
      <c r="J875" s="1"/>
      <c r="K875" s="1"/>
      <c r="L875" s="1"/>
      <c r="M875" s="1"/>
      <c r="N875" s="1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</row>
    <row r="876" spans="1:25" ht="15.75" customHeight="1" x14ac:dyDescent="0.2">
      <c r="A876" s="1"/>
      <c r="B876" s="1"/>
      <c r="C876" s="1"/>
      <c r="D876" s="1"/>
      <c r="E876" s="1"/>
      <c r="F876" s="1"/>
      <c r="G876" s="83"/>
      <c r="H876" s="1"/>
      <c r="I876" s="1"/>
      <c r="J876" s="1"/>
      <c r="K876" s="1"/>
      <c r="L876" s="1"/>
      <c r="M876" s="1"/>
      <c r="N876" s="1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</row>
    <row r="877" spans="1:25" ht="15.75" customHeight="1" x14ac:dyDescent="0.2">
      <c r="A877" s="1"/>
      <c r="B877" s="1"/>
      <c r="C877" s="1"/>
      <c r="D877" s="1"/>
      <c r="E877" s="1"/>
      <c r="F877" s="1"/>
      <c r="G877" s="83"/>
      <c r="H877" s="1"/>
      <c r="I877" s="1"/>
      <c r="J877" s="1"/>
      <c r="K877" s="1"/>
      <c r="L877" s="1"/>
      <c r="M877" s="1"/>
      <c r="N877" s="1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</row>
    <row r="878" spans="1:25" ht="15.75" customHeight="1" x14ac:dyDescent="0.2">
      <c r="A878" s="1"/>
      <c r="B878" s="1"/>
      <c r="C878" s="1"/>
      <c r="D878" s="1"/>
      <c r="E878" s="1"/>
      <c r="F878" s="1"/>
      <c r="G878" s="83"/>
      <c r="H878" s="1"/>
      <c r="I878" s="1"/>
      <c r="J878" s="1"/>
      <c r="K878" s="1"/>
      <c r="L878" s="1"/>
      <c r="M878" s="1"/>
      <c r="N878" s="1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</row>
    <row r="879" spans="1:25" ht="15.75" customHeight="1" x14ac:dyDescent="0.2">
      <c r="A879" s="1"/>
      <c r="B879" s="1"/>
      <c r="C879" s="1"/>
      <c r="D879" s="1"/>
      <c r="E879" s="1"/>
      <c r="F879" s="1"/>
      <c r="G879" s="83"/>
      <c r="H879" s="1"/>
      <c r="I879" s="1"/>
      <c r="J879" s="1"/>
      <c r="K879" s="1"/>
      <c r="L879" s="1"/>
      <c r="M879" s="1"/>
      <c r="N879" s="1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</row>
    <row r="880" spans="1:25" ht="15.75" customHeight="1" x14ac:dyDescent="0.2">
      <c r="A880" s="1"/>
      <c r="B880" s="1"/>
      <c r="C880" s="1"/>
      <c r="D880" s="1"/>
      <c r="E880" s="1"/>
      <c r="F880" s="1"/>
      <c r="G880" s="83"/>
      <c r="H880" s="1"/>
      <c r="I880" s="1"/>
      <c r="J880" s="1"/>
      <c r="K880" s="1"/>
      <c r="L880" s="1"/>
      <c r="M880" s="1"/>
      <c r="N880" s="1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</row>
    <row r="881" spans="1:25" ht="15.75" customHeight="1" x14ac:dyDescent="0.2">
      <c r="A881" s="1"/>
      <c r="B881" s="1"/>
      <c r="C881" s="1"/>
      <c r="D881" s="1"/>
      <c r="E881" s="1"/>
      <c r="F881" s="1"/>
      <c r="G881" s="83"/>
      <c r="H881" s="1"/>
      <c r="I881" s="1"/>
      <c r="J881" s="1"/>
      <c r="K881" s="1"/>
      <c r="L881" s="1"/>
      <c r="M881" s="1"/>
      <c r="N881" s="1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</row>
    <row r="882" spans="1:25" ht="15.75" customHeight="1" x14ac:dyDescent="0.2">
      <c r="A882" s="1"/>
      <c r="B882" s="1"/>
      <c r="C882" s="1"/>
      <c r="D882" s="1"/>
      <c r="E882" s="1"/>
      <c r="F882" s="1"/>
      <c r="G882" s="83"/>
      <c r="H882" s="1"/>
      <c r="I882" s="1"/>
      <c r="J882" s="1"/>
      <c r="K882" s="1"/>
      <c r="L882" s="1"/>
      <c r="M882" s="1"/>
      <c r="N882" s="1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</row>
    <row r="883" spans="1:25" ht="15.75" customHeight="1" x14ac:dyDescent="0.2">
      <c r="A883" s="1"/>
      <c r="B883" s="1"/>
      <c r="C883" s="1"/>
      <c r="D883" s="1"/>
      <c r="E883" s="1"/>
      <c r="F883" s="1"/>
      <c r="G883" s="83"/>
      <c r="H883" s="1"/>
      <c r="I883" s="1"/>
      <c r="J883" s="1"/>
      <c r="K883" s="1"/>
      <c r="L883" s="1"/>
      <c r="M883" s="1"/>
      <c r="N883" s="1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</row>
    <row r="884" spans="1:25" ht="15.75" customHeight="1" x14ac:dyDescent="0.2">
      <c r="A884" s="1"/>
      <c r="B884" s="1"/>
      <c r="C884" s="1"/>
      <c r="D884" s="1"/>
      <c r="E884" s="1"/>
      <c r="F884" s="1"/>
      <c r="G884" s="83"/>
      <c r="H884" s="1"/>
      <c r="I884" s="1"/>
      <c r="J884" s="1"/>
      <c r="K884" s="1"/>
      <c r="L884" s="1"/>
      <c r="M884" s="1"/>
      <c r="N884" s="1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</row>
    <row r="885" spans="1:25" ht="15.75" customHeight="1" x14ac:dyDescent="0.2">
      <c r="A885" s="1"/>
      <c r="B885" s="1"/>
      <c r="C885" s="1"/>
      <c r="D885" s="1"/>
      <c r="E885" s="1"/>
      <c r="F885" s="1"/>
      <c r="G885" s="83"/>
      <c r="H885" s="1"/>
      <c r="I885" s="1"/>
      <c r="J885" s="1"/>
      <c r="K885" s="1"/>
      <c r="L885" s="1"/>
      <c r="M885" s="1"/>
      <c r="N885" s="1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</row>
    <row r="886" spans="1:25" ht="15.75" customHeight="1" x14ac:dyDescent="0.2">
      <c r="A886" s="1"/>
      <c r="B886" s="1"/>
      <c r="C886" s="1"/>
      <c r="D886" s="1"/>
      <c r="E886" s="1"/>
      <c r="F886" s="1"/>
      <c r="G886" s="83"/>
      <c r="H886" s="1"/>
      <c r="I886" s="1"/>
      <c r="J886" s="1"/>
      <c r="K886" s="1"/>
      <c r="L886" s="1"/>
      <c r="M886" s="1"/>
      <c r="N886" s="1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</row>
    <row r="887" spans="1:25" ht="15.75" customHeight="1" x14ac:dyDescent="0.2">
      <c r="A887" s="1"/>
      <c r="B887" s="1"/>
      <c r="C887" s="1"/>
      <c r="D887" s="1"/>
      <c r="E887" s="1"/>
      <c r="F887" s="1"/>
      <c r="G887" s="83"/>
      <c r="H887" s="1"/>
      <c r="I887" s="1"/>
      <c r="J887" s="1"/>
      <c r="K887" s="1"/>
      <c r="L887" s="1"/>
      <c r="M887" s="1"/>
      <c r="N887" s="1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</row>
    <row r="888" spans="1:25" ht="15.75" customHeight="1" x14ac:dyDescent="0.2">
      <c r="A888" s="1"/>
      <c r="B888" s="1"/>
      <c r="C888" s="1"/>
      <c r="D888" s="1"/>
      <c r="E888" s="1"/>
      <c r="F888" s="1"/>
      <c r="G888" s="83"/>
      <c r="H888" s="1"/>
      <c r="I888" s="1"/>
      <c r="J888" s="1"/>
      <c r="K888" s="1"/>
      <c r="L888" s="1"/>
      <c r="M888" s="1"/>
      <c r="N888" s="1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</row>
    <row r="889" spans="1:25" ht="15.75" customHeight="1" x14ac:dyDescent="0.2">
      <c r="A889" s="1"/>
      <c r="B889" s="1"/>
      <c r="C889" s="1"/>
      <c r="D889" s="1"/>
      <c r="E889" s="1"/>
      <c r="F889" s="1"/>
      <c r="G889" s="83"/>
      <c r="H889" s="1"/>
      <c r="I889" s="1"/>
      <c r="J889" s="1"/>
      <c r="K889" s="1"/>
      <c r="L889" s="1"/>
      <c r="M889" s="1"/>
      <c r="N889" s="1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</row>
    <row r="890" spans="1:25" ht="15.75" customHeight="1" x14ac:dyDescent="0.2">
      <c r="A890" s="1"/>
      <c r="B890" s="1"/>
      <c r="C890" s="1"/>
      <c r="D890" s="1"/>
      <c r="E890" s="1"/>
      <c r="F890" s="1"/>
      <c r="G890" s="83"/>
      <c r="H890" s="1"/>
      <c r="I890" s="1"/>
      <c r="J890" s="1"/>
      <c r="K890" s="1"/>
      <c r="L890" s="1"/>
      <c r="M890" s="1"/>
      <c r="N890" s="1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</row>
    <row r="891" spans="1:25" ht="15.75" customHeight="1" x14ac:dyDescent="0.2">
      <c r="A891" s="1"/>
      <c r="B891" s="1"/>
      <c r="C891" s="1"/>
      <c r="D891" s="1"/>
      <c r="E891" s="1"/>
      <c r="F891" s="1"/>
      <c r="G891" s="83"/>
      <c r="H891" s="1"/>
      <c r="I891" s="1"/>
      <c r="J891" s="1"/>
      <c r="K891" s="1"/>
      <c r="L891" s="1"/>
      <c r="M891" s="1"/>
      <c r="N891" s="1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</row>
    <row r="892" spans="1:25" ht="15.75" customHeight="1" x14ac:dyDescent="0.2">
      <c r="A892" s="1"/>
      <c r="B892" s="1"/>
      <c r="C892" s="1"/>
      <c r="D892" s="1"/>
      <c r="E892" s="1"/>
      <c r="F892" s="1"/>
      <c r="G892" s="83"/>
      <c r="H892" s="1"/>
      <c r="I892" s="1"/>
      <c r="J892" s="1"/>
      <c r="K892" s="1"/>
      <c r="L892" s="1"/>
      <c r="M892" s="1"/>
      <c r="N892" s="1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</row>
    <row r="893" spans="1:25" ht="15.75" customHeight="1" x14ac:dyDescent="0.2">
      <c r="A893" s="1"/>
      <c r="B893" s="1"/>
      <c r="C893" s="1"/>
      <c r="D893" s="1"/>
      <c r="E893" s="1"/>
      <c r="F893" s="1"/>
      <c r="G893" s="83"/>
      <c r="H893" s="1"/>
      <c r="I893" s="1"/>
      <c r="J893" s="1"/>
      <c r="K893" s="1"/>
      <c r="L893" s="1"/>
      <c r="M893" s="1"/>
      <c r="N893" s="1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</row>
    <row r="894" spans="1:25" ht="15.75" customHeight="1" x14ac:dyDescent="0.2">
      <c r="A894" s="1"/>
      <c r="B894" s="1"/>
      <c r="C894" s="1"/>
      <c r="D894" s="1"/>
      <c r="E894" s="1"/>
      <c r="F894" s="1"/>
      <c r="G894" s="83"/>
      <c r="H894" s="1"/>
      <c r="I894" s="1"/>
      <c r="J894" s="1"/>
      <c r="K894" s="1"/>
      <c r="L894" s="1"/>
      <c r="M894" s="1"/>
      <c r="N894" s="1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</row>
    <row r="895" spans="1:25" ht="15.75" customHeight="1" x14ac:dyDescent="0.2">
      <c r="A895" s="1"/>
      <c r="B895" s="1"/>
      <c r="C895" s="1"/>
      <c r="D895" s="1"/>
      <c r="E895" s="1"/>
      <c r="F895" s="1"/>
      <c r="G895" s="83"/>
      <c r="H895" s="1"/>
      <c r="I895" s="1"/>
      <c r="J895" s="1"/>
      <c r="K895" s="1"/>
      <c r="L895" s="1"/>
      <c r="M895" s="1"/>
      <c r="N895" s="1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</row>
    <row r="896" spans="1:25" ht="15.75" customHeight="1" x14ac:dyDescent="0.2">
      <c r="A896" s="1"/>
      <c r="B896" s="1"/>
      <c r="C896" s="1"/>
      <c r="D896" s="1"/>
      <c r="E896" s="1"/>
      <c r="F896" s="1"/>
      <c r="G896" s="83"/>
      <c r="H896" s="1"/>
      <c r="I896" s="1"/>
      <c r="J896" s="1"/>
      <c r="K896" s="1"/>
      <c r="L896" s="1"/>
      <c r="M896" s="1"/>
      <c r="N896" s="1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</row>
    <row r="897" spans="1:25" ht="15.75" customHeight="1" x14ac:dyDescent="0.2">
      <c r="A897" s="1"/>
      <c r="B897" s="1"/>
      <c r="C897" s="1"/>
      <c r="D897" s="1"/>
      <c r="E897" s="1"/>
      <c r="F897" s="1"/>
      <c r="G897" s="83"/>
      <c r="H897" s="1"/>
      <c r="I897" s="1"/>
      <c r="J897" s="1"/>
      <c r="K897" s="1"/>
      <c r="L897" s="1"/>
      <c r="M897" s="1"/>
      <c r="N897" s="1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</row>
    <row r="898" spans="1:25" ht="15.75" customHeight="1" x14ac:dyDescent="0.2">
      <c r="A898" s="1"/>
      <c r="B898" s="1"/>
      <c r="C898" s="1"/>
      <c r="D898" s="1"/>
      <c r="E898" s="1"/>
      <c r="F898" s="1"/>
      <c r="G898" s="83"/>
      <c r="H898" s="1"/>
      <c r="I898" s="1"/>
      <c r="J898" s="1"/>
      <c r="K898" s="1"/>
      <c r="L898" s="1"/>
      <c r="M898" s="1"/>
      <c r="N898" s="1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</row>
    <row r="899" spans="1:25" ht="15.75" customHeight="1" x14ac:dyDescent="0.2">
      <c r="A899" s="1"/>
      <c r="B899" s="1"/>
      <c r="C899" s="1"/>
      <c r="D899" s="1"/>
      <c r="E899" s="1"/>
      <c r="F899" s="1"/>
      <c r="G899" s="83"/>
      <c r="H899" s="1"/>
      <c r="I899" s="1"/>
      <c r="J899" s="1"/>
      <c r="K899" s="1"/>
      <c r="L899" s="1"/>
      <c r="M899" s="1"/>
      <c r="N899" s="1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</row>
    <row r="900" spans="1:25" ht="15.75" customHeight="1" x14ac:dyDescent="0.2">
      <c r="A900" s="1"/>
      <c r="B900" s="1"/>
      <c r="C900" s="1"/>
      <c r="D900" s="1"/>
      <c r="E900" s="1"/>
      <c r="F900" s="1"/>
      <c r="G900" s="83"/>
      <c r="H900" s="1"/>
      <c r="I900" s="1"/>
      <c r="J900" s="1"/>
      <c r="K900" s="1"/>
      <c r="L900" s="1"/>
      <c r="M900" s="1"/>
      <c r="N900" s="1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</row>
    <row r="901" spans="1:25" ht="15.75" customHeight="1" x14ac:dyDescent="0.2">
      <c r="A901" s="1"/>
      <c r="B901" s="1"/>
      <c r="C901" s="1"/>
      <c r="D901" s="1"/>
      <c r="E901" s="1"/>
      <c r="F901" s="1"/>
      <c r="G901" s="83"/>
      <c r="H901" s="1"/>
      <c r="I901" s="1"/>
      <c r="J901" s="1"/>
      <c r="K901" s="1"/>
      <c r="L901" s="1"/>
      <c r="M901" s="1"/>
      <c r="N901" s="1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</row>
    <row r="902" spans="1:25" ht="15.75" customHeight="1" x14ac:dyDescent="0.2">
      <c r="A902" s="1"/>
      <c r="B902" s="1"/>
      <c r="C902" s="1"/>
      <c r="D902" s="1"/>
      <c r="E902" s="1"/>
      <c r="F902" s="1"/>
      <c r="G902" s="83"/>
      <c r="H902" s="1"/>
      <c r="I902" s="1"/>
      <c r="J902" s="1"/>
      <c r="K902" s="1"/>
      <c r="L902" s="1"/>
      <c r="M902" s="1"/>
      <c r="N902" s="1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</row>
    <row r="903" spans="1:25" ht="15.75" customHeight="1" x14ac:dyDescent="0.2">
      <c r="A903" s="1"/>
      <c r="B903" s="1"/>
      <c r="C903" s="1"/>
      <c r="D903" s="1"/>
      <c r="E903" s="1"/>
      <c r="F903" s="1"/>
      <c r="G903" s="83"/>
      <c r="H903" s="1"/>
      <c r="I903" s="1"/>
      <c r="J903" s="1"/>
      <c r="K903" s="1"/>
      <c r="L903" s="1"/>
      <c r="M903" s="1"/>
      <c r="N903" s="1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</row>
    <row r="904" spans="1:25" ht="15.75" customHeight="1" x14ac:dyDescent="0.2">
      <c r="A904" s="1"/>
      <c r="B904" s="1"/>
      <c r="C904" s="1"/>
      <c r="D904" s="1"/>
      <c r="E904" s="1"/>
      <c r="F904" s="1"/>
      <c r="G904" s="83"/>
      <c r="H904" s="1"/>
      <c r="I904" s="1"/>
      <c r="J904" s="1"/>
      <c r="K904" s="1"/>
      <c r="L904" s="1"/>
      <c r="M904" s="1"/>
      <c r="N904" s="1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</row>
    <row r="905" spans="1:25" ht="15.75" customHeight="1" x14ac:dyDescent="0.2">
      <c r="A905" s="1"/>
      <c r="B905" s="1"/>
      <c r="C905" s="1"/>
      <c r="D905" s="1"/>
      <c r="E905" s="1"/>
      <c r="F905" s="1"/>
      <c r="G905" s="83"/>
      <c r="H905" s="1"/>
      <c r="I905" s="1"/>
      <c r="J905" s="1"/>
      <c r="K905" s="1"/>
      <c r="L905" s="1"/>
      <c r="M905" s="1"/>
      <c r="N905" s="1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</row>
    <row r="906" spans="1:25" ht="15.75" customHeight="1" x14ac:dyDescent="0.2">
      <c r="A906" s="1"/>
      <c r="B906" s="1"/>
      <c r="C906" s="1"/>
      <c r="D906" s="1"/>
      <c r="E906" s="1"/>
      <c r="F906" s="1"/>
      <c r="G906" s="83"/>
      <c r="H906" s="1"/>
      <c r="I906" s="1"/>
      <c r="J906" s="1"/>
      <c r="K906" s="1"/>
      <c r="L906" s="1"/>
      <c r="M906" s="1"/>
      <c r="N906" s="1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</row>
    <row r="907" spans="1:25" ht="15.75" customHeight="1" x14ac:dyDescent="0.2">
      <c r="A907" s="1"/>
      <c r="B907" s="1"/>
      <c r="C907" s="1"/>
      <c r="D907" s="1"/>
      <c r="E907" s="1"/>
      <c r="F907" s="1"/>
      <c r="G907" s="83"/>
      <c r="H907" s="1"/>
      <c r="I907" s="1"/>
      <c r="J907" s="1"/>
      <c r="K907" s="1"/>
      <c r="L907" s="1"/>
      <c r="M907" s="1"/>
      <c r="N907" s="1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</row>
    <row r="908" spans="1:25" ht="15.75" customHeight="1" x14ac:dyDescent="0.2">
      <c r="A908" s="1"/>
      <c r="B908" s="1"/>
      <c r="C908" s="1"/>
      <c r="D908" s="1"/>
      <c r="E908" s="1"/>
      <c r="F908" s="1"/>
      <c r="G908" s="83"/>
      <c r="H908" s="1"/>
      <c r="I908" s="1"/>
      <c r="J908" s="1"/>
      <c r="K908" s="1"/>
      <c r="L908" s="1"/>
      <c r="M908" s="1"/>
      <c r="N908" s="1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</row>
    <row r="909" spans="1:25" ht="15.75" customHeight="1" x14ac:dyDescent="0.2">
      <c r="A909" s="1"/>
      <c r="B909" s="1"/>
      <c r="C909" s="1"/>
      <c r="D909" s="1"/>
      <c r="E909" s="1"/>
      <c r="F909" s="1"/>
      <c r="G909" s="83"/>
      <c r="H909" s="1"/>
      <c r="I909" s="1"/>
      <c r="J909" s="1"/>
      <c r="K909" s="1"/>
      <c r="L909" s="1"/>
      <c r="M909" s="1"/>
      <c r="N909" s="1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</row>
    <row r="910" spans="1:25" ht="15.75" customHeight="1" x14ac:dyDescent="0.2">
      <c r="A910" s="1"/>
      <c r="B910" s="1"/>
      <c r="C910" s="1"/>
      <c r="D910" s="1"/>
      <c r="E910" s="1"/>
      <c r="F910" s="1"/>
      <c r="G910" s="83"/>
      <c r="H910" s="1"/>
      <c r="I910" s="1"/>
      <c r="J910" s="1"/>
      <c r="K910" s="1"/>
      <c r="L910" s="1"/>
      <c r="M910" s="1"/>
      <c r="N910" s="1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</row>
    <row r="911" spans="1:25" ht="15.75" customHeight="1" x14ac:dyDescent="0.2">
      <c r="A911" s="1"/>
      <c r="B911" s="1"/>
      <c r="C911" s="1"/>
      <c r="D911" s="1"/>
      <c r="E911" s="1"/>
      <c r="F911" s="1"/>
      <c r="G911" s="83"/>
      <c r="H911" s="1"/>
      <c r="I911" s="1"/>
      <c r="J911" s="1"/>
      <c r="K911" s="1"/>
      <c r="L911" s="1"/>
      <c r="M911" s="1"/>
      <c r="N911" s="1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</row>
    <row r="912" spans="1:25" ht="15.75" customHeight="1" x14ac:dyDescent="0.2">
      <c r="A912" s="1"/>
      <c r="B912" s="1"/>
      <c r="C912" s="1"/>
      <c r="D912" s="1"/>
      <c r="E912" s="1"/>
      <c r="F912" s="1"/>
      <c r="G912" s="83"/>
      <c r="H912" s="1"/>
      <c r="I912" s="1"/>
      <c r="J912" s="1"/>
      <c r="K912" s="1"/>
      <c r="L912" s="1"/>
      <c r="M912" s="1"/>
      <c r="N912" s="1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</row>
    <row r="913" spans="1:25" ht="15.75" customHeight="1" x14ac:dyDescent="0.2">
      <c r="A913" s="1"/>
      <c r="B913" s="1"/>
      <c r="C913" s="1"/>
      <c r="D913" s="1"/>
      <c r="E913" s="1"/>
      <c r="F913" s="1"/>
      <c r="G913" s="83"/>
      <c r="H913" s="1"/>
      <c r="I913" s="1"/>
      <c r="J913" s="1"/>
      <c r="K913" s="1"/>
      <c r="L913" s="1"/>
      <c r="M913" s="1"/>
      <c r="N913" s="1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</row>
    <row r="914" spans="1:25" ht="15.75" customHeight="1" x14ac:dyDescent="0.2">
      <c r="A914" s="1"/>
      <c r="B914" s="1"/>
      <c r="C914" s="1"/>
      <c r="D914" s="1"/>
      <c r="E914" s="1"/>
      <c r="F914" s="1"/>
      <c r="G914" s="83"/>
      <c r="H914" s="1"/>
      <c r="I914" s="1"/>
      <c r="J914" s="1"/>
      <c r="K914" s="1"/>
      <c r="L914" s="1"/>
      <c r="M914" s="1"/>
      <c r="N914" s="1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</row>
    <row r="915" spans="1:25" ht="15.75" customHeight="1" x14ac:dyDescent="0.2">
      <c r="A915" s="1"/>
      <c r="B915" s="1"/>
      <c r="C915" s="1"/>
      <c r="D915" s="1"/>
      <c r="E915" s="1"/>
      <c r="F915" s="1"/>
      <c r="G915" s="83"/>
      <c r="H915" s="1"/>
      <c r="I915" s="1"/>
      <c r="J915" s="1"/>
      <c r="K915" s="1"/>
      <c r="L915" s="1"/>
      <c r="M915" s="1"/>
      <c r="N915" s="1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</row>
    <row r="916" spans="1:25" ht="15.75" customHeight="1" x14ac:dyDescent="0.2">
      <c r="A916" s="1"/>
      <c r="B916" s="1"/>
      <c r="C916" s="1"/>
      <c r="D916" s="1"/>
      <c r="E916" s="1"/>
      <c r="F916" s="1"/>
      <c r="G916" s="83"/>
      <c r="H916" s="1"/>
      <c r="I916" s="1"/>
      <c r="J916" s="1"/>
      <c r="K916" s="1"/>
      <c r="L916" s="1"/>
      <c r="M916" s="1"/>
      <c r="N916" s="1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</row>
    <row r="917" spans="1:25" ht="15.75" customHeight="1" x14ac:dyDescent="0.2">
      <c r="A917" s="1"/>
      <c r="B917" s="1"/>
      <c r="C917" s="1"/>
      <c r="D917" s="1"/>
      <c r="E917" s="1"/>
      <c r="F917" s="1"/>
      <c r="G917" s="83"/>
      <c r="H917" s="1"/>
      <c r="I917" s="1"/>
      <c r="J917" s="1"/>
      <c r="K917" s="1"/>
      <c r="L917" s="1"/>
      <c r="M917" s="1"/>
      <c r="N917" s="1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</row>
    <row r="918" spans="1:25" ht="15.75" customHeight="1" x14ac:dyDescent="0.2">
      <c r="A918" s="1"/>
      <c r="B918" s="1"/>
      <c r="C918" s="1"/>
      <c r="D918" s="1"/>
      <c r="E918" s="1"/>
      <c r="F918" s="1"/>
      <c r="G918" s="83"/>
      <c r="H918" s="1"/>
      <c r="I918" s="1"/>
      <c r="J918" s="1"/>
      <c r="K918" s="1"/>
      <c r="L918" s="1"/>
      <c r="M918" s="1"/>
      <c r="N918" s="1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</row>
    <row r="919" spans="1:25" ht="15.75" customHeight="1" x14ac:dyDescent="0.2">
      <c r="A919" s="1"/>
      <c r="B919" s="1"/>
      <c r="C919" s="1"/>
      <c r="D919" s="1"/>
      <c r="E919" s="1"/>
      <c r="F919" s="1"/>
      <c r="G919" s="83"/>
      <c r="H919" s="1"/>
      <c r="I919" s="1"/>
      <c r="J919" s="1"/>
      <c r="K919" s="1"/>
      <c r="L919" s="1"/>
      <c r="M919" s="1"/>
      <c r="N919" s="1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</row>
    <row r="920" spans="1:25" ht="15.75" customHeight="1" x14ac:dyDescent="0.2">
      <c r="A920" s="1"/>
      <c r="B920" s="1"/>
      <c r="C920" s="1"/>
      <c r="D920" s="1"/>
      <c r="E920" s="1"/>
      <c r="F920" s="1"/>
      <c r="G920" s="83"/>
      <c r="H920" s="1"/>
      <c r="I920" s="1"/>
      <c r="J920" s="1"/>
      <c r="K920" s="1"/>
      <c r="L920" s="1"/>
      <c r="M920" s="1"/>
      <c r="N920" s="1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</row>
    <row r="921" spans="1:25" ht="15.75" customHeight="1" x14ac:dyDescent="0.2">
      <c r="A921" s="1"/>
      <c r="B921" s="1"/>
      <c r="C921" s="1"/>
      <c r="D921" s="1"/>
      <c r="E921" s="1"/>
      <c r="F921" s="1"/>
      <c r="G921" s="83"/>
      <c r="H921" s="1"/>
      <c r="I921" s="1"/>
      <c r="J921" s="1"/>
      <c r="K921" s="1"/>
      <c r="L921" s="1"/>
      <c r="M921" s="1"/>
      <c r="N921" s="1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</row>
    <row r="922" spans="1:25" ht="15.75" customHeight="1" x14ac:dyDescent="0.2">
      <c r="A922" s="1"/>
      <c r="B922" s="1"/>
      <c r="C922" s="1"/>
      <c r="D922" s="1"/>
      <c r="E922" s="1"/>
      <c r="F922" s="1"/>
      <c r="G922" s="83"/>
      <c r="H922" s="1"/>
      <c r="I922" s="1"/>
      <c r="J922" s="1"/>
      <c r="K922" s="1"/>
      <c r="L922" s="1"/>
      <c r="M922" s="1"/>
      <c r="N922" s="1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</row>
    <row r="923" spans="1:25" ht="15.75" customHeight="1" x14ac:dyDescent="0.2">
      <c r="A923" s="1"/>
      <c r="B923" s="1"/>
      <c r="C923" s="1"/>
      <c r="D923" s="1"/>
      <c r="E923" s="1"/>
      <c r="F923" s="1"/>
      <c r="G923" s="83"/>
      <c r="H923" s="1"/>
      <c r="I923" s="1"/>
      <c r="J923" s="1"/>
      <c r="K923" s="1"/>
      <c r="L923" s="1"/>
      <c r="M923" s="1"/>
      <c r="N923" s="1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</row>
    <row r="924" spans="1:25" ht="15.75" customHeight="1" x14ac:dyDescent="0.2">
      <c r="A924" s="1"/>
      <c r="B924" s="1"/>
      <c r="C924" s="1"/>
      <c r="D924" s="1"/>
      <c r="E924" s="1"/>
      <c r="F924" s="1"/>
      <c r="G924" s="83"/>
      <c r="H924" s="1"/>
      <c r="I924" s="1"/>
      <c r="J924" s="1"/>
      <c r="K924" s="1"/>
      <c r="L924" s="1"/>
      <c r="M924" s="1"/>
      <c r="N924" s="1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</row>
    <row r="925" spans="1:25" ht="15.75" customHeight="1" x14ac:dyDescent="0.2">
      <c r="A925" s="1"/>
      <c r="B925" s="1"/>
      <c r="C925" s="1"/>
      <c r="D925" s="1"/>
      <c r="E925" s="1"/>
      <c r="F925" s="1"/>
      <c r="G925" s="83"/>
      <c r="H925" s="1"/>
      <c r="I925" s="1"/>
      <c r="J925" s="1"/>
      <c r="K925" s="1"/>
      <c r="L925" s="1"/>
      <c r="M925" s="1"/>
      <c r="N925" s="1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</row>
    <row r="926" spans="1:25" ht="15.75" customHeight="1" x14ac:dyDescent="0.2">
      <c r="A926" s="1"/>
      <c r="B926" s="1"/>
      <c r="C926" s="1"/>
      <c r="D926" s="1"/>
      <c r="E926" s="1"/>
      <c r="F926" s="1"/>
      <c r="G926" s="83"/>
      <c r="H926" s="1"/>
      <c r="I926" s="1"/>
      <c r="J926" s="1"/>
      <c r="K926" s="1"/>
      <c r="L926" s="1"/>
      <c r="M926" s="1"/>
      <c r="N926" s="1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</row>
    <row r="927" spans="1:25" ht="15.75" customHeight="1" x14ac:dyDescent="0.2">
      <c r="A927" s="1"/>
      <c r="B927" s="1"/>
      <c r="C927" s="1"/>
      <c r="D927" s="1"/>
      <c r="E927" s="1"/>
      <c r="F927" s="1"/>
      <c r="G927" s="83"/>
      <c r="H927" s="1"/>
      <c r="I927" s="1"/>
      <c r="J927" s="1"/>
      <c r="K927" s="1"/>
      <c r="L927" s="1"/>
      <c r="M927" s="1"/>
      <c r="N927" s="1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</row>
    <row r="928" spans="1:25" ht="15.75" customHeight="1" x14ac:dyDescent="0.2">
      <c r="A928" s="1"/>
      <c r="B928" s="1"/>
      <c r="C928" s="1"/>
      <c r="D928" s="1"/>
      <c r="E928" s="1"/>
      <c r="F928" s="1"/>
      <c r="G928" s="83"/>
      <c r="H928" s="1"/>
      <c r="I928" s="1"/>
      <c r="J928" s="1"/>
      <c r="K928" s="1"/>
      <c r="L928" s="1"/>
      <c r="M928" s="1"/>
      <c r="N928" s="1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</row>
    <row r="929" spans="1:25" ht="15.75" customHeight="1" x14ac:dyDescent="0.2">
      <c r="A929" s="1"/>
      <c r="B929" s="1"/>
      <c r="C929" s="1"/>
      <c r="D929" s="1"/>
      <c r="E929" s="1"/>
      <c r="F929" s="1"/>
      <c r="G929" s="83"/>
      <c r="H929" s="1"/>
      <c r="I929" s="1"/>
      <c r="J929" s="1"/>
      <c r="K929" s="1"/>
      <c r="L929" s="1"/>
      <c r="M929" s="1"/>
      <c r="N929" s="1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</row>
    <row r="930" spans="1:25" ht="15.75" customHeight="1" x14ac:dyDescent="0.2">
      <c r="A930" s="1"/>
      <c r="B930" s="1"/>
      <c r="C930" s="1"/>
      <c r="D930" s="1"/>
      <c r="E930" s="1"/>
      <c r="F930" s="1"/>
      <c r="G930" s="83"/>
      <c r="H930" s="1"/>
      <c r="I930" s="1"/>
      <c r="J930" s="1"/>
      <c r="K930" s="1"/>
      <c r="L930" s="1"/>
      <c r="M930" s="1"/>
      <c r="N930" s="1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</row>
    <row r="931" spans="1:25" ht="15.75" customHeight="1" x14ac:dyDescent="0.2">
      <c r="A931" s="1"/>
      <c r="B931" s="1"/>
      <c r="C931" s="1"/>
      <c r="D931" s="1"/>
      <c r="E931" s="1"/>
      <c r="F931" s="1"/>
      <c r="G931" s="83"/>
      <c r="H931" s="1"/>
      <c r="I931" s="1"/>
      <c r="J931" s="1"/>
      <c r="K931" s="1"/>
      <c r="L931" s="1"/>
      <c r="M931" s="1"/>
      <c r="N931" s="1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</row>
    <row r="932" spans="1:25" ht="15.75" customHeight="1" x14ac:dyDescent="0.2">
      <c r="A932" s="1"/>
      <c r="B932" s="1"/>
      <c r="C932" s="1"/>
      <c r="D932" s="1"/>
      <c r="E932" s="1"/>
      <c r="F932" s="1"/>
      <c r="G932" s="83"/>
      <c r="H932" s="1"/>
      <c r="I932" s="1"/>
      <c r="J932" s="1"/>
      <c r="K932" s="1"/>
      <c r="L932" s="1"/>
      <c r="M932" s="1"/>
      <c r="N932" s="1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</row>
    <row r="933" spans="1:25" ht="15.75" customHeight="1" x14ac:dyDescent="0.2">
      <c r="A933" s="1"/>
      <c r="B933" s="1"/>
      <c r="C933" s="1"/>
      <c r="D933" s="1"/>
      <c r="E933" s="1"/>
      <c r="F933" s="1"/>
      <c r="G933" s="83"/>
      <c r="H933" s="1"/>
      <c r="I933" s="1"/>
      <c r="J933" s="1"/>
      <c r="K933" s="1"/>
      <c r="L933" s="1"/>
      <c r="M933" s="1"/>
      <c r="N933" s="1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</row>
    <row r="934" spans="1:25" ht="15.75" customHeight="1" x14ac:dyDescent="0.2">
      <c r="A934" s="1"/>
      <c r="B934" s="1"/>
      <c r="C934" s="1"/>
      <c r="D934" s="1"/>
      <c r="E934" s="1"/>
      <c r="F934" s="1"/>
      <c r="G934" s="83"/>
      <c r="H934" s="1"/>
      <c r="I934" s="1"/>
      <c r="J934" s="1"/>
      <c r="K934" s="1"/>
      <c r="L934" s="1"/>
      <c r="M934" s="1"/>
      <c r="N934" s="1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</row>
    <row r="935" spans="1:25" ht="15.75" customHeight="1" x14ac:dyDescent="0.2">
      <c r="A935" s="1"/>
      <c r="B935" s="1"/>
      <c r="C935" s="1"/>
      <c r="D935" s="1"/>
      <c r="E935" s="1"/>
      <c r="F935" s="1"/>
      <c r="G935" s="83"/>
      <c r="H935" s="1"/>
      <c r="I935" s="1"/>
      <c r="J935" s="1"/>
      <c r="K935" s="1"/>
      <c r="L935" s="1"/>
      <c r="M935" s="1"/>
      <c r="N935" s="1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</row>
    <row r="936" spans="1:25" ht="15.75" customHeight="1" x14ac:dyDescent="0.2">
      <c r="A936" s="1"/>
      <c r="B936" s="1"/>
      <c r="C936" s="1"/>
      <c r="D936" s="1"/>
      <c r="E936" s="1"/>
      <c r="F936" s="1"/>
      <c r="G936" s="83"/>
      <c r="H936" s="1"/>
      <c r="I936" s="1"/>
      <c r="J936" s="1"/>
      <c r="K936" s="1"/>
      <c r="L936" s="1"/>
      <c r="M936" s="1"/>
      <c r="N936" s="1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</row>
    <row r="937" spans="1:25" ht="15.75" customHeight="1" x14ac:dyDescent="0.2">
      <c r="A937" s="1"/>
      <c r="B937" s="1"/>
      <c r="C937" s="1"/>
      <c r="D937" s="1"/>
      <c r="E937" s="1"/>
      <c r="F937" s="1"/>
      <c r="G937" s="83"/>
      <c r="H937" s="1"/>
      <c r="I937" s="1"/>
      <c r="J937" s="1"/>
      <c r="K937" s="1"/>
      <c r="L937" s="1"/>
      <c r="M937" s="1"/>
      <c r="N937" s="1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</row>
    <row r="938" spans="1:25" ht="15.75" customHeight="1" x14ac:dyDescent="0.2">
      <c r="A938" s="1"/>
      <c r="B938" s="1"/>
      <c r="C938" s="1"/>
      <c r="D938" s="1"/>
      <c r="E938" s="1"/>
      <c r="F938" s="1"/>
      <c r="G938" s="83"/>
      <c r="H938" s="1"/>
      <c r="I938" s="1"/>
      <c r="J938" s="1"/>
      <c r="K938" s="1"/>
      <c r="L938" s="1"/>
      <c r="M938" s="1"/>
      <c r="N938" s="1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</row>
    <row r="939" spans="1:25" ht="15.75" customHeight="1" x14ac:dyDescent="0.2">
      <c r="A939" s="1"/>
      <c r="B939" s="1"/>
      <c r="C939" s="1"/>
      <c r="D939" s="1"/>
      <c r="E939" s="1"/>
      <c r="F939" s="1"/>
      <c r="G939" s="83"/>
      <c r="H939" s="1"/>
      <c r="I939" s="1"/>
      <c r="J939" s="1"/>
      <c r="K939" s="1"/>
      <c r="L939" s="1"/>
      <c r="M939" s="1"/>
      <c r="N939" s="1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</row>
    <row r="940" spans="1:25" ht="15.75" customHeight="1" x14ac:dyDescent="0.2">
      <c r="A940" s="1"/>
      <c r="B940" s="1"/>
      <c r="C940" s="1"/>
      <c r="D940" s="1"/>
      <c r="E940" s="1"/>
      <c r="F940" s="1"/>
      <c r="G940" s="83"/>
      <c r="H940" s="1"/>
      <c r="I940" s="1"/>
      <c r="J940" s="1"/>
      <c r="K940" s="1"/>
      <c r="L940" s="1"/>
      <c r="M940" s="1"/>
      <c r="N940" s="1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</row>
    <row r="941" spans="1:25" ht="15.75" customHeight="1" x14ac:dyDescent="0.2">
      <c r="A941" s="1"/>
      <c r="B941" s="1"/>
      <c r="C941" s="1"/>
      <c r="D941" s="1"/>
      <c r="E941" s="1"/>
      <c r="F941" s="1"/>
      <c r="G941" s="83"/>
      <c r="H941" s="1"/>
      <c r="I941" s="1"/>
      <c r="J941" s="1"/>
      <c r="K941" s="1"/>
      <c r="L941" s="1"/>
      <c r="M941" s="1"/>
      <c r="N941" s="1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</row>
    <row r="942" spans="1:25" ht="15.75" customHeight="1" x14ac:dyDescent="0.2">
      <c r="A942" s="1"/>
      <c r="B942" s="1"/>
      <c r="C942" s="1"/>
      <c r="D942" s="1"/>
      <c r="E942" s="1"/>
      <c r="F942" s="1"/>
      <c r="G942" s="83"/>
      <c r="H942" s="1"/>
      <c r="I942" s="1"/>
      <c r="J942" s="1"/>
      <c r="K942" s="1"/>
      <c r="L942" s="1"/>
      <c r="M942" s="1"/>
      <c r="N942" s="1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</row>
    <row r="943" spans="1:25" ht="15.75" customHeight="1" x14ac:dyDescent="0.2">
      <c r="A943" s="1"/>
      <c r="B943" s="1"/>
      <c r="C943" s="1"/>
      <c r="D943" s="1"/>
      <c r="E943" s="1"/>
      <c r="F943" s="1"/>
      <c r="G943" s="83"/>
      <c r="H943" s="1"/>
      <c r="I943" s="1"/>
      <c r="J943" s="1"/>
      <c r="K943" s="1"/>
      <c r="L943" s="1"/>
      <c r="M943" s="1"/>
      <c r="N943" s="1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</row>
    <row r="944" spans="1:25" ht="15.75" customHeight="1" x14ac:dyDescent="0.2">
      <c r="A944" s="1"/>
      <c r="B944" s="1"/>
      <c r="C944" s="1"/>
      <c r="D944" s="1"/>
      <c r="E944" s="1"/>
      <c r="F944" s="1"/>
      <c r="G944" s="83"/>
      <c r="H944" s="1"/>
      <c r="I944" s="1"/>
      <c r="J944" s="1"/>
      <c r="K944" s="1"/>
      <c r="L944" s="1"/>
      <c r="M944" s="1"/>
      <c r="N944" s="1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</row>
    <row r="945" spans="1:25" ht="15.75" customHeight="1" x14ac:dyDescent="0.2">
      <c r="A945" s="1"/>
      <c r="B945" s="1"/>
      <c r="C945" s="1"/>
      <c r="D945" s="1"/>
      <c r="E945" s="1"/>
      <c r="F945" s="1"/>
      <c r="G945" s="83"/>
      <c r="H945" s="1"/>
      <c r="I945" s="1"/>
      <c r="J945" s="1"/>
      <c r="K945" s="1"/>
      <c r="L945" s="1"/>
      <c r="M945" s="1"/>
      <c r="N945" s="1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</row>
    <row r="946" spans="1:25" ht="15.75" customHeight="1" x14ac:dyDescent="0.2">
      <c r="A946" s="1"/>
      <c r="B946" s="1"/>
      <c r="C946" s="1"/>
      <c r="D946" s="1"/>
      <c r="E946" s="1"/>
      <c r="F946" s="1"/>
      <c r="G946" s="83"/>
      <c r="H946" s="1"/>
      <c r="I946" s="1"/>
      <c r="J946" s="1"/>
      <c r="K946" s="1"/>
      <c r="L946" s="1"/>
      <c r="M946" s="1"/>
      <c r="N946" s="1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</row>
    <row r="947" spans="1:25" ht="15.75" customHeight="1" x14ac:dyDescent="0.2">
      <c r="A947" s="1"/>
      <c r="B947" s="1"/>
      <c r="C947" s="1"/>
      <c r="D947" s="1"/>
      <c r="E947" s="1"/>
      <c r="F947" s="1"/>
      <c r="G947" s="83"/>
      <c r="H947" s="1"/>
      <c r="I947" s="1"/>
      <c r="J947" s="1"/>
      <c r="K947" s="1"/>
      <c r="L947" s="1"/>
      <c r="M947" s="1"/>
      <c r="N947" s="1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</row>
    <row r="948" spans="1:25" ht="15.75" customHeight="1" x14ac:dyDescent="0.2">
      <c r="A948" s="1"/>
      <c r="B948" s="1"/>
      <c r="C948" s="1"/>
      <c r="D948" s="1"/>
      <c r="E948" s="1"/>
      <c r="F948" s="1"/>
      <c r="G948" s="83"/>
      <c r="H948" s="1"/>
      <c r="I948" s="1"/>
      <c r="J948" s="1"/>
      <c r="K948" s="1"/>
      <c r="L948" s="1"/>
      <c r="M948" s="1"/>
      <c r="N948" s="1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</row>
    <row r="949" spans="1:25" ht="15.75" customHeight="1" x14ac:dyDescent="0.2">
      <c r="A949" s="1"/>
      <c r="B949" s="1"/>
      <c r="C949" s="1"/>
      <c r="D949" s="1"/>
      <c r="E949" s="1"/>
      <c r="F949" s="1"/>
      <c r="G949" s="83"/>
      <c r="H949" s="1"/>
      <c r="I949" s="1"/>
      <c r="J949" s="1"/>
      <c r="K949" s="1"/>
      <c r="L949" s="1"/>
      <c r="M949" s="1"/>
      <c r="N949" s="1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</row>
    <row r="950" spans="1:25" ht="15.75" customHeight="1" x14ac:dyDescent="0.2">
      <c r="A950" s="1"/>
      <c r="B950" s="1"/>
      <c r="C950" s="1"/>
      <c r="D950" s="1"/>
      <c r="E950" s="1"/>
      <c r="F950" s="1"/>
      <c r="G950" s="83"/>
      <c r="H950" s="1"/>
      <c r="I950" s="1"/>
      <c r="J950" s="1"/>
      <c r="K950" s="1"/>
      <c r="L950" s="1"/>
      <c r="M950" s="1"/>
      <c r="N950" s="1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</row>
    <row r="951" spans="1:25" ht="15.75" customHeight="1" x14ac:dyDescent="0.2">
      <c r="A951" s="1"/>
      <c r="B951" s="1"/>
      <c r="C951" s="1"/>
      <c r="D951" s="1"/>
      <c r="E951" s="1"/>
      <c r="F951" s="1"/>
      <c r="G951" s="83"/>
      <c r="H951" s="1"/>
      <c r="I951" s="1"/>
      <c r="J951" s="1"/>
      <c r="K951" s="1"/>
      <c r="L951" s="1"/>
      <c r="M951" s="1"/>
      <c r="N951" s="1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</row>
    <row r="952" spans="1:25" ht="15.75" customHeight="1" x14ac:dyDescent="0.2">
      <c r="A952" s="1"/>
      <c r="B952" s="1"/>
      <c r="C952" s="1"/>
      <c r="D952" s="1"/>
      <c r="E952" s="1"/>
      <c r="F952" s="1"/>
      <c r="G952" s="83"/>
      <c r="H952" s="1"/>
      <c r="I952" s="1"/>
      <c r="J952" s="1"/>
      <c r="K952" s="1"/>
      <c r="L952" s="1"/>
      <c r="M952" s="1"/>
      <c r="N952" s="1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</row>
    <row r="953" spans="1:25" ht="15.75" customHeight="1" x14ac:dyDescent="0.2">
      <c r="A953" s="1"/>
      <c r="B953" s="1"/>
      <c r="C953" s="1"/>
      <c r="D953" s="1"/>
      <c r="E953" s="1"/>
      <c r="F953" s="1"/>
      <c r="G953" s="83"/>
      <c r="H953" s="1"/>
      <c r="I953" s="1"/>
      <c r="J953" s="1"/>
      <c r="K953" s="1"/>
      <c r="L953" s="1"/>
      <c r="M953" s="1"/>
      <c r="N953" s="1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</row>
    <row r="954" spans="1:25" ht="15.75" customHeight="1" x14ac:dyDescent="0.2">
      <c r="A954" s="1"/>
      <c r="B954" s="1"/>
      <c r="C954" s="1"/>
      <c r="D954" s="1"/>
      <c r="E954" s="1"/>
      <c r="F954" s="1"/>
      <c r="G954" s="83"/>
      <c r="H954" s="1"/>
      <c r="I954" s="1"/>
      <c r="J954" s="1"/>
      <c r="K954" s="1"/>
      <c r="L954" s="1"/>
      <c r="M954" s="1"/>
      <c r="N954" s="1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</row>
    <row r="955" spans="1:25" ht="15.75" customHeight="1" x14ac:dyDescent="0.2">
      <c r="A955" s="1"/>
      <c r="B955" s="1"/>
      <c r="C955" s="1"/>
      <c r="D955" s="1"/>
      <c r="E955" s="1"/>
      <c r="F955" s="1"/>
      <c r="G955" s="83"/>
      <c r="H955" s="1"/>
      <c r="I955" s="1"/>
      <c r="J955" s="1"/>
      <c r="K955" s="1"/>
      <c r="L955" s="1"/>
      <c r="M955" s="1"/>
      <c r="N955" s="1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</row>
    <row r="956" spans="1:25" ht="15.75" customHeight="1" x14ac:dyDescent="0.2">
      <c r="A956" s="1"/>
      <c r="B956" s="1"/>
      <c r="C956" s="1"/>
      <c r="D956" s="1"/>
      <c r="E956" s="1"/>
      <c r="F956" s="1"/>
      <c r="G956" s="83"/>
      <c r="H956" s="1"/>
      <c r="I956" s="1"/>
      <c r="J956" s="1"/>
      <c r="K956" s="1"/>
      <c r="L956" s="1"/>
      <c r="M956" s="1"/>
      <c r="N956" s="1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</row>
    <row r="957" spans="1:25" ht="15.75" customHeight="1" x14ac:dyDescent="0.2">
      <c r="A957" s="1"/>
      <c r="B957" s="1"/>
      <c r="C957" s="1"/>
      <c r="D957" s="1"/>
      <c r="E957" s="1"/>
      <c r="F957" s="1"/>
      <c r="G957" s="83"/>
      <c r="H957" s="1"/>
      <c r="I957" s="1"/>
      <c r="J957" s="1"/>
      <c r="K957" s="1"/>
      <c r="L957" s="1"/>
      <c r="M957" s="1"/>
      <c r="N957" s="1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</row>
    <row r="958" spans="1:25" ht="15.75" customHeight="1" x14ac:dyDescent="0.2">
      <c r="A958" s="1"/>
      <c r="B958" s="1"/>
      <c r="C958" s="1"/>
      <c r="D958" s="1"/>
      <c r="E958" s="1"/>
      <c r="F958" s="1"/>
      <c r="G958" s="83"/>
      <c r="H958" s="1"/>
      <c r="I958" s="1"/>
      <c r="J958" s="1"/>
      <c r="K958" s="1"/>
      <c r="L958" s="1"/>
      <c r="M958" s="1"/>
      <c r="N958" s="1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</row>
    <row r="959" spans="1:25" ht="15.75" customHeight="1" x14ac:dyDescent="0.2">
      <c r="A959" s="1"/>
      <c r="B959" s="1"/>
      <c r="C959" s="1"/>
      <c r="D959" s="1"/>
      <c r="E959" s="1"/>
      <c r="F959" s="1"/>
      <c r="G959" s="83"/>
      <c r="H959" s="1"/>
      <c r="I959" s="1"/>
      <c r="J959" s="1"/>
      <c r="K959" s="1"/>
      <c r="L959" s="1"/>
      <c r="M959" s="1"/>
      <c r="N959" s="1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</row>
    <row r="960" spans="1:25" ht="15.75" customHeight="1" x14ac:dyDescent="0.2">
      <c r="A960" s="1"/>
      <c r="B960" s="1"/>
      <c r="C960" s="1"/>
      <c r="D960" s="1"/>
      <c r="E960" s="1"/>
      <c r="F960" s="1"/>
      <c r="G960" s="83"/>
      <c r="H960" s="1"/>
      <c r="I960" s="1"/>
      <c r="J960" s="1"/>
      <c r="K960" s="1"/>
      <c r="L960" s="1"/>
      <c r="M960" s="1"/>
      <c r="N960" s="1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</row>
    <row r="961" spans="1:25" ht="15.75" customHeight="1" x14ac:dyDescent="0.2">
      <c r="A961" s="1"/>
      <c r="B961" s="1"/>
      <c r="C961" s="1"/>
      <c r="D961" s="1"/>
      <c r="E961" s="1"/>
      <c r="F961" s="1"/>
      <c r="G961" s="83"/>
      <c r="H961" s="1"/>
      <c r="I961" s="1"/>
      <c r="J961" s="1"/>
      <c r="K961" s="1"/>
      <c r="L961" s="1"/>
      <c r="M961" s="1"/>
      <c r="N961" s="1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</row>
    <row r="962" spans="1:25" ht="15.75" customHeight="1" x14ac:dyDescent="0.2">
      <c r="A962" s="1"/>
      <c r="B962" s="1"/>
      <c r="C962" s="1"/>
      <c r="D962" s="1"/>
      <c r="E962" s="1"/>
      <c r="F962" s="1"/>
      <c r="G962" s="83"/>
      <c r="H962" s="1"/>
      <c r="I962" s="1"/>
      <c r="J962" s="1"/>
      <c r="K962" s="1"/>
      <c r="L962" s="1"/>
      <c r="M962" s="1"/>
      <c r="N962" s="1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</row>
    <row r="963" spans="1:25" ht="15.75" customHeight="1" x14ac:dyDescent="0.2">
      <c r="A963" s="1"/>
      <c r="B963" s="1"/>
      <c r="C963" s="1"/>
      <c r="D963" s="1"/>
      <c r="E963" s="1"/>
      <c r="F963" s="1"/>
      <c r="G963" s="83"/>
      <c r="H963" s="1"/>
      <c r="I963" s="1"/>
      <c r="J963" s="1"/>
      <c r="K963" s="1"/>
      <c r="L963" s="1"/>
      <c r="M963" s="1"/>
      <c r="N963" s="1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</row>
    <row r="964" spans="1:25" ht="15.75" customHeight="1" x14ac:dyDescent="0.2">
      <c r="A964" s="1"/>
      <c r="B964" s="1"/>
      <c r="C964" s="1"/>
      <c r="D964" s="1"/>
      <c r="E964" s="1"/>
      <c r="F964" s="1"/>
      <c r="G964" s="83"/>
      <c r="H964" s="1"/>
      <c r="I964" s="1"/>
      <c r="J964" s="1"/>
      <c r="K964" s="1"/>
      <c r="L964" s="1"/>
      <c r="M964" s="1"/>
      <c r="N964" s="1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</row>
    <row r="965" spans="1:25" ht="15.75" customHeight="1" x14ac:dyDescent="0.2">
      <c r="A965" s="1"/>
      <c r="B965" s="1"/>
      <c r="C965" s="1"/>
      <c r="D965" s="1"/>
      <c r="E965" s="1"/>
      <c r="F965" s="1"/>
      <c r="G965" s="83"/>
      <c r="H965" s="1"/>
      <c r="I965" s="1"/>
      <c r="J965" s="1"/>
      <c r="K965" s="1"/>
      <c r="L965" s="1"/>
      <c r="M965" s="1"/>
      <c r="N965" s="1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</row>
    <row r="966" spans="1:25" ht="15.75" customHeight="1" x14ac:dyDescent="0.2">
      <c r="A966" s="1"/>
      <c r="B966" s="1"/>
      <c r="C966" s="1"/>
      <c r="D966" s="1"/>
      <c r="E966" s="1"/>
      <c r="F966" s="1"/>
      <c r="G966" s="83"/>
      <c r="H966" s="1"/>
      <c r="I966" s="1"/>
      <c r="J966" s="1"/>
      <c r="K966" s="1"/>
      <c r="L966" s="1"/>
      <c r="M966" s="1"/>
      <c r="N966" s="1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</row>
    <row r="967" spans="1:25" ht="15.75" customHeight="1" x14ac:dyDescent="0.2">
      <c r="A967" s="1"/>
      <c r="B967" s="1"/>
      <c r="C967" s="1"/>
      <c r="D967" s="1"/>
      <c r="E967" s="1"/>
      <c r="F967" s="1"/>
      <c r="G967" s="83"/>
      <c r="H967" s="1"/>
      <c r="I967" s="1"/>
      <c r="J967" s="1"/>
      <c r="K967" s="1"/>
      <c r="L967" s="1"/>
      <c r="M967" s="1"/>
      <c r="N967" s="1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</row>
    <row r="968" spans="1:25" ht="15.75" customHeight="1" x14ac:dyDescent="0.2">
      <c r="A968" s="1"/>
      <c r="B968" s="1"/>
      <c r="C968" s="1"/>
      <c r="D968" s="1"/>
      <c r="E968" s="1"/>
      <c r="F968" s="1"/>
      <c r="G968" s="83"/>
      <c r="H968" s="1"/>
      <c r="I968" s="1"/>
      <c r="J968" s="1"/>
      <c r="K968" s="1"/>
      <c r="L968" s="1"/>
      <c r="M968" s="1"/>
      <c r="N968" s="1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</row>
    <row r="969" spans="1:25" ht="15.75" customHeight="1" x14ac:dyDescent="0.2">
      <c r="A969" s="1"/>
      <c r="B969" s="1"/>
      <c r="C969" s="1"/>
      <c r="D969" s="1"/>
      <c r="E969" s="1"/>
      <c r="F969" s="1"/>
      <c r="G969" s="83"/>
      <c r="H969" s="1"/>
      <c r="I969" s="1"/>
      <c r="J969" s="1"/>
      <c r="K969" s="1"/>
      <c r="L969" s="1"/>
      <c r="M969" s="1"/>
      <c r="N969" s="1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</row>
    <row r="970" spans="1:25" ht="15.75" customHeight="1" x14ac:dyDescent="0.2">
      <c r="A970" s="1"/>
      <c r="B970" s="1"/>
      <c r="C970" s="1"/>
      <c r="D970" s="1"/>
      <c r="E970" s="1"/>
      <c r="F970" s="1"/>
      <c r="G970" s="83"/>
      <c r="H970" s="1"/>
      <c r="I970" s="1"/>
      <c r="J970" s="1"/>
      <c r="K970" s="1"/>
      <c r="L970" s="1"/>
      <c r="M970" s="1"/>
      <c r="N970" s="1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</row>
    <row r="971" spans="1:25" ht="15.75" customHeight="1" x14ac:dyDescent="0.2">
      <c r="A971" s="1"/>
      <c r="B971" s="1"/>
      <c r="C971" s="1"/>
      <c r="D971" s="1"/>
      <c r="E971" s="1"/>
      <c r="F971" s="1"/>
      <c r="G971" s="83"/>
      <c r="H971" s="1"/>
      <c r="I971" s="1"/>
      <c r="J971" s="1"/>
      <c r="K971" s="1"/>
      <c r="L971" s="1"/>
      <c r="M971" s="1"/>
      <c r="N971" s="1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</row>
    <row r="972" spans="1:25" ht="15.75" customHeight="1" x14ac:dyDescent="0.2">
      <c r="A972" s="1"/>
      <c r="B972" s="1"/>
      <c r="C972" s="1"/>
      <c r="D972" s="1"/>
      <c r="E972" s="1"/>
      <c r="F972" s="1"/>
      <c r="G972" s="83"/>
      <c r="H972" s="1"/>
      <c r="I972" s="1"/>
      <c r="J972" s="1"/>
      <c r="K972" s="1"/>
      <c r="L972" s="1"/>
      <c r="M972" s="1"/>
      <c r="N972" s="1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</row>
    <row r="973" spans="1:25" ht="15.75" customHeight="1" x14ac:dyDescent="0.2">
      <c r="A973" s="1"/>
      <c r="B973" s="1"/>
      <c r="C973" s="1"/>
      <c r="D973" s="1"/>
      <c r="E973" s="1"/>
      <c r="F973" s="1"/>
      <c r="G973" s="83"/>
      <c r="H973" s="1"/>
      <c r="I973" s="1"/>
      <c r="J973" s="1"/>
      <c r="K973" s="1"/>
      <c r="L973" s="1"/>
      <c r="M973" s="1"/>
      <c r="N973" s="1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</row>
    <row r="974" spans="1:25" ht="15.75" customHeight="1" x14ac:dyDescent="0.2">
      <c r="A974" s="1"/>
      <c r="B974" s="1"/>
      <c r="C974" s="1"/>
      <c r="D974" s="1"/>
      <c r="E974" s="1"/>
      <c r="F974" s="1"/>
      <c r="G974" s="83"/>
      <c r="H974" s="1"/>
      <c r="I974" s="1"/>
      <c r="J974" s="1"/>
      <c r="K974" s="1"/>
      <c r="L974" s="1"/>
      <c r="M974" s="1"/>
      <c r="N974" s="1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</row>
    <row r="975" spans="1:25" ht="15.75" customHeight="1" x14ac:dyDescent="0.2">
      <c r="A975" s="1"/>
      <c r="B975" s="1"/>
      <c r="C975" s="1"/>
      <c r="D975" s="1"/>
      <c r="E975" s="1"/>
      <c r="F975" s="1"/>
      <c r="G975" s="83"/>
      <c r="H975" s="1"/>
      <c r="I975" s="1"/>
      <c r="J975" s="1"/>
      <c r="K975" s="1"/>
      <c r="L975" s="1"/>
      <c r="M975" s="1"/>
      <c r="N975" s="1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</row>
    <row r="976" spans="1:25" ht="15.75" customHeight="1" x14ac:dyDescent="0.2">
      <c r="A976" s="1"/>
      <c r="B976" s="1"/>
      <c r="C976" s="1"/>
      <c r="D976" s="1"/>
      <c r="E976" s="1"/>
      <c r="F976" s="1"/>
      <c r="G976" s="83"/>
      <c r="H976" s="1"/>
      <c r="I976" s="1"/>
      <c r="J976" s="1"/>
      <c r="K976" s="1"/>
      <c r="L976" s="1"/>
      <c r="M976" s="1"/>
      <c r="N976" s="1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</row>
    <row r="977" spans="1:25" ht="15.75" customHeight="1" x14ac:dyDescent="0.2">
      <c r="A977" s="1"/>
      <c r="B977" s="1"/>
      <c r="C977" s="1"/>
      <c r="D977" s="1"/>
      <c r="E977" s="1"/>
      <c r="F977" s="1"/>
      <c r="G977" s="83"/>
      <c r="H977" s="1"/>
      <c r="I977" s="1"/>
      <c r="J977" s="1"/>
      <c r="K977" s="1"/>
      <c r="L977" s="1"/>
      <c r="M977" s="1"/>
      <c r="N977" s="1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</row>
    <row r="978" spans="1:25" ht="15.75" customHeight="1" x14ac:dyDescent="0.2">
      <c r="A978" s="1"/>
      <c r="B978" s="1"/>
      <c r="C978" s="1"/>
      <c r="D978" s="1"/>
      <c r="E978" s="1"/>
      <c r="F978" s="1"/>
      <c r="G978" s="83"/>
      <c r="H978" s="1"/>
      <c r="I978" s="1"/>
      <c r="J978" s="1"/>
      <c r="K978" s="1"/>
      <c r="L978" s="1"/>
      <c r="M978" s="1"/>
      <c r="N978" s="1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</row>
    <row r="979" spans="1:25" ht="15.75" customHeight="1" x14ac:dyDescent="0.2">
      <c r="A979" s="1"/>
      <c r="B979" s="1"/>
      <c r="C979" s="1"/>
      <c r="D979" s="1"/>
      <c r="E979" s="1"/>
      <c r="F979" s="1"/>
      <c r="G979" s="83"/>
      <c r="H979" s="1"/>
      <c r="I979" s="1"/>
      <c r="J979" s="1"/>
      <c r="K979" s="1"/>
      <c r="L979" s="1"/>
      <c r="M979" s="1"/>
      <c r="N979" s="1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</row>
    <row r="980" spans="1:25" ht="15.75" customHeight="1" x14ac:dyDescent="0.2">
      <c r="A980" s="1"/>
      <c r="B980" s="1"/>
      <c r="C980" s="1"/>
      <c r="D980" s="1"/>
      <c r="E980" s="1"/>
      <c r="F980" s="1"/>
      <c r="G980" s="83"/>
      <c r="H980" s="1"/>
      <c r="I980" s="1"/>
      <c r="J980" s="1"/>
      <c r="K980" s="1"/>
      <c r="L980" s="1"/>
      <c r="M980" s="1"/>
      <c r="N980" s="1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</row>
    <row r="981" spans="1:25" ht="15.75" customHeight="1" x14ac:dyDescent="0.2">
      <c r="A981" s="1"/>
      <c r="B981" s="1"/>
      <c r="C981" s="1"/>
      <c r="D981" s="1"/>
      <c r="E981" s="1"/>
      <c r="F981" s="1"/>
      <c r="G981" s="83"/>
      <c r="H981" s="1"/>
      <c r="I981" s="1"/>
      <c r="J981" s="1"/>
      <c r="K981" s="1"/>
      <c r="L981" s="1"/>
      <c r="M981" s="1"/>
      <c r="N981" s="1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</row>
    <row r="982" spans="1:25" ht="15.75" customHeight="1" x14ac:dyDescent="0.2">
      <c r="A982" s="1"/>
      <c r="B982" s="1"/>
      <c r="C982" s="1"/>
      <c r="D982" s="1"/>
      <c r="E982" s="1"/>
      <c r="F982" s="1"/>
      <c r="G982" s="83"/>
      <c r="H982" s="1"/>
      <c r="I982" s="1"/>
      <c r="J982" s="1"/>
      <c r="K982" s="1"/>
      <c r="L982" s="1"/>
      <c r="M982" s="1"/>
      <c r="N982" s="1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</row>
    <row r="983" spans="1:25" ht="15.75" customHeight="1" x14ac:dyDescent="0.2">
      <c r="A983" s="1"/>
      <c r="B983" s="1"/>
      <c r="C983" s="1"/>
      <c r="D983" s="1"/>
      <c r="E983" s="1"/>
      <c r="F983" s="1"/>
      <c r="G983" s="83"/>
      <c r="H983" s="1"/>
      <c r="I983" s="1"/>
      <c r="J983" s="1"/>
      <c r="K983" s="1"/>
      <c r="L983" s="1"/>
      <c r="M983" s="1"/>
      <c r="N983" s="1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</row>
    <row r="984" spans="1:25" ht="15.75" customHeight="1" x14ac:dyDescent="0.2">
      <c r="A984" s="1"/>
      <c r="B984" s="1"/>
      <c r="C984" s="1"/>
      <c r="D984" s="1"/>
      <c r="E984" s="1"/>
      <c r="F984" s="1"/>
      <c r="G984" s="83"/>
      <c r="H984" s="1"/>
      <c r="I984" s="1"/>
      <c r="J984" s="1"/>
      <c r="K984" s="1"/>
      <c r="L984" s="1"/>
      <c r="M984" s="1"/>
      <c r="N984" s="1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</row>
    <row r="985" spans="1:25" ht="15.75" customHeight="1" x14ac:dyDescent="0.2">
      <c r="A985" s="1"/>
      <c r="B985" s="1"/>
      <c r="C985" s="1"/>
      <c r="D985" s="1"/>
      <c r="E985" s="1"/>
      <c r="F985" s="1"/>
      <c r="G985" s="83"/>
      <c r="H985" s="1"/>
      <c r="I985" s="1"/>
      <c r="J985" s="1"/>
      <c r="K985" s="1"/>
      <c r="L985" s="1"/>
      <c r="M985" s="1"/>
      <c r="N985" s="1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</row>
    <row r="986" spans="1:25" ht="15.75" customHeight="1" x14ac:dyDescent="0.2">
      <c r="A986" s="1"/>
      <c r="B986" s="1"/>
      <c r="C986" s="1"/>
      <c r="D986" s="1"/>
      <c r="E986" s="1"/>
      <c r="F986" s="1"/>
      <c r="G986" s="83"/>
      <c r="H986" s="1"/>
      <c r="I986" s="1"/>
      <c r="J986" s="1"/>
      <c r="K986" s="1"/>
      <c r="L986" s="1"/>
      <c r="M986" s="1"/>
      <c r="N986" s="1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</row>
    <row r="987" spans="1:25" ht="15.75" customHeight="1" x14ac:dyDescent="0.2">
      <c r="A987" s="1"/>
      <c r="B987" s="1"/>
      <c r="C987" s="1"/>
      <c r="D987" s="1"/>
      <c r="E987" s="1"/>
      <c r="F987" s="1"/>
      <c r="G987" s="83"/>
      <c r="H987" s="1"/>
      <c r="I987" s="1"/>
      <c r="J987" s="1"/>
      <c r="K987" s="1"/>
      <c r="L987" s="1"/>
      <c r="M987" s="1"/>
      <c r="N987" s="1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</row>
    <row r="988" spans="1:25" ht="15.75" customHeight="1" x14ac:dyDescent="0.2">
      <c r="A988" s="1"/>
      <c r="B988" s="1"/>
      <c r="C988" s="1"/>
      <c r="D988" s="1"/>
      <c r="E988" s="1"/>
      <c r="F988" s="1"/>
      <c r="G988" s="83"/>
      <c r="H988" s="1"/>
      <c r="I988" s="1"/>
      <c r="J988" s="1"/>
      <c r="K988" s="1"/>
      <c r="L988" s="1"/>
      <c r="M988" s="1"/>
      <c r="N988" s="1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</row>
    <row r="989" spans="1:25" ht="15.75" customHeight="1" x14ac:dyDescent="0.2">
      <c r="A989" s="1"/>
      <c r="B989" s="1"/>
      <c r="C989" s="1"/>
      <c r="D989" s="1"/>
      <c r="E989" s="1"/>
      <c r="F989" s="1"/>
      <c r="G989" s="83"/>
      <c r="H989" s="1"/>
      <c r="I989" s="1"/>
      <c r="J989" s="1"/>
      <c r="K989" s="1"/>
      <c r="L989" s="1"/>
      <c r="M989" s="1"/>
      <c r="N989" s="1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</row>
    <row r="990" spans="1:25" ht="15.75" customHeight="1" x14ac:dyDescent="0.2">
      <c r="A990" s="1"/>
      <c r="B990" s="1"/>
      <c r="C990" s="1"/>
      <c r="D990" s="1"/>
      <c r="E990" s="1"/>
      <c r="F990" s="1"/>
      <c r="G990" s="83"/>
      <c r="H990" s="1"/>
      <c r="I990" s="1"/>
      <c r="J990" s="1"/>
      <c r="K990" s="1"/>
      <c r="L990" s="1"/>
      <c r="M990" s="1"/>
      <c r="N990" s="1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</row>
    <row r="991" spans="1:25" ht="15.75" customHeight="1" x14ac:dyDescent="0.2">
      <c r="A991" s="1"/>
      <c r="B991" s="1"/>
      <c r="C991" s="1"/>
      <c r="D991" s="1"/>
      <c r="E991" s="1"/>
      <c r="F991" s="1"/>
      <c r="G991" s="83"/>
      <c r="H991" s="1"/>
      <c r="I991" s="1"/>
      <c r="J991" s="1"/>
      <c r="K991" s="1"/>
      <c r="L991" s="1"/>
      <c r="M991" s="1"/>
      <c r="N991" s="1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</row>
    <row r="992" spans="1:25" ht="15.75" customHeight="1" x14ac:dyDescent="0.2">
      <c r="A992" s="1"/>
      <c r="B992" s="1"/>
      <c r="C992" s="1"/>
      <c r="D992" s="1"/>
      <c r="E992" s="1"/>
      <c r="F992" s="1"/>
      <c r="G992" s="83"/>
      <c r="H992" s="1"/>
      <c r="I992" s="1"/>
      <c r="J992" s="1"/>
      <c r="K992" s="1"/>
      <c r="L992" s="1"/>
      <c r="M992" s="1"/>
      <c r="N992" s="1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</row>
    <row r="993" spans="1:25" ht="15.75" customHeight="1" x14ac:dyDescent="0.2">
      <c r="A993" s="1"/>
      <c r="B993" s="1"/>
      <c r="C993" s="1"/>
      <c r="D993" s="1"/>
      <c r="E993" s="1"/>
      <c r="F993" s="1"/>
      <c r="G993" s="83"/>
      <c r="H993" s="1"/>
      <c r="I993" s="1"/>
      <c r="J993" s="1"/>
      <c r="K993" s="1"/>
      <c r="L993" s="1"/>
      <c r="M993" s="1"/>
      <c r="N993" s="1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</row>
    <row r="994" spans="1:25" ht="15.75" customHeight="1" x14ac:dyDescent="0.2">
      <c r="A994" s="1"/>
      <c r="B994" s="1"/>
      <c r="C994" s="1"/>
      <c r="D994" s="1"/>
      <c r="E994" s="1"/>
      <c r="F994" s="1"/>
      <c r="G994" s="83"/>
      <c r="H994" s="1"/>
      <c r="I994" s="1"/>
      <c r="J994" s="1"/>
      <c r="K994" s="1"/>
      <c r="L994" s="1"/>
      <c r="M994" s="1"/>
      <c r="N994" s="1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</row>
    <row r="995" spans="1:25" ht="15.75" customHeight="1" x14ac:dyDescent="0.2">
      <c r="A995" s="1"/>
      <c r="B995" s="1"/>
      <c r="C995" s="1"/>
      <c r="D995" s="1"/>
      <c r="E995" s="1"/>
      <c r="F995" s="1"/>
      <c r="G995" s="83"/>
      <c r="H995" s="1"/>
      <c r="I995" s="1"/>
      <c r="J995" s="1"/>
      <c r="K995" s="1"/>
      <c r="L995" s="1"/>
      <c r="M995" s="1"/>
      <c r="N995" s="1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</row>
    <row r="996" spans="1:25" ht="15.75" customHeight="1" x14ac:dyDescent="0.2">
      <c r="A996" s="1"/>
      <c r="B996" s="1"/>
      <c r="C996" s="1"/>
      <c r="D996" s="1"/>
      <c r="E996" s="1"/>
      <c r="F996" s="1"/>
      <c r="G996" s="83"/>
      <c r="H996" s="1"/>
      <c r="I996" s="1"/>
      <c r="J996" s="1"/>
      <c r="K996" s="1"/>
      <c r="L996" s="1"/>
      <c r="M996" s="1"/>
      <c r="N996" s="1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</row>
    <row r="997" spans="1:25" ht="15.75" customHeight="1" x14ac:dyDescent="0.2">
      <c r="A997" s="1"/>
      <c r="B997" s="1"/>
      <c r="C997" s="1"/>
      <c r="D997" s="1"/>
      <c r="E997" s="1"/>
      <c r="F997" s="1"/>
      <c r="G997" s="83"/>
      <c r="H997" s="1"/>
      <c r="I997" s="1"/>
      <c r="J997" s="1"/>
      <c r="K997" s="1"/>
      <c r="L997" s="1"/>
      <c r="M997" s="1"/>
      <c r="N997" s="1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</row>
    <row r="998" spans="1:25" ht="15.75" customHeight="1" x14ac:dyDescent="0.2">
      <c r="A998" s="1"/>
      <c r="B998" s="1"/>
      <c r="C998" s="1"/>
      <c r="D998" s="1"/>
      <c r="E998" s="1"/>
      <c r="F998" s="1"/>
      <c r="G998" s="83"/>
      <c r="H998" s="1"/>
      <c r="I998" s="1"/>
      <c r="J998" s="1"/>
      <c r="K998" s="1"/>
      <c r="L998" s="1"/>
      <c r="M998" s="1"/>
      <c r="N998" s="1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</row>
    <row r="999" spans="1:25" ht="15.75" customHeight="1" x14ac:dyDescent="0.2">
      <c r="A999" s="1"/>
      <c r="B999" s="1"/>
      <c r="C999" s="1"/>
      <c r="D999" s="1"/>
      <c r="E999" s="1"/>
      <c r="F999" s="1"/>
      <c r="G999" s="83"/>
      <c r="H999" s="1"/>
      <c r="I999" s="1"/>
      <c r="J999" s="1"/>
      <c r="K999" s="1"/>
      <c r="L999" s="1"/>
      <c r="M999" s="1"/>
      <c r="N999" s="1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</row>
    <row r="1000" spans="1:25" ht="15.75" customHeight="1" x14ac:dyDescent="0.2">
      <c r="A1000" s="1"/>
      <c r="B1000" s="1"/>
      <c r="C1000" s="1"/>
      <c r="D1000" s="1"/>
      <c r="E1000" s="1"/>
      <c r="F1000" s="1"/>
      <c r="G1000" s="83"/>
      <c r="H1000" s="1"/>
      <c r="I1000" s="1"/>
      <c r="J1000" s="1"/>
      <c r="K1000" s="1"/>
      <c r="L1000" s="1"/>
      <c r="M1000" s="1"/>
      <c r="N1000" s="1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</row>
  </sheetData>
  <mergeCells count="22">
    <mergeCell ref="L2:N2"/>
    <mergeCell ref="Q6:R6"/>
    <mergeCell ref="Q12:T12"/>
    <mergeCell ref="Q20:R20"/>
    <mergeCell ref="S20:T20"/>
    <mergeCell ref="B249:D249"/>
    <mergeCell ref="B278:D278"/>
    <mergeCell ref="C372:E372"/>
    <mergeCell ref="B322:D322"/>
    <mergeCell ref="A2:A3"/>
    <mergeCell ref="B2:D3"/>
    <mergeCell ref="B26:D26"/>
    <mergeCell ref="B105:D105"/>
    <mergeCell ref="B136:D136"/>
    <mergeCell ref="B185:D185"/>
    <mergeCell ref="B220:D220"/>
    <mergeCell ref="E2:E3"/>
    <mergeCell ref="F2:F3"/>
    <mergeCell ref="G2:G3"/>
    <mergeCell ref="J2:J3"/>
    <mergeCell ref="K2:K3"/>
    <mergeCell ref="H2:I2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AH</vt:lpstr>
      <vt:lpstr>CARTERA HZ</vt:lpstr>
      <vt:lpstr>PERALTE</vt:lpstr>
      <vt:lpstr>Grafica_Peraltes</vt:lpstr>
      <vt:lpstr>AV</vt:lpstr>
      <vt:lpstr>PERFIL</vt:lpstr>
      <vt:lpstr>RASANTE</vt:lpstr>
      <vt:lpstr>PERALTE!Print_Area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KAREN ELIANA GARCIA PEREZ</cp:lastModifiedBy>
  <dcterms:created xsi:type="dcterms:W3CDTF">2019-04-30T15:56:14Z</dcterms:created>
  <dcterms:modified xsi:type="dcterms:W3CDTF">2025-10-01T12:50:41Z</dcterms:modified>
</cp:coreProperties>
</file>