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Documents\"/>
    </mc:Choice>
  </mc:AlternateContent>
  <xr:revisionPtr revIDLastSave="0" documentId="13_ncr:1_{D48553BA-D39B-47EC-B532-3DB706C02B2B}" xr6:coauthVersionLast="47" xr6:coauthVersionMax="47" xr10:uidLastSave="{00000000-0000-0000-0000-000000000000}"/>
  <bookViews>
    <workbookView xWindow="-108" yWindow="-108" windowWidth="23256" windowHeight="12576" activeTab="3" xr2:uid="{BC71F91E-A114-4C53-9CC3-073E5ECE9705}"/>
  </bookViews>
  <sheets>
    <sheet name="19% RH" sheetId="1" r:id="rId1"/>
    <sheet name="22% RH" sheetId="2" r:id="rId2"/>
    <sheet name="30% RH" sheetId="3" r:id="rId3"/>
    <sheet name="Analysis" sheetId="5" r:id="rId4"/>
  </sheets>
  <externalReferences>
    <externalReference r:id="rId5"/>
  </externalReferences>
  <definedNames>
    <definedName name="_xlchart.v1.0" hidden="1">[1]Sheet4!$C$36:$C$46</definedName>
    <definedName name="_xlchart.v1.1" hidden="1">'[1]correct dehydrated 30% RH (2)'!$J$90</definedName>
    <definedName name="_xlchart.v1.10" hidden="1">[1]Sheet4!$AG$6:$AG$7</definedName>
    <definedName name="_xlchart.v1.11" hidden="1">[1]Sheet4!$AI$6:$AI$8</definedName>
    <definedName name="_xlchart.v1.12" hidden="1">[1]Sheet4!$AJ$6:$AJ$8</definedName>
    <definedName name="_xlchart.v1.13" hidden="1">[1]Sheet4!$AK$6:$AK$9</definedName>
    <definedName name="_xlchart.v1.14" hidden="1">[1]Sheet4!$AL$6:$AL$8</definedName>
    <definedName name="_xlchart.v1.15" hidden="1">[1]Sheet4!$Y$6:$Y$8</definedName>
    <definedName name="_xlchart.v1.16" hidden="1">[1]Sheet4!$Z$6:$Z$8</definedName>
    <definedName name="_xlchart.v1.17" hidden="1">[1]Sheet4!$W$42:$W$44</definedName>
    <definedName name="_xlchart.v1.18" hidden="1">[1]Sheet4!$W$45:$W$47</definedName>
    <definedName name="_xlchart.v1.19" hidden="1">[1]Sheet4!$W$49:$W$50</definedName>
    <definedName name="_xlchart.v1.2" hidden="1">[1]Sheet4!$C$6:$C$17</definedName>
    <definedName name="_xlchart.v1.20" hidden="1">[1]Sheet4!$W$51:$W$52</definedName>
    <definedName name="_xlchart.v1.21" hidden="1">[1]Sheet4!$W$62:$W$64</definedName>
    <definedName name="_xlchart.v1.22" hidden="1">[1]Sheet4!$W$65:$W$67</definedName>
    <definedName name="_xlchart.v1.23" hidden="1">[1]Sheet4!$W$68:$W$71</definedName>
    <definedName name="_xlchart.v1.24" hidden="1">[1]Sheet4!$W$72:$W$77</definedName>
    <definedName name="_xlchart.v1.25" hidden="1">[1]Sheet4!$W$85:$W$87</definedName>
    <definedName name="_xlchart.v1.26" hidden="1">[1]Sheet4!$W$88:$W$90</definedName>
    <definedName name="_xlchart.v1.27" hidden="1">[1]Sheet4!$W$91:$W$93</definedName>
    <definedName name="_xlchart.v1.28" hidden="1">[1]Sheet4!$W$94:$W$96</definedName>
    <definedName name="_xlchart.v1.29" hidden="1">[1]Sheet4!$AQ$62:$AQ$64</definedName>
    <definedName name="_xlchart.v1.3" hidden="1">[1]Sheet4!$D$6:$D$18</definedName>
    <definedName name="_xlchart.v1.30" hidden="1">[1]Sheet4!$AQ$65:$AQ$67</definedName>
    <definedName name="_xlchart.v1.31" hidden="1">[1]Sheet4!$AQ$68:$AQ$70</definedName>
    <definedName name="_xlchart.v1.32" hidden="1">[1]Sheet4!$AQ$71:$AQ$72</definedName>
    <definedName name="_xlchart.v1.33" hidden="1">'[1]Sheet4 (2)'!$W$42:$W$45</definedName>
    <definedName name="_xlchart.v1.34" hidden="1">'[1]Sheet4 (2)'!$W$46:$W$48</definedName>
    <definedName name="_xlchart.v1.35" hidden="1">'[1]Sheet4 (2)'!$W$49:$W$51</definedName>
    <definedName name="_xlchart.v1.36" hidden="1">'[1]Sheet4 (2)'!$W$52:$W$53</definedName>
    <definedName name="_xlchart.v1.4" hidden="1">[1]Sheet4!$E$6:$E$17</definedName>
    <definedName name="_xlchart.v1.5" hidden="1">[1]Sheet4!$AA$6:$AA$8</definedName>
    <definedName name="_xlchart.v1.6" hidden="1">[1]Sheet4!$AB$6:$AB$8</definedName>
    <definedName name="_xlchart.v1.7" hidden="1">[1]Sheet4!$AD$6:$AD$9</definedName>
    <definedName name="_xlchart.v1.8" hidden="1">[1]Sheet4!$AE$6:$AE$8</definedName>
    <definedName name="_xlchart.v1.9" hidden="1">[1]Sheet4!$AF$6:$AF$8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65" i="5" l="1"/>
  <c r="AW66" i="5" s="1"/>
  <c r="AV65" i="5"/>
  <c r="AV66" i="5" s="1"/>
  <c r="AU65" i="5"/>
  <c r="AU66" i="5" s="1"/>
  <c r="AT65" i="5"/>
  <c r="AT66" i="5" s="1"/>
  <c r="AW61" i="5"/>
  <c r="AV61" i="5"/>
  <c r="AU61" i="5"/>
  <c r="AT61" i="5"/>
  <c r="AW60" i="5"/>
  <c r="AV60" i="5"/>
  <c r="AU60" i="5"/>
  <c r="AT60" i="5"/>
  <c r="AW59" i="5"/>
  <c r="AV59" i="5"/>
  <c r="AU59" i="5"/>
  <c r="AT59" i="5"/>
  <c r="AW58" i="5"/>
  <c r="AV58" i="5"/>
  <c r="AU58" i="5"/>
  <c r="AT58" i="5"/>
  <c r="AW57" i="5"/>
  <c r="AV57" i="5"/>
  <c r="AU57" i="5"/>
  <c r="AT57" i="5"/>
  <c r="AT53" i="5"/>
  <c r="AW53" i="5" s="1"/>
  <c r="AT52" i="5"/>
  <c r="AV52" i="5" s="1"/>
  <c r="AT51" i="5"/>
  <c r="AW51" i="5" s="1"/>
  <c r="AT50" i="5"/>
  <c r="AV50" i="5" s="1"/>
  <c r="AD83" i="5"/>
  <c r="AD81" i="5"/>
  <c r="AD80" i="5"/>
  <c r="AD79" i="5"/>
  <c r="AD78" i="5"/>
  <c r="AD77" i="5"/>
  <c r="AA27" i="5"/>
  <c r="G129" i="5"/>
  <c r="F129" i="5"/>
  <c r="E129" i="5"/>
  <c r="D129" i="5"/>
  <c r="C129" i="5"/>
  <c r="H128" i="5"/>
  <c r="H127" i="5"/>
  <c r="H126" i="5"/>
  <c r="H125" i="5"/>
  <c r="S114" i="5"/>
  <c r="S115" i="5" s="1"/>
  <c r="R114" i="5"/>
  <c r="R115" i="5" s="1"/>
  <c r="Q114" i="5"/>
  <c r="Q115" i="5" s="1"/>
  <c r="P114" i="5"/>
  <c r="P115" i="5" s="1"/>
  <c r="I114" i="5"/>
  <c r="I115" i="5" s="1"/>
  <c r="H114" i="5"/>
  <c r="H115" i="5" s="1"/>
  <c r="G114" i="5"/>
  <c r="G115" i="5" s="1"/>
  <c r="F114" i="5"/>
  <c r="F115" i="5" s="1"/>
  <c r="S110" i="5"/>
  <c r="R110" i="5"/>
  <c r="Q110" i="5"/>
  <c r="P110" i="5"/>
  <c r="L112" i="5"/>
  <c r="S106" i="5" s="1"/>
  <c r="S109" i="5"/>
  <c r="R109" i="5"/>
  <c r="Q109" i="5"/>
  <c r="P109" i="5"/>
  <c r="L111" i="5"/>
  <c r="S105" i="5" s="1"/>
  <c r="S108" i="5"/>
  <c r="R108" i="5"/>
  <c r="Q108" i="5"/>
  <c r="P108" i="5"/>
  <c r="L110" i="5"/>
  <c r="S104" i="5" s="1"/>
  <c r="B111" i="5"/>
  <c r="I105" i="5" s="1"/>
  <c r="L109" i="5"/>
  <c r="S103" i="5" s="1"/>
  <c r="I110" i="5"/>
  <c r="H110" i="5"/>
  <c r="G110" i="5"/>
  <c r="F110" i="5"/>
  <c r="B110" i="5"/>
  <c r="I104" i="5" s="1"/>
  <c r="I109" i="5"/>
  <c r="H109" i="5"/>
  <c r="G109" i="5"/>
  <c r="F109" i="5"/>
  <c r="B109" i="5"/>
  <c r="I103" i="5" s="1"/>
  <c r="L106" i="5"/>
  <c r="R106" i="5" s="1"/>
  <c r="I108" i="5"/>
  <c r="H108" i="5"/>
  <c r="G108" i="5"/>
  <c r="F108" i="5"/>
  <c r="B108" i="5"/>
  <c r="I102" i="5" s="1"/>
  <c r="L105" i="5"/>
  <c r="R105" i="5" s="1"/>
  <c r="L104" i="5"/>
  <c r="R104" i="5" s="1"/>
  <c r="AD105" i="5"/>
  <c r="AD106" i="5" s="1"/>
  <c r="AC105" i="5"/>
  <c r="AC106" i="5" s="1"/>
  <c r="AB105" i="5"/>
  <c r="AB106" i="5" s="1"/>
  <c r="AA105" i="5"/>
  <c r="AA106" i="5" s="1"/>
  <c r="L103" i="5"/>
  <c r="R103" i="5" s="1"/>
  <c r="B105" i="5"/>
  <c r="H105" i="5" s="1"/>
  <c r="B104" i="5"/>
  <c r="H104" i="5" s="1"/>
  <c r="B103" i="5"/>
  <c r="H103" i="5" s="1"/>
  <c r="B102" i="5"/>
  <c r="H102" i="5" s="1"/>
  <c r="AD101" i="5"/>
  <c r="AC101" i="5"/>
  <c r="AB101" i="5"/>
  <c r="AA101" i="5"/>
  <c r="AD100" i="5"/>
  <c r="AC100" i="5"/>
  <c r="AB100" i="5"/>
  <c r="AA100" i="5"/>
  <c r="AD99" i="5"/>
  <c r="AC99" i="5"/>
  <c r="AB99" i="5"/>
  <c r="AA99" i="5"/>
  <c r="S94" i="5"/>
  <c r="S95" i="5" s="1"/>
  <c r="R94" i="5"/>
  <c r="R95" i="5" s="1"/>
  <c r="Q94" i="5"/>
  <c r="Q95" i="5" s="1"/>
  <c r="P94" i="5"/>
  <c r="P95" i="5" s="1"/>
  <c r="AD98" i="5"/>
  <c r="AC98" i="5"/>
  <c r="AB98" i="5"/>
  <c r="AA98" i="5"/>
  <c r="L93" i="5"/>
  <c r="S86" i="5" s="1"/>
  <c r="I94" i="5"/>
  <c r="I95" i="5" s="1"/>
  <c r="H94" i="5"/>
  <c r="H95" i="5" s="1"/>
  <c r="G94" i="5"/>
  <c r="G95" i="5" s="1"/>
  <c r="F94" i="5"/>
  <c r="F95" i="5" s="1"/>
  <c r="AD97" i="5"/>
  <c r="AC97" i="5"/>
  <c r="AB97" i="5"/>
  <c r="AA97" i="5"/>
  <c r="L92" i="5"/>
  <c r="S85" i="5" s="1"/>
  <c r="L91" i="5"/>
  <c r="S84" i="5" s="1"/>
  <c r="B92" i="5"/>
  <c r="I86" i="5" s="1"/>
  <c r="S90" i="5"/>
  <c r="R90" i="5"/>
  <c r="Q90" i="5"/>
  <c r="P90" i="5"/>
  <c r="L90" i="5"/>
  <c r="S83" i="5" s="1"/>
  <c r="B91" i="5"/>
  <c r="I85" i="5" s="1"/>
  <c r="AA94" i="5"/>
  <c r="S89" i="5"/>
  <c r="R89" i="5"/>
  <c r="Q89" i="5"/>
  <c r="P89" i="5"/>
  <c r="I90" i="5"/>
  <c r="H90" i="5"/>
  <c r="G90" i="5"/>
  <c r="F90" i="5"/>
  <c r="B90" i="5"/>
  <c r="I84" i="5" s="1"/>
  <c r="AA93" i="5"/>
  <c r="S88" i="5"/>
  <c r="R88" i="5"/>
  <c r="Q88" i="5"/>
  <c r="P88" i="5"/>
  <c r="I89" i="5"/>
  <c r="H89" i="5"/>
  <c r="G89" i="5"/>
  <c r="F89" i="5"/>
  <c r="B89" i="5"/>
  <c r="I83" i="5" s="1"/>
  <c r="AA92" i="5"/>
  <c r="I88" i="5"/>
  <c r="I91" i="5" s="1"/>
  <c r="I93" i="5" s="1"/>
  <c r="H88" i="5"/>
  <c r="G88" i="5"/>
  <c r="F88" i="5"/>
  <c r="AA91" i="5"/>
  <c r="L85" i="5"/>
  <c r="R86" i="5" s="1"/>
  <c r="L84" i="5"/>
  <c r="R85" i="5" s="1"/>
  <c r="B85" i="5"/>
  <c r="H86" i="5" s="1"/>
  <c r="L83" i="5"/>
  <c r="R84" i="5" s="1"/>
  <c r="B84" i="5"/>
  <c r="H85" i="5" s="1"/>
  <c r="L82" i="5"/>
  <c r="R83" i="5" s="1"/>
  <c r="B83" i="5"/>
  <c r="H84" i="5" s="1"/>
  <c r="AD62" i="5"/>
  <c r="AD63" i="5" s="1"/>
  <c r="AC62" i="5"/>
  <c r="AC63" i="5" s="1"/>
  <c r="AB62" i="5"/>
  <c r="AB63" i="5" s="1"/>
  <c r="AA62" i="5"/>
  <c r="AA63" i="5" s="1"/>
  <c r="B82" i="5"/>
  <c r="H83" i="5" s="1"/>
  <c r="AD84" i="5"/>
  <c r="AC83" i="5"/>
  <c r="AC84" i="5" s="1"/>
  <c r="AB83" i="5"/>
  <c r="AB84" i="5" s="1"/>
  <c r="AA83" i="5"/>
  <c r="AA84" i="5" s="1"/>
  <c r="I75" i="5"/>
  <c r="I76" i="5" s="1"/>
  <c r="H75" i="5"/>
  <c r="H76" i="5" s="1"/>
  <c r="G75" i="5"/>
  <c r="G76" i="5" s="1"/>
  <c r="F75" i="5"/>
  <c r="F76" i="5" s="1"/>
  <c r="AD58" i="5"/>
  <c r="AC58" i="5"/>
  <c r="AB58" i="5"/>
  <c r="AA58" i="5"/>
  <c r="AD57" i="5"/>
  <c r="AC57" i="5"/>
  <c r="AB57" i="5"/>
  <c r="AA57" i="5"/>
  <c r="AC81" i="5"/>
  <c r="AB81" i="5"/>
  <c r="AA81" i="5"/>
  <c r="AD56" i="5"/>
  <c r="AC56" i="5"/>
  <c r="AB56" i="5"/>
  <c r="AA56" i="5"/>
  <c r="AC80" i="5"/>
  <c r="AB80" i="5"/>
  <c r="AA80" i="5"/>
  <c r="AD55" i="5"/>
  <c r="AC55" i="5"/>
  <c r="AB55" i="5"/>
  <c r="AA55" i="5"/>
  <c r="AC79" i="5"/>
  <c r="AB79" i="5"/>
  <c r="AA79" i="5"/>
  <c r="I71" i="5"/>
  <c r="H71" i="5"/>
  <c r="G71" i="5"/>
  <c r="F71" i="5"/>
  <c r="B72" i="5"/>
  <c r="H66" i="5" s="1"/>
  <c r="AD54" i="5"/>
  <c r="AC54" i="5"/>
  <c r="AB54" i="5"/>
  <c r="AA54" i="5"/>
  <c r="AC78" i="5"/>
  <c r="AB78" i="5"/>
  <c r="AA78" i="5"/>
  <c r="I70" i="5"/>
  <c r="H70" i="5"/>
  <c r="G70" i="5"/>
  <c r="F70" i="5"/>
  <c r="B71" i="5"/>
  <c r="H65" i="5" s="1"/>
  <c r="AC77" i="5"/>
  <c r="AB77" i="5"/>
  <c r="AA77" i="5"/>
  <c r="I69" i="5"/>
  <c r="H69" i="5"/>
  <c r="G69" i="5"/>
  <c r="F69" i="5"/>
  <c r="B70" i="5"/>
  <c r="H64" i="5" s="1"/>
  <c r="B69" i="5"/>
  <c r="H63" i="5" s="1"/>
  <c r="AA52" i="5"/>
  <c r="AA74" i="5"/>
  <c r="B66" i="5"/>
  <c r="G66" i="5" s="1"/>
  <c r="AA51" i="5"/>
  <c r="AA73" i="5"/>
  <c r="B65" i="5"/>
  <c r="G65" i="5" s="1"/>
  <c r="AA50" i="5"/>
  <c r="AA72" i="5"/>
  <c r="B64" i="5"/>
  <c r="G64" i="5" s="1"/>
  <c r="AA49" i="5"/>
  <c r="AA71" i="5"/>
  <c r="B63" i="5"/>
  <c r="G63" i="5" s="1"/>
  <c r="AD41" i="5"/>
  <c r="AD42" i="5" s="1"/>
  <c r="AC41" i="5"/>
  <c r="AC42" i="5" s="1"/>
  <c r="AB41" i="5"/>
  <c r="AB42" i="5" s="1"/>
  <c r="AA41" i="5"/>
  <c r="AA42" i="5" s="1"/>
  <c r="C57" i="5"/>
  <c r="C58" i="5" s="1"/>
  <c r="AD37" i="5"/>
  <c r="AC37" i="5"/>
  <c r="AB37" i="5"/>
  <c r="AA37" i="5"/>
  <c r="C53" i="5"/>
  <c r="AD36" i="5"/>
  <c r="AC36" i="5"/>
  <c r="AB36" i="5"/>
  <c r="AA36" i="5"/>
  <c r="C52" i="5"/>
  <c r="AD35" i="5"/>
  <c r="AC35" i="5"/>
  <c r="AB35" i="5"/>
  <c r="AA35" i="5"/>
  <c r="C51" i="5"/>
  <c r="AD34" i="5"/>
  <c r="AC34" i="5"/>
  <c r="AB34" i="5"/>
  <c r="AA34" i="5"/>
  <c r="C50" i="5"/>
  <c r="AD33" i="5"/>
  <c r="AC33" i="5"/>
  <c r="AB33" i="5"/>
  <c r="AA33" i="5"/>
  <c r="C49" i="5"/>
  <c r="C48" i="5"/>
  <c r="AA30" i="5"/>
  <c r="AA29" i="5"/>
  <c r="AA28" i="5"/>
  <c r="E30" i="5"/>
  <c r="D30" i="5"/>
  <c r="C30" i="5"/>
  <c r="E26" i="5"/>
  <c r="D26" i="5"/>
  <c r="C26" i="5"/>
  <c r="E25" i="5"/>
  <c r="D25" i="5"/>
  <c r="C25" i="5"/>
  <c r="E23" i="5"/>
  <c r="E24" i="5" s="1"/>
  <c r="D23" i="5"/>
  <c r="D24" i="5" s="1"/>
  <c r="C23" i="5"/>
  <c r="C24" i="5" s="1"/>
  <c r="E22" i="5"/>
  <c r="D22" i="5"/>
  <c r="C22" i="5"/>
  <c r="E21" i="5"/>
  <c r="D21" i="5"/>
  <c r="C21" i="5"/>
  <c r="E20" i="5"/>
  <c r="D20" i="5"/>
  <c r="C20" i="5"/>
  <c r="AE14" i="5"/>
  <c r="AE15" i="5" s="1"/>
  <c r="AD14" i="5"/>
  <c r="AD15" i="5" s="1"/>
  <c r="AC14" i="5"/>
  <c r="AC15" i="5" s="1"/>
  <c r="AB14" i="5"/>
  <c r="AB15" i="5" s="1"/>
  <c r="Z14" i="5"/>
  <c r="Z15" i="5" s="1"/>
  <c r="Y14" i="5"/>
  <c r="Y15" i="5" s="1"/>
  <c r="X14" i="5"/>
  <c r="X15" i="5" s="1"/>
  <c r="W14" i="5"/>
  <c r="W15" i="5" s="1"/>
  <c r="U14" i="5"/>
  <c r="U15" i="5" s="1"/>
  <c r="T14" i="5"/>
  <c r="T15" i="5" s="1"/>
  <c r="S14" i="5"/>
  <c r="S15" i="5" s="1"/>
  <c r="R14" i="5"/>
  <c r="R15" i="5" s="1"/>
  <c r="AE13" i="5"/>
  <c r="AD13" i="5"/>
  <c r="AC13" i="5"/>
  <c r="AB13" i="5"/>
  <c r="Z13" i="5"/>
  <c r="Y13" i="5"/>
  <c r="X13" i="5"/>
  <c r="W13" i="5"/>
  <c r="U13" i="5"/>
  <c r="T13" i="5"/>
  <c r="S13" i="5"/>
  <c r="R13" i="5"/>
  <c r="J17" i="3"/>
  <c r="G88" i="3"/>
  <c r="G87" i="3"/>
  <c r="G86" i="3"/>
  <c r="G85" i="3"/>
  <c r="G84" i="3"/>
  <c r="G83" i="3"/>
  <c r="G82" i="3"/>
  <c r="G81" i="3"/>
  <c r="G80" i="3"/>
  <c r="G79" i="3"/>
  <c r="G78" i="3"/>
  <c r="M60" i="3"/>
  <c r="G60" i="3"/>
  <c r="M59" i="3"/>
  <c r="G59" i="3"/>
  <c r="M58" i="3"/>
  <c r="G58" i="3"/>
  <c r="M57" i="3"/>
  <c r="G57" i="3"/>
  <c r="M56" i="3"/>
  <c r="G56" i="3"/>
  <c r="M55" i="3"/>
  <c r="G55" i="3"/>
  <c r="M54" i="3"/>
  <c r="G54" i="3"/>
  <c r="M53" i="3"/>
  <c r="G53" i="3"/>
  <c r="M52" i="3"/>
  <c r="G52" i="3"/>
  <c r="M51" i="3"/>
  <c r="G51" i="3"/>
  <c r="M50" i="3"/>
  <c r="G50" i="3"/>
  <c r="M49" i="3"/>
  <c r="G49" i="3"/>
  <c r="AI39" i="3"/>
  <c r="T39" i="3"/>
  <c r="U39" i="3" s="1"/>
  <c r="N39" i="3"/>
  <c r="J39" i="3"/>
  <c r="K39" i="3" s="1"/>
  <c r="AI38" i="3"/>
  <c r="T38" i="3"/>
  <c r="U38" i="3" s="1"/>
  <c r="N38" i="3"/>
  <c r="J38" i="3"/>
  <c r="K38" i="3" s="1"/>
  <c r="E38" i="3"/>
  <c r="AI34" i="3"/>
  <c r="T34" i="3"/>
  <c r="U34" i="3" s="1"/>
  <c r="N34" i="3"/>
  <c r="J34" i="3"/>
  <c r="K34" i="3" s="1"/>
  <c r="AI33" i="3"/>
  <c r="T33" i="3"/>
  <c r="U33" i="3" s="1"/>
  <c r="N33" i="3"/>
  <c r="J33" i="3"/>
  <c r="K33" i="3" s="1"/>
  <c r="AI32" i="3"/>
  <c r="T32" i="3"/>
  <c r="U32" i="3" s="1"/>
  <c r="N32" i="3"/>
  <c r="J32" i="3"/>
  <c r="K32" i="3" s="1"/>
  <c r="E32" i="3"/>
  <c r="AI28" i="3"/>
  <c r="T28" i="3"/>
  <c r="U28" i="3" s="1"/>
  <c r="N28" i="3"/>
  <c r="G28" i="3"/>
  <c r="J28" i="3" s="1"/>
  <c r="K28" i="3" s="1"/>
  <c r="AI27" i="3"/>
  <c r="T27" i="3"/>
  <c r="U27" i="3" s="1"/>
  <c r="N27" i="3"/>
  <c r="J27" i="3"/>
  <c r="K27" i="3" s="1"/>
  <c r="AI26" i="3"/>
  <c r="T26" i="3"/>
  <c r="U26" i="3" s="1"/>
  <c r="N26" i="3"/>
  <c r="G26" i="3"/>
  <c r="J26" i="3" s="1"/>
  <c r="K26" i="3" s="1"/>
  <c r="E25" i="3"/>
  <c r="AI20" i="3"/>
  <c r="T20" i="3"/>
  <c r="U20" i="3" s="1"/>
  <c r="N20" i="3"/>
  <c r="K20" i="3"/>
  <c r="AI19" i="3"/>
  <c r="T19" i="3"/>
  <c r="U19" i="3" s="1"/>
  <c r="N19" i="3"/>
  <c r="J19" i="3"/>
  <c r="K19" i="3" s="1"/>
  <c r="AI18" i="3"/>
  <c r="T18" i="3"/>
  <c r="U18" i="3" s="1"/>
  <c r="N18" i="3"/>
  <c r="J18" i="3"/>
  <c r="K18" i="3" s="1"/>
  <c r="AI17" i="3"/>
  <c r="T17" i="3"/>
  <c r="U17" i="3" s="1"/>
  <c r="N17" i="3"/>
  <c r="K17" i="3"/>
  <c r="E17" i="3"/>
  <c r="F12" i="3"/>
  <c r="D10" i="3"/>
  <c r="F10" i="3" s="1"/>
  <c r="F8" i="3"/>
  <c r="D7" i="3"/>
  <c r="F7" i="3" s="1"/>
  <c r="F4" i="3"/>
  <c r="D5" i="3" s="1"/>
  <c r="T40" i="2"/>
  <c r="U40" i="2" s="1"/>
  <c r="Q40" i="2"/>
  <c r="N40" i="2"/>
  <c r="J40" i="2"/>
  <c r="U39" i="2"/>
  <c r="T39" i="2"/>
  <c r="Q39" i="2"/>
  <c r="N39" i="2"/>
  <c r="J39" i="2"/>
  <c r="T38" i="2"/>
  <c r="U38" i="2" s="1"/>
  <c r="Q38" i="2"/>
  <c r="N38" i="2"/>
  <c r="J38" i="2"/>
  <c r="G38" i="2"/>
  <c r="E38" i="2"/>
  <c r="U35" i="2"/>
  <c r="T35" i="2"/>
  <c r="N35" i="2"/>
  <c r="U34" i="2"/>
  <c r="T34" i="2"/>
  <c r="N34" i="2"/>
  <c r="J34" i="2"/>
  <c r="T33" i="2"/>
  <c r="U33" i="2" s="1"/>
  <c r="Q33" i="2"/>
  <c r="N33" i="2"/>
  <c r="J33" i="2"/>
  <c r="U32" i="2"/>
  <c r="T32" i="2"/>
  <c r="Q32" i="2"/>
  <c r="N32" i="2"/>
  <c r="J32" i="2"/>
  <c r="G32" i="2"/>
  <c r="E32" i="2"/>
  <c r="J28" i="2"/>
  <c r="U27" i="2"/>
  <c r="T27" i="2"/>
  <c r="Q27" i="2"/>
  <c r="N27" i="2"/>
  <c r="T26" i="2"/>
  <c r="U26" i="2" s="1"/>
  <c r="Q26" i="2"/>
  <c r="N26" i="2"/>
  <c r="T25" i="2"/>
  <c r="U25" i="2" s="1"/>
  <c r="Q25" i="2"/>
  <c r="N25" i="2"/>
  <c r="J25" i="2"/>
  <c r="G25" i="2"/>
  <c r="E25" i="2"/>
  <c r="T19" i="2"/>
  <c r="U19" i="2" s="1"/>
  <c r="V19" i="2" s="1"/>
  <c r="W19" i="2" s="1"/>
  <c r="Q19" i="2"/>
  <c r="N19" i="2"/>
  <c r="J19" i="2"/>
  <c r="U18" i="2"/>
  <c r="T18" i="2"/>
  <c r="Q18" i="2"/>
  <c r="N18" i="2"/>
  <c r="J18" i="2"/>
  <c r="T17" i="2"/>
  <c r="U17" i="2" s="1"/>
  <c r="Q17" i="2"/>
  <c r="N17" i="2"/>
  <c r="J17" i="2"/>
  <c r="G17" i="2"/>
  <c r="E17" i="2"/>
  <c r="D13" i="2"/>
  <c r="F13" i="2" s="1"/>
  <c r="F12" i="2"/>
  <c r="D10" i="2"/>
  <c r="F10" i="2" s="1"/>
  <c r="F8" i="2"/>
  <c r="F7" i="2"/>
  <c r="D7" i="2"/>
  <c r="F4" i="2"/>
  <c r="D5" i="2" s="1"/>
  <c r="F5" i="2" s="1"/>
  <c r="D6" i="2" s="1"/>
  <c r="F6" i="2" s="1"/>
  <c r="J6" i="2" s="1"/>
  <c r="P40" i="1"/>
  <c r="Q40" i="1" s="1"/>
  <c r="R40" i="1" s="1"/>
  <c r="S40" i="1" s="1"/>
  <c r="M40" i="1"/>
  <c r="J40" i="1"/>
  <c r="P39" i="1"/>
  <c r="Q39" i="1" s="1"/>
  <c r="R39" i="1" s="1"/>
  <c r="S39" i="1" s="1"/>
  <c r="M39" i="1"/>
  <c r="J39" i="1"/>
  <c r="Q38" i="1"/>
  <c r="R38" i="1" s="1"/>
  <c r="S38" i="1" s="1"/>
  <c r="P38" i="1"/>
  <c r="M38" i="1"/>
  <c r="J38" i="1"/>
  <c r="G38" i="1"/>
  <c r="E38" i="1"/>
  <c r="Q34" i="1"/>
  <c r="P34" i="1"/>
  <c r="M34" i="1"/>
  <c r="J34" i="1"/>
  <c r="P33" i="1"/>
  <c r="Q33" i="1" s="1"/>
  <c r="R33" i="1" s="1"/>
  <c r="S33" i="1" s="1"/>
  <c r="M33" i="1"/>
  <c r="J33" i="1"/>
  <c r="Q32" i="1"/>
  <c r="R32" i="1" s="1"/>
  <c r="S32" i="1" s="1"/>
  <c r="P32" i="1"/>
  <c r="M32" i="1"/>
  <c r="J32" i="1"/>
  <c r="G32" i="1"/>
  <c r="E32" i="1"/>
  <c r="Q27" i="1"/>
  <c r="R27" i="1" s="1"/>
  <c r="S27" i="1" s="1"/>
  <c r="P27" i="1"/>
  <c r="M27" i="1"/>
  <c r="J27" i="1"/>
  <c r="Q26" i="1"/>
  <c r="P26" i="1"/>
  <c r="M26" i="1"/>
  <c r="J26" i="1"/>
  <c r="P25" i="1"/>
  <c r="Q25" i="1" s="1"/>
  <c r="R25" i="1" s="1"/>
  <c r="S25" i="1" s="1"/>
  <c r="M25" i="1"/>
  <c r="J25" i="1"/>
  <c r="G25" i="1"/>
  <c r="E25" i="1"/>
  <c r="Q19" i="1"/>
  <c r="R19" i="1" s="1"/>
  <c r="S19" i="1" s="1"/>
  <c r="P19" i="1"/>
  <c r="M19" i="1"/>
  <c r="J19" i="1"/>
  <c r="Q18" i="1"/>
  <c r="P18" i="1"/>
  <c r="M18" i="1"/>
  <c r="J18" i="1"/>
  <c r="Q17" i="1"/>
  <c r="P17" i="1"/>
  <c r="M17" i="1"/>
  <c r="J17" i="1"/>
  <c r="G17" i="1"/>
  <c r="E17" i="1"/>
  <c r="F13" i="1"/>
  <c r="R18" i="1" s="1"/>
  <c r="S18" i="1" s="1"/>
  <c r="D13" i="1"/>
  <c r="F12" i="1"/>
  <c r="F10" i="1"/>
  <c r="D10" i="1"/>
  <c r="F8" i="1"/>
  <c r="R34" i="1" s="1"/>
  <c r="S34" i="1" s="1"/>
  <c r="D7" i="1"/>
  <c r="F7" i="1" s="1"/>
  <c r="F4" i="1"/>
  <c r="D5" i="1" s="1"/>
  <c r="F5" i="1" s="1"/>
  <c r="D6" i="1" s="1"/>
  <c r="F6" i="1" s="1"/>
  <c r="J6" i="1" s="1"/>
  <c r="AV51" i="5" l="1"/>
  <c r="AW50" i="5"/>
  <c r="AW52" i="5"/>
  <c r="AT62" i="5"/>
  <c r="AT63" i="5" s="1"/>
  <c r="AU62" i="5"/>
  <c r="AU63" i="5" s="1"/>
  <c r="AV53" i="5"/>
  <c r="AV62" i="5"/>
  <c r="AV63" i="5" s="1"/>
  <c r="AW62" i="5"/>
  <c r="AW64" i="5" s="1"/>
  <c r="F111" i="5"/>
  <c r="F112" i="5" s="1"/>
  <c r="AD93" i="5"/>
  <c r="S91" i="5"/>
  <c r="S92" i="5" s="1"/>
  <c r="Q111" i="5"/>
  <c r="Q112" i="5" s="1"/>
  <c r="R91" i="5"/>
  <c r="R92" i="5" s="1"/>
  <c r="AB82" i="5"/>
  <c r="AD94" i="5"/>
  <c r="AB38" i="5"/>
  <c r="AB40" i="5" s="1"/>
  <c r="AC74" i="5"/>
  <c r="AD73" i="5"/>
  <c r="AD72" i="5"/>
  <c r="AC51" i="5"/>
  <c r="AD51" i="5"/>
  <c r="AD28" i="5"/>
  <c r="AA38" i="5"/>
  <c r="AA39" i="5" s="1"/>
  <c r="AD82" i="5"/>
  <c r="C27" i="5"/>
  <c r="C29" i="5" s="1"/>
  <c r="D27" i="5"/>
  <c r="D29" i="5" s="1"/>
  <c r="AC50" i="5"/>
  <c r="AC52" i="5"/>
  <c r="AD92" i="5"/>
  <c r="P111" i="5"/>
  <c r="P113" i="5" s="1"/>
  <c r="H91" i="5"/>
  <c r="H93" i="5" s="1"/>
  <c r="C54" i="5"/>
  <c r="C56" i="5" s="1"/>
  <c r="AD27" i="5"/>
  <c r="AA102" i="5"/>
  <c r="AA104" i="5" s="1"/>
  <c r="H111" i="5"/>
  <c r="H112" i="5" s="1"/>
  <c r="AD71" i="5"/>
  <c r="AC82" i="5"/>
  <c r="AC91" i="5"/>
  <c r="E27" i="5"/>
  <c r="E29" i="5" s="1"/>
  <c r="F91" i="5"/>
  <c r="F93" i="5" s="1"/>
  <c r="G111" i="5"/>
  <c r="G112" i="5" s="1"/>
  <c r="AC28" i="5"/>
  <c r="AD29" i="5"/>
  <c r="AC72" i="5"/>
  <c r="R111" i="5"/>
  <c r="R112" i="5" s="1"/>
  <c r="AC94" i="5"/>
  <c r="G91" i="5"/>
  <c r="G93" i="5" s="1"/>
  <c r="AD50" i="5"/>
  <c r="AD52" i="5"/>
  <c r="AC71" i="5"/>
  <c r="AC102" i="5"/>
  <c r="AC104" i="5" s="1"/>
  <c r="AD30" i="5"/>
  <c r="AC29" i="5"/>
  <c r="AD38" i="5"/>
  <c r="AD39" i="5" s="1"/>
  <c r="AC92" i="5"/>
  <c r="AD102" i="5"/>
  <c r="AD103" i="5" s="1"/>
  <c r="AC30" i="5"/>
  <c r="AC73" i="5"/>
  <c r="AC93" i="5"/>
  <c r="AB102" i="5"/>
  <c r="AB103" i="5" s="1"/>
  <c r="AD49" i="5"/>
  <c r="AC49" i="5"/>
  <c r="G72" i="5"/>
  <c r="G73" i="5" s="1"/>
  <c r="H72" i="5"/>
  <c r="H73" i="5" s="1"/>
  <c r="I111" i="5"/>
  <c r="I112" i="5" s="1"/>
  <c r="S93" i="5"/>
  <c r="F113" i="5"/>
  <c r="Q113" i="5"/>
  <c r="S111" i="5"/>
  <c r="S113" i="5" s="1"/>
  <c r="AC38" i="5"/>
  <c r="AC39" i="5" s="1"/>
  <c r="F72" i="5"/>
  <c r="F74" i="5" s="1"/>
  <c r="AD74" i="5"/>
  <c r="AC27" i="5"/>
  <c r="AC59" i="5"/>
  <c r="AC60" i="5" s="1"/>
  <c r="AD91" i="5"/>
  <c r="P91" i="5"/>
  <c r="P93" i="5" s="1"/>
  <c r="AA59" i="5"/>
  <c r="AA60" i="5" s="1"/>
  <c r="I92" i="5"/>
  <c r="I72" i="5"/>
  <c r="I73" i="5" s="1"/>
  <c r="AD59" i="5"/>
  <c r="AD60" i="5" s="1"/>
  <c r="Q91" i="5"/>
  <c r="Q93" i="5" s="1"/>
  <c r="AB59" i="5"/>
  <c r="AB61" i="5" s="1"/>
  <c r="AA82" i="5"/>
  <c r="D13" i="3"/>
  <c r="F13" i="3" s="1"/>
  <c r="V33" i="3" s="1"/>
  <c r="W33" i="3" s="1"/>
  <c r="G93" i="3"/>
  <c r="V32" i="3"/>
  <c r="W32" i="3" s="1"/>
  <c r="V17" i="3"/>
  <c r="W17" i="3" s="1"/>
  <c r="V19" i="3"/>
  <c r="W19" i="3" s="1"/>
  <c r="V27" i="3"/>
  <c r="W27" i="3" s="1"/>
  <c r="G95" i="3"/>
  <c r="G96" i="3" s="1"/>
  <c r="G97" i="3" s="1"/>
  <c r="V38" i="3"/>
  <c r="W38" i="3" s="1"/>
  <c r="J90" i="3"/>
  <c r="F5" i="3"/>
  <c r="D6" i="3" s="1"/>
  <c r="F6" i="3" s="1"/>
  <c r="J6" i="3" s="1"/>
  <c r="J9" i="3" s="1"/>
  <c r="V26" i="3"/>
  <c r="W26" i="3" s="1"/>
  <c r="V28" i="3"/>
  <c r="W28" i="3" s="1"/>
  <c r="V34" i="3"/>
  <c r="W34" i="3" s="1"/>
  <c r="G92" i="3"/>
  <c r="G90" i="3"/>
  <c r="G91" i="3"/>
  <c r="G94" i="3"/>
  <c r="X25" i="2"/>
  <c r="Y25" i="2" s="1"/>
  <c r="X17" i="2"/>
  <c r="Y17" i="2" s="1"/>
  <c r="X19" i="2"/>
  <c r="Y19" i="2" s="1"/>
  <c r="X32" i="2"/>
  <c r="Y32" i="2" s="1"/>
  <c r="X38" i="2"/>
  <c r="Y38" i="2" s="1"/>
  <c r="V39" i="2"/>
  <c r="W39" i="2" s="1"/>
  <c r="X39" i="2" s="1"/>
  <c r="Y39" i="2" s="1"/>
  <c r="V33" i="2"/>
  <c r="W33" i="2" s="1"/>
  <c r="X33" i="2" s="1"/>
  <c r="Y33" i="2" s="1"/>
  <c r="V32" i="2"/>
  <c r="W32" i="2" s="1"/>
  <c r="V35" i="2"/>
  <c r="W35" i="2" s="1"/>
  <c r="X35" i="2" s="1"/>
  <c r="Y35" i="2" s="1"/>
  <c r="V34" i="2"/>
  <c r="W34" i="2" s="1"/>
  <c r="X34" i="2" s="1"/>
  <c r="Y34" i="2" s="1"/>
  <c r="V18" i="2"/>
  <c r="W18" i="2" s="1"/>
  <c r="X18" i="2" s="1"/>
  <c r="Y18" i="2" s="1"/>
  <c r="V27" i="2"/>
  <c r="W27" i="2" s="1"/>
  <c r="X27" i="2" s="1"/>
  <c r="Y27" i="2" s="1"/>
  <c r="V25" i="2"/>
  <c r="W25" i="2" s="1"/>
  <c r="V38" i="2"/>
  <c r="W38" i="2" s="1"/>
  <c r="V26" i="2"/>
  <c r="W26" i="2" s="1"/>
  <c r="X26" i="2" s="1"/>
  <c r="Y26" i="2" s="1"/>
  <c r="V17" i="2"/>
  <c r="W17" i="2" s="1"/>
  <c r="V40" i="2"/>
  <c r="W40" i="2" s="1"/>
  <c r="X40" i="2" s="1"/>
  <c r="Y40" i="2" s="1"/>
  <c r="T33" i="1"/>
  <c r="U33" i="1" s="1"/>
  <c r="T27" i="1"/>
  <c r="U27" i="1" s="1"/>
  <c r="T32" i="1"/>
  <c r="U32" i="1" s="1"/>
  <c r="T19" i="1"/>
  <c r="U19" i="1" s="1"/>
  <c r="J9" i="1"/>
  <c r="T40" i="1"/>
  <c r="T39" i="1"/>
  <c r="U39" i="1" s="1"/>
  <c r="T38" i="1"/>
  <c r="T25" i="1"/>
  <c r="U25" i="1" s="1"/>
  <c r="T34" i="1"/>
  <c r="U34" i="1" s="1"/>
  <c r="T18" i="1"/>
  <c r="U18" i="1" s="1"/>
  <c r="U40" i="1"/>
  <c r="U38" i="1"/>
  <c r="R26" i="1"/>
  <c r="S26" i="1" s="1"/>
  <c r="T26" i="1" s="1"/>
  <c r="U26" i="1" s="1"/>
  <c r="R17" i="1"/>
  <c r="S17" i="1" s="1"/>
  <c r="T17" i="1" s="1"/>
  <c r="U17" i="1" s="1"/>
  <c r="AW63" i="5" l="1"/>
  <c r="AT64" i="5"/>
  <c r="AV64" i="5"/>
  <c r="AU64" i="5"/>
  <c r="AB39" i="5"/>
  <c r="R93" i="5"/>
  <c r="P112" i="5"/>
  <c r="D28" i="5"/>
  <c r="F92" i="5"/>
  <c r="H92" i="5"/>
  <c r="E28" i="5"/>
  <c r="C28" i="5"/>
  <c r="AA40" i="5"/>
  <c r="S112" i="5"/>
  <c r="I113" i="5"/>
  <c r="H113" i="5"/>
  <c r="G92" i="5"/>
  <c r="AA103" i="5"/>
  <c r="AD104" i="5"/>
  <c r="G113" i="5"/>
  <c r="AD61" i="5"/>
  <c r="AB104" i="5"/>
  <c r="AC61" i="5"/>
  <c r="C55" i="5"/>
  <c r="Q92" i="5"/>
  <c r="AD40" i="5"/>
  <c r="G74" i="5"/>
  <c r="AC103" i="5"/>
  <c r="R113" i="5"/>
  <c r="F73" i="5"/>
  <c r="P92" i="5"/>
  <c r="AB60" i="5"/>
  <c r="AA61" i="5"/>
  <c r="I74" i="5"/>
  <c r="H74" i="5"/>
  <c r="AC40" i="5"/>
  <c r="V39" i="3"/>
  <c r="W39" i="3" s="1"/>
  <c r="X39" i="3" s="1"/>
  <c r="Y39" i="3" s="1"/>
  <c r="V20" i="3"/>
  <c r="W20" i="3" s="1"/>
  <c r="V18" i="3"/>
  <c r="W18" i="3" s="1"/>
  <c r="X18" i="3" s="1"/>
  <c r="Y18" i="3" s="1"/>
  <c r="G98" i="3"/>
  <c r="X26" i="3"/>
  <c r="Y26" i="3" s="1"/>
  <c r="X28" i="3"/>
  <c r="Y28" i="3" s="1"/>
  <c r="X20" i="3"/>
  <c r="X17" i="3"/>
  <c r="Y17" i="3" s="1"/>
  <c r="X33" i="3"/>
  <c r="Y33" i="3" s="1"/>
  <c r="X19" i="3"/>
  <c r="Y19" i="3" s="1"/>
  <c r="X32" i="3"/>
  <c r="Y32" i="3" s="1"/>
  <c r="X27" i="3"/>
  <c r="Y27" i="3" s="1"/>
  <c r="X34" i="3"/>
  <c r="Y34" i="3" s="1"/>
  <c r="X38" i="3"/>
  <c r="Y38" i="3" s="1"/>
  <c r="AD38" i="2"/>
  <c r="AC38" i="2"/>
  <c r="AA38" i="2"/>
  <c r="AB38" i="2"/>
  <c r="Z38" i="2"/>
  <c r="AB32" i="2"/>
  <c r="AA32" i="2"/>
  <c r="AC32" i="2"/>
  <c r="Z32" i="2"/>
  <c r="AD32" i="2"/>
  <c r="AA25" i="2"/>
  <c r="Z25" i="2"/>
  <c r="AB25" i="2"/>
  <c r="AD25" i="2"/>
  <c r="AC25" i="2"/>
  <c r="AA17" i="2"/>
  <c r="Z17" i="2"/>
  <c r="AB17" i="2"/>
  <c r="AC17" i="2"/>
  <c r="AD17" i="2"/>
  <c r="Z32" i="1"/>
  <c r="Y32" i="1"/>
  <c r="X32" i="1"/>
  <c r="W32" i="1"/>
  <c r="V32" i="1"/>
  <c r="W17" i="1"/>
  <c r="V17" i="1"/>
  <c r="Z17" i="1"/>
  <c r="Y17" i="1"/>
  <c r="X17" i="1"/>
  <c r="Z25" i="1"/>
  <c r="Y25" i="1"/>
  <c r="V25" i="1"/>
  <c r="X25" i="1"/>
  <c r="W25" i="1"/>
  <c r="X38" i="1"/>
  <c r="W38" i="1"/>
  <c r="V38" i="1"/>
  <c r="Z38" i="1"/>
  <c r="Y38" i="1"/>
  <c r="AA17" i="3" l="1"/>
  <c r="AC17" i="3"/>
  <c r="AB17" i="3"/>
  <c r="Z17" i="3"/>
  <c r="AD17" i="3"/>
  <c r="AC25" i="3"/>
  <c r="AA25" i="3"/>
  <c r="AD25" i="3"/>
  <c r="AB25" i="3"/>
  <c r="Z25" i="3"/>
  <c r="AB38" i="3"/>
  <c r="AD38" i="3"/>
  <c r="AC38" i="3"/>
  <c r="AA38" i="3"/>
  <c r="Z38" i="3"/>
  <c r="AB32" i="3"/>
  <c r="AA32" i="3"/>
  <c r="AD32" i="3"/>
  <c r="AC32" i="3"/>
  <c r="Z32" i="3"/>
  <c r="AE17" i="2"/>
  <c r="AG17" i="2" s="1"/>
  <c r="AF17" i="2"/>
  <c r="AE32" i="2"/>
  <c r="AF32" i="2" s="1"/>
  <c r="AE25" i="2"/>
  <c r="AG25" i="2" s="1"/>
  <c r="AE38" i="2"/>
  <c r="AF38" i="2" s="1"/>
  <c r="AG38" i="2"/>
  <c r="AA17" i="1"/>
  <c r="AC17" i="1" s="1"/>
  <c r="AA38" i="1"/>
  <c r="AB38" i="1" s="1"/>
  <c r="AA25" i="1"/>
  <c r="AB25" i="1" s="1"/>
  <c r="AB32" i="1"/>
  <c r="AA32" i="1"/>
  <c r="AC32" i="1" s="1"/>
  <c r="AE38" i="3" l="1"/>
  <c r="AF38" i="3" s="1"/>
  <c r="AE17" i="3"/>
  <c r="AG17" i="3" s="1"/>
  <c r="AE25" i="3"/>
  <c r="AF25" i="3" s="1"/>
  <c r="AE32" i="3"/>
  <c r="AF32" i="3" s="1"/>
  <c r="AH40" i="2"/>
  <c r="AH39" i="2"/>
  <c r="AH38" i="2"/>
  <c r="AH17" i="2"/>
  <c r="AH18" i="2"/>
  <c r="AH19" i="2"/>
  <c r="AF25" i="2"/>
  <c r="AG32" i="2"/>
  <c r="AH33" i="2" s="1"/>
  <c r="AD26" i="1"/>
  <c r="AD27" i="1"/>
  <c r="AD25" i="1"/>
  <c r="AD34" i="1"/>
  <c r="AD33" i="1"/>
  <c r="AD32" i="1"/>
  <c r="AC25" i="1"/>
  <c r="AB17" i="1"/>
  <c r="AC38" i="1"/>
  <c r="AD40" i="1" s="1"/>
  <c r="AG32" i="3" l="1"/>
  <c r="AH32" i="3" s="1"/>
  <c r="AF17" i="3"/>
  <c r="AH18" i="3"/>
  <c r="AH17" i="3"/>
  <c r="AH19" i="3"/>
  <c r="AG25" i="3"/>
  <c r="AH26" i="3" s="1"/>
  <c r="AG38" i="3"/>
  <c r="AH40" i="3" s="1"/>
  <c r="AH32" i="2"/>
  <c r="AH34" i="2"/>
  <c r="AH26" i="2"/>
  <c r="AH25" i="2"/>
  <c r="AH27" i="2"/>
  <c r="AD18" i="1"/>
  <c r="AD17" i="1"/>
  <c r="AD19" i="1"/>
  <c r="AD38" i="1"/>
  <c r="AD39" i="1"/>
  <c r="AH27" i="3" l="1"/>
  <c r="AH38" i="3"/>
  <c r="AH39" i="3"/>
  <c r="AH34" i="3"/>
  <c r="AH33" i="3"/>
  <c r="AH25" i="3"/>
</calcChain>
</file>

<file path=xl/sharedStrings.xml><?xml version="1.0" encoding="utf-8"?>
<sst xmlns="http://schemas.openxmlformats.org/spreadsheetml/2006/main" count="543" uniqueCount="157">
  <si>
    <t>RH</t>
  </si>
  <si>
    <t>%</t>
  </si>
  <si>
    <t>mucin density</t>
  </si>
  <si>
    <t>g/cm3</t>
  </si>
  <si>
    <t>mucin vol</t>
  </si>
  <si>
    <t>microlitre</t>
  </si>
  <si>
    <t>cm3</t>
  </si>
  <si>
    <t>mucin droplet mass</t>
  </si>
  <si>
    <t>g</t>
  </si>
  <si>
    <t>kg</t>
  </si>
  <si>
    <t>mucin droplet weight</t>
  </si>
  <si>
    <t>N</t>
  </si>
  <si>
    <t>mN</t>
  </si>
  <si>
    <t>mucin droplet density</t>
  </si>
  <si>
    <t>mN/mm2</t>
  </si>
  <si>
    <t>Droplet area</t>
  </si>
  <si>
    <t>cm2</t>
  </si>
  <si>
    <t>mm2</t>
  </si>
  <si>
    <t>Probe diameter</t>
  </si>
  <si>
    <t>mm</t>
  </si>
  <si>
    <t>m</t>
  </si>
  <si>
    <t>probe poissons ratio</t>
  </si>
  <si>
    <t>probe E</t>
  </si>
  <si>
    <t>Gpa</t>
  </si>
  <si>
    <t>N/m2</t>
  </si>
  <si>
    <t>steel poissons ratio</t>
  </si>
  <si>
    <t>radius =</t>
  </si>
  <si>
    <t>(3PR/4E*)^(1/3)</t>
  </si>
  <si>
    <t>steel E</t>
  </si>
  <si>
    <t>GPa</t>
  </si>
  <si>
    <t>E*</t>
  </si>
  <si>
    <t>Adhesion force</t>
  </si>
  <si>
    <t>Baseline force (mN)</t>
  </si>
  <si>
    <t>temperature (degrees C)</t>
  </si>
  <si>
    <t>Force used (mN)</t>
  </si>
  <si>
    <t>Force (N)</t>
  </si>
  <si>
    <t>outlier boundary</t>
  </si>
  <si>
    <t>RH (%)</t>
  </si>
  <si>
    <t xml:space="preserve">Coupon </t>
  </si>
  <si>
    <t>Adhesion (clean)</t>
  </si>
  <si>
    <t>Average (clean)</t>
  </si>
  <si>
    <t>adhesion (dry)</t>
  </si>
  <si>
    <t>Average (dry)</t>
  </si>
  <si>
    <t>before (dry)</t>
  </si>
  <si>
    <t>After (dry)</t>
  </si>
  <si>
    <t>weight change (dry) (mN)</t>
  </si>
  <si>
    <t>start</t>
  </si>
  <si>
    <t>end</t>
  </si>
  <si>
    <t>use</t>
  </si>
  <si>
    <t xml:space="preserve">Start </t>
  </si>
  <si>
    <t>Contact radius (mm)</t>
  </si>
  <si>
    <t>contact area (mm2)</t>
  </si>
  <si>
    <t>mucin weight in contact area (mN)</t>
  </si>
  <si>
    <t>transfer efficiency (%)</t>
  </si>
  <si>
    <t>Average</t>
  </si>
  <si>
    <t>Variance</t>
  </si>
  <si>
    <t>Q1</t>
  </si>
  <si>
    <t>Q2</t>
  </si>
  <si>
    <t>Q3</t>
  </si>
  <si>
    <t>IQR</t>
  </si>
  <si>
    <t>lower</t>
  </si>
  <si>
    <t>upper</t>
  </si>
  <si>
    <t>outlier?</t>
  </si>
  <si>
    <t>P120 (roughest)</t>
  </si>
  <si>
    <t>P400</t>
  </si>
  <si>
    <t>P800</t>
  </si>
  <si>
    <t>P1200 (smoothest)</t>
  </si>
  <si>
    <t>set point</t>
  </si>
  <si>
    <t>microm</t>
  </si>
  <si>
    <t>rate</t>
  </si>
  <si>
    <t>microm/s</t>
  </si>
  <si>
    <t>Temperature</t>
  </si>
  <si>
    <t>boat and clean surface</t>
  </si>
  <si>
    <t>boat and wet droplet and surface</t>
  </si>
  <si>
    <t xml:space="preserve"> boat and dry droplet and surface before test</t>
  </si>
  <si>
    <t>boat and dry droplet and surface after test</t>
  </si>
  <si>
    <t>Mass change (g)</t>
  </si>
  <si>
    <t>Weight change (mN)</t>
  </si>
  <si>
    <t>absolute humidity</t>
  </si>
  <si>
    <t>can add the assumed mass and see if that works</t>
  </si>
  <si>
    <t>Coupon Grit</t>
  </si>
  <si>
    <t>Baseline force (mN) dehydrated droplet</t>
  </si>
  <si>
    <t>Temperature (degrees C)</t>
  </si>
  <si>
    <t>Contact area (mm2)</t>
  </si>
  <si>
    <t>Mucin weight in contact area (mN)</t>
  </si>
  <si>
    <t>Transfer efficiency (%)</t>
  </si>
  <si>
    <t>Absolute humidity (g/m3)</t>
  </si>
  <si>
    <t>Before ramping</t>
  </si>
  <si>
    <t>After homing</t>
  </si>
  <si>
    <t>Weight change</t>
  </si>
  <si>
    <t>Start</t>
  </si>
  <si>
    <t>End</t>
  </si>
  <si>
    <t>Use</t>
  </si>
  <si>
    <t>Mass change between: (g)</t>
  </si>
  <si>
    <t>Weight change of case: (mN)</t>
  </si>
  <si>
    <t>Transfer efficiency of case: (%)</t>
  </si>
  <si>
    <t>(a) Clean surface</t>
  </si>
  <si>
    <t>(b) Surface + Wet droplet</t>
  </si>
  <si>
    <t>(c) Surface + dry droplet before test</t>
  </si>
  <si>
    <t>(d) Surface + dry droplet after test</t>
  </si>
  <si>
    <t>(c) and (d) = case 1</t>
  </si>
  <si>
    <t>(b) and (d) = case 2</t>
  </si>
  <si>
    <t>mean</t>
  </si>
  <si>
    <t xml:space="preserve">expected = </t>
  </si>
  <si>
    <t>min</t>
  </si>
  <si>
    <t xml:space="preserve">Max </t>
  </si>
  <si>
    <t>median</t>
  </si>
  <si>
    <t>min outlier</t>
  </si>
  <si>
    <t>max outlier</t>
  </si>
  <si>
    <t>Adhesion force (mN)</t>
  </si>
  <si>
    <t>Mass(g) - Method 2</t>
  </si>
  <si>
    <t>Baseline force (mN) - Method 1</t>
  </si>
  <si>
    <t>droplet weight</t>
  </si>
  <si>
    <t>Mass (g) - Method 2</t>
  </si>
  <si>
    <t>RH test</t>
  </si>
  <si>
    <t>Min</t>
  </si>
  <si>
    <t>Max</t>
  </si>
  <si>
    <t>variance</t>
  </si>
  <si>
    <t>sd</t>
  </si>
  <si>
    <t>Median</t>
  </si>
  <si>
    <t>19% RH</t>
  </si>
  <si>
    <t>30% RH</t>
  </si>
  <si>
    <t>22% RH</t>
  </si>
  <si>
    <t>P120</t>
  </si>
  <si>
    <t>P1200</t>
  </si>
  <si>
    <t>var</t>
  </si>
  <si>
    <t>Wet droplet mass</t>
  </si>
  <si>
    <t>max</t>
  </si>
  <si>
    <t>q1</t>
  </si>
  <si>
    <t>q2</t>
  </si>
  <si>
    <t>q3</t>
  </si>
  <si>
    <t>iqr</t>
  </si>
  <si>
    <t>var0</t>
  </si>
  <si>
    <t>Relative Humidity Condition</t>
  </si>
  <si>
    <t>Clean</t>
  </si>
  <si>
    <t>Dry</t>
  </si>
  <si>
    <t>Absolute Humidity</t>
  </si>
  <si>
    <t>Wet Droplet Mass</t>
  </si>
  <si>
    <t>at 30% RH</t>
  </si>
  <si>
    <t>Contact Force</t>
  </si>
  <si>
    <t>Means</t>
  </si>
  <si>
    <t>Error bars</t>
  </si>
  <si>
    <t>Adhesion Force at 30% RH - dehydrated droplet tests</t>
  </si>
  <si>
    <t>Adhesion Force at 22% RH - dehydrated droplet tests</t>
  </si>
  <si>
    <t>Error Bars</t>
  </si>
  <si>
    <t>Adhesion Force at 22% RH -  clean surface tests</t>
  </si>
  <si>
    <t>Adhesion Force at 19% RH - dehydrated droplet tests</t>
  </si>
  <si>
    <t>error bars</t>
  </si>
  <si>
    <t>means</t>
  </si>
  <si>
    <t>Adhesion Force at 19% RH - clean surface</t>
  </si>
  <si>
    <t>Transfer efficiencies at 30% RH - Method 2 - Case 2</t>
  </si>
  <si>
    <t>Standard deviation of adhesion forces</t>
  </si>
  <si>
    <t>SD</t>
  </si>
  <si>
    <t>Transfer efficiencies at 3o% RH - Method 1 - Case 2</t>
  </si>
  <si>
    <t xml:space="preserve">Transfer efiiciencies at 22% RH </t>
  </si>
  <si>
    <t>Transfer efficiencies at  19% RH</t>
  </si>
  <si>
    <t>Transfer efficiencies at 30% - Method 2 - 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</si>
</sst>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9" xfId="0" applyFill="1" applyBorder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4" xfId="0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5" fontId="0" fillId="0" borderId="35" xfId="0" applyNumberFormat="1" applyBorder="1" applyAlignment="1">
      <alignment horizontal="center" vertical="center" wrapText="1"/>
    </xf>
    <xf numFmtId="165" fontId="0" fillId="0" borderId="36" xfId="0" applyNumberFormat="1" applyBorder="1" applyAlignment="1">
      <alignment horizontal="center" vertical="center" wrapText="1"/>
    </xf>
    <xf numFmtId="165" fontId="0" fillId="0" borderId="37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5" fontId="0" fillId="0" borderId="41" xfId="0" applyNumberFormat="1" applyBorder="1" applyAlignment="1">
      <alignment horizontal="center" vertical="center" wrapText="1"/>
    </xf>
    <xf numFmtId="165" fontId="0" fillId="0" borderId="42" xfId="0" applyNumberFormat="1" applyBorder="1" applyAlignment="1">
      <alignment horizontal="center" vertical="center" wrapText="1"/>
    </xf>
    <xf numFmtId="165" fontId="0" fillId="0" borderId="4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 wrapText="1"/>
    </xf>
    <xf numFmtId="164" fontId="0" fillId="0" borderId="4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0" fontId="0" fillId="0" borderId="0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center"/>
    </xf>
    <xf numFmtId="166" fontId="0" fillId="0" borderId="11" xfId="0" applyNumberFormat="1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/>
    <xf numFmtId="164" fontId="0" fillId="0" borderId="12" xfId="0" applyNumberFormat="1" applyBorder="1"/>
    <xf numFmtId="0" fontId="0" fillId="0" borderId="30" xfId="0" applyBorder="1"/>
    <xf numFmtId="164" fontId="0" fillId="0" borderId="30" xfId="0" applyNumberFormat="1" applyBorder="1"/>
    <xf numFmtId="0" fontId="0" fillId="0" borderId="16" xfId="0" applyBorder="1"/>
    <xf numFmtId="164" fontId="0" fillId="0" borderId="28" xfId="0" applyNumberFormat="1" applyBorder="1"/>
    <xf numFmtId="164" fontId="0" fillId="0" borderId="22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0" fontId="0" fillId="0" borderId="5" xfId="0" applyBorder="1"/>
    <xf numFmtId="0" fontId="0" fillId="0" borderId="7" xfId="0" applyBorder="1"/>
    <xf numFmtId="164" fontId="0" fillId="0" borderId="0" xfId="0" applyNumberFormat="1" applyBorder="1"/>
    <xf numFmtId="164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4" xfId="0" applyNumberFormat="1" applyBorder="1"/>
    <xf numFmtId="0" fontId="0" fillId="0" borderId="10" xfId="0" applyBorder="1"/>
    <xf numFmtId="164" fontId="0" fillId="0" borderId="10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1" fillId="0" borderId="0" xfId="0" applyFont="1"/>
    <xf numFmtId="0" fontId="2" fillId="0" borderId="0" xfId="0" applyFont="1"/>
    <xf numFmtId="164" fontId="0" fillId="0" borderId="1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9" xfId="0" applyBorder="1"/>
    <xf numFmtId="0" fontId="0" fillId="0" borderId="31" xfId="0" applyBorder="1"/>
    <xf numFmtId="164" fontId="0" fillId="0" borderId="29" xfId="0" applyNumberFormat="1" applyBorder="1"/>
    <xf numFmtId="164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164" fontId="0" fillId="0" borderId="49" xfId="0" applyNumberFormat="1" applyBorder="1"/>
    <xf numFmtId="164" fontId="0" fillId="0" borderId="50" xfId="0" applyNumberFormat="1" applyBorder="1"/>
    <xf numFmtId="164" fontId="0" fillId="0" borderId="51" xfId="0" applyNumberFormat="1" applyBorder="1"/>
    <xf numFmtId="0" fontId="0" fillId="0" borderId="8" xfId="0" applyBorder="1"/>
    <xf numFmtId="164" fontId="0" fillId="0" borderId="34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17" xfId="0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31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12" xfId="0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3" fillId="0" borderId="7" xfId="0" applyNumberFormat="1" applyFont="1" applyBorder="1" applyAlignment="1">
      <alignment vertical="center" wrapText="1"/>
    </xf>
    <xf numFmtId="9" fontId="3" fillId="0" borderId="15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3" fillId="0" borderId="15" xfId="0" applyNumberFormat="1" applyFont="1" applyBorder="1" applyAlignment="1">
      <alignment vertical="center" wrapText="1"/>
    </xf>
    <xf numFmtId="164" fontId="0" fillId="0" borderId="15" xfId="0" applyNumberFormat="1" applyBorder="1"/>
    <xf numFmtId="0" fontId="0" fillId="0" borderId="42" xfId="0" applyBorder="1"/>
    <xf numFmtId="0" fontId="0" fillId="0" borderId="28" xfId="0" applyBorder="1"/>
    <xf numFmtId="0" fontId="0" fillId="0" borderId="22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2" fillId="0" borderId="57" xfId="0" applyFont="1" applyBorder="1"/>
    <xf numFmtId="0" fontId="0" fillId="0" borderId="44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38" xfId="0" applyBorder="1"/>
    <xf numFmtId="164" fontId="0" fillId="0" borderId="59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60" xfId="0" applyNumberFormat="1" applyBorder="1"/>
    <xf numFmtId="164" fontId="0" fillId="0" borderId="0" xfId="0" applyNumberFormat="1" applyFill="1" applyBorder="1"/>
    <xf numFmtId="164" fontId="0" fillId="0" borderId="13" xfId="0" applyNumberFormat="1" applyBorder="1"/>
    <xf numFmtId="164" fontId="0" fillId="0" borderId="17" xfId="0" applyNumberFormat="1" applyBorder="1"/>
    <xf numFmtId="164" fontId="0" fillId="0" borderId="53" xfId="0" applyNumberFormat="1" applyBorder="1"/>
    <xf numFmtId="164" fontId="0" fillId="0" borderId="38" xfId="0" applyNumberFormat="1" applyBorder="1"/>
    <xf numFmtId="164" fontId="0" fillId="0" borderId="54" xfId="0" applyNumberFormat="1" applyBorder="1"/>
    <xf numFmtId="164" fontId="2" fillId="0" borderId="57" xfId="0" applyNumberFormat="1" applyFont="1" applyBorder="1"/>
    <xf numFmtId="164" fontId="0" fillId="0" borderId="44" xfId="0" applyNumberFormat="1" applyBorder="1"/>
    <xf numFmtId="164" fontId="0" fillId="0" borderId="58" xfId="0" applyNumberFormat="1" applyBorder="1"/>
    <xf numFmtId="164" fontId="0" fillId="0" borderId="4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42" xfId="0" applyNumberFormat="1" applyBorder="1"/>
    <xf numFmtId="164" fontId="0" fillId="0" borderId="61" xfId="0" applyNumberFormat="1" applyBorder="1"/>
    <xf numFmtId="164" fontId="0" fillId="0" borderId="36" xfId="0" applyNumberFormat="1" applyBorder="1"/>
    <xf numFmtId="164" fontId="0" fillId="0" borderId="45" xfId="0" applyNumberFormat="1" applyBorder="1" applyAlignment="1">
      <alignment wrapText="1"/>
    </xf>
    <xf numFmtId="164" fontId="0" fillId="0" borderId="39" xfId="0" applyNumberFormat="1" applyBorder="1" applyAlignment="1">
      <alignment wrapText="1"/>
    </xf>
    <xf numFmtId="164" fontId="0" fillId="0" borderId="15" xfId="0" applyNumberFormat="1" applyBorder="1" applyAlignment="1">
      <alignment wrapText="1"/>
    </xf>
    <xf numFmtId="0" fontId="0" fillId="0" borderId="42" xfId="0" applyFill="1" applyBorder="1"/>
    <xf numFmtId="164" fontId="0" fillId="0" borderId="13" xfId="0" applyNumberFormat="1" applyFill="1" applyBorder="1"/>
    <xf numFmtId="164" fontId="0" fillId="0" borderId="57" xfId="0" applyNumberFormat="1" applyBorder="1"/>
    <xf numFmtId="165" fontId="0" fillId="0" borderId="11" xfId="0" applyNumberFormat="1" applyBorder="1"/>
    <xf numFmtId="165" fontId="0" fillId="0" borderId="15" xfId="0" applyNumberFormat="1" applyBorder="1"/>
    <xf numFmtId="165" fontId="0" fillId="0" borderId="30" xfId="0" applyNumberFormat="1" applyBorder="1"/>
    <xf numFmtId="165" fontId="0" fillId="0" borderId="31" xfId="0" applyNumberFormat="1" applyBorder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Adesion Force of</a:t>
            </a:r>
            <a:r>
              <a:rPr lang="en-GB" baseline="0"/>
              <a:t> Surfaces in Different Situations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2359170960693"/>
          <c:y val="0.14147674421747827"/>
          <c:w val="0.67804163452408384"/>
          <c:h val="0.77000954805760546"/>
        </c:manualLayout>
      </c:layout>
      <c:lineChart>
        <c:grouping val="standard"/>
        <c:varyColors val="0"/>
        <c:ser>
          <c:idx val="4"/>
          <c:order val="0"/>
          <c:tx>
            <c:v>19% RH Clean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[1]Sheet4!$Q$99:$Q$102</c:f>
                <c:numCache>
                  <c:formatCode>General</c:formatCode>
                  <c:ptCount val="4"/>
                  <c:pt idx="0">
                    <c:v>0.12785333333333293</c:v>
                  </c:pt>
                  <c:pt idx="1">
                    <c:v>0.19410000000000016</c:v>
                  </c:pt>
                  <c:pt idx="2">
                    <c:v>0.20608000000000004</c:v>
                  </c:pt>
                  <c:pt idx="3">
                    <c:v>9.4492500000000312E-2</c:v>
                  </c:pt>
                </c:numCache>
              </c:numRef>
            </c:plus>
            <c:minus>
              <c:numRef>
                <c:f>[1]Sheet4!$R$99:$R$102</c:f>
                <c:numCache>
                  <c:formatCode>General</c:formatCode>
                  <c:ptCount val="4"/>
                  <c:pt idx="0">
                    <c:v>0.2265666666666668</c:v>
                  </c:pt>
                  <c:pt idx="1">
                    <c:v>0.32586999999999966</c:v>
                  </c:pt>
                  <c:pt idx="2">
                    <c:v>0.23219999999999974</c:v>
                  </c:pt>
                  <c:pt idx="3">
                    <c:v>0.10821749999999986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[1]Sheet4!$N$99:$N$102</c:f>
              <c:numCache>
                <c:formatCode>General</c:formatCode>
                <c:ptCount val="4"/>
                <c:pt idx="0">
                  <c:v>-2.689413333333333</c:v>
                </c:pt>
                <c:pt idx="1">
                  <c:v>-3.8038500000000002</c:v>
                </c:pt>
                <c:pt idx="2">
                  <c:v>-3.9077999999999999</c:v>
                </c:pt>
                <c:pt idx="3">
                  <c:v>-3.9588325000000002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F-4D5B-A21B-0F7C6D58D48C}"/>
            </c:ext>
          </c:extLst>
        </c:ser>
        <c:ser>
          <c:idx val="2"/>
          <c:order val="1"/>
          <c:tx>
            <c:v>19% RH Dry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[1]Sheet4!$C$96:$C$99</c:f>
              <c:numCache>
                <c:formatCode>General</c:formatCode>
                <c:ptCount val="4"/>
                <c:pt idx="0">
                  <c:v>0.18976999999999999</c:v>
                </c:pt>
                <c:pt idx="1">
                  <c:v>-2.0063333333333336E-2</c:v>
                </c:pt>
                <c:pt idx="2">
                  <c:v>0.12350999999999999</c:v>
                </c:pt>
                <c:pt idx="3">
                  <c:v>3.2959999999999996E-2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F-4D5B-A21B-0F7C6D58D48C}"/>
            </c:ext>
          </c:extLst>
        </c:ser>
        <c:ser>
          <c:idx val="3"/>
          <c:order val="2"/>
          <c:tx>
            <c:v>22% RH Clean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[1]Sheet4!$P$81:$P$84</c:f>
                <c:numCache>
                  <c:formatCode>General</c:formatCode>
                  <c:ptCount val="4"/>
                  <c:pt idx="0">
                    <c:v>0.42335333333333303</c:v>
                  </c:pt>
                  <c:pt idx="1">
                    <c:v>3.1846666666667023E-2</c:v>
                  </c:pt>
                  <c:pt idx="2">
                    <c:v>0.18709399999999965</c:v>
                  </c:pt>
                  <c:pt idx="3">
                    <c:v>2.3526666666666696E-2</c:v>
                  </c:pt>
                </c:numCache>
              </c:numRef>
            </c:plus>
            <c:minus>
              <c:numRef>
                <c:f>[1]Sheet4!$Q$81:$Q$84</c:f>
                <c:numCache>
                  <c:formatCode>General</c:formatCode>
                  <c:ptCount val="4"/>
                  <c:pt idx="0">
                    <c:v>0.27295666666666696</c:v>
                  </c:pt>
                  <c:pt idx="1">
                    <c:v>6.017333333333319E-2</c:v>
                  </c:pt>
                  <c:pt idx="2">
                    <c:v>0.27504600000000057</c:v>
                  </c:pt>
                  <c:pt idx="3">
                    <c:v>4.7053333333333391E-2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[1]Sheet4!$N$81:$N$84</c:f>
              <c:numCache>
                <c:formatCode>General</c:formatCode>
                <c:ptCount val="4"/>
                <c:pt idx="0">
                  <c:v>-2.5120733333333329</c:v>
                </c:pt>
                <c:pt idx="1">
                  <c:v>-2.3318466666666668</c:v>
                </c:pt>
                <c:pt idx="2">
                  <c:v>-2.5936139999999996</c:v>
                </c:pt>
                <c:pt idx="3">
                  <c:v>-2.8457066666666666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F-4D5B-A21B-0F7C6D58D48C}"/>
            </c:ext>
          </c:extLst>
        </c:ser>
        <c:ser>
          <c:idx val="1"/>
          <c:order val="3"/>
          <c:tx>
            <c:v>22% RH Dry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[1]Sheet4!$G$80:$G$83</c:f>
                <c:numCache>
                  <c:formatCode>General</c:formatCode>
                  <c:ptCount val="4"/>
                  <c:pt idx="0">
                    <c:v>1.23261</c:v>
                  </c:pt>
                  <c:pt idx="1">
                    <c:v>1.3593333333333568E-2</c:v>
                  </c:pt>
                  <c:pt idx="2">
                    <c:v>1.7604550000000001</c:v>
                  </c:pt>
                  <c:pt idx="3">
                    <c:v>0.26694333333333331</c:v>
                  </c:pt>
                </c:numCache>
              </c:numRef>
            </c:plus>
            <c:minus>
              <c:numRef>
                <c:f>[1]Sheet4!$H$80:$H$83</c:f>
                <c:numCache>
                  <c:formatCode>General</c:formatCode>
                  <c:ptCount val="4"/>
                  <c:pt idx="0">
                    <c:v>0.94920000000000004</c:v>
                  </c:pt>
                  <c:pt idx="1">
                    <c:v>1.9316666666666205E-2</c:v>
                  </c:pt>
                  <c:pt idx="2">
                    <c:v>1.0217849999999999</c:v>
                  </c:pt>
                  <c:pt idx="3">
                    <c:v>0.22888666666666646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[1]Sheet4!$C$80:$C$83</c:f>
              <c:numCache>
                <c:formatCode>General</c:formatCode>
                <c:ptCount val="4"/>
                <c:pt idx="0">
                  <c:v>-1.23261</c:v>
                </c:pt>
                <c:pt idx="1">
                  <c:v>-2.8136233333333336</c:v>
                </c:pt>
                <c:pt idx="2">
                  <c:v>-1.865345</c:v>
                </c:pt>
                <c:pt idx="3">
                  <c:v>-2.7069833333333335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F-4D5B-A21B-0F7C6D58D48C}"/>
            </c:ext>
          </c:extLst>
        </c:ser>
        <c:ser>
          <c:idx val="0"/>
          <c:order val="4"/>
          <c:tx>
            <c:v>30% RH Dry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[1]Sheet4!$G$62:$G$65</c:f>
                <c:numCache>
                  <c:formatCode>General</c:formatCode>
                  <c:ptCount val="4"/>
                  <c:pt idx="0">
                    <c:v>0.57583374999999992</c:v>
                  </c:pt>
                  <c:pt idx="1">
                    <c:v>0.57670999999999983</c:v>
                  </c:pt>
                  <c:pt idx="2">
                    <c:v>1.0665133333333334</c:v>
                  </c:pt>
                  <c:pt idx="3">
                    <c:v>2.0705849999999999</c:v>
                  </c:pt>
                </c:numCache>
              </c:numRef>
            </c:plus>
            <c:minus>
              <c:numRef>
                <c:f>[1]Sheet4!$H$62:$H$65</c:f>
                <c:numCache>
                  <c:formatCode>General</c:formatCode>
                  <c:ptCount val="4"/>
                  <c:pt idx="0">
                    <c:v>0.76402124999999999</c:v>
                  </c:pt>
                  <c:pt idx="1">
                    <c:v>0.56908000000000003</c:v>
                  </c:pt>
                  <c:pt idx="2">
                    <c:v>1.4666766666666666</c:v>
                  </c:pt>
                  <c:pt idx="3">
                    <c:v>2.0705849999999999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[1]Sheet4!$D$62:$D$65</c:f>
              <c:numCache>
                <c:formatCode>General</c:formatCode>
                <c:ptCount val="4"/>
                <c:pt idx="0">
                  <c:v>-0.56761874999999995</c:v>
                </c:pt>
                <c:pt idx="1">
                  <c:v>-1.9019599999999999</c:v>
                </c:pt>
                <c:pt idx="2">
                  <c:v>-0.40016333333333337</c:v>
                </c:pt>
                <c:pt idx="3">
                  <c:v>-0.67058499999999999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F-4D5B-A21B-0F7C6D58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64367"/>
        <c:axId val="650483503"/>
      </c:lineChart>
      <c:catAx>
        <c:axId val="65046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3503"/>
        <c:crosses val="autoZero"/>
        <c:auto val="1"/>
        <c:lblAlgn val="ctr"/>
        <c:lblOffset val="100"/>
        <c:noMultiLvlLbl val="0"/>
      </c:catAx>
      <c:valAx>
        <c:axId val="6504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Adhesion Force</a:t>
                </a:r>
                <a:r>
                  <a:rPr lang="en-GB" baseline="0"/>
                  <a:t> (mN)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Efficiency of Each Surface at Each Condition - Case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7635096568028"/>
          <c:y val="0.31259108193958995"/>
          <c:w val="0.84397416765463362"/>
          <c:h val="0.6277417086971866"/>
        </c:manualLayout>
      </c:layout>
      <c:lineChart>
        <c:grouping val="standard"/>
        <c:varyColors val="0"/>
        <c:ser>
          <c:idx val="0"/>
          <c:order val="0"/>
          <c:tx>
            <c:v>19% RH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[1]Sheet4!$AA$85:$AA$88</c:f>
                <c:numCache>
                  <c:formatCode>General</c:formatCode>
                  <c:ptCount val="4"/>
                  <c:pt idx="0">
                    <c:v>280.44047512463135</c:v>
                  </c:pt>
                  <c:pt idx="1">
                    <c:v>512.90661653166671</c:v>
                  </c:pt>
                  <c:pt idx="2">
                    <c:v>1474.3903735828098</c:v>
                  </c:pt>
                  <c:pt idx="3">
                    <c:v>1341.9629605322389</c:v>
                  </c:pt>
                </c:numCache>
              </c:numRef>
            </c:plus>
            <c:minus>
              <c:numRef>
                <c:f>[1]Sheet4!$AB$85:$AB$88</c:f>
                <c:numCache>
                  <c:formatCode>General</c:formatCode>
                  <c:ptCount val="4"/>
                  <c:pt idx="0">
                    <c:v>381.24383887178601</c:v>
                  </c:pt>
                  <c:pt idx="1">
                    <c:v>945.16720002980446</c:v>
                  </c:pt>
                  <c:pt idx="2">
                    <c:v>1400.1299494351151</c:v>
                  </c:pt>
                  <c:pt idx="3">
                    <c:v>791.25892873392786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[1]Sheet4!$Y$85:$Y$88</c:f>
              <c:numCache>
                <c:formatCode>General</c:formatCode>
                <c:ptCount val="4"/>
                <c:pt idx="0">
                  <c:v>136.74050136722258</c:v>
                </c:pt>
                <c:pt idx="1">
                  <c:v>2668.5838588116844</c:v>
                </c:pt>
                <c:pt idx="2">
                  <c:v>393.80994116589955</c:v>
                </c:pt>
                <c:pt idx="3">
                  <c:v>-376.47746569671381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6-4031-8713-5FC37F073A1B}"/>
            </c:ext>
          </c:extLst>
        </c:ser>
        <c:ser>
          <c:idx val="1"/>
          <c:order val="1"/>
          <c:tx>
            <c:v>22% RH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[1]Sheet4!$AA$62:$AA$65</c:f>
                <c:numCache>
                  <c:formatCode>General</c:formatCode>
                  <c:ptCount val="4"/>
                  <c:pt idx="0">
                    <c:v>631.86295967397325</c:v>
                  </c:pt>
                  <c:pt idx="1">
                    <c:v>1480.3361017598338</c:v>
                  </c:pt>
                  <c:pt idx="2">
                    <c:v>1705.9851497104532</c:v>
                  </c:pt>
                  <c:pt idx="3">
                    <c:v>3497.7239307788482</c:v>
                  </c:pt>
                </c:numCache>
              </c:numRef>
            </c:plus>
            <c:minus>
              <c:numRef>
                <c:f>[1]Sheet4!$AB$62:$AB$65</c:f>
                <c:numCache>
                  <c:formatCode>General</c:formatCode>
                  <c:ptCount val="4"/>
                  <c:pt idx="0">
                    <c:v>707.41662814384597</c:v>
                  </c:pt>
                  <c:pt idx="1">
                    <c:v>1050.1359999807828</c:v>
                  </c:pt>
                  <c:pt idx="2">
                    <c:v>2440.8107423704023</c:v>
                  </c:pt>
                  <c:pt idx="3">
                    <c:v>1925.5284421928793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[1]Sheet4!$Y$62:$Y$65</c:f>
              <c:numCache>
                <c:formatCode>General</c:formatCode>
                <c:ptCount val="4"/>
                <c:pt idx="0">
                  <c:v>-783.15696652123427</c:v>
                </c:pt>
                <c:pt idx="1">
                  <c:v>-455.46763179343702</c:v>
                </c:pt>
                <c:pt idx="2">
                  <c:v>-1772.6324824528949</c:v>
                </c:pt>
                <c:pt idx="3">
                  <c:v>394.13948731304617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6-4031-8713-5FC37F073A1B}"/>
            </c:ext>
          </c:extLst>
        </c:ser>
        <c:ser>
          <c:idx val="3"/>
          <c:order val="2"/>
          <c:tx>
            <c:v>30% RH Method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[1]Sheet4!$AU$62:$AU$65</c:f>
                <c:numCache>
                  <c:formatCode>General</c:formatCode>
                  <c:ptCount val="4"/>
                  <c:pt idx="0">
                    <c:v>3533.2752543244897</c:v>
                  </c:pt>
                  <c:pt idx="1">
                    <c:v>4007.4356302816177</c:v>
                  </c:pt>
                  <c:pt idx="2">
                    <c:v>2730.3600887410093</c:v>
                  </c:pt>
                  <c:pt idx="3">
                    <c:v>13357.409412044823</c:v>
                  </c:pt>
                </c:numCache>
              </c:numRef>
            </c:plus>
            <c:minus>
              <c:numRef>
                <c:f>[1]Sheet4!$AV$62:$AV$65</c:f>
                <c:numCache>
                  <c:formatCode>General</c:formatCode>
                  <c:ptCount val="4"/>
                  <c:pt idx="0">
                    <c:v>2206.6053618962342</c:v>
                  </c:pt>
                  <c:pt idx="1">
                    <c:v>2045.7656460645339</c:v>
                  </c:pt>
                  <c:pt idx="2">
                    <c:v>3497.4848495127235</c:v>
                  </c:pt>
                  <c:pt idx="3">
                    <c:v>13357.409412044823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[1]Sheet4!$AS$62:$AS$65</c:f>
              <c:numCache>
                <c:formatCode>General</c:formatCode>
                <c:ptCount val="4"/>
                <c:pt idx="0">
                  <c:v>294.97407280804993</c:v>
                </c:pt>
                <c:pt idx="1">
                  <c:v>1572.0377111345742</c:v>
                </c:pt>
                <c:pt idx="2">
                  <c:v>715.59419714620662</c:v>
                </c:pt>
                <c:pt idx="3">
                  <c:v>-14061.056966223065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6-4031-8713-5FC37F073A1B}"/>
            </c:ext>
          </c:extLst>
        </c:ser>
        <c:ser>
          <c:idx val="2"/>
          <c:order val="3"/>
          <c:tx>
            <c:v>30% RH Method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[1]Sheet4!$AA$42:$AA$45</c:f>
                <c:numCache>
                  <c:formatCode>General</c:formatCode>
                  <c:ptCount val="4"/>
                  <c:pt idx="0">
                    <c:v>2085.9731007021405</c:v>
                  </c:pt>
                  <c:pt idx="1">
                    <c:v>1186.2503238568706</c:v>
                  </c:pt>
                  <c:pt idx="2">
                    <c:v>28962.839293272762</c:v>
                  </c:pt>
                  <c:pt idx="3">
                    <c:v>1232.5899504981139</c:v>
                  </c:pt>
                </c:numCache>
              </c:numRef>
            </c:plus>
            <c:minus>
              <c:numRef>
                <c:f>[1]Sheet4!$AB$42:$AB$45</c:f>
                <c:numCache>
                  <c:formatCode>General</c:formatCode>
                  <c:ptCount val="4"/>
                  <c:pt idx="0">
                    <c:v>1267.5996391002618</c:v>
                  </c:pt>
                  <c:pt idx="1">
                    <c:v>1274.4077989644506</c:v>
                  </c:pt>
                  <c:pt idx="2">
                    <c:v>14697.855438037972</c:v>
                  </c:pt>
                  <c:pt idx="3">
                    <c:v>1232.5899504981139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[1]Sheet4!$Y$42:$Y$45</c:f>
              <c:numCache>
                <c:formatCode>General</c:formatCode>
                <c:ptCount val="4"/>
                <c:pt idx="0">
                  <c:v>4000.1351573535426</c:v>
                </c:pt>
                <c:pt idx="1">
                  <c:v>5250.8239260750661</c:v>
                </c:pt>
                <c:pt idx="2">
                  <c:v>17523.466646068064</c:v>
                </c:pt>
                <c:pt idx="3">
                  <c:v>2980.3967333046171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6-4031-8713-5FC37F07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22383"/>
        <c:axId val="783523631"/>
      </c:lineChart>
      <c:catAx>
        <c:axId val="7835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23631"/>
        <c:crosses val="autoZero"/>
        <c:auto val="1"/>
        <c:lblAlgn val="ctr"/>
        <c:lblOffset val="100"/>
        <c:noMultiLvlLbl val="0"/>
      </c:catAx>
      <c:valAx>
        <c:axId val="783523631"/>
        <c:scaling>
          <c:orientation val="minMax"/>
          <c:max val="5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Efficiency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5088329976087339E-2"/>
          <c:y val="0.18749822105586739"/>
          <c:w val="0.93565416907565946"/>
          <c:h val="0.13781693668666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</a:t>
            </a:r>
            <a:r>
              <a:rPr lang="en-GB" baseline="0"/>
              <a:t> of adhesion force over different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[1]Sheet4!$K$125:$K$128</c:f>
              <c:numCache>
                <c:formatCode>0.0000</c:formatCode>
                <c:ptCount val="4"/>
                <c:pt idx="0">
                  <c:v>0.49388000000000004</c:v>
                </c:pt>
                <c:pt idx="1">
                  <c:v>0.19145999999999999</c:v>
                </c:pt>
                <c:pt idx="2">
                  <c:v>0.64829999999999999</c:v>
                </c:pt>
                <c:pt idx="3">
                  <c:v>0.69284000000000001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CCE-90DE-A9F58077114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[1]Sheet4!$K$125:$K$128</c:f>
              <c:numCache>
                <c:formatCode>0.0000</c:formatCode>
                <c:ptCount val="4"/>
                <c:pt idx="0">
                  <c:v>0.49388000000000004</c:v>
                </c:pt>
                <c:pt idx="1">
                  <c:v>0.19145999999999999</c:v>
                </c:pt>
                <c:pt idx="2">
                  <c:v>0.64829999999999999</c:v>
                </c:pt>
                <c:pt idx="3">
                  <c:v>0.69284000000000001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2-4CCE-90DE-A9F58077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83903"/>
        <c:axId val="435089311"/>
      </c:lineChart>
      <c:catAx>
        <c:axId val="43508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9311"/>
        <c:crosses val="autoZero"/>
        <c:auto val="1"/>
        <c:lblAlgn val="ctr"/>
        <c:lblOffset val="100"/>
        <c:noMultiLvlLbl val="0"/>
      </c:catAx>
      <c:valAx>
        <c:axId val="4350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39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 of adhesion force over different RH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[1]Sheet4!$F$129:$J$129</c:f>
              <c:numCache>
                <c:formatCode>0.0000</c:formatCode>
                <c:ptCount val="5"/>
                <c:pt idx="0">
                  <c:v>0.18837499999999999</c:v>
                </c:pt>
                <c:pt idx="1">
                  <c:v>0.14605000000000001</c:v>
                </c:pt>
                <c:pt idx="2">
                  <c:v>0.16344999999999998</c:v>
                </c:pt>
                <c:pt idx="3">
                  <c:v>0.67240000000000011</c:v>
                </c:pt>
                <c:pt idx="4">
                  <c:v>1.362825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0-4E9A-BD0E-8E5D65BB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02927"/>
        <c:axId val="434203343"/>
      </c:lineChart>
      <c:catAx>
        <c:axId val="43420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3343"/>
        <c:crosses val="autoZero"/>
        <c:auto val="1"/>
        <c:lblAlgn val="ctr"/>
        <c:lblOffset val="100"/>
        <c:noMultiLvlLbl val="0"/>
      </c:catAx>
      <c:valAx>
        <c:axId val="4342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Efficiency of Each Surface at Each Condition - Case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7635096568028"/>
          <c:y val="0.23597991508723953"/>
          <c:w val="0.84397416765463362"/>
          <c:h val="0.7043527843686983"/>
        </c:manualLayout>
      </c:layout>
      <c:lineChart>
        <c:grouping val="standard"/>
        <c:varyColors val="0"/>
        <c:ser>
          <c:idx val="0"/>
          <c:order val="0"/>
          <c:tx>
            <c:v>19% RH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'[1]Sheet4 (2)'!$AA$85:$AA$88</c:f>
                <c:numCache>
                  <c:formatCode>General</c:formatCode>
                  <c:ptCount val="4"/>
                  <c:pt idx="0">
                    <c:v>280.44047512463135</c:v>
                  </c:pt>
                  <c:pt idx="1">
                    <c:v>512.90661653166671</c:v>
                  </c:pt>
                  <c:pt idx="2">
                    <c:v>1474.3903735828098</c:v>
                  </c:pt>
                  <c:pt idx="3">
                    <c:v>1341.9629605322389</c:v>
                  </c:pt>
                </c:numCache>
              </c:numRef>
            </c:plus>
            <c:minus>
              <c:numRef>
                <c:f>'[1]Sheet4 (2)'!$AB$85:$AB$88</c:f>
                <c:numCache>
                  <c:formatCode>General</c:formatCode>
                  <c:ptCount val="4"/>
                  <c:pt idx="0">
                    <c:v>381.24383887178601</c:v>
                  </c:pt>
                  <c:pt idx="1">
                    <c:v>945.16720002980446</c:v>
                  </c:pt>
                  <c:pt idx="2">
                    <c:v>1400.1299494351151</c:v>
                  </c:pt>
                  <c:pt idx="3">
                    <c:v>791.25892873392786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'[1]Sheet4 (2)'!$Y$85:$Y$88</c:f>
              <c:numCache>
                <c:formatCode>General</c:formatCode>
                <c:ptCount val="4"/>
                <c:pt idx="0">
                  <c:v>136.74050136722258</c:v>
                </c:pt>
                <c:pt idx="1">
                  <c:v>2668.5838588116844</c:v>
                </c:pt>
                <c:pt idx="2">
                  <c:v>393.80994116589955</c:v>
                </c:pt>
                <c:pt idx="3">
                  <c:v>-376.47746569671381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0-453D-A74F-372893821246}"/>
            </c:ext>
          </c:extLst>
        </c:ser>
        <c:ser>
          <c:idx val="1"/>
          <c:order val="1"/>
          <c:tx>
            <c:v>22% RH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'[1]Sheet4 (2)'!$AA$62:$AA$65</c:f>
                <c:numCache>
                  <c:formatCode>General</c:formatCode>
                  <c:ptCount val="4"/>
                  <c:pt idx="0">
                    <c:v>631.86295967397325</c:v>
                  </c:pt>
                  <c:pt idx="1">
                    <c:v>1480.3361017598338</c:v>
                  </c:pt>
                  <c:pt idx="2">
                    <c:v>1705.9851497104532</c:v>
                  </c:pt>
                  <c:pt idx="3">
                    <c:v>3497.7239307788482</c:v>
                  </c:pt>
                </c:numCache>
              </c:numRef>
            </c:plus>
            <c:minus>
              <c:numRef>
                <c:f>'[1]Sheet4 (2)'!$AB$62:$AB$65</c:f>
                <c:numCache>
                  <c:formatCode>General</c:formatCode>
                  <c:ptCount val="4"/>
                  <c:pt idx="0">
                    <c:v>707.41662814384597</c:v>
                  </c:pt>
                  <c:pt idx="1">
                    <c:v>1050.1359999807828</c:v>
                  </c:pt>
                  <c:pt idx="2">
                    <c:v>2440.8107423704023</c:v>
                  </c:pt>
                  <c:pt idx="3">
                    <c:v>1925.5284421928793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'[1]Sheet4 (2)'!$Y$62:$Y$65</c:f>
              <c:numCache>
                <c:formatCode>General</c:formatCode>
                <c:ptCount val="4"/>
                <c:pt idx="0">
                  <c:v>-783.15696652123427</c:v>
                </c:pt>
                <c:pt idx="1">
                  <c:v>-455.46763179343702</c:v>
                </c:pt>
                <c:pt idx="2">
                  <c:v>-1772.6324824528949</c:v>
                </c:pt>
                <c:pt idx="3">
                  <c:v>394.13948731304617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0-453D-A74F-372893821246}"/>
            </c:ext>
          </c:extLst>
        </c:ser>
        <c:ser>
          <c:idx val="3"/>
          <c:order val="2"/>
          <c:tx>
            <c:v>30% RH Method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'[1]Sheet4 (2)'!$AU$62:$AU$65</c:f>
                <c:numCache>
                  <c:formatCode>General</c:formatCode>
                  <c:ptCount val="4"/>
                  <c:pt idx="0">
                    <c:v>3533.2752543244897</c:v>
                  </c:pt>
                  <c:pt idx="1">
                    <c:v>4007.4356302816177</c:v>
                  </c:pt>
                  <c:pt idx="2">
                    <c:v>2730.3600887410093</c:v>
                  </c:pt>
                  <c:pt idx="3">
                    <c:v>13357.409412044823</c:v>
                  </c:pt>
                </c:numCache>
              </c:numRef>
            </c:plus>
            <c:minus>
              <c:numRef>
                <c:f>'[1]Sheet4 (2)'!$AV$62:$AV$65</c:f>
                <c:numCache>
                  <c:formatCode>General</c:formatCode>
                  <c:ptCount val="4"/>
                  <c:pt idx="0">
                    <c:v>2206.6053618962342</c:v>
                  </c:pt>
                  <c:pt idx="1">
                    <c:v>2045.7656460645339</c:v>
                  </c:pt>
                  <c:pt idx="2">
                    <c:v>3497.4848495127235</c:v>
                  </c:pt>
                  <c:pt idx="3">
                    <c:v>13357.409412044823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'[1]Sheet4 (2)'!$AS$62:$AS$65</c:f>
              <c:numCache>
                <c:formatCode>General</c:formatCode>
                <c:ptCount val="4"/>
                <c:pt idx="0">
                  <c:v>294.97407280804993</c:v>
                </c:pt>
                <c:pt idx="1">
                  <c:v>1572.0377111345742</c:v>
                </c:pt>
                <c:pt idx="2">
                  <c:v>715.59419714620662</c:v>
                </c:pt>
                <c:pt idx="3">
                  <c:v>-14061.056966223065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0-453D-A74F-372893821246}"/>
            </c:ext>
          </c:extLst>
        </c:ser>
        <c:ser>
          <c:idx val="2"/>
          <c:order val="3"/>
          <c:tx>
            <c:v>30% RH Method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'[1]Sheet4 (2)'!$AA$42:$AA$45</c:f>
                <c:numCache>
                  <c:formatCode>General</c:formatCode>
                  <c:ptCount val="4"/>
                  <c:pt idx="0">
                    <c:v>761.12189732316665</c:v>
                  </c:pt>
                  <c:pt idx="1">
                    <c:v>1746.5883955771305</c:v>
                  </c:pt>
                  <c:pt idx="2">
                    <c:v>679.77220344356954</c:v>
                  </c:pt>
                  <c:pt idx="3">
                    <c:v>785.41265511713834</c:v>
                  </c:pt>
                </c:numCache>
              </c:numRef>
            </c:plus>
            <c:minus>
              <c:numRef>
                <c:f>'[1]Sheet4 (2)'!$AB$42:$AB$45</c:f>
                <c:numCache>
                  <c:formatCode>General</c:formatCode>
                  <c:ptCount val="4"/>
                  <c:pt idx="0">
                    <c:v>1008.7741313070427</c:v>
                  </c:pt>
                  <c:pt idx="1">
                    <c:v>1445.4082669469192</c:v>
                  </c:pt>
                  <c:pt idx="2">
                    <c:v>1351.2483528182881</c:v>
                  </c:pt>
                  <c:pt idx="3">
                    <c:v>785.41265511713834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P120</c:v>
              </c:pt>
              <c:pt idx="1">
                <c:v>P400</c:v>
              </c:pt>
              <c:pt idx="2">
                <c:v>P800</c:v>
              </c:pt>
              <c:pt idx="3">
                <c:v>P1200</c:v>
              </c:pt>
            </c:strLit>
          </c:cat>
          <c:val>
            <c:numRef>
              <c:f>'[1]Sheet4 (2)'!$Y$42:$Y$45</c:f>
              <c:numCache>
                <c:formatCode>0.0</c:formatCode>
                <c:ptCount val="4"/>
                <c:pt idx="0">
                  <c:v>-258.73847167821066</c:v>
                </c:pt>
                <c:pt idx="1">
                  <c:v>-1875.4815195443027</c:v>
                </c:pt>
                <c:pt idx="2">
                  <c:v>-1564.8667799093885</c:v>
                </c:pt>
                <c:pt idx="3">
                  <c:v>-692.34520129346004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0-453D-A74F-37289382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22383"/>
        <c:axId val="783523631"/>
      </c:lineChart>
      <c:catAx>
        <c:axId val="7835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23631"/>
        <c:crosses val="autoZero"/>
        <c:auto val="1"/>
        <c:lblAlgn val="ctr"/>
        <c:lblOffset val="100"/>
        <c:noMultiLvlLbl val="0"/>
      </c:catAx>
      <c:valAx>
        <c:axId val="783523631"/>
        <c:scaling>
          <c:orientation val="minMax"/>
          <c:max val="7000"/>
          <c:min val="-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Efficiency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5088276263648516E-2"/>
          <c:y val="0.12183171416917057"/>
          <c:w val="0.93565416907565946"/>
          <c:h val="0.13781693668666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Absolute Humidity of Each situation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Absolute Humidity of Each situation</a:t>
          </a:r>
        </a:p>
      </cx:txPr>
    </cx:title>
    <cx:plotArea>
      <cx:plotAreaRegion>
        <cx:series layoutId="boxWhisker" uniqueId="{00000001-252F-4937-A37C-6B8C76B30D1C}" formatIdx="0">
          <cx:tx>
            <cx:txData>
              <cx:f/>
              <cx:v>19% RH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4-252F-4937-A37C-6B8C76B30D1C}">
          <cx:tx>
            <cx:txData>
              <cx:f/>
              <cx:v>22% RH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000005-252F-4937-A37C-6B8C76B30D1C}">
          <cx:tx>
            <cx:txData>
              <cx:f/>
              <cx:v>30% RH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0299999993"/>
        <cx:tickLabels/>
      </cx:axis>
      <cx:axis id="1">
        <cx:valScaling max="6.2999999999999998" min="3.2000000000000002"/>
        <cx:title>
          <cx:tx>
            <cx:txData>
              <cx:v>Absolute Humidity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Absolute Humidity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Box plot of mass of wet droplet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mass of wet droplet</a:t>
          </a:r>
        </a:p>
      </cx:txPr>
    </cx:title>
    <cx:plotArea>
      <cx:plotAreaRegion>
        <cx:series layoutId="boxWhisker" uniqueId="{41071B3E-7F2B-43A1-B282-1BECBAF8AEF1}" formatIdx="0">
          <cx:tx>
            <cx:txData>
              <cx:f/>
              <cx:v>Measured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15D-4C94-96FD-9A764D3805A3}">
          <cx:tx>
            <cx:txData>
              <cx:f/>
              <cx:v>Expected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1"/>
            <cx:dataLabelHidden idx="2"/>
            <cx:dataLabelHidden idx="3"/>
          </cx:dataLabels>
          <cx:dataId val="1"/>
          <cx:layoutPr>
            <cx:visibility meanLine="0" meanMarker="0" nonoutliers="0" outliers="0"/>
            <cx:statistics quartileMethod="inclusive"/>
          </cx:layoutPr>
        </cx:series>
      </cx:plotAreaRegion>
      <cx:axis id="0" hidden="1">
        <cx:catScaling gapWidth="0.0299999993"/>
        <cx:tickLabels/>
      </cx:axis>
      <cx:axis id="1">
        <cx:valScaling min="0.0070000000000000019"/>
        <cx:title>
          <cx:tx>
            <cx:txData>
              <cx:v>Mass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(g)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  <cx:data id="4">
      <cx:numDim type="val">
        <cx:f>_xlchart.v1.11</cx:f>
      </cx:numDim>
    </cx:data>
    <cx:data id="5">
      <cx:numDim type="val">
        <cx:f>_xlchart.v1.12</cx:f>
      </cx:numDim>
    </cx:data>
    <cx:data id="6">
      <cx:numDim type="val">
        <cx:f>_xlchart.v1.13</cx:f>
      </cx:numDim>
    </cx:data>
    <cx:data id="7">
      <cx:numDim type="val">
        <cx:f>_xlchart.v1.14</cx:f>
      </cx:numDim>
    </cx:data>
    <cx:data id="8">
      <cx:numDim type="val">
        <cx:f>_xlchart.v1.7</cx:f>
      </cx:numDim>
    </cx:data>
    <cx:data id="9">
      <cx:numDim type="val">
        <cx:f>_xlchart.v1.8</cx:f>
      </cx:numDim>
    </cx:data>
    <cx:data id="10">
      <cx:numDim type="val">
        <cx:f>_xlchart.v1.9</cx:f>
      </cx:numDim>
    </cx:data>
    <cx:data id="11">
      <cx:numDim type="val">
        <cx:f>_xlchart.v1.10</cx:f>
      </cx:numDim>
    </cx:data>
  </cx:chartData>
  <cx:chart>
    <cx:title pos="t" align="ctr" overlay="0">
      <cx:tx>
        <cx:txData>
          <cx:v>Variations in Contact force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Variations in Contact force</a:t>
          </a:r>
        </a:p>
      </cx:txPr>
    </cx:title>
    <cx:plotArea>
      <cx:plotAreaRegion>
        <cx:series layoutId="boxWhisker" uniqueId="{00000001-B58E-40CD-9868-AE94F3469A13}" formatIdx="1">
          <cx:tx>
            <cx:txData>
              <cx:f/>
              <cx:v>P120 19% RH</cx:v>
            </cx:txData>
          </cx:tx>
          <cx:dataId val="0"/>
          <cx:layoutPr>
            <cx:visibility meanMarker="1" nonoutliers="0"/>
            <cx:statistics quartileMethod="inclusive"/>
          </cx:layoutPr>
        </cx:series>
        <cx:series layoutId="boxWhisker" uniqueId="{00000002-B58E-40CD-9868-AE94F3469A13}" formatIdx="0">
          <cx:tx>
            <cx:txData>
              <cx:f/>
              <cx:v>P400 19% RH</cx:v>
            </cx:txData>
          </cx:tx>
          <cx:dataId val="1"/>
          <cx:layoutPr>
            <cx:visibility meanMarker="1" nonoutliers="0"/>
            <cx:statistics quartileMethod="inclusive"/>
          </cx:layoutPr>
        </cx:series>
        <cx:series layoutId="boxWhisker" uniqueId="{00000004-B58E-40CD-9868-AE94F3469A13}" formatIdx="2">
          <cx:tx>
            <cx:txData>
              <cx:f/>
              <cx:v>P800 19% RH</cx:v>
            </cx:txData>
          </cx:tx>
          <cx:dataId val="2"/>
          <cx:layoutPr>
            <cx:visibility meanMarker="1" nonoutliers="0"/>
            <cx:statistics quartileMethod="inclusive"/>
          </cx:layoutPr>
        </cx:series>
        <cx:series layoutId="boxWhisker" uniqueId="{00000005-B58E-40CD-9868-AE94F3469A13}" formatIdx="3">
          <cx:tx>
            <cx:txData>
              <cx:f/>
              <cx:v>P1200 19% RH</cx:v>
            </cx:txData>
          </cx:tx>
          <cx:dataId val="3"/>
          <cx:layoutPr>
            <cx:visibility meanMarker="1" nonoutliers="0"/>
            <cx:statistics quartileMethod="inclusive"/>
          </cx:layoutPr>
        </cx:series>
        <cx:series layoutId="boxWhisker" uniqueId="{00000006-B58E-40CD-9868-AE94F3469A13}" formatIdx="4">
          <cx:tx>
            <cx:txData>
              <cx:f/>
              <cx:v>P120 22% RH</cx:v>
            </cx:txData>
          </cx:tx>
          <cx:dataId val="4"/>
          <cx:layoutPr>
            <cx:visibility meanMarker="1" nonoutliers="0"/>
            <cx:statistics quartileMethod="inclusive"/>
          </cx:layoutPr>
        </cx:series>
        <cx:series layoutId="boxWhisker" uniqueId="{00000007-B58E-40CD-9868-AE94F3469A13}" formatIdx="5">
          <cx:tx>
            <cx:txData>
              <cx:f/>
              <cx:v>P400 22% RH</cx:v>
            </cx:txData>
          </cx:tx>
          <cx:dataId val="5"/>
          <cx:layoutPr>
            <cx:visibility meanMarker="1" nonoutliers="0"/>
            <cx:statistics quartileMethod="inclusive"/>
          </cx:layoutPr>
        </cx:series>
        <cx:series layoutId="boxWhisker" uniqueId="{00000008-B58E-40CD-9868-AE94F3469A13}" formatIdx="6">
          <cx:tx>
            <cx:txData>
              <cx:f/>
              <cx:v>P800 22% RH</cx:v>
            </cx:txData>
          </cx:tx>
          <cx:dataId val="6"/>
          <cx:layoutPr>
            <cx:visibility meanMarker="1" nonoutliers="0"/>
            <cx:statistics quartileMethod="inclusive"/>
          </cx:layoutPr>
        </cx:series>
        <cx:series layoutId="boxWhisker" uniqueId="{00000009-B58E-40CD-9868-AE94F3469A13}" formatIdx="7">
          <cx:tx>
            <cx:txData>
              <cx:f/>
              <cx:v>P1200 22% RH</cx:v>
            </cx:txData>
          </cx:tx>
          <cx:dataId val="7"/>
          <cx:layoutPr>
            <cx:visibility meanMarker="1" nonoutliers="0"/>
            <cx:statistics quartileMethod="inclusive"/>
          </cx:layoutPr>
        </cx:series>
        <cx:series layoutId="boxWhisker" uniqueId="{0000000A-B58E-40CD-9868-AE94F3469A13}" formatIdx="8">
          <cx:tx>
            <cx:txData>
              <cx:f/>
              <cx:v>P120 30% RH</cx:v>
            </cx:txData>
          </cx:tx>
          <cx:dataId val="8"/>
          <cx:layoutPr>
            <cx:visibility meanMarker="1" nonoutliers="0"/>
            <cx:statistics quartileMethod="inclusive"/>
          </cx:layoutPr>
        </cx:series>
        <cx:series layoutId="boxWhisker" uniqueId="{0000000F-B58E-40CD-9868-AE94F3469A13}" formatIdx="10">
          <cx:tx>
            <cx:txData>
              <cx:f/>
              <cx:v>P400 30% RH</cx:v>
            </cx:txData>
          </cx:tx>
          <cx:dataId val="9"/>
          <cx:layoutPr>
            <cx:visibility meanLine="0" meanMarker="1" nonoutliers="0"/>
            <cx:statistics quartileMethod="inclusive"/>
          </cx:layoutPr>
        </cx:series>
        <cx:series layoutId="boxWhisker" uniqueId="{00000011-B58E-40CD-9868-AE94F3469A13}">
          <cx:tx>
            <cx:txData>
              <cx:f/>
              <cx:v>P800 30% RH</cx:v>
            </cx:txData>
          </cx:tx>
          <cx:dataId val="10"/>
          <cx:layoutPr>
            <cx:visibility meanMarker="1" nonoutliers="0"/>
            <cx:statistics quartileMethod="inclusive"/>
          </cx:layoutPr>
        </cx:series>
        <cx:series layoutId="boxWhisker" uniqueId="{00000012-B58E-40CD-9868-AE94F3469A13}">
          <cx:tx>
            <cx:txData>
              <cx:f/>
              <cx:v>P1200 30% RH</cx:v>
            </cx:txData>
          </cx:tx>
          <cx:dataId val="11"/>
          <cx:layoutPr>
            <cx:visibility meanLine="0" meanMarker="1" nonoutliers="0"/>
            <cx:statistics quartileMethod="inclusive"/>
          </cx:layoutPr>
        </cx:series>
      </cx:plotAreaRegion>
      <cx:axis id="0" hidden="1">
        <cx:catScaling gapWidth="0.0199999996"/>
        <cx:tickLabels/>
      </cx:axis>
      <cx:axis id="1">
        <cx:valScaling max="50"/>
        <cx:title>
          <cx:tx>
            <cx:txData>
              <cx:v>Force (mN)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Force (mN)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</cx:chartData>
  <cx:chart>
    <cx:title pos="t" align="ctr" overlay="0">
      <cx:tx>
        <cx:txData>
          <cx:v>Transfer Efficiencies at 30% RH Method 2 - Case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Transfer Efficiencies at 30% RH Method 2 - Case 2</a:t>
          </a:r>
        </a:p>
      </cx:txPr>
    </cx:title>
    <cx:plotArea>
      <cx:plotAreaRegion>
        <cx:series layoutId="boxWhisker" uniqueId="{00000001-525E-49FB-8E02-AD6ECA8B8EE9}" formatIdx="1">
          <cx:tx>
            <cx:txData>
              <cx:f/>
              <cx:v>P120</cx:v>
            </cx:txData>
          </cx:tx>
          <cx:dataId val="0"/>
          <cx:layoutPr>
            <cx:visibility meanMarker="1" nonoutliers="0"/>
            <cx:statistics quartileMethod="inclusive"/>
          </cx:layoutPr>
        </cx:series>
        <cx:series layoutId="boxWhisker" uniqueId="{00000002-525E-49FB-8E02-AD6ECA8B8EE9}">
          <cx:tx>
            <cx:txData>
              <cx:f/>
              <cx:v>P400</cx:v>
            </cx:txData>
          </cx:tx>
          <cx:dataId val="1"/>
          <cx:layoutPr>
            <cx:visibility meanMarker="1" nonoutliers="0"/>
            <cx:statistics quartileMethod="inclusive"/>
          </cx:layoutPr>
        </cx:series>
        <cx:series layoutId="boxWhisker" uniqueId="{00000003-525E-49FB-8E02-AD6ECA8B8EE9}">
          <cx:tx>
            <cx:txData>
              <cx:f/>
              <cx:v>P800</cx:v>
            </cx:txData>
          </cx:tx>
          <cx:dataId val="2"/>
          <cx:layoutPr>
            <cx:visibility meanMarker="1" nonoutliers="0"/>
            <cx:statistics quartileMethod="inclusive"/>
          </cx:layoutPr>
        </cx:series>
        <cx:series layoutId="boxWhisker" uniqueId="{00000004-525E-49FB-8E02-AD6ECA8B8EE9}">
          <cx:tx>
            <cx:txData>
              <cx:f/>
              <cx:v>P1200</cx:v>
            </cx:txData>
          </cx:tx>
          <cx:dataId val="3"/>
          <cx:layoutPr>
            <cx:visibility meanMarker="1" nonoutliers="0"/>
            <cx:statistics quartileMethod="inclusive"/>
          </cx:layoutPr>
        </cx:series>
      </cx:plotAreaRegion>
      <cx:axis id="0">
        <cx:catScaling gapWidth="0.0500000007"/>
        <cx:title/>
        <cx:tickLabels/>
      </cx:axis>
      <cx:axis id="1">
        <cx:valScaling max="6500" min="1500"/>
        <cx:title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_xlchart.v1.22</cx:f>
      </cx:numDim>
    </cx:data>
    <cx:data id="2">
      <cx:numDim type="val">
        <cx:f>_xlchart.v1.23</cx:f>
      </cx:numDim>
    </cx:data>
    <cx:data id="3">
      <cx:numDim type="val">
        <cx:f>_xlchart.v1.24</cx:f>
      </cx:numDim>
    </cx:data>
  </cx:chartData>
  <cx:chart>
    <cx:title pos="t" align="ctr" overlay="0">
      <cx:tx>
        <cx:txData>
          <cx:v>Transfer efficiencies at 22% 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Transfer efficiencies at 22% RH</a:t>
          </a:r>
        </a:p>
      </cx:txPr>
    </cx:title>
    <cx:plotArea>
      <cx:plotAreaRegion>
        <cx:series layoutId="boxWhisker" uniqueId="{E7BA067E-1E6F-45C5-9465-A64BD30D2E8A}">
          <cx:tx>
            <cx:txData>
              <cx:f/>
              <cx:v>P120</cx:v>
            </cx:txData>
          </cx:tx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000001-5AA4-47FA-A8DC-6C3ED9AEF974}">
          <cx:tx>
            <cx:txData>
              <cx:f/>
              <cx:v>P400</cx:v>
            </cx:txData>
          </cx:tx>
          <cx:dataId val="1"/>
          <cx:layoutPr>
            <cx:visibility meanMarker="1" nonoutliers="0"/>
            <cx:statistics quartileMethod="inclusive"/>
          </cx:layoutPr>
        </cx:series>
        <cx:series layoutId="boxWhisker" uniqueId="{00000002-5AA4-47FA-A8DC-6C3ED9AEF974}">
          <cx:tx>
            <cx:txData>
              <cx:f/>
              <cx:v>P800</cx:v>
            </cx:txData>
          </cx:tx>
          <cx:dataId val="2"/>
          <cx:layoutPr>
            <cx:visibility meanMarker="1" nonoutliers="0"/>
            <cx:statistics quartileMethod="inclusive"/>
          </cx:layoutPr>
        </cx:series>
        <cx:series layoutId="boxWhisker" uniqueId="{00000003-5AA4-47FA-A8DC-6C3ED9AEF974}">
          <cx:tx>
            <cx:txData>
              <cx:f/>
              <cx:v>P1200</cx:v>
            </cx:txData>
          </cx:tx>
          <cx:dataId val="3"/>
          <cx:layoutPr>
            <cx:visibility meanMarker="1" nonoutliers="0"/>
            <cx:statistics quartileMethod="inclusive"/>
          </cx:layoutPr>
        </cx:series>
      </cx:plotAreaRegion>
      <cx:axis id="0" hidden="1">
        <cx:catScaling gapWidth="0.0500000007"/>
        <cx:tickLabels/>
      </cx:axis>
      <cx:axis id="1">
        <cx:valScaling max="4500" min="-4500"/>
        <cx:title>
          <cx:tx>
            <cx:txData>
              <cx:v>Transfer Efficiency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Efficiency (%)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</cx:chartData>
  <cx:chart>
    <cx:title pos="t" align="ctr" overlay="0">
      <cx:tx>
        <cx:txData>
          <cx:v>transfer efficiencies at 19% 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transfer efficiencies at 19% RH</a:t>
          </a:r>
        </a:p>
      </cx:txPr>
    </cx:title>
    <cx:plotArea>
      <cx:plotAreaRegion>
        <cx:series layoutId="boxWhisker" uniqueId="{7F33D143-1121-4A64-9FB7-6CBE667B7593}">
          <cx:tx>
            <cx:txData>
              <cx:f/>
              <cx:v>P120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17E3-4CBB-A545-2C56AF741156}">
          <cx:tx>
            <cx:txData>
              <cx:f/>
              <cx:v>P400</cx:v>
            </cx:txData>
          </cx:tx>
          <cx:dataId val="1"/>
          <cx:layoutPr>
            <cx:visibility meanMarker="1" nonoutliers="0"/>
            <cx:statistics quartileMethod="inclusive"/>
          </cx:layoutPr>
        </cx:series>
        <cx:series layoutId="boxWhisker" uniqueId="{00000002-17E3-4CBB-A545-2C56AF741156}">
          <cx:tx>
            <cx:txData>
              <cx:f/>
              <cx:v>P800</cx:v>
            </cx:txData>
          </cx:tx>
          <cx:dataId val="2"/>
          <cx:layoutPr>
            <cx:visibility meanMarker="1" nonoutliers="0"/>
            <cx:statistics quartileMethod="inclusive"/>
          </cx:layoutPr>
        </cx:series>
        <cx:series layoutId="boxWhisker" uniqueId="{00000003-17E3-4CBB-A545-2C56AF741156}">
          <cx:tx>
            <cx:txData>
              <cx:f/>
              <cx:v>P1200</cx:v>
            </cx:txData>
          </cx:tx>
          <cx:dataId val="3"/>
          <cx:layoutPr>
            <cx:visibility meanMarker="1" nonoutliers="0"/>
            <cx:statistics quartileMethod="inclusive"/>
          </cx:layoutPr>
        </cx:series>
      </cx:plotAreaRegion>
      <cx:axis id="0" hidden="1">
        <cx:catScaling gapWidth="0.0500000007"/>
        <cx:tickLabels/>
      </cx:axis>
      <cx:axis id="1">
        <cx:valScaling/>
        <cx:title>
          <cx:tx>
            <cx:txData>
              <cx:v>Transfer Efficiency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Efficiency (%)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_xlchart.v1.30</cx:f>
      </cx:numDim>
    </cx:data>
    <cx:data id="2">
      <cx:numDim type="val">
        <cx:f>_xlchart.v1.31</cx:f>
      </cx:numDim>
    </cx:data>
    <cx:data id="3">
      <cx:numDim type="val">
        <cx:f>_xlchart.v1.32</cx:f>
      </cx:numDim>
    </cx:data>
  </cx:chartData>
  <cx:chart>
    <cx:title pos="t" align="ctr" overlay="0">
      <cx:tx>
        <cx:txData>
          <cx:v>transfer efficiencies at 30% RH Method 1 - case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transfer efficiencies at 30% RH Method 1 - case 2</a:t>
          </a:r>
        </a:p>
      </cx:txPr>
    </cx:title>
    <cx:plotArea>
      <cx:plotAreaRegion>
        <cx:series layoutId="boxWhisker" uniqueId="{83DC3F02-3A5E-422A-808D-678BC1DE0FAC}">
          <cx:tx>
            <cx:txData>
              <cx:f/>
              <cx:v>P120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00000001-7F60-4C4B-ADAA-3AA78528D737}">
          <cx:tx>
            <cx:txData>
              <cx:f/>
              <cx:v>P400</cx:v>
            </cx:txData>
          </cx:tx>
          <cx:dataId val="1"/>
          <cx:layoutPr>
            <cx:visibility meanMarker="0" nonoutliers="0"/>
            <cx:statistics quartileMethod="inclusive"/>
          </cx:layoutPr>
        </cx:series>
        <cx:series layoutId="boxWhisker" uniqueId="{00000002-7F60-4C4B-ADAA-3AA78528D737}">
          <cx:tx>
            <cx:txData>
              <cx:f/>
              <cx:v>P800</cx:v>
            </cx:txData>
          </cx:tx>
          <cx:dataId val="2"/>
          <cx:layoutPr>
            <cx:visibility meanMarker="0" nonoutliers="0"/>
            <cx:statistics quartileMethod="inclusive"/>
          </cx:layoutPr>
        </cx:series>
        <cx:series layoutId="boxWhisker" uniqueId="{00000003-7F60-4C4B-ADAA-3AA78528D737}">
          <cx:tx>
            <cx:txData>
              <cx:f/>
              <cx:v>P1200</cx:v>
            </cx:txData>
          </cx:tx>
          <cx:dataId val="3"/>
          <cx:layoutPr>
            <cx:visibility meanMarker="0" nonoutliers="0"/>
            <cx:statistics quartileMethod="inclusive"/>
          </cx:layoutPr>
        </cx:series>
      </cx:plotAreaRegion>
      <cx:axis id="0" hidden="1">
        <cx:catScaling gapWidth="0.0500000007"/>
        <cx:tickLabels/>
      </cx:axis>
      <cx:axis id="1">
        <cx:valScaling/>
        <cx:title>
          <cx:tx>
            <cx:txData>
              <cx:v>Transfer Efficiency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Efficiency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  <cx:data id="3">
      <cx:numDim type="val">
        <cx:f>_xlchart.v1.36</cx:f>
      </cx:numDim>
    </cx:data>
  </cx:chartData>
  <cx:chart>
    <cx:title pos="t" align="ctr" overlay="0">
      <cx:tx>
        <cx:txData>
          <cx:v>transfer efficiencies at 30% RH method 2 -case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transfer efficiencies at 30% RH method 2 -case 1</a:t>
          </a:r>
        </a:p>
      </cx:txPr>
    </cx:title>
    <cx:plotArea>
      <cx:plotAreaRegion>
        <cx:series layoutId="boxWhisker" uniqueId="{04210A9C-6721-4384-A9D1-F689560A2FC9}">
          <cx:tx>
            <cx:txData>
              <cx:f/>
              <cx:v>P120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062D-4A50-A4B8-307485B5F832}">
          <cx:tx>
            <cx:txData>
              <cx:f/>
              <cx:v>P400</cx:v>
            </cx:txData>
          </cx:tx>
          <cx:dataId val="1"/>
          <cx:layoutPr>
            <cx:visibility meanMarker="1" nonoutliers="0"/>
            <cx:statistics quartileMethod="inclusive"/>
          </cx:layoutPr>
        </cx:series>
        <cx:series layoutId="boxWhisker" uniqueId="{00000002-062D-4A50-A4B8-307485B5F832}">
          <cx:tx>
            <cx:txData>
              <cx:f/>
              <cx:v>P800</cx:v>
            </cx:txData>
          </cx:tx>
          <cx:dataId val="2"/>
          <cx:layoutPr>
            <cx:visibility meanMarker="1" nonoutliers="0"/>
            <cx:statistics quartileMethod="inclusive"/>
          </cx:layoutPr>
        </cx:series>
        <cx:series layoutId="boxWhisker" uniqueId="{00000003-062D-4A50-A4B8-307485B5F832}">
          <cx:dataId val="3"/>
          <cx:layoutPr>
            <cx:visibility meanMarker="1" nonoutliers="0"/>
            <cx:statistics quartileMethod="inclusive"/>
          </cx:layoutPr>
        </cx:series>
      </cx:plotAreaRegion>
      <cx:axis id="0">
        <cx:catScaling gapWidth="0.0500000007"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12" Type="http://schemas.microsoft.com/office/2014/relationships/chartEx" Target="../charts/chartEx8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openxmlformats.org/officeDocument/2006/relationships/chart" Target="../charts/chart4.xml"/><Relationship Id="rId5" Type="http://schemas.microsoft.com/office/2014/relationships/chartEx" Target="../charts/chartEx4.xml"/><Relationship Id="rId10" Type="http://schemas.openxmlformats.org/officeDocument/2006/relationships/chart" Target="../charts/chart3.xml"/><Relationship Id="rId4" Type="http://schemas.openxmlformats.org/officeDocument/2006/relationships/chart" Target="../charts/chart1.xml"/><Relationship Id="rId9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146457</xdr:colOff>
      <xdr:row>2</xdr:row>
      <xdr:rowOff>8742</xdr:rowOff>
    </xdr:from>
    <xdr:to>
      <xdr:col>14</xdr:col>
      <xdr:colOff>250184</xdr:colOff>
      <xdr:row>23</xdr:row>
      <xdr:rowOff>95094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E83904-DE76-486F-8A0D-B20CBBB2866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0117" y="382553"/>
              <a:ext cx="5581501" cy="4011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350356</xdr:colOff>
      <xdr:row>36</xdr:row>
      <xdr:rowOff>16866</xdr:rowOff>
    </xdr:from>
    <xdr:to>
      <xdr:col>12</xdr:col>
      <xdr:colOff>7758</xdr:colOff>
      <xdr:row>51</xdr:row>
      <xdr:rowOff>87120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E228FA-1DA2-4562-BC23-85862E134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5789" y="6715642"/>
              <a:ext cx="4593342" cy="2856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32</xdr:col>
      <xdr:colOff>132380</xdr:colOff>
      <xdr:row>2</xdr:row>
      <xdr:rowOff>69439</xdr:rowOff>
    </xdr:from>
    <xdr:to>
      <xdr:col>40</xdr:col>
      <xdr:colOff>186181</xdr:colOff>
      <xdr:row>18</xdr:row>
      <xdr:rowOff>118425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E0ECE9-DDFF-40CD-8058-01AB6DB36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2828" y="433379"/>
              <a:ext cx="4966995" cy="307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313053</xdr:colOff>
      <xdr:row>57</xdr:row>
      <xdr:rowOff>49839</xdr:rowOff>
    </xdr:from>
    <xdr:to>
      <xdr:col>18</xdr:col>
      <xdr:colOff>566786</xdr:colOff>
      <xdr:row>75</xdr:row>
      <xdr:rowOff>156508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00885E-3E99-4BD3-90EC-A07048BCB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258819</xdr:colOff>
      <xdr:row>22</xdr:row>
      <xdr:rowOff>68847</xdr:rowOff>
    </xdr:from>
    <xdr:to>
      <xdr:col>38</xdr:col>
      <xdr:colOff>584055</xdr:colOff>
      <xdr:row>36</xdr:row>
      <xdr:rowOff>141609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E54BD1B-C0AF-4EE5-A906-CF704AAC3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75118" y="4197295"/>
              <a:ext cx="4624280" cy="2699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366442</xdr:colOff>
      <xdr:row>63</xdr:row>
      <xdr:rowOff>89613</xdr:rowOff>
    </xdr:from>
    <xdr:to>
      <xdr:col>39</xdr:col>
      <xdr:colOff>80692</xdr:colOff>
      <xdr:row>81</xdr:row>
      <xdr:rowOff>138105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CEE7A6-4B7A-4C38-A26D-4FCC6197F4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82741" y="11883553"/>
              <a:ext cx="4627444" cy="3437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390111</xdr:colOff>
      <xdr:row>89</xdr:row>
      <xdr:rowOff>33667</xdr:rowOff>
    </xdr:from>
    <xdr:to>
      <xdr:col>39</xdr:col>
      <xdr:colOff>106468</xdr:colOff>
      <xdr:row>103</xdr:row>
      <xdr:rowOff>114457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15C347-A6F8-42EC-8B62-D8D181DD2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06410" y="16729428"/>
              <a:ext cx="4629551" cy="2719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106127</xdr:colOff>
      <xdr:row>21</xdr:row>
      <xdr:rowOff>150325</xdr:rowOff>
    </xdr:from>
    <xdr:to>
      <xdr:col>48</xdr:col>
      <xdr:colOff>598371</xdr:colOff>
      <xdr:row>41</xdr:row>
      <xdr:rowOff>4916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C7EA57-A68B-4A9C-ACA6-A159F0300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409231</xdr:colOff>
      <xdr:row>43</xdr:row>
      <xdr:rowOff>52451</xdr:rowOff>
    </xdr:from>
    <xdr:to>
      <xdr:col>39</xdr:col>
      <xdr:colOff>104431</xdr:colOff>
      <xdr:row>58</xdr:row>
      <xdr:rowOff>45894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564A192-EEB5-4B84-BF6E-7754AF988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25530" y="8093257"/>
              <a:ext cx="4608394" cy="2802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563048</xdr:colOff>
      <xdr:row>118</xdr:row>
      <xdr:rowOff>87900</xdr:rowOff>
    </xdr:from>
    <xdr:to>
      <xdr:col>16</xdr:col>
      <xdr:colOff>274357</xdr:colOff>
      <xdr:row>131</xdr:row>
      <xdr:rowOff>103729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8964C1-2440-4243-B05F-7416EA40F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566475</xdr:colOff>
      <xdr:row>118</xdr:row>
      <xdr:rowOff>24490</xdr:rowOff>
    </xdr:from>
    <xdr:to>
      <xdr:col>24</xdr:col>
      <xdr:colOff>295078</xdr:colOff>
      <xdr:row>131</xdr:row>
      <xdr:rowOff>40319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7398CC-7618-4CCE-A5B6-CEF35E12B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327421</xdr:colOff>
      <xdr:row>46</xdr:row>
      <xdr:rowOff>75009</xdr:rowOff>
    </xdr:from>
    <xdr:to>
      <xdr:col>58</xdr:col>
      <xdr:colOff>41671</xdr:colOff>
      <xdr:row>61</xdr:row>
      <xdr:rowOff>91677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41FC8CF-B87B-4AB0-B786-825DD791F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6561" y="7077789"/>
              <a:ext cx="4591050" cy="2790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0</xdr:colOff>
      <xdr:row>22</xdr:row>
      <xdr:rowOff>0</xdr:rowOff>
    </xdr:from>
    <xdr:to>
      <xdr:col>59</xdr:col>
      <xdr:colOff>276423</xdr:colOff>
      <xdr:row>40</xdr:row>
      <xdr:rowOff>127687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BBEF9F-90A0-4892-939F-309DD5E79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en/AppData/Roaming/Microsoft/Excel/research%20project%20result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ehydrated 19% RH"/>
      <sheetName val="correct dehydrated 19% RH"/>
      <sheetName val="correct dehydrated 23% RH"/>
      <sheetName val="correct dehydrated 30% RH (2)"/>
      <sheetName val="Sheet4"/>
      <sheetName val="Sheet4 (2)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>
        <row r="90">
          <cell r="J90">
            <v>1.0169999999999998E-2</v>
          </cell>
        </row>
      </sheetData>
      <sheetData sheetId="7">
        <row r="6">
          <cell r="C6">
            <v>3.1692531581397416</v>
          </cell>
          <cell r="D6">
            <v>4.311570879954604</v>
          </cell>
          <cell r="E6">
            <v>6.1037290923729426</v>
          </cell>
          <cell r="Y6">
            <v>8.1927649999999996</v>
          </cell>
          <cell r="Z6">
            <v>13.426705</v>
          </cell>
          <cell r="AA6">
            <v>12.759525</v>
          </cell>
          <cell r="AB6">
            <v>5.2410699999999997</v>
          </cell>
          <cell r="AD6">
            <v>22.858329999999999</v>
          </cell>
          <cell r="AE6">
            <v>5.7827549999999999</v>
          </cell>
          <cell r="AF6">
            <v>0.279225</v>
          </cell>
          <cell r="AG6">
            <v>47.540559999999999</v>
          </cell>
          <cell r="AI6">
            <v>43.674639999999997</v>
          </cell>
          <cell r="AJ6">
            <v>48.56823</v>
          </cell>
          <cell r="AK6">
            <v>43.090590000000006</v>
          </cell>
          <cell r="AL6">
            <v>48.524455000000003</v>
          </cell>
        </row>
        <row r="7">
          <cell r="C7">
            <v>3.2256206478168759</v>
          </cell>
          <cell r="D7">
            <v>4.311570879954604</v>
          </cell>
          <cell r="E7">
            <v>6.2462305612944089</v>
          </cell>
          <cell r="Y7">
            <v>12.41296</v>
          </cell>
          <cell r="Z7">
            <v>11.925180000000001</v>
          </cell>
          <cell r="AA7">
            <v>6.6830800000000004</v>
          </cell>
          <cell r="AB7">
            <v>6.5987600000000004</v>
          </cell>
          <cell r="AD7">
            <v>12.03341</v>
          </cell>
          <cell r="AE7">
            <v>14.505524999999999</v>
          </cell>
          <cell r="AF7">
            <v>15.157095</v>
          </cell>
          <cell r="AG7">
            <v>12.27962</v>
          </cell>
          <cell r="AI7">
            <v>48.493885000000006</v>
          </cell>
          <cell r="AJ7">
            <v>49.010095</v>
          </cell>
          <cell r="AK7">
            <v>42.890590000000003</v>
          </cell>
          <cell r="AL7">
            <v>48.835570000000004</v>
          </cell>
        </row>
        <row r="8">
          <cell r="C8">
            <v>3.2828546720160801</v>
          </cell>
          <cell r="D8">
            <v>4.0055722168697443</v>
          </cell>
          <cell r="E8">
            <v>5.9921259213709375</v>
          </cell>
          <cell r="Y8">
            <v>5.8169599999999999</v>
          </cell>
          <cell r="Z8">
            <v>13.52487</v>
          </cell>
          <cell r="AA8">
            <v>24.315629999999999</v>
          </cell>
          <cell r="AB8">
            <v>7.2316249999999993</v>
          </cell>
          <cell r="AD8">
            <v>10.55663</v>
          </cell>
          <cell r="AE8">
            <v>19.889330000000001</v>
          </cell>
          <cell r="AF8">
            <v>22.759409999999999</v>
          </cell>
          <cell r="AI8">
            <v>48.397239999999996</v>
          </cell>
          <cell r="AJ8">
            <v>48.986669999999997</v>
          </cell>
          <cell r="AK8">
            <v>48.568210000000001</v>
          </cell>
          <cell r="AL8">
            <v>48.878010000000003</v>
          </cell>
        </row>
        <row r="9">
          <cell r="C9">
            <v>3.187946718509024</v>
          </cell>
          <cell r="D9">
            <v>4.0287765577983858</v>
          </cell>
          <cell r="E9">
            <v>5.9921259213709375</v>
          </cell>
          <cell r="AD9">
            <v>19.350180000000002</v>
          </cell>
          <cell r="AK9">
            <v>48.857460000000003</v>
          </cell>
        </row>
        <row r="10">
          <cell r="C10">
            <v>3.2446018299248771</v>
          </cell>
          <cell r="D10">
            <v>4.0990888058494557</v>
          </cell>
          <cell r="E10">
            <v>6.1210993598851751</v>
          </cell>
        </row>
        <row r="11">
          <cell r="C11">
            <v>3.3021271532154564</v>
          </cell>
          <cell r="D11">
            <v>4.3690534304229773</v>
          </cell>
          <cell r="E11">
            <v>5.9921259213709375</v>
          </cell>
        </row>
        <row r="12">
          <cell r="C12">
            <v>3.2067357464293038</v>
          </cell>
          <cell r="D12">
            <v>4.2866604733348845</v>
          </cell>
          <cell r="E12">
            <v>6.0266226127193345</v>
          </cell>
        </row>
        <row r="13">
          <cell r="C13">
            <v>3.2636797013461503</v>
          </cell>
          <cell r="D13">
            <v>4.2866604733348845</v>
          </cell>
          <cell r="E13">
            <v>6.1563934701414675</v>
          </cell>
        </row>
        <row r="14">
          <cell r="C14">
            <v>3.3214975575733243</v>
          </cell>
          <cell r="D14">
            <v>4.0755343680856173</v>
          </cell>
          <cell r="E14">
            <v>6.0266226127193345</v>
          </cell>
        </row>
        <row r="15">
          <cell r="C15">
            <v>3.2256206478168759</v>
          </cell>
          <cell r="D15">
            <v>4.3190828618149446</v>
          </cell>
          <cell r="E15">
            <v>6.0266226127193345</v>
          </cell>
        </row>
        <row r="16">
          <cell r="C16">
            <v>3.2828546720160801</v>
          </cell>
          <cell r="D16">
            <v>4.0990888058494557</v>
          </cell>
          <cell r="E16">
            <v>6.1918634520833029</v>
          </cell>
        </row>
        <row r="17">
          <cell r="C17">
            <v>3.3214975575733243</v>
          </cell>
          <cell r="D17">
            <v>4.3440059973378666</v>
          </cell>
          <cell r="E17">
            <v>6.0266226127193345</v>
          </cell>
        </row>
        <row r="18">
          <cell r="D18">
            <v>4.3942256756720202</v>
          </cell>
        </row>
        <row r="36">
          <cell r="C36">
            <v>9.0099999999999625E-3</v>
          </cell>
        </row>
        <row r="37">
          <cell r="C37">
            <v>8.319999999999439E-3</v>
          </cell>
        </row>
        <row r="38">
          <cell r="C38">
            <v>1.0820000000000718E-2</v>
          </cell>
        </row>
        <row r="39">
          <cell r="C39">
            <v>9.4899999999995543E-3</v>
          </cell>
        </row>
        <row r="40">
          <cell r="C40">
            <v>8.5899999999998755E-3</v>
          </cell>
        </row>
        <row r="41">
          <cell r="C41">
            <v>8.6999999999992639E-3</v>
          </cell>
        </row>
        <row r="42">
          <cell r="C42">
            <v>7.6300000000006918E-3</v>
          </cell>
          <cell r="W42">
            <v>2732.5355182532808</v>
          </cell>
          <cell r="Y42">
            <v>4000.1351573535426</v>
          </cell>
          <cell r="AA42">
            <v>2085.9731007021405</v>
          </cell>
          <cell r="AB42">
            <v>1267.5996391002618</v>
          </cell>
        </row>
        <row r="43">
          <cell r="C43">
            <v>7.6299999999989154E-3</v>
          </cell>
          <cell r="W43">
            <v>3181.7616957516634</v>
          </cell>
          <cell r="Y43">
            <v>5250.8239260750661</v>
          </cell>
          <cell r="AA43">
            <v>1186.2503238568706</v>
          </cell>
          <cell r="AB43">
            <v>1274.4077989644506</v>
          </cell>
        </row>
        <row r="44">
          <cell r="C44">
            <v>8.7899999999994094E-3</v>
          </cell>
          <cell r="W44">
            <v>6086.1082580556831</v>
          </cell>
          <cell r="Y44">
            <v>17523.466646068064</v>
          </cell>
          <cell r="AA44">
            <v>28962.839293272762</v>
          </cell>
          <cell r="AB44">
            <v>14697.855438037972</v>
          </cell>
        </row>
        <row r="45">
          <cell r="C45">
            <v>9.840000000000515E-3</v>
          </cell>
          <cell r="W45">
            <v>6437.0742499319367</v>
          </cell>
          <cell r="Y45">
            <v>2980.3967333046171</v>
          </cell>
          <cell r="AA45">
            <v>1232.5899504981139</v>
          </cell>
          <cell r="AB45">
            <v>1232.5899504981139</v>
          </cell>
        </row>
        <row r="46">
          <cell r="C46">
            <v>8.6099999999991184E-3</v>
          </cell>
          <cell r="W46">
            <v>5338.9814011826484</v>
          </cell>
        </row>
        <row r="47">
          <cell r="W47">
            <v>3976.4161271106154</v>
          </cell>
        </row>
        <row r="49">
          <cell r="W49">
            <v>3258.4827908332827</v>
          </cell>
        </row>
        <row r="50">
          <cell r="W50">
            <v>2825.6112080300909</v>
          </cell>
        </row>
        <row r="51">
          <cell r="W51">
            <v>1747.8067828065032</v>
          </cell>
        </row>
        <row r="52">
          <cell r="W52">
            <v>4212.986683802731</v>
          </cell>
        </row>
        <row r="62">
          <cell r="D62">
            <v>-0.56761874999999995</v>
          </cell>
          <cell r="G62">
            <v>0.57583374999999992</v>
          </cell>
          <cell r="H62">
            <v>0.76402124999999999</v>
          </cell>
          <cell r="W62">
            <v>-1490.5735946650802</v>
          </cell>
          <cell r="Y62">
            <v>-783.15696652123427</v>
          </cell>
          <cell r="AA62">
            <v>631.86295967397325</v>
          </cell>
          <cell r="AB62">
            <v>707.41662814384597</v>
          </cell>
          <cell r="AQ62">
            <v>3828.2493271325397</v>
          </cell>
          <cell r="AS62">
            <v>294.97407280804993</v>
          </cell>
          <cell r="AU62">
            <v>3533.2752543244897</v>
          </cell>
          <cell r="AV62">
            <v>2206.6053618962342</v>
          </cell>
        </row>
        <row r="63">
          <cell r="D63">
            <v>-1.9019599999999999</v>
          </cell>
          <cell r="G63">
            <v>0.57670999999999983</v>
          </cell>
          <cell r="H63">
            <v>0.56908000000000003</v>
          </cell>
          <cell r="W63">
            <v>-151.29400684726104</v>
          </cell>
          <cell r="Y63">
            <v>-455.46763179343702</v>
          </cell>
          <cell r="AA63">
            <v>1480.3361017598338</v>
          </cell>
          <cell r="AB63">
            <v>1050.1359999807828</v>
          </cell>
          <cell r="AQ63">
            <v>-1911.6312890881843</v>
          </cell>
          <cell r="AS63">
            <v>1572.0377111345742</v>
          </cell>
          <cell r="AU63">
            <v>4007.4356302816177</v>
          </cell>
          <cell r="AV63">
            <v>2045.7656460645339</v>
          </cell>
        </row>
        <row r="64">
          <cell r="D64">
            <v>-0.40016333333333337</v>
          </cell>
          <cell r="G64">
            <v>1.0665133333333334</v>
          </cell>
          <cell r="H64">
            <v>1.4666766666666666</v>
          </cell>
          <cell r="W64">
            <v>-707.60329805136143</v>
          </cell>
          <cell r="Y64">
            <v>-1772.6324824528949</v>
          </cell>
          <cell r="AA64">
            <v>1705.9851497104532</v>
          </cell>
          <cell r="AB64">
            <v>2440.8107423704023</v>
          </cell>
          <cell r="AQ64">
            <v>-1031.6958196202056</v>
          </cell>
          <cell r="AS64">
            <v>715.59419714620662</v>
          </cell>
          <cell r="AU64">
            <v>2730.3600887410093</v>
          </cell>
          <cell r="AV64">
            <v>3497.4848495127235</v>
          </cell>
        </row>
        <row r="65">
          <cell r="D65">
            <v>-0.67058499999999999</v>
          </cell>
          <cell r="G65">
            <v>2.0705849999999999</v>
          </cell>
          <cell r="H65">
            <v>2.0705849999999999</v>
          </cell>
          <cell r="W65">
            <v>1024.8684699663968</v>
          </cell>
          <cell r="Y65">
            <v>394.13948731304617</v>
          </cell>
          <cell r="AA65">
            <v>3497.7239307788482</v>
          </cell>
          <cell r="AB65">
            <v>1925.5284421928793</v>
          </cell>
          <cell r="AQ65">
            <v>-473.72793492995964</v>
          </cell>
          <cell r="AS65">
            <v>-14061.056966223065</v>
          </cell>
          <cell r="AU65">
            <v>13357.409412044823</v>
          </cell>
          <cell r="AV65">
            <v>13357.409412044823</v>
          </cell>
        </row>
        <row r="66">
          <cell r="W66">
            <v>-885.66773357248803</v>
          </cell>
          <cell r="AQ66">
            <v>-389.63227308250953</v>
          </cell>
        </row>
        <row r="67">
          <cell r="W67">
            <v>-1505.6036317742198</v>
          </cell>
          <cell r="AQ67">
            <v>5579.4733414161919</v>
          </cell>
        </row>
        <row r="68">
          <cell r="W68">
            <v>-1970.5314709909044</v>
          </cell>
          <cell r="AQ68">
            <v>1482.7189579179208</v>
          </cell>
        </row>
        <row r="69">
          <cell r="W69">
            <v>-4213.443224823297</v>
          </cell>
          <cell r="AQ69">
            <v>-2781.8906523665169</v>
          </cell>
        </row>
        <row r="70">
          <cell r="W70">
            <v>-66.647332742441748</v>
          </cell>
          <cell r="AQ70">
            <v>3445.954285887216</v>
          </cell>
        </row>
        <row r="71">
          <cell r="W71">
            <v>-839.90790125493675</v>
          </cell>
          <cell r="AQ71">
            <v>-27418.466378267887</v>
          </cell>
        </row>
        <row r="72">
          <cell r="W72">
            <v>3891.8634180918943</v>
          </cell>
          <cell r="AQ72">
            <v>-703.6475541782421</v>
          </cell>
        </row>
        <row r="73">
          <cell r="W73">
            <v>-1531.3889548798331</v>
          </cell>
        </row>
        <row r="77">
          <cell r="W77">
            <v>-1178.0560012729225</v>
          </cell>
        </row>
        <row r="80">
          <cell r="C80">
            <v>-1.23261</v>
          </cell>
          <cell r="G80">
            <v>1.23261</v>
          </cell>
          <cell r="H80">
            <v>0.94920000000000004</v>
          </cell>
        </row>
        <row r="81">
          <cell r="C81">
            <v>-2.8136233333333336</v>
          </cell>
          <cell r="G81">
            <v>1.3593333333333568E-2</v>
          </cell>
          <cell r="H81">
            <v>1.9316666666666205E-2</v>
          </cell>
          <cell r="N81">
            <v>-2.5120733333333329</v>
          </cell>
          <cell r="P81">
            <v>0.42335333333333303</v>
          </cell>
          <cell r="Q81">
            <v>0.27295666666666696</v>
          </cell>
        </row>
        <row r="82">
          <cell r="C82">
            <v>-1.865345</v>
          </cell>
          <cell r="G82">
            <v>1.7604550000000001</v>
          </cell>
          <cell r="H82">
            <v>1.0217849999999999</v>
          </cell>
          <cell r="N82">
            <v>-2.3318466666666668</v>
          </cell>
          <cell r="P82">
            <v>3.1846666666667023E-2</v>
          </cell>
          <cell r="Q82">
            <v>6.017333333333319E-2</v>
          </cell>
        </row>
        <row r="83">
          <cell r="C83">
            <v>-2.7069833333333335</v>
          </cell>
          <cell r="G83">
            <v>0.26694333333333331</v>
          </cell>
          <cell r="H83">
            <v>0.22888666666666646</v>
          </cell>
          <cell r="N83">
            <v>-2.5936139999999996</v>
          </cell>
          <cell r="P83">
            <v>0.18709399999999965</v>
          </cell>
          <cell r="Q83">
            <v>0.27504600000000057</v>
          </cell>
        </row>
        <row r="84">
          <cell r="N84">
            <v>-2.8457066666666666</v>
          </cell>
          <cell r="P84">
            <v>2.3526666666666696E-2</v>
          </cell>
          <cell r="Q84">
            <v>4.7053333333333391E-2</v>
          </cell>
        </row>
        <row r="85">
          <cell r="W85">
            <v>237.5438651143773</v>
          </cell>
          <cell r="Y85">
            <v>136.74050136722258</v>
          </cell>
          <cell r="AA85">
            <v>280.44047512463135</v>
          </cell>
          <cell r="AB85">
            <v>381.24383887178601</v>
          </cell>
        </row>
        <row r="86">
          <cell r="W86">
            <v>417.18097649185393</v>
          </cell>
          <cell r="Y86">
            <v>2668.5838588116844</v>
          </cell>
          <cell r="AA86">
            <v>512.90661653166671</v>
          </cell>
          <cell r="AB86">
            <v>945.16720002980446</v>
          </cell>
        </row>
        <row r="87">
          <cell r="W87">
            <v>-244.5033375045634</v>
          </cell>
          <cell r="Y87">
            <v>393.80994116589955</v>
          </cell>
          <cell r="AA87">
            <v>1474.3903735828098</v>
          </cell>
          <cell r="AB87">
            <v>1400.1299494351151</v>
          </cell>
        </row>
        <row r="88">
          <cell r="W88">
            <v>3100.8444423098217</v>
          </cell>
          <cell r="Y88">
            <v>-376.47746569671381</v>
          </cell>
          <cell r="AA88">
            <v>1341.9629605322389</v>
          </cell>
          <cell r="AB88">
            <v>791.25892873392786</v>
          </cell>
        </row>
        <row r="89">
          <cell r="W89">
            <v>1723.41665878188</v>
          </cell>
        </row>
        <row r="90">
          <cell r="W90">
            <v>3181.4904753433511</v>
          </cell>
        </row>
        <row r="91">
          <cell r="W91">
            <v>1868.2003147487094</v>
          </cell>
        </row>
        <row r="92">
          <cell r="W92">
            <v>-1006.3200082692156</v>
          </cell>
        </row>
        <row r="93">
          <cell r="W93">
            <v>319.54951701820488</v>
          </cell>
        </row>
        <row r="94">
          <cell r="W94">
            <v>-1167.7363944306417</v>
          </cell>
        </row>
        <row r="95">
          <cell r="W95">
            <v>-927.18149749502504</v>
          </cell>
        </row>
        <row r="96">
          <cell r="C96">
            <v>0.18976999999999999</v>
          </cell>
          <cell r="W96">
            <v>965.48549483552517</v>
          </cell>
        </row>
        <row r="97">
          <cell r="C97">
            <v>-2.0063333333333336E-2</v>
          </cell>
        </row>
        <row r="98">
          <cell r="C98">
            <v>0.12350999999999999</v>
          </cell>
        </row>
        <row r="99">
          <cell r="C99">
            <v>3.2959999999999996E-2</v>
          </cell>
          <cell r="N99">
            <v>-2.689413333333333</v>
          </cell>
          <cell r="Q99">
            <v>0.12785333333333293</v>
          </cell>
          <cell r="R99">
            <v>0.2265666666666668</v>
          </cell>
        </row>
        <row r="100">
          <cell r="N100">
            <v>-3.8038500000000002</v>
          </cell>
          <cell r="Q100">
            <v>0.19410000000000016</v>
          </cell>
          <cell r="R100">
            <v>0.32586999999999966</v>
          </cell>
        </row>
        <row r="101">
          <cell r="N101">
            <v>-3.9077999999999999</v>
          </cell>
          <cell r="Q101">
            <v>0.20608000000000004</v>
          </cell>
          <cell r="R101">
            <v>0.23219999999999974</v>
          </cell>
        </row>
        <row r="102">
          <cell r="N102">
            <v>-3.9588325000000002</v>
          </cell>
          <cell r="Q102">
            <v>9.4492500000000312E-2</v>
          </cell>
          <cell r="R102">
            <v>0.10821749999999986</v>
          </cell>
        </row>
        <row r="125">
          <cell r="K125">
            <v>0.49388000000000004</v>
          </cell>
        </row>
        <row r="126">
          <cell r="K126">
            <v>0.19145999999999999</v>
          </cell>
        </row>
        <row r="127">
          <cell r="K127">
            <v>0.64829999999999999</v>
          </cell>
        </row>
        <row r="128">
          <cell r="K128">
            <v>0.69284000000000001</v>
          </cell>
        </row>
        <row r="129">
          <cell r="F129">
            <v>0.18837499999999999</v>
          </cell>
          <cell r="G129">
            <v>0.14605000000000001</v>
          </cell>
          <cell r="H129">
            <v>0.16344999999999998</v>
          </cell>
          <cell r="I129">
            <v>0.67240000000000011</v>
          </cell>
          <cell r="J129">
            <v>1.362825</v>
          </cell>
        </row>
      </sheetData>
      <sheetData sheetId="8">
        <row r="42">
          <cell r="W42">
            <v>-51.557273929510472</v>
          </cell>
          <cell r="Y42">
            <v>-258.73847167821066</v>
          </cell>
          <cell r="AA42">
            <v>761.12189732316665</v>
          </cell>
          <cell r="AB42">
            <v>1008.7741313070427</v>
          </cell>
        </row>
        <row r="43">
          <cell r="W43">
            <v>502.38342564495593</v>
          </cell>
          <cell r="Y43">
            <v>-1875.4815195443027</v>
          </cell>
          <cell r="AA43">
            <v>1746.5883955771305</v>
          </cell>
          <cell r="AB43">
            <v>1445.4082669469192</v>
          </cell>
        </row>
        <row r="44">
          <cell r="W44">
            <v>-218.26743544303483</v>
          </cell>
          <cell r="Y44">
            <v>-1564.8667799093885</v>
          </cell>
          <cell r="AA44">
            <v>679.77220344356954</v>
          </cell>
          <cell r="AB44">
            <v>1351.2483528182881</v>
          </cell>
        </row>
        <row r="45">
          <cell r="W45">
            <v>-1267.5126029852534</v>
          </cell>
          <cell r="Y45">
            <v>-692.34520129346004</v>
          </cell>
          <cell r="AA45">
            <v>785.41265511713834</v>
          </cell>
          <cell r="AB45">
            <v>785.41265511713834</v>
          </cell>
        </row>
        <row r="46">
          <cell r="W46">
            <v>-128.89312396717213</v>
          </cell>
        </row>
        <row r="47">
          <cell r="W47">
            <v>-2176.6616481745145</v>
          </cell>
        </row>
        <row r="48">
          <cell r="W48">
            <v>-3320.8897864912219</v>
          </cell>
        </row>
        <row r="49">
          <cell r="W49">
            <v>-2916.1151327276766</v>
          </cell>
        </row>
        <row r="50">
          <cell r="W50">
            <v>-893.39063053466998</v>
          </cell>
        </row>
        <row r="51">
          <cell r="W51">
            <v>-885.09457646581893</v>
          </cell>
        </row>
        <row r="52">
          <cell r="W52">
            <v>93.067453823678321</v>
          </cell>
        </row>
        <row r="53">
          <cell r="W53">
            <v>-1477.7578564105984</v>
          </cell>
        </row>
        <row r="62">
          <cell r="Y62">
            <v>-783.15696652123427</v>
          </cell>
          <cell r="AA62">
            <v>631.86295967397325</v>
          </cell>
          <cell r="AB62">
            <v>707.41662814384597</v>
          </cell>
          <cell r="AS62">
            <v>294.97407280804993</v>
          </cell>
          <cell r="AU62">
            <v>3533.2752543244897</v>
          </cell>
          <cell r="AV62">
            <v>2206.6053618962342</v>
          </cell>
        </row>
        <row r="63">
          <cell r="Y63">
            <v>-455.46763179343702</v>
          </cell>
          <cell r="AA63">
            <v>1480.3361017598338</v>
          </cell>
          <cell r="AB63">
            <v>1050.1359999807828</v>
          </cell>
          <cell r="AS63">
            <v>1572.0377111345742</v>
          </cell>
          <cell r="AU63">
            <v>4007.4356302816177</v>
          </cell>
          <cell r="AV63">
            <v>2045.7656460645339</v>
          </cell>
        </row>
        <row r="64">
          <cell r="Y64">
            <v>-1772.6324824528949</v>
          </cell>
          <cell r="AA64">
            <v>1705.9851497104532</v>
          </cell>
          <cell r="AB64">
            <v>2440.8107423704023</v>
          </cell>
          <cell r="AS64">
            <v>715.59419714620662</v>
          </cell>
          <cell r="AU64">
            <v>2730.3600887410093</v>
          </cell>
          <cell r="AV64">
            <v>3497.4848495127235</v>
          </cell>
        </row>
        <row r="65">
          <cell r="Y65">
            <v>394.13948731304617</v>
          </cell>
          <cell r="AA65">
            <v>3497.7239307788482</v>
          </cell>
          <cell r="AB65">
            <v>1925.5284421928793</v>
          </cell>
          <cell r="AS65">
            <v>-14061.056966223065</v>
          </cell>
          <cell r="AU65">
            <v>13357.409412044823</v>
          </cell>
          <cell r="AV65">
            <v>13357.409412044823</v>
          </cell>
        </row>
        <row r="85">
          <cell r="Y85">
            <v>136.74050136722258</v>
          </cell>
          <cell r="AA85">
            <v>280.44047512463135</v>
          </cell>
          <cell r="AB85">
            <v>381.24383887178601</v>
          </cell>
        </row>
        <row r="86">
          <cell r="Y86">
            <v>2668.5838588116844</v>
          </cell>
          <cell r="AA86">
            <v>512.90661653166671</v>
          </cell>
          <cell r="AB86">
            <v>945.16720002980446</v>
          </cell>
        </row>
        <row r="87">
          <cell r="Y87">
            <v>393.80994116589955</v>
          </cell>
          <cell r="AA87">
            <v>1474.3903735828098</v>
          </cell>
          <cell r="AB87">
            <v>1400.1299494351151</v>
          </cell>
        </row>
        <row r="88">
          <cell r="Y88">
            <v>-376.47746569671381</v>
          </cell>
          <cell r="AA88">
            <v>1341.9629605322389</v>
          </cell>
          <cell r="AB88">
            <v>791.25892873392786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346B-5160-44A9-ABA1-073644F1D7DE}">
  <dimension ref="A2:AD45"/>
  <sheetViews>
    <sheetView zoomScale="62" workbookViewId="0">
      <selection activeCell="I2" sqref="I2:K3"/>
    </sheetView>
  </sheetViews>
  <sheetFormatPr defaultRowHeight="14.4" x14ac:dyDescent="0.3"/>
  <cols>
    <col min="3" max="3" width="17.6640625" customWidth="1"/>
    <col min="4" max="4" width="12" bestFit="1" customWidth="1"/>
    <col min="5" max="5" width="10.109375" customWidth="1"/>
    <col min="6" max="6" width="13.33203125" bestFit="1" customWidth="1"/>
    <col min="7" max="7" width="12.5546875" bestFit="1" customWidth="1"/>
    <col min="8" max="8" width="14.88671875" bestFit="1" customWidth="1"/>
    <col min="10" max="10" width="13.44140625" customWidth="1"/>
    <col min="11" max="11" width="14.33203125" customWidth="1"/>
    <col min="12" max="12" width="13.33203125" bestFit="1" customWidth="1"/>
    <col min="13" max="13" width="13" bestFit="1" customWidth="1"/>
    <col min="14" max="14" width="12.6640625" bestFit="1" customWidth="1"/>
    <col min="15" max="15" width="12" bestFit="1" customWidth="1"/>
    <col min="16" max="16" width="9.88671875" customWidth="1"/>
    <col min="17" max="17" width="12.6640625" bestFit="1" customWidth="1"/>
    <col min="18" max="18" width="12.5546875" customWidth="1"/>
    <col min="19" max="19" width="11.88671875" bestFit="1" customWidth="1"/>
    <col min="20" max="20" width="11.109375" bestFit="1" customWidth="1"/>
    <col min="22" max="22" width="11.109375" bestFit="1" customWidth="1"/>
    <col min="24" max="24" width="11.109375" bestFit="1" customWidth="1"/>
  </cols>
  <sheetData>
    <row r="2" spans="1:30" x14ac:dyDescent="0.3">
      <c r="C2" t="s">
        <v>0</v>
      </c>
      <c r="D2">
        <v>19</v>
      </c>
      <c r="E2" t="s">
        <v>1</v>
      </c>
      <c r="I2" t="s">
        <v>67</v>
      </c>
      <c r="J2">
        <v>100</v>
      </c>
      <c r="K2" t="s">
        <v>68</v>
      </c>
    </row>
    <row r="3" spans="1:30" x14ac:dyDescent="0.3">
      <c r="C3" t="s">
        <v>2</v>
      </c>
      <c r="D3">
        <v>1.0169999999999999</v>
      </c>
      <c r="E3" t="s">
        <v>3</v>
      </c>
      <c r="I3" t="s">
        <v>69</v>
      </c>
      <c r="J3">
        <v>1</v>
      </c>
      <c r="K3" t="s">
        <v>70</v>
      </c>
    </row>
    <row r="4" spans="1:30" x14ac:dyDescent="0.3">
      <c r="C4" t="s">
        <v>4</v>
      </c>
      <c r="D4">
        <v>10</v>
      </c>
      <c r="E4" t="s">
        <v>5</v>
      </c>
      <c r="F4">
        <f>D4/1000</f>
        <v>0.01</v>
      </c>
      <c r="G4" t="s">
        <v>6</v>
      </c>
    </row>
    <row r="5" spans="1:30" x14ac:dyDescent="0.3">
      <c r="C5" t="s">
        <v>7</v>
      </c>
      <c r="D5">
        <f>F4*D3</f>
        <v>1.0169999999999998E-2</v>
      </c>
      <c r="E5" t="s">
        <v>8</v>
      </c>
      <c r="F5">
        <f>D5/1000</f>
        <v>1.0169999999999999E-5</v>
      </c>
      <c r="G5" t="s">
        <v>9</v>
      </c>
    </row>
    <row r="6" spans="1:30" x14ac:dyDescent="0.3">
      <c r="C6" t="s">
        <v>10</v>
      </c>
      <c r="D6">
        <f>F5*9.81</f>
        <v>9.9767700000000004E-5</v>
      </c>
      <c r="E6" t="s">
        <v>11</v>
      </c>
      <c r="F6">
        <f>D6*1000</f>
        <v>9.9767700000000001E-2</v>
      </c>
      <c r="G6" t="s">
        <v>12</v>
      </c>
      <c r="I6" t="s">
        <v>13</v>
      </c>
      <c r="J6">
        <f>F6/F7</f>
        <v>4.0147178169607682E-3</v>
      </c>
      <c r="K6" t="s">
        <v>14</v>
      </c>
      <c r="L6" s="1"/>
    </row>
    <row r="7" spans="1:30" x14ac:dyDescent="0.3">
      <c r="C7" t="s">
        <v>15</v>
      </c>
      <c r="D7">
        <f>((0.5625/2)^2)*PI()</f>
        <v>0.24850488763747386</v>
      </c>
      <c r="E7" t="s">
        <v>16</v>
      </c>
      <c r="F7">
        <f>D7*100</f>
        <v>24.850488763747386</v>
      </c>
      <c r="G7" t="s">
        <v>17</v>
      </c>
    </row>
    <row r="8" spans="1:30" x14ac:dyDescent="0.3">
      <c r="C8" t="s">
        <v>18</v>
      </c>
      <c r="D8">
        <v>10</v>
      </c>
      <c r="E8" t="s">
        <v>19</v>
      </c>
      <c r="F8">
        <f>D8/1000</f>
        <v>0.01</v>
      </c>
      <c r="G8" t="s">
        <v>20</v>
      </c>
    </row>
    <row r="9" spans="1:30" x14ac:dyDescent="0.3">
      <c r="C9" t="s">
        <v>21</v>
      </c>
      <c r="D9">
        <v>0.495</v>
      </c>
      <c r="J9">
        <f>J18/J6</f>
        <v>2.2372680744968436</v>
      </c>
      <c r="K9" t="s">
        <v>17</v>
      </c>
      <c r="L9" s="1"/>
    </row>
    <row r="10" spans="1:30" x14ac:dyDescent="0.3">
      <c r="C10" t="s">
        <v>22</v>
      </c>
      <c r="D10">
        <f>1.32/1000</f>
        <v>1.32E-3</v>
      </c>
      <c r="E10" t="s">
        <v>23</v>
      </c>
      <c r="F10">
        <f>D10*(10^9)</f>
        <v>1320000</v>
      </c>
      <c r="G10" t="s">
        <v>24</v>
      </c>
      <c r="J10">
        <v>150</v>
      </c>
      <c r="K10" t="s">
        <v>12</v>
      </c>
      <c r="L10" s="1"/>
    </row>
    <row r="11" spans="1:30" x14ac:dyDescent="0.3">
      <c r="C11" t="s">
        <v>25</v>
      </c>
      <c r="D11">
        <v>0.27500000000000002</v>
      </c>
      <c r="L11" s="1"/>
      <c r="R11" t="s">
        <v>26</v>
      </c>
      <c r="S11" t="s">
        <v>27</v>
      </c>
    </row>
    <row r="12" spans="1:30" x14ac:dyDescent="0.3">
      <c r="C12" t="s">
        <v>28</v>
      </c>
      <c r="D12">
        <v>205</v>
      </c>
      <c r="E12" t="s">
        <v>29</v>
      </c>
      <c r="F12">
        <f>D12*(10^9)</f>
        <v>205000000000</v>
      </c>
      <c r="G12" t="s">
        <v>24</v>
      </c>
    </row>
    <row r="13" spans="1:30" ht="15" thickBot="1" x14ac:dyDescent="0.35">
      <c r="C13" t="s">
        <v>30</v>
      </c>
      <c r="D13">
        <f>1/((1/D12)+(1/D10))</f>
        <v>1.3199915005425329E-3</v>
      </c>
      <c r="E13" t="s">
        <v>29</v>
      </c>
      <c r="F13" s="1">
        <f>D13*(10^9)</f>
        <v>1319991.5005425329</v>
      </c>
      <c r="G13" t="s">
        <v>24</v>
      </c>
    </row>
    <row r="14" spans="1:30" ht="15" hidden="1" thickBo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0" ht="15" thickBot="1" x14ac:dyDescent="0.35">
      <c r="A15" s="3"/>
      <c r="D15" s="4" t="s">
        <v>31</v>
      </c>
      <c r="E15" s="5"/>
      <c r="F15" s="5"/>
      <c r="G15" s="6"/>
      <c r="H15" s="4" t="s">
        <v>32</v>
      </c>
      <c r="I15" s="5"/>
      <c r="J15" s="6"/>
      <c r="K15" s="4" t="s">
        <v>33</v>
      </c>
      <c r="L15" s="5"/>
      <c r="M15" s="6"/>
      <c r="N15" s="4" t="s">
        <v>34</v>
      </c>
      <c r="O15" s="5"/>
      <c r="P15" s="6"/>
      <c r="Q15" s="7" t="s">
        <v>35</v>
      </c>
      <c r="R15" s="8"/>
      <c r="S15" s="8"/>
      <c r="T15" s="8"/>
      <c r="U15" s="8"/>
      <c r="V15" s="2"/>
      <c r="AB15" t="s">
        <v>36</v>
      </c>
    </row>
    <row r="16" spans="1:30" ht="58.2" thickBot="1" x14ac:dyDescent="0.35">
      <c r="A16" s="3"/>
      <c r="B16" s="9" t="s">
        <v>37</v>
      </c>
      <c r="C16" s="10" t="s">
        <v>38</v>
      </c>
      <c r="D16" s="11" t="s">
        <v>39</v>
      </c>
      <c r="E16" s="12" t="s">
        <v>40</v>
      </c>
      <c r="F16" s="12" t="s">
        <v>41</v>
      </c>
      <c r="G16" s="13" t="s">
        <v>42</v>
      </c>
      <c r="H16" s="11" t="s">
        <v>43</v>
      </c>
      <c r="I16" s="12" t="s">
        <v>44</v>
      </c>
      <c r="J16" s="13" t="s">
        <v>45</v>
      </c>
      <c r="K16" s="9" t="s">
        <v>46</v>
      </c>
      <c r="L16" s="10" t="s">
        <v>47</v>
      </c>
      <c r="M16" s="14" t="s">
        <v>48</v>
      </c>
      <c r="N16" s="9" t="s">
        <v>49</v>
      </c>
      <c r="O16" s="10" t="s">
        <v>47</v>
      </c>
      <c r="P16" s="14" t="s">
        <v>48</v>
      </c>
      <c r="Q16" s="15" t="s">
        <v>48</v>
      </c>
      <c r="R16" s="9" t="s">
        <v>50</v>
      </c>
      <c r="S16" s="10" t="s">
        <v>51</v>
      </c>
      <c r="T16" s="10" t="s">
        <v>52</v>
      </c>
      <c r="U16" s="14" t="s">
        <v>53</v>
      </c>
      <c r="V16" s="8" t="s">
        <v>54</v>
      </c>
      <c r="W16" s="8" t="s">
        <v>55</v>
      </c>
      <c r="X16" s="8" t="s">
        <v>56</v>
      </c>
      <c r="Y16" s="8" t="s">
        <v>57</v>
      </c>
      <c r="Z16" s="8" t="s">
        <v>58</v>
      </c>
      <c r="AA16" s="8" t="s">
        <v>59</v>
      </c>
      <c r="AB16" s="8" t="s">
        <v>60</v>
      </c>
      <c r="AC16" s="8" t="s">
        <v>61</v>
      </c>
      <c r="AD16" s="8" t="s">
        <v>62</v>
      </c>
    </row>
    <row r="17" spans="1:30" x14ac:dyDescent="0.3">
      <c r="A17" s="3"/>
      <c r="B17" s="4">
        <v>19</v>
      </c>
      <c r="C17" s="16" t="s">
        <v>63</v>
      </c>
      <c r="D17" s="17">
        <v>-1.06</v>
      </c>
      <c r="E17" s="18">
        <f>AVERAGE(D22:D24)</f>
        <v>-2.689413333333333</v>
      </c>
      <c r="F17" s="19">
        <v>4.895E-2</v>
      </c>
      <c r="G17" s="20">
        <f>AVERAGE(F17:F19)</f>
        <v>0.18976999999999999</v>
      </c>
      <c r="H17" s="21">
        <v>0.12646499999999999</v>
      </c>
      <c r="I17" s="22">
        <v>0.122588</v>
      </c>
      <c r="J17" s="23">
        <f>H17-I17</f>
        <v>3.8769999999999916E-3</v>
      </c>
      <c r="K17" s="24">
        <v>19.3</v>
      </c>
      <c r="L17" s="19">
        <v>19.399999999999999</v>
      </c>
      <c r="M17" s="25">
        <f>IF(((L17-K17)&gt;0.1),((K17+L17)/2),L17)</f>
        <v>19.399999999999999</v>
      </c>
      <c r="N17" s="24">
        <v>8.2748399999999993</v>
      </c>
      <c r="O17" s="19">
        <v>8.11069</v>
      </c>
      <c r="P17" s="25">
        <f>(N17+O17)/2</f>
        <v>8.1927649999999996</v>
      </c>
      <c r="Q17" s="26">
        <f>P17/1000</f>
        <v>8.1927649999999994E-3</v>
      </c>
      <c r="R17" s="24">
        <f>1000*((3*Q17*$F$8)/(4*$F$13))^(1/3)</f>
        <v>0.35972741936136959</v>
      </c>
      <c r="S17" s="22">
        <f>PI()*R17*R17</f>
        <v>0.40653407844729483</v>
      </c>
      <c r="T17" s="19">
        <f>$J$6*S17</f>
        <v>1.6321196079440812E-3</v>
      </c>
      <c r="U17" s="25">
        <f>J17*100/T17</f>
        <v>237.5438651143773</v>
      </c>
      <c r="V17" s="27">
        <f>AVERAGE(U17:U19)</f>
        <v>136.74050136722258</v>
      </c>
      <c r="W17" s="28">
        <f>_xlfn.VAR.S(U17:U19)</f>
        <v>117077.52145428325</v>
      </c>
      <c r="X17" s="28">
        <f>_xlfn.QUARTILE.INC(U17:U19,1)</f>
        <v>-3.4797361950930679</v>
      </c>
      <c r="Y17" s="28">
        <f>_xlfn.QUARTILE.INC(U17:U19,2)</f>
        <v>237.5438651143773</v>
      </c>
      <c r="Z17" s="28">
        <f>_xlfn.QUARTILE.INC(U17:U19,3)</f>
        <v>327.36242080311558</v>
      </c>
      <c r="AA17" s="28">
        <f>Z17-X17</f>
        <v>330.84215699820868</v>
      </c>
      <c r="AB17" s="28">
        <f>X17-(1.5*AA17)</f>
        <v>-499.74297169240606</v>
      </c>
      <c r="AC17" s="28">
        <f>Z17+(1.5*AA17)</f>
        <v>823.62565630042855</v>
      </c>
      <c r="AD17" t="str">
        <f>IF(OR(($AB$17&gt;U17),($AC$17&lt;U17)),"Yes","No")</f>
        <v>No</v>
      </c>
    </row>
    <row r="18" spans="1:30" x14ac:dyDescent="0.3">
      <c r="A18" s="3"/>
      <c r="B18" s="29"/>
      <c r="C18" s="30"/>
      <c r="D18" s="31">
        <v>-1.18</v>
      </c>
      <c r="E18" s="32"/>
      <c r="F18" s="3">
        <v>0.33966000000000002</v>
      </c>
      <c r="G18" s="33"/>
      <c r="H18" s="34">
        <v>9.9225999999999995E-2</v>
      </c>
      <c r="I18">
        <v>9.0244000000000005E-2</v>
      </c>
      <c r="J18" s="35">
        <f t="shared" ref="J18:J40" si="0">H18-I18</f>
        <v>8.98199999999999E-3</v>
      </c>
      <c r="K18" s="36">
        <v>19.7</v>
      </c>
      <c r="L18" s="3">
        <v>19.7</v>
      </c>
      <c r="M18" s="37">
        <f>IF(((L18-K18)&gt;0.1),((K18+L18)/2),L18)</f>
        <v>19.7</v>
      </c>
      <c r="N18" s="36">
        <v>12.420920000000001</v>
      </c>
      <c r="O18" s="3">
        <v>12.404999999999999</v>
      </c>
      <c r="P18" s="37">
        <f>(N18+O18)/2</f>
        <v>12.41296</v>
      </c>
      <c r="Q18" s="38">
        <f>P18/1000</f>
        <v>1.2412960000000001E-2</v>
      </c>
      <c r="R18" s="36">
        <f>1000*((3*Q18*$F$8)/(4*$F$13))^(1/3)</f>
        <v>0.41316338621775506</v>
      </c>
      <c r="S18">
        <f t="shared" ref="S18:S40" si="1">PI()*R18*R18</f>
        <v>0.53628238116474369</v>
      </c>
      <c r="T18" s="3">
        <f t="shared" ref="T18:T40" si="2">$J$6*S18</f>
        <v>2.1530224305842424E-3</v>
      </c>
      <c r="U18" s="37">
        <f>J18*100/T18</f>
        <v>417.18097649185393</v>
      </c>
      <c r="V18" s="27"/>
      <c r="W18" s="28"/>
      <c r="X18" s="28"/>
      <c r="Y18" s="28"/>
      <c r="Z18" s="28"/>
      <c r="AA18" s="28"/>
      <c r="AB18" s="28"/>
      <c r="AC18" s="28"/>
      <c r="AD18" t="str">
        <f>IF(OR(($AB$17&gt;U18),($AC$17&lt;U18)),"Yes","No")</f>
        <v>No</v>
      </c>
    </row>
    <row r="19" spans="1:30" x14ac:dyDescent="0.3">
      <c r="A19" s="3"/>
      <c r="B19" s="29"/>
      <c r="C19" s="30"/>
      <c r="D19" s="31">
        <v>-1.0964</v>
      </c>
      <c r="E19" s="32"/>
      <c r="F19" s="3">
        <v>0.1807</v>
      </c>
      <c r="G19" s="33"/>
      <c r="H19" s="34">
        <v>0.11167199999999999</v>
      </c>
      <c r="I19">
        <v>0.11484800000000001</v>
      </c>
      <c r="J19" s="35">
        <f t="shared" si="0"/>
        <v>-3.1760000000000121E-3</v>
      </c>
      <c r="K19" s="36">
        <v>20</v>
      </c>
      <c r="L19" s="3">
        <v>20</v>
      </c>
      <c r="M19" s="37">
        <f>IF(((L19-K19)&gt;0.1),((K19+L19)/2),L19)</f>
        <v>20</v>
      </c>
      <c r="N19" s="36">
        <v>5.8839100000000002</v>
      </c>
      <c r="O19" s="3">
        <v>5.7500099999999996</v>
      </c>
      <c r="P19" s="37">
        <f>(N19+O19)/2</f>
        <v>5.8169599999999999</v>
      </c>
      <c r="Q19" s="38">
        <f>P19/1000</f>
        <v>5.8169599999999995E-3</v>
      </c>
      <c r="R19" s="36">
        <f>1000*((3*Q19*$F$8)/(4*$F$13))^(1/3)</f>
        <v>0.32091897912983292</v>
      </c>
      <c r="S19">
        <f t="shared" si="1"/>
        <v>0.32354945804689444</v>
      </c>
      <c r="T19" s="3">
        <f t="shared" si="2"/>
        <v>1.2989597738888678E-3</v>
      </c>
      <c r="U19" s="37">
        <f>J19*100/T19</f>
        <v>-244.5033375045634</v>
      </c>
      <c r="V19" s="27"/>
      <c r="W19" s="28"/>
      <c r="X19" s="28"/>
      <c r="Y19" s="28"/>
      <c r="Z19" s="28"/>
      <c r="AA19" s="28"/>
      <c r="AB19" s="28"/>
      <c r="AC19" s="28"/>
      <c r="AD19" t="str">
        <f>IF(OR(($AB$17&gt;U19),($AC$17&lt;U19)),"Yes","No")</f>
        <v>No</v>
      </c>
    </row>
    <row r="20" spans="1:30" x14ac:dyDescent="0.3">
      <c r="A20" s="3"/>
      <c r="B20" s="29"/>
      <c r="C20" s="30"/>
      <c r="D20" s="31">
        <v>-1.34</v>
      </c>
      <c r="E20" s="32"/>
      <c r="F20" s="3"/>
      <c r="G20" s="33"/>
      <c r="H20" s="34"/>
      <c r="J20" s="35"/>
      <c r="K20" s="36"/>
      <c r="L20" s="3"/>
      <c r="M20" s="37"/>
      <c r="N20" s="36"/>
      <c r="O20" s="3"/>
      <c r="P20" s="37"/>
      <c r="Q20" s="38"/>
      <c r="R20" s="36"/>
      <c r="S20" s="3"/>
      <c r="T20" s="3"/>
      <c r="U20" s="37"/>
      <c r="V20" s="3"/>
    </row>
    <row r="21" spans="1:30" x14ac:dyDescent="0.3">
      <c r="A21" s="3"/>
      <c r="B21" s="29"/>
      <c r="C21" s="30"/>
      <c r="D21" s="31">
        <v>-1.4259999999999999</v>
      </c>
      <c r="E21" s="32"/>
      <c r="F21" s="3"/>
      <c r="G21" s="33"/>
      <c r="H21" s="34"/>
      <c r="J21" s="35"/>
      <c r="K21" s="36"/>
      <c r="L21" s="3"/>
      <c r="M21" s="37"/>
      <c r="N21" s="36"/>
      <c r="O21" s="3"/>
      <c r="P21" s="37"/>
      <c r="Q21" s="38"/>
      <c r="R21" s="36"/>
      <c r="S21" s="3"/>
      <c r="T21" s="3"/>
      <c r="U21" s="37"/>
      <c r="V21" s="3"/>
    </row>
    <row r="22" spans="1:30" x14ac:dyDescent="0.3">
      <c r="A22" s="3"/>
      <c r="B22" s="29"/>
      <c r="C22" s="30"/>
      <c r="D22" s="39">
        <v>-2.9159799999999998</v>
      </c>
      <c r="E22" s="32"/>
      <c r="F22" s="3"/>
      <c r="G22" s="33"/>
      <c r="H22" s="34"/>
      <c r="J22" s="35"/>
      <c r="K22" s="36"/>
      <c r="L22" s="3"/>
      <c r="M22" s="37"/>
      <c r="N22" s="36"/>
      <c r="O22" s="3"/>
      <c r="P22" s="37"/>
      <c r="Q22" s="38"/>
      <c r="R22" s="36"/>
      <c r="S22" s="3"/>
      <c r="T22" s="3"/>
      <c r="U22" s="37"/>
      <c r="V22" s="3"/>
    </row>
    <row r="23" spans="1:30" x14ac:dyDescent="0.3">
      <c r="A23" s="3"/>
      <c r="B23" s="29"/>
      <c r="C23" s="30"/>
      <c r="D23" s="39">
        <v>-2.5615600000000001</v>
      </c>
      <c r="E23" s="32"/>
      <c r="F23" s="3"/>
      <c r="G23" s="33"/>
      <c r="H23" s="34"/>
      <c r="J23" s="35"/>
      <c r="K23" s="36"/>
      <c r="L23" s="3"/>
      <c r="M23" s="37"/>
      <c r="N23" s="36"/>
      <c r="O23" s="3"/>
      <c r="P23" s="37"/>
      <c r="Q23" s="38"/>
      <c r="R23" s="36"/>
      <c r="S23" s="3"/>
      <c r="T23" s="3"/>
      <c r="U23" s="37"/>
      <c r="V23" s="3"/>
    </row>
    <row r="24" spans="1:30" ht="15" thickBot="1" x14ac:dyDescent="0.35">
      <c r="A24" s="3"/>
      <c r="B24" s="29"/>
      <c r="C24" s="40"/>
      <c r="D24" s="41">
        <v>-2.5907</v>
      </c>
      <c r="E24" s="42"/>
      <c r="F24" s="43"/>
      <c r="G24" s="44"/>
      <c r="H24" s="45"/>
      <c r="I24" s="46"/>
      <c r="J24" s="47"/>
      <c r="K24" s="48"/>
      <c r="L24" s="43"/>
      <c r="M24" s="49"/>
      <c r="N24" s="48"/>
      <c r="O24" s="43"/>
      <c r="P24" s="49"/>
      <c r="Q24" s="50"/>
      <c r="R24" s="48"/>
      <c r="S24" s="43"/>
      <c r="T24" s="43"/>
      <c r="U24" s="49"/>
      <c r="V24" s="3"/>
    </row>
    <row r="25" spans="1:30" x14ac:dyDescent="0.3">
      <c r="A25" s="3"/>
      <c r="B25" s="29"/>
      <c r="C25" s="16" t="s">
        <v>64</v>
      </c>
      <c r="D25" s="17">
        <v>-1.7502</v>
      </c>
      <c r="E25" s="18">
        <f>AVERAGE(D28:D31)</f>
        <v>-3.8038500000000002</v>
      </c>
      <c r="F25" s="19">
        <v>-9.5960000000000004E-2</v>
      </c>
      <c r="G25" s="51">
        <f>AVERAGE(F25:F27)</f>
        <v>-2.0063333333333336E-2</v>
      </c>
      <c r="H25" s="21">
        <v>0.22834699999999999</v>
      </c>
      <c r="I25" s="22">
        <v>0.157998</v>
      </c>
      <c r="J25" s="23">
        <f t="shared" si="0"/>
        <v>7.0348999999999995E-2</v>
      </c>
      <c r="K25" s="24">
        <v>19.399999999999999</v>
      </c>
      <c r="L25" s="19">
        <v>19.5</v>
      </c>
      <c r="M25" s="25">
        <f>IF(((L25-K25)&gt;0.2),((K25+L25)/2),L25)</f>
        <v>19.5</v>
      </c>
      <c r="N25" s="24">
        <v>13.56236</v>
      </c>
      <c r="O25" s="19">
        <v>13.29105</v>
      </c>
      <c r="P25" s="25">
        <f>(N25+O25)/2</f>
        <v>13.426705</v>
      </c>
      <c r="Q25" s="26">
        <f>P25/1000</f>
        <v>1.3426705000000001E-2</v>
      </c>
      <c r="R25" s="24">
        <f>1000*((3*Q25*$F$8)/(4*$F$13))^(1/3)</f>
        <v>0.42411782468451381</v>
      </c>
      <c r="S25" s="22">
        <f t="shared" si="1"/>
        <v>0.56509689777987115</v>
      </c>
      <c r="T25" s="19">
        <f t="shared" si="2"/>
        <v>2.2687045838261067E-3</v>
      </c>
      <c r="U25" s="25">
        <f>J25*100/T25</f>
        <v>3100.8444423098217</v>
      </c>
      <c r="V25" s="27">
        <f>AVERAGE(U25:U27)</f>
        <v>2668.5838588116844</v>
      </c>
      <c r="W25" s="28">
        <f>_xlfn.VAR.S(U25:U27)</f>
        <v>671631.7226701472</v>
      </c>
      <c r="X25" s="28">
        <f>_xlfn.QUARTILE.INC(U25:U27,1)</f>
        <v>2412.1305505458508</v>
      </c>
      <c r="Y25" s="28">
        <f>_xlfn.QUARTILE.INC(U25:U27,2)</f>
        <v>3100.8444423098217</v>
      </c>
      <c r="Z25" s="28">
        <f>_xlfn.QUARTILE.INC(U25:U27,3)</f>
        <v>3141.1674588265864</v>
      </c>
      <c r="AA25" s="28">
        <f>Z25-X25</f>
        <v>729.03690828073559</v>
      </c>
      <c r="AB25" s="28">
        <f>X25-(1.5*AA25)</f>
        <v>1318.5751881247475</v>
      </c>
      <c r="AC25" s="28">
        <f>Z25+(1.5*AA25)</f>
        <v>4234.7228212476894</v>
      </c>
      <c r="AD25" t="str">
        <f>IF(OR(($AB$25&gt;U25),($AC$25&lt;U25)),"Yes","No")</f>
        <v>No</v>
      </c>
    </row>
    <row r="26" spans="1:30" x14ac:dyDescent="0.3">
      <c r="A26" s="3"/>
      <c r="B26" s="29"/>
      <c r="C26" s="30"/>
      <c r="D26" s="31">
        <v>-1.8477440000000001</v>
      </c>
      <c r="E26" s="32"/>
      <c r="F26" s="3">
        <v>5.3449999999999998E-2</v>
      </c>
      <c r="G26" s="52"/>
      <c r="H26" s="34">
        <v>2.5607000000000001E-2</v>
      </c>
      <c r="I26">
        <v>-1.052E-2</v>
      </c>
      <c r="J26" s="35">
        <f t="shared" si="0"/>
        <v>3.6126999999999999E-2</v>
      </c>
      <c r="K26" s="36">
        <v>19.7</v>
      </c>
      <c r="L26" s="3">
        <v>19.899999999999999</v>
      </c>
      <c r="M26" s="37">
        <f>IF(((L26-K26)&gt;0.1),((K26+L26)/2),L26)</f>
        <v>19.799999999999997</v>
      </c>
      <c r="N26" s="36">
        <v>12.021940000000001</v>
      </c>
      <c r="O26" s="3">
        <v>11.828419999999999</v>
      </c>
      <c r="P26" s="37">
        <f>(N26+O26)/2</f>
        <v>11.925180000000001</v>
      </c>
      <c r="Q26" s="38">
        <f>P26/1000</f>
        <v>1.1925180000000001E-2</v>
      </c>
      <c r="R26" s="36">
        <f>1000*((3*Q26*$F$8)/(4*$F$13))^(1/3)</f>
        <v>0.40767901519318267</v>
      </c>
      <c r="S26">
        <f t="shared" si="1"/>
        <v>0.52213954590439238</v>
      </c>
      <c r="T26" s="3">
        <f t="shared" si="2"/>
        <v>2.096242937882169E-3</v>
      </c>
      <c r="U26" s="37">
        <f>J26*100/T26</f>
        <v>1723.41665878188</v>
      </c>
      <c r="V26" s="27"/>
      <c r="W26" s="28"/>
      <c r="X26" s="28"/>
      <c r="Y26" s="28"/>
      <c r="Z26" s="28"/>
      <c r="AA26" s="28"/>
      <c r="AB26" s="28"/>
      <c r="AC26" s="28"/>
      <c r="AD26" t="str">
        <f>IF(OR(($AB$25&gt;U26),($AC$25&lt;U26)),"Yes","No")</f>
        <v>No</v>
      </c>
    </row>
    <row r="27" spans="1:30" x14ac:dyDescent="0.3">
      <c r="A27" s="3"/>
      <c r="B27" s="29"/>
      <c r="C27" s="30"/>
      <c r="D27" s="31">
        <v>-1.7633300000000001</v>
      </c>
      <c r="E27" s="32"/>
      <c r="F27" s="3">
        <v>-1.7680000000000001E-2</v>
      </c>
      <c r="G27" s="52"/>
      <c r="H27" s="34">
        <v>2.0559999999999998E-2</v>
      </c>
      <c r="I27">
        <v>-5.1970000000000002E-2</v>
      </c>
      <c r="J27" s="35">
        <f t="shared" si="0"/>
        <v>7.2529999999999997E-2</v>
      </c>
      <c r="K27" s="36">
        <v>20</v>
      </c>
      <c r="L27" s="3">
        <v>20.100000000000001</v>
      </c>
      <c r="M27" s="37">
        <f>IF(((L27-K27)&gt;0.2),((K27+L27)/2),L27)</f>
        <v>20.100000000000001</v>
      </c>
      <c r="N27" s="36">
        <v>13.54115</v>
      </c>
      <c r="O27" s="3">
        <v>13.50859</v>
      </c>
      <c r="P27" s="37">
        <f>(N27+O27)/2</f>
        <v>13.52487</v>
      </c>
      <c r="Q27" s="38">
        <f>P27/1000</f>
        <v>1.352487E-2</v>
      </c>
      <c r="R27" s="36">
        <f>1000*((3*Q27*$F$8)/(4*$F$13))^(1/3)</f>
        <v>0.42514891590755999</v>
      </c>
      <c r="S27">
        <f t="shared" si="1"/>
        <v>0.56784790087546433</v>
      </c>
      <c r="T27" s="3">
        <f t="shared" si="2"/>
        <v>2.279749084968499E-3</v>
      </c>
      <c r="U27" s="37">
        <f>J27*100/T27</f>
        <v>3181.4904753433511</v>
      </c>
      <c r="V27" s="27"/>
      <c r="W27" s="28"/>
      <c r="X27" s="28"/>
      <c r="Y27" s="28"/>
      <c r="Z27" s="28"/>
      <c r="AA27" s="28"/>
      <c r="AB27" s="28"/>
      <c r="AC27" s="28"/>
      <c r="AD27" t="str">
        <f>IF(OR(($AB$25&gt;U27),($AC$25&lt;U27)),"Yes","No")</f>
        <v>No</v>
      </c>
    </row>
    <row r="28" spans="1:30" x14ac:dyDescent="0.3">
      <c r="A28" s="3"/>
      <c r="B28" s="29"/>
      <c r="C28" s="30"/>
      <c r="D28" s="39">
        <v>-3.60975</v>
      </c>
      <c r="E28" s="32"/>
      <c r="F28" s="3"/>
      <c r="G28" s="52"/>
      <c r="H28" s="34"/>
      <c r="J28" s="35"/>
      <c r="K28" s="36"/>
      <c r="L28" s="3"/>
      <c r="M28" s="37"/>
      <c r="N28" s="36"/>
      <c r="O28" s="3"/>
      <c r="P28" s="37"/>
      <c r="Q28" s="38"/>
      <c r="R28" s="36"/>
      <c r="S28" s="3"/>
      <c r="T28" s="3"/>
      <c r="U28" s="37"/>
      <c r="V28" s="3"/>
    </row>
    <row r="29" spans="1:30" x14ac:dyDescent="0.3">
      <c r="A29" s="3"/>
      <c r="B29" s="29"/>
      <c r="C29" s="30"/>
      <c r="D29" s="39">
        <v>-3.6360899999999998</v>
      </c>
      <c r="E29" s="32"/>
      <c r="F29" s="3"/>
      <c r="G29" s="52"/>
      <c r="H29" s="34"/>
      <c r="J29" s="35"/>
      <c r="K29" s="36"/>
      <c r="L29" s="3"/>
      <c r="M29" s="37"/>
      <c r="N29" s="36"/>
      <c r="O29" s="3"/>
      <c r="P29" s="37"/>
      <c r="Q29" s="38"/>
      <c r="R29" s="36"/>
      <c r="S29" s="3"/>
      <c r="T29" s="3"/>
      <c r="U29" s="37"/>
      <c r="V29" s="3"/>
    </row>
    <row r="30" spans="1:30" x14ac:dyDescent="0.3">
      <c r="A30" s="3"/>
      <c r="B30" s="29"/>
      <c r="C30" s="30"/>
      <c r="D30" s="39">
        <v>-4.1297199999999998</v>
      </c>
      <c r="E30" s="32"/>
      <c r="F30" s="3"/>
      <c r="G30" s="52"/>
      <c r="H30" s="34"/>
      <c r="J30" s="35"/>
      <c r="K30" s="36"/>
      <c r="L30" s="3"/>
      <c r="M30" s="37"/>
      <c r="N30" s="36"/>
      <c r="O30" s="3"/>
      <c r="P30" s="37"/>
      <c r="Q30" s="38"/>
      <c r="R30" s="36"/>
      <c r="S30" s="3"/>
      <c r="T30" s="3"/>
      <c r="U30" s="37"/>
      <c r="V30" s="3"/>
    </row>
    <row r="31" spans="1:30" ht="15" thickBot="1" x14ac:dyDescent="0.35">
      <c r="A31" s="3"/>
      <c r="B31" s="29"/>
      <c r="C31" s="40"/>
      <c r="D31" s="41">
        <v>-3.8398400000000001</v>
      </c>
      <c r="E31" s="42"/>
      <c r="F31" s="43"/>
      <c r="G31" s="53"/>
      <c r="H31" s="45"/>
      <c r="I31" s="46"/>
      <c r="J31" s="47"/>
      <c r="K31" s="48"/>
      <c r="L31" s="43"/>
      <c r="M31" s="49"/>
      <c r="N31" s="48"/>
      <c r="O31" s="43"/>
      <c r="P31" s="49"/>
      <c r="Q31" s="50"/>
      <c r="R31" s="48"/>
      <c r="S31" s="43"/>
      <c r="T31" s="43"/>
      <c r="U31" s="49"/>
      <c r="V31" s="3"/>
    </row>
    <row r="32" spans="1:30" x14ac:dyDescent="0.3">
      <c r="A32" s="3"/>
      <c r="B32" s="29"/>
      <c r="C32" s="16" t="s">
        <v>65</v>
      </c>
      <c r="D32" s="17">
        <v>-1.71384</v>
      </c>
      <c r="E32" s="18">
        <f>AVERAGE(D35:D37)</f>
        <v>-3.9077999999999999</v>
      </c>
      <c r="F32" s="19">
        <v>0.36635000000000001</v>
      </c>
      <c r="G32" s="51">
        <f>AVERAGE(F32:F34)</f>
        <v>0.12350999999999999</v>
      </c>
      <c r="H32" s="21">
        <v>0.17135700000000001</v>
      </c>
      <c r="I32" s="22">
        <v>0.130389</v>
      </c>
      <c r="J32" s="23">
        <f t="shared" si="0"/>
        <v>4.0968000000000004E-2</v>
      </c>
      <c r="K32" s="24">
        <v>19.5</v>
      </c>
      <c r="L32" s="19">
        <v>19.7</v>
      </c>
      <c r="M32" s="25">
        <f>IF(((L32-K32)&gt;0.1),((K32+L32)/2),L32)</f>
        <v>19.600000000000001</v>
      </c>
      <c r="N32" s="24">
        <v>12.72874</v>
      </c>
      <c r="O32" s="19">
        <v>12.79031</v>
      </c>
      <c r="P32" s="25">
        <f>(N32+O32)/2</f>
        <v>12.759525</v>
      </c>
      <c r="Q32" s="26">
        <f>P32/1000</f>
        <v>1.2759525000000001E-2</v>
      </c>
      <c r="R32" s="24">
        <f>1000*((3*Q32*$F$8)/(4*$F$13))^(1/3)</f>
        <v>0.41697326657467981</v>
      </c>
      <c r="S32" s="22">
        <f t="shared" si="1"/>
        <v>0.5462183632511155</v>
      </c>
      <c r="T32" s="19">
        <f t="shared" si="2"/>
        <v>2.1929125948954025E-3</v>
      </c>
      <c r="U32" s="25">
        <f>J32*100/T32</f>
        <v>1868.2003147487094</v>
      </c>
      <c r="V32" s="27">
        <f>AVERAGE(U32:U34)</f>
        <v>393.80994116589955</v>
      </c>
      <c r="W32" s="28">
        <f>_xlfn.VAR.S(U32:U34)</f>
        <v>2069852.7298067152</v>
      </c>
      <c r="X32" s="28">
        <f>_xlfn.QUARTILE.INC(U32:U34,1)</f>
        <v>-343.38524562550538</v>
      </c>
      <c r="Y32" s="28">
        <f>_xlfn.QUARTILE.INC(U32:U34,2)</f>
        <v>319.54951701820488</v>
      </c>
      <c r="Z32" s="28">
        <f>_xlfn.QUARTILE.INC(U32:U34,3)</f>
        <v>1093.8749158834571</v>
      </c>
      <c r="AA32" s="28">
        <f>Z32-X32</f>
        <v>1437.2601615089625</v>
      </c>
      <c r="AB32" s="28">
        <f>X32-(1.5*AA32)</f>
        <v>-2499.2754878889491</v>
      </c>
      <c r="AC32" s="28">
        <f>Z32+(1.5*AA32)</f>
        <v>3249.7651581469008</v>
      </c>
      <c r="AD32" t="str">
        <f>IF(OR(($AB$32&gt;U32),($AC$32&lt;U32)),"Yes","No")</f>
        <v>No</v>
      </c>
    </row>
    <row r="33" spans="1:30" x14ac:dyDescent="0.3">
      <c r="A33" s="3"/>
      <c r="B33" s="29"/>
      <c r="C33" s="30"/>
      <c r="D33" s="31">
        <v>-1.8792199999999999</v>
      </c>
      <c r="E33" s="32"/>
      <c r="F33" s="3">
        <v>4.5539999999999997E-2</v>
      </c>
      <c r="G33" s="52"/>
      <c r="H33" s="34">
        <v>4.3831000000000002E-2</v>
      </c>
      <c r="I33">
        <v>5.8169999999999999E-2</v>
      </c>
      <c r="J33" s="35">
        <f t="shared" si="0"/>
        <v>-1.4338999999999998E-2</v>
      </c>
      <c r="K33" s="36">
        <v>19.899999999999999</v>
      </c>
      <c r="L33" s="3">
        <v>19.899999999999999</v>
      </c>
      <c r="M33" s="37">
        <f>IF(((L33-K33)&gt;0.1),((K33+L33)/2),L33)</f>
        <v>19.899999999999999</v>
      </c>
      <c r="N33" s="36">
        <v>6.7465999999999999</v>
      </c>
      <c r="O33" s="3">
        <v>6.6195599999999999</v>
      </c>
      <c r="P33" s="37">
        <f>(N33+O33)/2</f>
        <v>6.6830800000000004</v>
      </c>
      <c r="Q33" s="38">
        <f>P33/1000</f>
        <v>6.6830800000000001E-3</v>
      </c>
      <c r="R33" s="36">
        <f>1000*((3*Q33*$F$8)/(4*$F$13))^(1/3)</f>
        <v>0.33611580108757427</v>
      </c>
      <c r="S33">
        <f t="shared" si="1"/>
        <v>0.35491775984460378</v>
      </c>
      <c r="T33" s="3">
        <f t="shared" si="2"/>
        <v>1.4248946540039338E-3</v>
      </c>
      <c r="U33" s="37">
        <f>J33*100/T33</f>
        <v>-1006.3200082692156</v>
      </c>
      <c r="V33" s="27"/>
      <c r="W33" s="28"/>
      <c r="X33" s="28"/>
      <c r="Y33" s="28"/>
      <c r="Z33" s="28"/>
      <c r="AA33" s="28"/>
      <c r="AB33" s="28"/>
      <c r="AC33" s="28"/>
      <c r="AD33" t="str">
        <f>IF(OR(($AB$32&gt;U33),($AC$32&lt;U33)),"Yes","No")</f>
        <v>No</v>
      </c>
    </row>
    <row r="34" spans="1:30" x14ac:dyDescent="0.3">
      <c r="A34" s="3"/>
      <c r="B34" s="29"/>
      <c r="C34" s="30"/>
      <c r="D34" s="31">
        <v>-1.7710600000000001</v>
      </c>
      <c r="E34" s="32"/>
      <c r="F34" s="3">
        <v>-4.1360000000000001E-2</v>
      </c>
      <c r="G34" s="52"/>
      <c r="H34" s="34">
        <v>8.1102700000000005E-5</v>
      </c>
      <c r="I34">
        <v>-1.069E-2</v>
      </c>
      <c r="J34" s="35">
        <f t="shared" si="0"/>
        <v>1.07711027E-2</v>
      </c>
      <c r="K34" s="36">
        <v>20.100000000000001</v>
      </c>
      <c r="L34" s="3">
        <v>20.2</v>
      </c>
      <c r="M34" s="37">
        <f>IF(((L34-K34)&gt;0.1),((K34+L34)/2),L34)</f>
        <v>20.2</v>
      </c>
      <c r="N34" s="36">
        <v>24.63589</v>
      </c>
      <c r="O34" s="3">
        <v>23.995370000000001</v>
      </c>
      <c r="P34" s="37">
        <f>(N34+O34)/2</f>
        <v>24.315629999999999</v>
      </c>
      <c r="Q34" s="38">
        <f>P34/1000</f>
        <v>2.4315629999999998E-2</v>
      </c>
      <c r="R34" s="36">
        <f>1000*((3*Q34*$F$8)/(4*$F$13))^(1/3)</f>
        <v>0.51696191760388166</v>
      </c>
      <c r="S34">
        <f t="shared" si="1"/>
        <v>0.8395894562268601</v>
      </c>
      <c r="T34" s="3">
        <f t="shared" si="2"/>
        <v>3.3707147488463781E-3</v>
      </c>
      <c r="U34" s="37">
        <f>J34*100/T34</f>
        <v>319.54951701820488</v>
      </c>
      <c r="V34" s="27"/>
      <c r="W34" s="28"/>
      <c r="X34" s="28"/>
      <c r="Y34" s="28"/>
      <c r="Z34" s="28"/>
      <c r="AA34" s="28"/>
      <c r="AB34" s="28"/>
      <c r="AC34" s="28"/>
      <c r="AD34" t="str">
        <f>IF(OR(($AB$32&gt;U34),($AC$32&lt;U34)),"Yes","No")</f>
        <v>No</v>
      </c>
    </row>
    <row r="35" spans="1:30" x14ac:dyDescent="0.3">
      <c r="A35" s="3"/>
      <c r="B35" s="29"/>
      <c r="C35" s="30"/>
      <c r="D35" s="39">
        <v>-4.1399999999999997</v>
      </c>
      <c r="E35" s="32"/>
      <c r="F35" s="3"/>
      <c r="G35" s="52"/>
      <c r="H35" s="34"/>
      <c r="J35" s="35"/>
      <c r="K35" s="36"/>
      <c r="L35" s="3"/>
      <c r="M35" s="37"/>
      <c r="N35" s="36"/>
      <c r="O35" s="3"/>
      <c r="P35" s="37"/>
      <c r="Q35" s="38"/>
      <c r="R35" s="36"/>
      <c r="S35" s="3"/>
      <c r="T35" s="3"/>
      <c r="U35" s="37"/>
      <c r="V35" s="3"/>
    </row>
    <row r="36" spans="1:30" x14ac:dyDescent="0.3">
      <c r="A36" s="3"/>
      <c r="B36" s="29"/>
      <c r="C36" s="30"/>
      <c r="D36" s="39">
        <v>-3.8816799999999998</v>
      </c>
      <c r="E36" s="32"/>
      <c r="F36" s="3"/>
      <c r="G36" s="52"/>
      <c r="H36" s="34"/>
      <c r="J36" s="35"/>
      <c r="K36" s="36"/>
      <c r="L36" s="3"/>
      <c r="M36" s="37"/>
      <c r="N36" s="36"/>
      <c r="O36" s="3"/>
      <c r="P36" s="37"/>
      <c r="Q36" s="38"/>
      <c r="R36" s="36"/>
      <c r="S36" s="3"/>
      <c r="T36" s="3"/>
      <c r="U36" s="37"/>
      <c r="V36" s="3"/>
    </row>
    <row r="37" spans="1:30" ht="15" thickBot="1" x14ac:dyDescent="0.35">
      <c r="A37" s="3"/>
      <c r="B37" s="29"/>
      <c r="C37" s="40"/>
      <c r="D37" s="41">
        <v>-3.7017199999999999</v>
      </c>
      <c r="E37" s="42"/>
      <c r="F37" s="43"/>
      <c r="G37" s="53"/>
      <c r="H37" s="45"/>
      <c r="I37" s="46"/>
      <c r="J37" s="47"/>
      <c r="K37" s="48"/>
      <c r="L37" s="43"/>
      <c r="M37" s="49"/>
      <c r="N37" s="48"/>
      <c r="O37" s="43"/>
      <c r="P37" s="49"/>
      <c r="Q37" s="50"/>
      <c r="R37" s="48"/>
      <c r="S37" s="43"/>
      <c r="T37" s="43"/>
      <c r="U37" s="49"/>
      <c r="V37" s="3"/>
    </row>
    <row r="38" spans="1:30" x14ac:dyDescent="0.3">
      <c r="A38" s="3"/>
      <c r="B38" s="29"/>
      <c r="C38" s="30" t="s">
        <v>66</v>
      </c>
      <c r="D38" s="31">
        <v>-1.2266999999999999</v>
      </c>
      <c r="E38" s="32">
        <f>AVERAGE(D41:D44)</f>
        <v>-3.9588325000000002</v>
      </c>
      <c r="F38" s="3">
        <v>0.18681</v>
      </c>
      <c r="G38" s="52">
        <f>AVERAGE(F38:F40)</f>
        <v>3.2959999999999996E-2</v>
      </c>
      <c r="H38" s="34">
        <v>5.6656999999999999E-2</v>
      </c>
      <c r="I38">
        <v>7.0806999999999995E-2</v>
      </c>
      <c r="J38" s="35">
        <f t="shared" si="0"/>
        <v>-1.4149999999999996E-2</v>
      </c>
      <c r="K38" s="36">
        <v>19.7</v>
      </c>
      <c r="L38" s="3">
        <v>19.7</v>
      </c>
      <c r="M38" s="37">
        <f>IF(((L38-K38)&gt;0.2),((K38+L38)/2),L38)</f>
        <v>19.7</v>
      </c>
      <c r="N38" s="36">
        <v>5.2259599999999997</v>
      </c>
      <c r="O38" s="3">
        <v>5.2561799999999996</v>
      </c>
      <c r="P38" s="37">
        <f>(N38+O38)/2</f>
        <v>5.2410699999999997</v>
      </c>
      <c r="Q38" s="38">
        <f>P38/1000</f>
        <v>5.2410699999999996E-3</v>
      </c>
      <c r="R38" s="36">
        <f>1000*((3*Q38*$F$8)/(4*$F$13))^(1/3)</f>
        <v>0.30995836612096478</v>
      </c>
      <c r="S38">
        <f t="shared" si="1"/>
        <v>0.30182596550867175</v>
      </c>
      <c r="T38" s="3">
        <f t="shared" si="2"/>
        <v>1.2117460813490508E-3</v>
      </c>
      <c r="U38" s="37">
        <f>J38*100/T38</f>
        <v>-1167.7363944306417</v>
      </c>
      <c r="V38" s="27">
        <f>AVERAGE(U38:U40)</f>
        <v>-376.47746569671381</v>
      </c>
      <c r="W38" s="28">
        <f>_xlfn.VAR.S(U38:U40)</f>
        <v>1365115.105190265</v>
      </c>
      <c r="X38" s="28">
        <f>_xlfn.QUARTILE.INC(U38:U40,1)</f>
        <v>-1047.4589459628332</v>
      </c>
      <c r="Y38">
        <f>_xlfn.QUARTILE.INC(U38:U40,2)</f>
        <v>-927.18149749502504</v>
      </c>
      <c r="Z38">
        <f>_xlfn.QUARTILE.INC(U38:U40,3)</f>
        <v>19.151998670250123</v>
      </c>
      <c r="AA38">
        <f>Z38-X38</f>
        <v>1066.6109446330834</v>
      </c>
      <c r="AB38">
        <f>X38-(1.5*AA38)</f>
        <v>-2647.3753629124585</v>
      </c>
      <c r="AC38">
        <f>Z38+(1.5*AA38)</f>
        <v>1619.0684156198752</v>
      </c>
      <c r="AD38" t="str">
        <f>IF(OR(($AB$38&gt;U38),($AC$38&lt;U38)),"Yes","No")</f>
        <v>No</v>
      </c>
    </row>
    <row r="39" spans="1:30" x14ac:dyDescent="0.3">
      <c r="A39" s="3"/>
      <c r="B39" s="29"/>
      <c r="C39" s="30"/>
      <c r="D39" s="31">
        <v>-1.67662</v>
      </c>
      <c r="E39" s="32"/>
      <c r="F39" s="3">
        <v>2.3189999999999999E-2</v>
      </c>
      <c r="G39" s="52"/>
      <c r="H39" s="34">
        <v>-0.10684</v>
      </c>
      <c r="I39">
        <v>-9.3740000000000004E-2</v>
      </c>
      <c r="J39" s="35">
        <f t="shared" si="0"/>
        <v>-1.3100000000000001E-2</v>
      </c>
      <c r="K39" s="36">
        <v>19.899999999999999</v>
      </c>
      <c r="L39" s="3">
        <v>20</v>
      </c>
      <c r="M39" s="37">
        <f>IF(((L39-K39)&gt;0.2),((K39+L39)/2),L39)</f>
        <v>20</v>
      </c>
      <c r="N39" s="36">
        <v>6.6292099999999996</v>
      </c>
      <c r="O39" s="3">
        <v>6.5683100000000003</v>
      </c>
      <c r="P39" s="37">
        <f>(N39+O39)/2</f>
        <v>6.5987600000000004</v>
      </c>
      <c r="Q39" s="38">
        <f>P39/1000</f>
        <v>6.5987600000000004E-3</v>
      </c>
      <c r="R39" s="36">
        <f>1000*((3*Q39*$F$8)/(4*$F$13))^(1/3)</f>
        <v>0.33469623005561477</v>
      </c>
      <c r="S39">
        <f t="shared" si="1"/>
        <v>0.35192613008808743</v>
      </c>
      <c r="T39" s="3">
        <f t="shared" si="2"/>
        <v>1.4128841047186978E-3</v>
      </c>
      <c r="U39" s="37">
        <f>J39*100/T39</f>
        <v>-927.18149749502504</v>
      </c>
      <c r="V39" s="27"/>
      <c r="W39" s="28"/>
      <c r="X39" s="28"/>
      <c r="AD39" t="str">
        <f>IF(OR(($AB$38&gt;U39),($AC$38&lt;U39)),"Yes","No")</f>
        <v>No</v>
      </c>
    </row>
    <row r="40" spans="1:30" x14ac:dyDescent="0.3">
      <c r="A40" s="3"/>
      <c r="B40" s="29"/>
      <c r="C40" s="30"/>
      <c r="D40" s="31">
        <v>-1.71888</v>
      </c>
      <c r="E40" s="32"/>
      <c r="F40" s="3">
        <v>-0.11112</v>
      </c>
      <c r="G40" s="52"/>
      <c r="H40" s="34">
        <v>-1.3600000000000001E-3</v>
      </c>
      <c r="I40">
        <v>-1.5859999999999999E-2</v>
      </c>
      <c r="J40" s="35">
        <f t="shared" si="0"/>
        <v>1.4499999999999999E-2</v>
      </c>
      <c r="K40" s="36">
        <v>20.2</v>
      </c>
      <c r="L40" s="3">
        <v>20.2</v>
      </c>
      <c r="M40" s="37">
        <f>IF(((L40-K40)&gt;0.2),((K40+L40)/2),L40)</f>
        <v>20.2</v>
      </c>
      <c r="N40" s="36">
        <v>7.3060799999999997</v>
      </c>
      <c r="O40" s="3">
        <v>7.1571699999999998</v>
      </c>
      <c r="P40" s="37">
        <f>(N40+O40)/2</f>
        <v>7.2316249999999993</v>
      </c>
      <c r="Q40" s="38">
        <f>P40/1000</f>
        <v>7.2316249999999993E-3</v>
      </c>
      <c r="R40" s="36">
        <f>1000*((3*Q40*$F$8)/(4*$F$13))^(1/3)</f>
        <v>0.34507116918867609</v>
      </c>
      <c r="S40">
        <f t="shared" si="1"/>
        <v>0.37408235488007141</v>
      </c>
      <c r="T40" s="3">
        <f t="shared" si="2"/>
        <v>1.5018350951476636E-3</v>
      </c>
      <c r="U40" s="37">
        <f>J40*100/T40</f>
        <v>965.48549483552517</v>
      </c>
      <c r="V40" s="27"/>
      <c r="W40" s="28"/>
      <c r="X40" s="28"/>
      <c r="AD40" t="str">
        <f>IF(OR(($AB$38&gt;U40),($AC$38&lt;U40)),"Yes","No")</f>
        <v>No</v>
      </c>
    </row>
    <row r="41" spans="1:30" x14ac:dyDescent="0.3">
      <c r="A41" s="3"/>
      <c r="B41" s="29"/>
      <c r="C41" s="30"/>
      <c r="D41" s="39">
        <v>-4.01084</v>
      </c>
      <c r="E41" s="32"/>
      <c r="F41" s="3"/>
      <c r="G41" s="52"/>
      <c r="H41" s="34"/>
      <c r="J41" s="35"/>
      <c r="K41" s="36"/>
      <c r="L41" s="3"/>
      <c r="M41" s="37"/>
      <c r="N41" s="36"/>
      <c r="O41" s="3"/>
      <c r="P41" s="37"/>
      <c r="Q41" s="38"/>
      <c r="R41" s="36"/>
      <c r="S41" s="3"/>
      <c r="T41" s="3"/>
      <c r="U41" s="37"/>
      <c r="V41" s="3"/>
    </row>
    <row r="42" spans="1:30" x14ac:dyDescent="0.3">
      <c r="A42" s="3"/>
      <c r="B42" s="29"/>
      <c r="C42" s="30"/>
      <c r="D42" s="39">
        <v>-4.0670500000000001</v>
      </c>
      <c r="E42" s="32"/>
      <c r="F42" s="3"/>
      <c r="G42" s="52"/>
      <c r="H42" s="34"/>
      <c r="J42" s="35"/>
      <c r="K42" s="36"/>
      <c r="L42" s="3"/>
      <c r="M42" s="37"/>
      <c r="N42" s="36"/>
      <c r="O42" s="3"/>
      <c r="P42" s="37"/>
      <c r="Q42" s="38"/>
      <c r="R42" s="36"/>
      <c r="S42" s="3"/>
      <c r="T42" s="3"/>
      <c r="U42" s="37"/>
      <c r="V42" s="3"/>
    </row>
    <row r="43" spans="1:30" x14ac:dyDescent="0.3">
      <c r="A43" s="3"/>
      <c r="B43" s="29"/>
      <c r="C43" s="30"/>
      <c r="D43" s="39">
        <v>-3.8643399999999999</v>
      </c>
      <c r="E43" s="32"/>
      <c r="F43" s="3"/>
      <c r="G43" s="52"/>
      <c r="H43" s="34"/>
      <c r="J43" s="35"/>
      <c r="K43" s="36"/>
      <c r="L43" s="3"/>
      <c r="M43" s="37"/>
      <c r="N43" s="36"/>
      <c r="O43" s="3"/>
      <c r="P43" s="37"/>
      <c r="Q43" s="38"/>
      <c r="R43" s="36"/>
      <c r="S43" s="3"/>
      <c r="T43" s="3"/>
      <c r="U43" s="37"/>
      <c r="V43" s="3"/>
    </row>
    <row r="44" spans="1:30" ht="15" thickBot="1" x14ac:dyDescent="0.35">
      <c r="A44" s="3"/>
      <c r="B44" s="54"/>
      <c r="C44" s="40"/>
      <c r="D44" s="41">
        <v>-3.8931</v>
      </c>
      <c r="E44" s="42"/>
      <c r="F44" s="43"/>
      <c r="G44" s="53"/>
      <c r="H44" s="45"/>
      <c r="I44" s="46"/>
      <c r="J44" s="47"/>
      <c r="K44" s="48"/>
      <c r="L44" s="43"/>
      <c r="M44" s="49"/>
      <c r="N44" s="48"/>
      <c r="O44" s="43"/>
      <c r="P44" s="49"/>
      <c r="Q44" s="50"/>
      <c r="R44" s="48"/>
      <c r="S44" s="43"/>
      <c r="T44" s="43"/>
      <c r="U44" s="49"/>
      <c r="V44" s="3"/>
    </row>
    <row r="45" spans="1:30" ht="15" customHeight="1" x14ac:dyDescent="0.3"/>
  </sheetData>
  <mergeCells count="44">
    <mergeCell ref="Z32:Z34"/>
    <mergeCell ref="AA32:AA34"/>
    <mergeCell ref="AB32:AB34"/>
    <mergeCell ref="AC32:AC34"/>
    <mergeCell ref="C38:C44"/>
    <mergeCell ref="E38:E44"/>
    <mergeCell ref="G38:G44"/>
    <mergeCell ref="V38:V40"/>
    <mergeCell ref="W38:W40"/>
    <mergeCell ref="X38:X40"/>
    <mergeCell ref="AA25:AA27"/>
    <mergeCell ref="AB25:AB27"/>
    <mergeCell ref="AC25:AC27"/>
    <mergeCell ref="C32:C37"/>
    <mergeCell ref="E32:E37"/>
    <mergeCell ref="G32:G37"/>
    <mergeCell ref="V32:V34"/>
    <mergeCell ref="W32:W34"/>
    <mergeCell ref="X32:X34"/>
    <mergeCell ref="Y32:Y34"/>
    <mergeCell ref="AB17:AB19"/>
    <mergeCell ref="AC17:AC19"/>
    <mergeCell ref="C25:C31"/>
    <mergeCell ref="E25:E31"/>
    <mergeCell ref="G25:G31"/>
    <mergeCell ref="V25:V27"/>
    <mergeCell ref="W25:W27"/>
    <mergeCell ref="X25:X27"/>
    <mergeCell ref="Y25:Y27"/>
    <mergeCell ref="Z25:Z27"/>
    <mergeCell ref="V17:V19"/>
    <mergeCell ref="W17:W19"/>
    <mergeCell ref="X17:X19"/>
    <mergeCell ref="Y17:Y19"/>
    <mergeCell ref="Z17:Z19"/>
    <mergeCell ref="AA17:AA19"/>
    <mergeCell ref="D15:G15"/>
    <mergeCell ref="H15:J15"/>
    <mergeCell ref="K15:M15"/>
    <mergeCell ref="N15:P15"/>
    <mergeCell ref="B17:B44"/>
    <mergeCell ref="C17:C24"/>
    <mergeCell ref="E17:E24"/>
    <mergeCell ref="G17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FFB5-0DD3-4D34-A1EF-5D5CD5F5153A}">
  <dimension ref="A2:AH45"/>
  <sheetViews>
    <sheetView zoomScale="61" workbookViewId="0">
      <selection activeCell="M30" sqref="M30"/>
    </sheetView>
  </sheetViews>
  <sheetFormatPr defaultRowHeight="14.4" x14ac:dyDescent="0.3"/>
  <cols>
    <col min="3" max="3" width="17.6640625" customWidth="1"/>
    <col min="4" max="4" width="12" bestFit="1" customWidth="1"/>
    <col min="5" max="5" width="10.109375" customWidth="1"/>
    <col min="6" max="6" width="13.33203125" bestFit="1" customWidth="1"/>
    <col min="7" max="7" width="12.5546875" bestFit="1" customWidth="1"/>
    <col min="10" max="10" width="13.44140625" customWidth="1"/>
    <col min="11" max="11" width="14.33203125" customWidth="1"/>
    <col min="12" max="12" width="13.33203125" bestFit="1" customWidth="1"/>
    <col min="13" max="13" width="13" bestFit="1" customWidth="1"/>
    <col min="14" max="14" width="12.6640625" bestFit="1" customWidth="1"/>
    <col min="15" max="15" width="12" bestFit="1" customWidth="1"/>
    <col min="16" max="16" width="9.88671875" customWidth="1"/>
    <col min="17" max="17" width="12.6640625" bestFit="1" customWidth="1"/>
    <col min="18" max="18" width="12.5546875" customWidth="1"/>
    <col min="19" max="19" width="11.88671875" bestFit="1" customWidth="1"/>
    <col min="20" max="20" width="11.109375" bestFit="1" customWidth="1"/>
    <col min="22" max="22" width="11.109375" bestFit="1" customWidth="1"/>
    <col min="24" max="24" width="11.109375" bestFit="1" customWidth="1"/>
    <col min="25" max="25" width="14.88671875" bestFit="1" customWidth="1"/>
  </cols>
  <sheetData>
    <row r="2" spans="1:34" x14ac:dyDescent="0.3">
      <c r="C2" t="s">
        <v>0</v>
      </c>
      <c r="D2">
        <v>22</v>
      </c>
      <c r="E2" t="s">
        <v>1</v>
      </c>
      <c r="I2" t="s">
        <v>67</v>
      </c>
      <c r="J2">
        <v>500</v>
      </c>
      <c r="K2" t="s">
        <v>68</v>
      </c>
    </row>
    <row r="3" spans="1:34" x14ac:dyDescent="0.3">
      <c r="C3" t="s">
        <v>2</v>
      </c>
      <c r="D3">
        <v>1.0169999999999999</v>
      </c>
      <c r="E3" t="s">
        <v>3</v>
      </c>
      <c r="I3" t="s">
        <v>69</v>
      </c>
      <c r="J3">
        <v>5</v>
      </c>
      <c r="K3" t="s">
        <v>70</v>
      </c>
    </row>
    <row r="4" spans="1:34" x14ac:dyDescent="0.3">
      <c r="C4" t="s">
        <v>4</v>
      </c>
      <c r="D4">
        <v>10</v>
      </c>
      <c r="E4" t="s">
        <v>5</v>
      </c>
      <c r="F4">
        <f>D4/1000</f>
        <v>0.01</v>
      </c>
      <c r="G4" t="s">
        <v>6</v>
      </c>
    </row>
    <row r="5" spans="1:34" x14ac:dyDescent="0.3">
      <c r="C5" t="s">
        <v>7</v>
      </c>
      <c r="D5">
        <f>F4*D3</f>
        <v>1.0169999999999998E-2</v>
      </c>
      <c r="E5" t="s">
        <v>8</v>
      </c>
      <c r="F5">
        <f>D5/1000</f>
        <v>1.0169999999999999E-5</v>
      </c>
      <c r="G5" t="s">
        <v>9</v>
      </c>
    </row>
    <row r="6" spans="1:34" x14ac:dyDescent="0.3">
      <c r="C6" t="s">
        <v>10</v>
      </c>
      <c r="D6">
        <f>F5*9.81</f>
        <v>9.9767700000000004E-5</v>
      </c>
      <c r="E6" t="s">
        <v>11</v>
      </c>
      <c r="F6">
        <f>D6*1000</f>
        <v>9.9767700000000001E-2</v>
      </c>
      <c r="G6" t="s">
        <v>12</v>
      </c>
      <c r="I6" t="s">
        <v>13</v>
      </c>
      <c r="J6">
        <f>F6/F7</f>
        <v>4.0147178169607682E-3</v>
      </c>
      <c r="K6" t="s">
        <v>14</v>
      </c>
      <c r="L6" s="1"/>
    </row>
    <row r="7" spans="1:34" x14ac:dyDescent="0.3">
      <c r="C7" t="s">
        <v>15</v>
      </c>
      <c r="D7">
        <f>((0.5625/2)^2)*PI()</f>
        <v>0.24850488763747386</v>
      </c>
      <c r="E7" t="s">
        <v>16</v>
      </c>
      <c r="F7">
        <f>D7*100</f>
        <v>24.850488763747386</v>
      </c>
      <c r="G7" t="s">
        <v>17</v>
      </c>
    </row>
    <row r="8" spans="1:34" x14ac:dyDescent="0.3">
      <c r="C8" t="s">
        <v>18</v>
      </c>
      <c r="D8">
        <v>10</v>
      </c>
      <c r="E8" t="s">
        <v>19</v>
      </c>
      <c r="F8">
        <f>D8/1000</f>
        <v>0.01</v>
      </c>
      <c r="G8" t="s">
        <v>20</v>
      </c>
    </row>
    <row r="9" spans="1:34" x14ac:dyDescent="0.3">
      <c r="C9" t="s">
        <v>21</v>
      </c>
      <c r="D9">
        <v>0.495</v>
      </c>
      <c r="L9" s="1"/>
    </row>
    <row r="10" spans="1:34" x14ac:dyDescent="0.3">
      <c r="C10" t="s">
        <v>22</v>
      </c>
      <c r="D10">
        <f>1.32/1000</f>
        <v>1.32E-3</v>
      </c>
      <c r="E10" t="s">
        <v>23</v>
      </c>
      <c r="F10">
        <f>D10*(10^9)</f>
        <v>1320000</v>
      </c>
      <c r="G10" t="s">
        <v>24</v>
      </c>
      <c r="L10" s="1"/>
    </row>
    <row r="11" spans="1:34" x14ac:dyDescent="0.3">
      <c r="C11" t="s">
        <v>25</v>
      </c>
      <c r="D11">
        <v>0.27500000000000002</v>
      </c>
      <c r="L11" s="1"/>
      <c r="R11" t="s">
        <v>26</v>
      </c>
      <c r="S11" t="s">
        <v>27</v>
      </c>
    </row>
    <row r="12" spans="1:34" x14ac:dyDescent="0.3">
      <c r="C12" t="s">
        <v>28</v>
      </c>
      <c r="D12">
        <v>205</v>
      </c>
      <c r="E12" t="s">
        <v>29</v>
      </c>
      <c r="F12">
        <f>D12*(10^9)</f>
        <v>205000000000</v>
      </c>
      <c r="G12" t="s">
        <v>24</v>
      </c>
    </row>
    <row r="13" spans="1:34" ht="15" thickBot="1" x14ac:dyDescent="0.35">
      <c r="C13" t="s">
        <v>30</v>
      </c>
      <c r="D13">
        <f>1/((1/D12)+(1/D10))</f>
        <v>1.3199915005425329E-3</v>
      </c>
      <c r="E13" t="s">
        <v>29</v>
      </c>
      <c r="F13" s="1">
        <f>D13*(10^9)</f>
        <v>1319991.5005425329</v>
      </c>
      <c r="G13" t="s">
        <v>24</v>
      </c>
    </row>
    <row r="14" spans="1:34" ht="15" hidden="1" thickBo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4" ht="15" thickBot="1" x14ac:dyDescent="0.35">
      <c r="A15" s="3"/>
      <c r="D15" s="4" t="s">
        <v>31</v>
      </c>
      <c r="E15" s="5"/>
      <c r="F15" s="5"/>
      <c r="G15" s="6"/>
      <c r="H15" s="55" t="s">
        <v>71</v>
      </c>
      <c r="I15" s="56"/>
      <c r="J15" s="56"/>
      <c r="K15" s="16" t="s">
        <v>0</v>
      </c>
      <c r="L15" s="4" t="s">
        <v>32</v>
      </c>
      <c r="M15" s="5"/>
      <c r="N15" s="6"/>
      <c r="O15" s="4" t="s">
        <v>33</v>
      </c>
      <c r="P15" s="5"/>
      <c r="Q15" s="6"/>
      <c r="R15" s="4" t="s">
        <v>34</v>
      </c>
      <c r="S15" s="5"/>
      <c r="T15" s="6"/>
      <c r="U15" s="7" t="s">
        <v>35</v>
      </c>
      <c r="V15" s="8"/>
      <c r="W15" s="8"/>
      <c r="X15" s="8"/>
      <c r="Y15" s="2"/>
      <c r="AE15" t="s">
        <v>36</v>
      </c>
    </row>
    <row r="16" spans="1:34" ht="58.2" thickBot="1" x14ac:dyDescent="0.35">
      <c r="A16" s="3"/>
      <c r="B16" s="9" t="s">
        <v>37</v>
      </c>
      <c r="C16" s="10" t="s">
        <v>38</v>
      </c>
      <c r="D16" s="11" t="s">
        <v>39</v>
      </c>
      <c r="E16" s="12" t="s">
        <v>40</v>
      </c>
      <c r="F16" s="12" t="s">
        <v>41</v>
      </c>
      <c r="G16" s="13" t="s">
        <v>42</v>
      </c>
      <c r="H16" s="12" t="s">
        <v>46</v>
      </c>
      <c r="I16" s="12" t="s">
        <v>47</v>
      </c>
      <c r="J16" s="12" t="s">
        <v>48</v>
      </c>
      <c r="K16" s="40"/>
      <c r="L16" s="11" t="s">
        <v>43</v>
      </c>
      <c r="M16" s="12" t="s">
        <v>44</v>
      </c>
      <c r="N16" s="13" t="s">
        <v>45</v>
      </c>
      <c r="O16" s="9" t="s">
        <v>46</v>
      </c>
      <c r="P16" s="10" t="s">
        <v>47</v>
      </c>
      <c r="Q16" s="14" t="s">
        <v>48</v>
      </c>
      <c r="R16" s="9" t="s">
        <v>49</v>
      </c>
      <c r="S16" s="10" t="s">
        <v>47</v>
      </c>
      <c r="T16" s="14" t="s">
        <v>48</v>
      </c>
      <c r="U16" s="15" t="s">
        <v>48</v>
      </c>
      <c r="V16" s="9" t="s">
        <v>50</v>
      </c>
      <c r="W16" s="10" t="s">
        <v>51</v>
      </c>
      <c r="X16" s="10" t="s">
        <v>52</v>
      </c>
      <c r="Y16" s="14" t="s">
        <v>53</v>
      </c>
      <c r="Z16" s="8" t="s">
        <v>54</v>
      </c>
      <c r="AA16" s="8" t="s">
        <v>55</v>
      </c>
      <c r="AB16" s="8" t="s">
        <v>56</v>
      </c>
      <c r="AC16" s="8" t="s">
        <v>57</v>
      </c>
      <c r="AD16" s="8" t="s">
        <v>58</v>
      </c>
      <c r="AE16" s="8" t="s">
        <v>59</v>
      </c>
      <c r="AF16" s="8" t="s">
        <v>60</v>
      </c>
      <c r="AG16" s="8" t="s">
        <v>61</v>
      </c>
      <c r="AH16" s="8" t="s">
        <v>62</v>
      </c>
    </row>
    <row r="17" spans="1:34" ht="15" thickBot="1" x14ac:dyDescent="0.35">
      <c r="A17" s="3"/>
      <c r="B17" s="57">
        <v>23</v>
      </c>
      <c r="C17" s="16" t="s">
        <v>63</v>
      </c>
      <c r="D17" s="24">
        <v>-4.67204</v>
      </c>
      <c r="E17" s="5">
        <f>AVERAGE(D20:D22)</f>
        <v>-2.5120733333333329</v>
      </c>
      <c r="F17" s="19">
        <v>0</v>
      </c>
      <c r="G17" s="20">
        <f>AVERAGE(F17:F19)</f>
        <v>-1.23261</v>
      </c>
      <c r="H17" s="58">
        <v>21.1</v>
      </c>
      <c r="I17" s="58">
        <v>21.1</v>
      </c>
      <c r="J17" s="58">
        <f>IF((I17-H17&gt;0.1),AVERAGE(I17,H17),I17)</f>
        <v>21.1</v>
      </c>
      <c r="K17" s="59">
        <v>23</v>
      </c>
      <c r="L17" s="21">
        <v>0.17247100000000001</v>
      </c>
      <c r="M17" s="22">
        <v>0.24671100000000001</v>
      </c>
      <c r="N17" s="23">
        <f>L17-M17</f>
        <v>-7.424E-2</v>
      </c>
      <c r="O17" s="24">
        <v>21.3</v>
      </c>
      <c r="P17" s="19">
        <v>21.4</v>
      </c>
      <c r="Q17" s="25">
        <f>IF(((P17-O17)&gt;0.1),((O17+P17)/2),P17)</f>
        <v>21.4</v>
      </c>
      <c r="R17" s="24">
        <v>43.21716</v>
      </c>
      <c r="S17" s="19">
        <v>44.13212</v>
      </c>
      <c r="T17" s="25">
        <f>(R17+S17)/2</f>
        <v>43.674639999999997</v>
      </c>
      <c r="U17" s="26">
        <f>T17/1000</f>
        <v>4.3674639999999994E-2</v>
      </c>
      <c r="V17" s="24">
        <f>1000*((3*U17*$F$8)/(4*$F$13))^(1/3)</f>
        <v>0.62840527335633034</v>
      </c>
      <c r="W17" s="22">
        <f>PI()*V17*V17</f>
        <v>1.2405935370604062</v>
      </c>
      <c r="X17" s="19">
        <f>$J$6*W17</f>
        <v>4.980632976842792E-3</v>
      </c>
      <c r="Y17" s="25">
        <f>N17*100/X17</f>
        <v>-1490.5735946650802</v>
      </c>
      <c r="Z17" s="27">
        <f>AVERAGE(Y17:Y19)</f>
        <v>-783.15696652123427</v>
      </c>
      <c r="AA17" s="28">
        <f>_xlfn.VAR.S(Y17:Y19)</f>
        <v>452698.7212008083</v>
      </c>
      <c r="AB17" s="28">
        <f>_xlfn.QUARTILE.INC(Y17:Y19,1)</f>
        <v>-1099.0884463582208</v>
      </c>
      <c r="AC17" s="28">
        <f>_xlfn.QUARTILE.INC(Y17:Y19,2)</f>
        <v>-707.60329805136143</v>
      </c>
      <c r="AD17" s="28">
        <f>_xlfn.QUARTILE.INC(Y17:Y19,3)</f>
        <v>-429.44865244931123</v>
      </c>
      <c r="AE17" s="28">
        <f>AD17-AB17</f>
        <v>669.63979390890961</v>
      </c>
      <c r="AF17" s="28">
        <f>AB17-(1.5*AE17)</f>
        <v>-2103.5481372215854</v>
      </c>
      <c r="AG17" s="28">
        <f>AD17+(1.5*AE17)</f>
        <v>575.01103841405313</v>
      </c>
      <c r="AH17" t="str">
        <f>IF(OR(($AF$17&gt;Y17),($AG$17&lt;Y17)),"Yes","No")</f>
        <v>No</v>
      </c>
    </row>
    <row r="18" spans="1:34" ht="15" thickBot="1" x14ac:dyDescent="0.35">
      <c r="A18" s="3"/>
      <c r="B18" s="60">
        <v>23</v>
      </c>
      <c r="C18" s="30"/>
      <c r="D18" s="36">
        <v>-5.7538799999999997</v>
      </c>
      <c r="E18" s="27"/>
      <c r="F18" s="3">
        <v>-1.5160199999999999</v>
      </c>
      <c r="G18" s="33"/>
      <c r="H18" s="61">
        <v>21.2</v>
      </c>
      <c r="I18" s="61">
        <v>21.2</v>
      </c>
      <c r="J18" s="58">
        <f>IF((I18-H18&gt;0.1),AVERAGE(I18,H18),I18)</f>
        <v>21.2</v>
      </c>
      <c r="K18" s="62">
        <v>23</v>
      </c>
      <c r="L18" s="34">
        <v>-8.3790000000000003E-2</v>
      </c>
      <c r="M18" s="61">
        <v>-7.571E-2</v>
      </c>
      <c r="N18" s="35">
        <f t="shared" ref="N18:N40" si="0">L18-M18</f>
        <v>-8.0800000000000038E-3</v>
      </c>
      <c r="O18" s="36">
        <v>21.4</v>
      </c>
      <c r="P18" s="3">
        <v>21.4</v>
      </c>
      <c r="Q18" s="37">
        <f>IF(((P18-O18)&gt;0.1),((O18+P18)/2),P18)</f>
        <v>21.4</v>
      </c>
      <c r="R18" s="36">
        <v>48.355060000000002</v>
      </c>
      <c r="S18" s="3">
        <v>48.632710000000003</v>
      </c>
      <c r="T18" s="37">
        <f>(R18+S18)/2</f>
        <v>48.493885000000006</v>
      </c>
      <c r="U18" s="38">
        <f>T18/1000</f>
        <v>4.8493885000000007E-2</v>
      </c>
      <c r="V18" s="36">
        <f>1000*((3*U18*$F$8)/(4*$F$13))^(1/3)</f>
        <v>0.65071732380135927</v>
      </c>
      <c r="W18">
        <f t="shared" ref="W18:W40" si="1">PI()*V18*V18</f>
        <v>1.3302541135989558</v>
      </c>
      <c r="X18" s="3">
        <f t="shared" ref="X18:X40" si="2">$J$6*W18</f>
        <v>5.3405948909510817E-3</v>
      </c>
      <c r="Y18" s="37">
        <f>N18*100/X18</f>
        <v>-151.29400684726104</v>
      </c>
      <c r="Z18" s="27"/>
      <c r="AA18" s="28"/>
      <c r="AB18" s="28"/>
      <c r="AC18" s="28"/>
      <c r="AD18" s="28"/>
      <c r="AE18" s="28"/>
      <c r="AF18" s="28"/>
      <c r="AG18" s="28"/>
      <c r="AH18" t="str">
        <f>IF(OR(($AF$17&gt;Y18),($AG$17&lt;Y18)),"Yes","No")</f>
        <v>No</v>
      </c>
    </row>
    <row r="19" spans="1:34" x14ac:dyDescent="0.3">
      <c r="A19" s="3"/>
      <c r="B19" s="60">
        <v>23</v>
      </c>
      <c r="C19" s="30"/>
      <c r="D19" s="36">
        <v>-3.3554300000000001</v>
      </c>
      <c r="E19" s="27"/>
      <c r="F19" s="3">
        <v>-2.18181</v>
      </c>
      <c r="G19" s="33"/>
      <c r="H19" s="61">
        <v>21.3</v>
      </c>
      <c r="I19" s="61">
        <v>21.3</v>
      </c>
      <c r="J19" s="58">
        <f>IF((I19-H19&gt;0.1),AVERAGE(I19,H19),I19)</f>
        <v>21.3</v>
      </c>
      <c r="K19" s="62">
        <v>21</v>
      </c>
      <c r="L19" s="34">
        <v>-7.6310000000000003E-2</v>
      </c>
      <c r="M19" s="61">
        <v>-3.857E-2</v>
      </c>
      <c r="N19" s="35">
        <f t="shared" si="0"/>
        <v>-3.7740000000000003E-2</v>
      </c>
      <c r="O19" s="36">
        <v>21.6</v>
      </c>
      <c r="P19" s="3">
        <v>21.7</v>
      </c>
      <c r="Q19" s="37">
        <f>IF(((P19-O19)&gt;0.1),((O19+P19)/2),P19)</f>
        <v>21.7</v>
      </c>
      <c r="R19" s="36">
        <v>48.05095</v>
      </c>
      <c r="S19" s="3">
        <v>48.74353</v>
      </c>
      <c r="T19" s="37">
        <f>(R19+S19)/2</f>
        <v>48.397239999999996</v>
      </c>
      <c r="U19" s="38">
        <f>T19/1000</f>
        <v>4.8397239999999994E-2</v>
      </c>
      <c r="V19" s="36">
        <f>1000*((3*U19*$F$8)/(4*$F$13))^(1/3)</f>
        <v>0.65028475792478269</v>
      </c>
      <c r="W19">
        <f t="shared" si="1"/>
        <v>1.3284861223101625</v>
      </c>
      <c r="X19" s="3">
        <f t="shared" si="2"/>
        <v>5.3334969048237316E-3</v>
      </c>
      <c r="Y19" s="37">
        <f>N19*100/X19</f>
        <v>-707.60329805136143</v>
      </c>
      <c r="Z19" s="27"/>
      <c r="AA19" s="28"/>
      <c r="AB19" s="28"/>
      <c r="AC19" s="28"/>
      <c r="AD19" s="28"/>
      <c r="AE19" s="28"/>
      <c r="AF19" s="28"/>
      <c r="AG19" s="28"/>
      <c r="AH19" t="str">
        <f>IF(OR(($AF$17&gt;Y19),($AG$17&lt;Y19)),"Yes","No")</f>
        <v>No</v>
      </c>
    </row>
    <row r="20" spans="1:34" x14ac:dyDescent="0.3">
      <c r="A20" s="3"/>
      <c r="B20" s="60">
        <v>21</v>
      </c>
      <c r="C20" s="30"/>
      <c r="D20" s="36">
        <v>-2.0887199999999999</v>
      </c>
      <c r="E20" s="27"/>
      <c r="F20" s="3"/>
      <c r="G20" s="33"/>
      <c r="H20" s="61">
        <v>21.7</v>
      </c>
      <c r="I20" s="61">
        <v>21.8</v>
      </c>
      <c r="J20" s="61">
        <v>21.8</v>
      </c>
      <c r="K20" s="62"/>
      <c r="L20" s="34"/>
      <c r="N20" s="35"/>
      <c r="O20" s="36"/>
      <c r="P20" s="3"/>
      <c r="Q20" s="37"/>
      <c r="R20" s="36"/>
      <c r="S20" s="3"/>
      <c r="T20" s="37"/>
      <c r="U20" s="38"/>
      <c r="V20" s="36"/>
      <c r="W20" s="3"/>
      <c r="X20" s="3"/>
      <c r="Y20" s="37"/>
      <c r="Z20" s="3"/>
    </row>
    <row r="21" spans="1:34" x14ac:dyDescent="0.3">
      <c r="A21" s="3"/>
      <c r="B21" s="60">
        <v>21</v>
      </c>
      <c r="C21" s="30"/>
      <c r="D21" s="36">
        <v>-2.6624699999999999</v>
      </c>
      <c r="E21" s="27"/>
      <c r="F21" s="3"/>
      <c r="G21" s="33"/>
      <c r="H21" s="61">
        <v>21.8</v>
      </c>
      <c r="I21" s="61">
        <v>21.8</v>
      </c>
      <c r="J21" s="61">
        <v>21.8</v>
      </c>
      <c r="K21" s="62"/>
      <c r="L21" s="34"/>
      <c r="N21" s="35"/>
      <c r="O21" s="36"/>
      <c r="P21" s="3"/>
      <c r="Q21" s="37"/>
      <c r="R21" s="36"/>
      <c r="S21" s="3"/>
      <c r="T21" s="37"/>
      <c r="U21" s="38"/>
      <c r="V21" s="36"/>
      <c r="W21" s="3"/>
      <c r="X21" s="3"/>
      <c r="Y21" s="37"/>
      <c r="Z21" s="3"/>
    </row>
    <row r="22" spans="1:34" x14ac:dyDescent="0.3">
      <c r="A22" s="3"/>
      <c r="B22" s="60">
        <v>21</v>
      </c>
      <c r="C22" s="30"/>
      <c r="D22" s="36">
        <v>-2.7850299999999999</v>
      </c>
      <c r="E22" s="27"/>
      <c r="F22" s="3"/>
      <c r="G22" s="33"/>
      <c r="H22" s="61">
        <v>22</v>
      </c>
      <c r="I22" s="61">
        <v>22</v>
      </c>
      <c r="J22" s="61">
        <v>22</v>
      </c>
      <c r="K22" s="62"/>
      <c r="L22" s="34"/>
      <c r="N22" s="35"/>
      <c r="O22" s="36"/>
      <c r="P22" s="3"/>
      <c r="Q22" s="37"/>
      <c r="R22" s="36"/>
      <c r="S22" s="3"/>
      <c r="T22" s="37"/>
      <c r="U22" s="38"/>
      <c r="V22" s="36"/>
      <c r="W22" s="3"/>
      <c r="X22" s="3"/>
      <c r="Y22" s="37"/>
      <c r="Z22" s="3"/>
    </row>
    <row r="23" spans="1:34" x14ac:dyDescent="0.3">
      <c r="A23" s="3"/>
      <c r="B23" s="60"/>
      <c r="C23" s="30"/>
      <c r="D23" s="36"/>
      <c r="E23" s="27"/>
      <c r="F23" s="3"/>
      <c r="G23" s="33"/>
      <c r="H23" s="61"/>
      <c r="I23" s="61"/>
      <c r="J23" s="61"/>
      <c r="K23" s="62"/>
      <c r="L23" s="34"/>
      <c r="N23" s="35"/>
      <c r="O23" s="36"/>
      <c r="P23" s="3"/>
      <c r="Q23" s="37"/>
      <c r="R23" s="36"/>
      <c r="S23" s="3"/>
      <c r="T23" s="37"/>
      <c r="U23" s="38"/>
      <c r="V23" s="36"/>
      <c r="W23" s="3"/>
      <c r="X23" s="3"/>
      <c r="Y23" s="37"/>
      <c r="Z23" s="3"/>
    </row>
    <row r="24" spans="1:34" ht="15" thickBot="1" x14ac:dyDescent="0.35">
      <c r="A24" s="3"/>
      <c r="B24" s="60"/>
      <c r="C24" s="40"/>
      <c r="D24" s="48"/>
      <c r="E24" s="63"/>
      <c r="F24" s="43"/>
      <c r="G24" s="44"/>
      <c r="H24" s="64"/>
      <c r="I24" s="64"/>
      <c r="J24" s="64"/>
      <c r="K24" s="65"/>
      <c r="L24" s="45"/>
      <c r="M24" s="46"/>
      <c r="N24" s="47"/>
      <c r="O24" s="48"/>
      <c r="P24" s="43"/>
      <c r="Q24" s="49"/>
      <c r="R24" s="48"/>
      <c r="S24" s="43"/>
      <c r="T24" s="49"/>
      <c r="U24" s="50"/>
      <c r="V24" s="48"/>
      <c r="W24" s="43"/>
      <c r="X24" s="43"/>
      <c r="Y24" s="49"/>
      <c r="Z24" s="3"/>
    </row>
    <row r="25" spans="1:34" x14ac:dyDescent="0.3">
      <c r="A25" s="3"/>
      <c r="B25" s="60">
        <v>23</v>
      </c>
      <c r="C25" s="16" t="s">
        <v>64</v>
      </c>
      <c r="D25" s="24">
        <v>-4.57097</v>
      </c>
      <c r="E25" s="5">
        <f>AVERAGE(D26:D28)</f>
        <v>-2.3318466666666668</v>
      </c>
      <c r="F25" s="19">
        <v>-2.8329399999999998</v>
      </c>
      <c r="G25" s="51">
        <f>AVERAGE(F25:F27)</f>
        <v>-2.8136233333333336</v>
      </c>
      <c r="H25" s="66">
        <v>22.1</v>
      </c>
      <c r="I25" s="66">
        <v>22.2</v>
      </c>
      <c r="J25" s="66">
        <f>IF((I25-H25)&gt;0.2,AVERAGE(I25,H25),I25)</f>
        <v>22.2</v>
      </c>
      <c r="K25" s="67">
        <v>21</v>
      </c>
      <c r="L25" s="21">
        <v>-4.5580000000000002E-2</v>
      </c>
      <c r="M25" s="22">
        <v>-0.10037</v>
      </c>
      <c r="N25" s="23">
        <f t="shared" si="0"/>
        <v>5.4789999999999998E-2</v>
      </c>
      <c r="O25" s="24">
        <v>21.8</v>
      </c>
      <c r="P25" s="19">
        <v>21.8</v>
      </c>
      <c r="Q25" s="25">
        <f>IF(((P25-O25)&gt;0.2),((O25+P25)/2),P25)</f>
        <v>21.8</v>
      </c>
      <c r="R25" s="24">
        <v>48.2624</v>
      </c>
      <c r="S25" s="19">
        <v>48.87406</v>
      </c>
      <c r="T25" s="25">
        <f>(R25+S25)/2</f>
        <v>48.56823</v>
      </c>
      <c r="U25" s="26">
        <f>T25/1000</f>
        <v>4.8568229999999997E-2</v>
      </c>
      <c r="V25" s="24">
        <f>1000*((3*U25*$F$8)/(4*$F$13))^(1/3)</f>
        <v>0.65104968789387185</v>
      </c>
      <c r="W25" s="22">
        <f t="shared" si="1"/>
        <v>1.3316133569975572</v>
      </c>
      <c r="X25" s="19">
        <f t="shared" si="2"/>
        <v>5.3460518696410329E-3</v>
      </c>
      <c r="Y25" s="25">
        <f>N25*100/X25</f>
        <v>1024.8684699663968</v>
      </c>
      <c r="Z25" s="27">
        <f>AVERAGE(Y25:Y27)</f>
        <v>-455.46763179343702</v>
      </c>
      <c r="AA25" s="28">
        <f>_xlfn.VAR.S(Y25:Y27)</f>
        <v>1739626.3600999229</v>
      </c>
      <c r="AB25" s="28">
        <f>_xlfn.QUARTILE.INC(Y25:Y27,1)</f>
        <v>-1195.635682673354</v>
      </c>
      <c r="AC25" s="28">
        <f>_xlfn.QUARTILE.INC(Y25:Y27,2)</f>
        <v>-885.66773357248803</v>
      </c>
      <c r="AD25" s="28">
        <f>_xlfn.QUARTILE.INC(Y25:Y27,3)</f>
        <v>69.600368196954378</v>
      </c>
      <c r="AE25" s="28">
        <f>AD25-AB25</f>
        <v>1265.2360508703084</v>
      </c>
      <c r="AF25" s="28">
        <f>AB25-(1.5*AE25)</f>
        <v>-3093.4897589788166</v>
      </c>
      <c r="AG25" s="28">
        <f>AD25+(1.5*AE25)</f>
        <v>1967.4544445024169</v>
      </c>
      <c r="AH25" t="str">
        <f>IF(OR(($AF$25&gt;Y25),($AG$25&lt;Y25)),"Yes","No")</f>
        <v>No</v>
      </c>
    </row>
    <row r="26" spans="1:34" x14ac:dyDescent="0.3">
      <c r="A26" s="3"/>
      <c r="B26" s="60">
        <v>20</v>
      </c>
      <c r="C26" s="30"/>
      <c r="D26" s="36">
        <v>-2.2999999999999998</v>
      </c>
      <c r="E26" s="27"/>
      <c r="F26" s="3">
        <v>-2.8079000000000001</v>
      </c>
      <c r="G26" s="52"/>
      <c r="H26" s="2">
        <v>22.7</v>
      </c>
      <c r="I26" s="2">
        <v>22.8</v>
      </c>
      <c r="J26" s="2">
        <v>22.8</v>
      </c>
      <c r="K26" s="68">
        <v>21</v>
      </c>
      <c r="L26" s="34">
        <v>-2.104E-2</v>
      </c>
      <c r="M26" s="2">
        <v>2.6595000000000001E-2</v>
      </c>
      <c r="N26" s="35">
        <f t="shared" si="0"/>
        <v>-4.7634999999999997E-2</v>
      </c>
      <c r="O26" s="36">
        <v>22</v>
      </c>
      <c r="P26" s="3">
        <v>22.1</v>
      </c>
      <c r="Q26" s="37">
        <f>IF(((P26-O26)&gt;0.2),((O26+P26)/2),P26)</f>
        <v>22.1</v>
      </c>
      <c r="R26" s="36">
        <v>49</v>
      </c>
      <c r="S26" s="3">
        <v>49.020189999999999</v>
      </c>
      <c r="T26" s="37">
        <f>(R26+S26)/2</f>
        <v>49.010095</v>
      </c>
      <c r="U26" s="38">
        <f>T26/1000</f>
        <v>4.9010094999999997E-2</v>
      </c>
      <c r="V26" s="36">
        <f>1000*((3*U26*$F$8)/(4*$F$13))^(1/3)</f>
        <v>0.65301810802424376</v>
      </c>
      <c r="W26">
        <f t="shared" si="1"/>
        <v>1.3396776786296314</v>
      </c>
      <c r="X26" s="3">
        <f t="shared" si="2"/>
        <v>5.3784278453790236E-3</v>
      </c>
      <c r="Y26" s="37">
        <f>N26*100/X26</f>
        <v>-885.66773357248803</v>
      </c>
      <c r="Z26" s="27"/>
      <c r="AA26" s="28"/>
      <c r="AB26" s="28"/>
      <c r="AC26" s="28"/>
      <c r="AD26" s="28"/>
      <c r="AE26" s="28"/>
      <c r="AF26" s="28"/>
      <c r="AG26" s="28"/>
      <c r="AH26" t="str">
        <f>IF(OR(($AF$25&gt;Y26),($AG$25&lt;Y26)),"Yes","No")</f>
        <v>No</v>
      </c>
    </row>
    <row r="27" spans="1:34" x14ac:dyDescent="0.3">
      <c r="A27" s="3"/>
      <c r="B27" s="60">
        <v>20</v>
      </c>
      <c r="C27" s="30"/>
      <c r="D27" s="36">
        <v>-2.3035199999999998</v>
      </c>
      <c r="E27" s="27"/>
      <c r="F27" s="3">
        <v>-2.80003</v>
      </c>
      <c r="G27" s="52"/>
      <c r="H27" s="2">
        <v>22.8</v>
      </c>
      <c r="I27" s="2">
        <v>22.8</v>
      </c>
      <c r="J27" s="2">
        <v>22.8</v>
      </c>
      <c r="K27" s="68">
        <v>22</v>
      </c>
      <c r="L27" s="34">
        <v>2.8157000000000001E-2</v>
      </c>
      <c r="M27" s="2">
        <v>0.109109</v>
      </c>
      <c r="N27" s="35">
        <f t="shared" si="0"/>
        <v>-8.0951999999999996E-2</v>
      </c>
      <c r="O27" s="36">
        <v>22.3</v>
      </c>
      <c r="P27" s="3">
        <v>22.4</v>
      </c>
      <c r="Q27" s="37">
        <f>IF(((P27-O27)&gt;0.2),((O27+P27)/2),P27)</f>
        <v>22.4</v>
      </c>
      <c r="R27" s="36">
        <v>48.986669999999997</v>
      </c>
      <c r="S27" s="3">
        <v>48.986669999999997</v>
      </c>
      <c r="T27" s="37">
        <f>(R27+S27)/2</f>
        <v>48.986669999999997</v>
      </c>
      <c r="U27" s="38">
        <f>T27/1000</f>
        <v>4.8986669999999996E-2</v>
      </c>
      <c r="V27" s="36">
        <f>1000*((3*U27*$F$8)/(4*$F$13))^(1/3)</f>
        <v>0.65291405199965169</v>
      </c>
      <c r="W27">
        <f t="shared" si="1"/>
        <v>1.3392507672616303</v>
      </c>
      <c r="X27" s="3">
        <f t="shared" si="2"/>
        <v>5.3767139167036461E-3</v>
      </c>
      <c r="Y27" s="37">
        <f>N27*100/X27</f>
        <v>-1505.6036317742198</v>
      </c>
      <c r="Z27" s="27"/>
      <c r="AA27" s="28"/>
      <c r="AB27" s="28"/>
      <c r="AC27" s="28"/>
      <c r="AD27" s="28"/>
      <c r="AE27" s="28"/>
      <c r="AF27" s="28"/>
      <c r="AG27" s="28"/>
      <c r="AH27" t="str">
        <f>IF(OR(($AF$25&gt;Y27),($AG$25&lt;Y27)),"Yes","No")</f>
        <v>No</v>
      </c>
    </row>
    <row r="28" spans="1:34" x14ac:dyDescent="0.3">
      <c r="A28" s="3"/>
      <c r="B28" s="60">
        <v>20</v>
      </c>
      <c r="C28" s="30"/>
      <c r="D28" s="36">
        <v>-2.39202</v>
      </c>
      <c r="E28" s="27"/>
      <c r="F28" s="3"/>
      <c r="G28" s="52"/>
      <c r="H28" s="2">
        <v>22.8</v>
      </c>
      <c r="I28" s="2">
        <v>23</v>
      </c>
      <c r="J28" s="2">
        <f>AVERAGE(I28,H28)</f>
        <v>22.9</v>
      </c>
      <c r="K28" s="68"/>
      <c r="L28" s="34"/>
      <c r="N28" s="35"/>
      <c r="O28" s="36"/>
      <c r="P28" s="3"/>
      <c r="Q28" s="37"/>
      <c r="R28" s="36"/>
      <c r="S28" s="3"/>
      <c r="T28" s="37"/>
      <c r="U28" s="38"/>
      <c r="V28" s="36"/>
      <c r="W28" s="3"/>
      <c r="X28" s="3"/>
      <c r="Y28" s="37"/>
      <c r="Z28" s="3"/>
    </row>
    <row r="29" spans="1:34" x14ac:dyDescent="0.3">
      <c r="A29" s="3"/>
      <c r="B29" s="60">
        <v>22</v>
      </c>
      <c r="C29" s="30"/>
      <c r="D29" s="36"/>
      <c r="E29" s="27"/>
      <c r="F29" s="3"/>
      <c r="G29" s="52"/>
      <c r="H29" s="2">
        <v>22.4</v>
      </c>
      <c r="I29" s="2"/>
      <c r="J29" s="2"/>
      <c r="K29" s="68"/>
      <c r="L29" s="34"/>
      <c r="N29" s="35"/>
      <c r="O29" s="36"/>
      <c r="P29" s="3"/>
      <c r="Q29" s="37"/>
      <c r="R29" s="36"/>
      <c r="S29" s="3"/>
      <c r="T29" s="37"/>
      <c r="U29" s="38"/>
      <c r="V29" s="36"/>
      <c r="W29" s="3"/>
      <c r="X29" s="3"/>
      <c r="Y29" s="37"/>
      <c r="Z29" s="3"/>
    </row>
    <row r="30" spans="1:34" x14ac:dyDescent="0.3">
      <c r="A30" s="3"/>
      <c r="B30" s="60"/>
      <c r="C30" s="30"/>
      <c r="D30" s="36"/>
      <c r="E30" s="27"/>
      <c r="F30" s="3"/>
      <c r="G30" s="52"/>
      <c r="H30" s="2"/>
      <c r="I30" s="2"/>
      <c r="J30" s="2"/>
      <c r="K30" s="68"/>
      <c r="L30" s="34"/>
      <c r="N30" s="35"/>
      <c r="O30" s="36"/>
      <c r="P30" s="3"/>
      <c r="Q30" s="37"/>
      <c r="R30" s="36"/>
      <c r="S30" s="3"/>
      <c r="T30" s="37"/>
      <c r="U30" s="38"/>
      <c r="V30" s="36"/>
      <c r="W30" s="3"/>
      <c r="X30" s="3"/>
      <c r="Y30" s="37"/>
      <c r="Z30" s="3"/>
    </row>
    <row r="31" spans="1:34" ht="15" thickBot="1" x14ac:dyDescent="0.35">
      <c r="A31" s="3"/>
      <c r="B31" s="60"/>
      <c r="C31" s="40"/>
      <c r="D31" s="48"/>
      <c r="E31" s="63"/>
      <c r="F31" s="43"/>
      <c r="G31" s="53"/>
      <c r="H31" s="69"/>
      <c r="I31" s="69"/>
      <c r="J31" s="69"/>
      <c r="K31" s="70"/>
      <c r="L31" s="45"/>
      <c r="M31" s="46"/>
      <c r="N31" s="47"/>
      <c r="O31" s="48"/>
      <c r="P31" s="43"/>
      <c r="Q31" s="49"/>
      <c r="R31" s="48"/>
      <c r="S31" s="43"/>
      <c r="T31" s="49"/>
      <c r="U31" s="50"/>
      <c r="V31" s="48"/>
      <c r="W31" s="43"/>
      <c r="X31" s="43"/>
      <c r="Y31" s="49"/>
      <c r="Z31" s="3"/>
    </row>
    <row r="32" spans="1:34" ht="15" thickBot="1" x14ac:dyDescent="0.35">
      <c r="A32" s="3"/>
      <c r="B32" s="60">
        <v>20</v>
      </c>
      <c r="C32" s="16" t="s">
        <v>65</v>
      </c>
      <c r="D32" s="24">
        <v>-2.6149</v>
      </c>
      <c r="E32" s="5">
        <f>AVERAGE(D32:D36)</f>
        <v>-2.5936139999999996</v>
      </c>
      <c r="F32" s="19">
        <v>-1.6491800000000001</v>
      </c>
      <c r="G32" s="51">
        <f>AVERAGE(F32:F35)</f>
        <v>-1.865345</v>
      </c>
      <c r="H32" s="66">
        <v>23</v>
      </c>
      <c r="I32" s="66">
        <v>23</v>
      </c>
      <c r="J32" s="66">
        <f>IF((I32-H32)&gt;0.2,AVERAGE(I32,H32),I32)</f>
        <v>23</v>
      </c>
      <c r="K32" s="67">
        <v>23</v>
      </c>
      <c r="L32" s="21">
        <v>8.0032000000000006E-2</v>
      </c>
      <c r="M32" s="22">
        <v>0.17730000000000001</v>
      </c>
      <c r="N32" s="23">
        <f t="shared" si="0"/>
        <v>-9.7268000000000007E-2</v>
      </c>
      <c r="O32" s="24">
        <v>21.2</v>
      </c>
      <c r="P32" s="19">
        <v>21.3</v>
      </c>
      <c r="Q32" s="25">
        <f>IF(((P32-O32)&gt;0.2),((O32+P32)/2),P32)</f>
        <v>21.3</v>
      </c>
      <c r="R32" s="24">
        <v>43.551180000000002</v>
      </c>
      <c r="S32" s="19">
        <v>42.63</v>
      </c>
      <c r="T32" s="25">
        <f>(R32+S32)/2</f>
        <v>43.090590000000006</v>
      </c>
      <c r="U32" s="26">
        <f>T32/1000</f>
        <v>4.3090590000000005E-2</v>
      </c>
      <c r="V32" s="24">
        <f>1000*((3*U32*$F$8)/(4*$F$13))^(1/3)</f>
        <v>0.62559152464227641</v>
      </c>
      <c r="W32" s="22">
        <f t="shared" si="1"/>
        <v>1.2295086413944294</v>
      </c>
      <c r="X32" s="19">
        <f t="shared" si="2"/>
        <v>4.9361302487134434E-3</v>
      </c>
      <c r="Y32" s="25">
        <f>N32*100/X32</f>
        <v>-1970.5314709909044</v>
      </c>
      <c r="Z32" s="27">
        <f>AVERAGE(Y32:Y34)</f>
        <v>-2083.5406761855479</v>
      </c>
      <c r="AA32" s="28">
        <f>_xlfn.VAR.S(Y32:Y34)</f>
        <v>4308557.3529887069</v>
      </c>
      <c r="AB32" s="28">
        <f>_xlfn.QUARTILE.INC(Y32:Y34,1)</f>
        <v>-3091.9873479071007</v>
      </c>
      <c r="AC32" s="28">
        <f>_xlfn.QUARTILE.INC(Y32:Y34,2)</f>
        <v>-1970.5314709909044</v>
      </c>
      <c r="AD32" s="28">
        <f>_xlfn.QUARTILE.INC(Y32:Y34,3)</f>
        <v>-1018.589401866673</v>
      </c>
      <c r="AE32" s="28">
        <f>AD32-AB32</f>
        <v>2073.3979460404275</v>
      </c>
      <c r="AF32" s="28">
        <f>AB32-(1.5*AE32)</f>
        <v>-6202.0842669677422</v>
      </c>
      <c r="AG32" s="28">
        <f>AD32+(1.5*AE32)</f>
        <v>2091.5075171939679</v>
      </c>
      <c r="AH32" t="str">
        <f>IF(OR(($AF$32&gt;Y32),($AG$32&lt;Y32)),"Yes","No")</f>
        <v>No</v>
      </c>
    </row>
    <row r="33" spans="1:34" ht="15" thickBot="1" x14ac:dyDescent="0.35">
      <c r="A33" s="3"/>
      <c r="B33" s="60">
        <v>20</v>
      </c>
      <c r="C33" s="30"/>
      <c r="D33" s="36">
        <v>-2.40652</v>
      </c>
      <c r="E33" s="27"/>
      <c r="F33" s="3">
        <v>-0.10489</v>
      </c>
      <c r="G33" s="52"/>
      <c r="H33" s="2">
        <v>23</v>
      </c>
      <c r="I33" s="2">
        <v>23</v>
      </c>
      <c r="J33" s="66">
        <f>IF((I33-H33)&gt;0.2,AVERAGE(I33,H33),I33)</f>
        <v>23</v>
      </c>
      <c r="K33" s="68">
        <v>23</v>
      </c>
      <c r="L33" s="34">
        <v>-0.14343</v>
      </c>
      <c r="M33">
        <v>6.3907000000000005E-2</v>
      </c>
      <c r="N33" s="35">
        <f t="shared" si="0"/>
        <v>-0.20733699999999999</v>
      </c>
      <c r="O33" s="36">
        <v>21.3</v>
      </c>
      <c r="P33" s="3">
        <v>21.3</v>
      </c>
      <c r="Q33" s="37">
        <f>IF(((P33-O33)&gt;0.1),((O33+P33)/2),P33)</f>
        <v>21.3</v>
      </c>
      <c r="R33" s="36">
        <v>43.551180000000002</v>
      </c>
      <c r="S33" s="3">
        <v>42.23</v>
      </c>
      <c r="T33" s="37">
        <f>(R33+S33)/2</f>
        <v>42.890590000000003</v>
      </c>
      <c r="U33" s="38">
        <f>T33/1000</f>
        <v>4.2890590000000006E-2</v>
      </c>
      <c r="V33" s="36">
        <f>1000*((3*U33*$F$8)/(4*$F$13))^(1/3)</f>
        <v>0.62462215306428248</v>
      </c>
      <c r="W33">
        <f t="shared" si="1"/>
        <v>1.2257012773815874</v>
      </c>
      <c r="X33" s="3">
        <f t="shared" si="2"/>
        <v>4.9208447565754314E-3</v>
      </c>
      <c r="Y33" s="37">
        <f>N33*100/X33</f>
        <v>-4213.443224823297</v>
      </c>
      <c r="Z33" s="27"/>
      <c r="AA33" s="28"/>
      <c r="AB33" s="28"/>
      <c r="AC33" s="28"/>
      <c r="AD33" s="28"/>
      <c r="AE33" s="28"/>
      <c r="AF33" s="28"/>
      <c r="AG33" s="28"/>
      <c r="AH33" t="str">
        <f>IF(OR(($AF$32&gt;Y33),($AG$32&lt;Y33)),"Yes","No")</f>
        <v>No</v>
      </c>
    </row>
    <row r="34" spans="1:34" ht="15" thickBot="1" x14ac:dyDescent="0.35">
      <c r="A34" s="3"/>
      <c r="B34" s="60">
        <v>20</v>
      </c>
      <c r="C34" s="30"/>
      <c r="D34" s="36">
        <v>-2.4245299999999999</v>
      </c>
      <c r="E34" s="27"/>
      <c r="F34" s="3">
        <v>-2.8201800000000001</v>
      </c>
      <c r="G34" s="52"/>
      <c r="H34" s="2">
        <v>23</v>
      </c>
      <c r="I34" s="2">
        <v>23</v>
      </c>
      <c r="J34" s="66">
        <f>IF((I34-H34)&gt;0.2,AVERAGE(I34,H34),I34)</f>
        <v>23</v>
      </c>
      <c r="K34" s="68">
        <v>21</v>
      </c>
      <c r="L34" s="34">
        <v>5.7724999999999999E-2</v>
      </c>
      <c r="M34" s="2">
        <v>6.1288000000000002E-2</v>
      </c>
      <c r="N34" s="35">
        <f t="shared" si="0"/>
        <v>-3.5630000000000037E-3</v>
      </c>
      <c r="O34" s="36">
        <v>21.9</v>
      </c>
      <c r="P34" s="3">
        <v>22</v>
      </c>
      <c r="Q34" s="37">
        <v>22</v>
      </c>
      <c r="R34" s="36">
        <v>48.19585</v>
      </c>
      <c r="S34" s="3">
        <v>48.940570000000001</v>
      </c>
      <c r="T34" s="37">
        <f>(R34+S34)/2</f>
        <v>48.568210000000001</v>
      </c>
      <c r="U34" s="38">
        <f>T34/1000</f>
        <v>4.8568210000000001E-2</v>
      </c>
      <c r="V34" s="36">
        <f>1000*((3*U34*$F$8)/(4*$F$13))^(1/3)</f>
        <v>0.6510495985282132</v>
      </c>
      <c r="W34">
        <f t="shared" si="1"/>
        <v>1.3316129914325359</v>
      </c>
      <c r="X34" s="3">
        <f t="shared" si="2"/>
        <v>5.3460504020006287E-3</v>
      </c>
      <c r="Y34" s="37">
        <f>N34*100/X34</f>
        <v>-66.647332742441748</v>
      </c>
      <c r="Z34" s="27"/>
      <c r="AA34" s="28"/>
      <c r="AB34" s="28"/>
      <c r="AC34" s="28"/>
      <c r="AD34" s="28"/>
      <c r="AE34" s="28"/>
      <c r="AF34" s="28"/>
      <c r="AG34" s="28"/>
      <c r="AH34" t="str">
        <f>IF(OR(($AF$32&gt;Y34),($AG$32&lt;Y34)),"Yes","No")</f>
        <v>No</v>
      </c>
    </row>
    <row r="35" spans="1:34" ht="15" thickBot="1" x14ac:dyDescent="0.35">
      <c r="A35" s="3"/>
      <c r="B35" s="60">
        <v>21</v>
      </c>
      <c r="C35" s="30"/>
      <c r="D35" s="36">
        <v>-2.6534599999999999</v>
      </c>
      <c r="E35" s="27"/>
      <c r="F35" s="3">
        <v>-2.88713</v>
      </c>
      <c r="G35" s="52"/>
      <c r="H35" s="2">
        <v>21.5</v>
      </c>
      <c r="I35" s="2">
        <v>21.6</v>
      </c>
      <c r="J35" s="66">
        <v>21.6</v>
      </c>
      <c r="K35" s="68">
        <v>22</v>
      </c>
      <c r="L35" s="34">
        <v>-8.8510000000000005E-2</v>
      </c>
      <c r="M35" s="2">
        <v>-4.3430000000000003E-2</v>
      </c>
      <c r="N35" s="35">
        <f t="shared" si="0"/>
        <v>-4.5080000000000002E-2</v>
      </c>
      <c r="O35" s="36">
        <v>22.1</v>
      </c>
      <c r="P35" s="3">
        <v>22.2</v>
      </c>
      <c r="Q35" s="37">
        <v>22.2</v>
      </c>
      <c r="R35" s="36">
        <v>48.857460000000003</v>
      </c>
      <c r="S35" s="3">
        <v>48.857460000000003</v>
      </c>
      <c r="T35" s="37">
        <f>(R35+S35)/2</f>
        <v>48.857460000000003</v>
      </c>
      <c r="U35" s="38">
        <f>T35/1000</f>
        <v>4.8857460000000005E-2</v>
      </c>
      <c r="V35" s="36">
        <f>1000*((3*U35*$F$8)/(4*$F$13))^(1/3)</f>
        <v>0.65233949224630838</v>
      </c>
      <c r="W35">
        <f>PI()*V35*V35</f>
        <v>1.3368947419322774</v>
      </c>
      <c r="X35" s="3">
        <f>$J$6*W35</f>
        <v>5.3672551398366826E-3</v>
      </c>
      <c r="Y35" s="37">
        <f>N35*100/X35</f>
        <v>-839.90790125493675</v>
      </c>
      <c r="Z35" s="3"/>
    </row>
    <row r="36" spans="1:34" ht="15" thickBot="1" x14ac:dyDescent="0.35">
      <c r="A36" s="3"/>
      <c r="B36" s="60">
        <v>22</v>
      </c>
      <c r="C36" s="30"/>
      <c r="D36" s="3">
        <v>-2.8686600000000002</v>
      </c>
      <c r="E36" s="27"/>
      <c r="G36" s="52"/>
      <c r="H36" s="2">
        <v>22.3</v>
      </c>
      <c r="I36" s="2">
        <v>22.4</v>
      </c>
      <c r="J36" s="66"/>
      <c r="K36" s="68"/>
      <c r="L36" s="34"/>
      <c r="N36" s="35"/>
      <c r="O36" s="36"/>
      <c r="P36" s="3"/>
      <c r="Q36" s="37"/>
      <c r="R36" s="36"/>
      <c r="S36" s="3"/>
      <c r="T36" s="37"/>
      <c r="U36" s="38"/>
      <c r="V36" s="36"/>
      <c r="W36" s="3"/>
      <c r="X36" s="3"/>
      <c r="Y36" s="37"/>
      <c r="Z36" s="3"/>
    </row>
    <row r="37" spans="1:34" ht="15" thickBot="1" x14ac:dyDescent="0.35">
      <c r="A37" s="3"/>
      <c r="B37" s="60"/>
      <c r="C37" s="40"/>
      <c r="D37" s="48"/>
      <c r="E37" s="63"/>
      <c r="F37" s="43"/>
      <c r="G37" s="53"/>
      <c r="H37" s="69"/>
      <c r="I37" s="69"/>
      <c r="J37" s="66"/>
      <c r="K37" s="70"/>
      <c r="L37" s="45"/>
      <c r="M37" s="46"/>
      <c r="N37" s="47"/>
      <c r="O37" s="48"/>
      <c r="P37" s="43"/>
      <c r="Q37" s="49"/>
      <c r="R37" s="48"/>
      <c r="S37" s="43"/>
      <c r="T37" s="49"/>
      <c r="U37" s="50"/>
      <c r="V37" s="48"/>
      <c r="W37" s="43"/>
      <c r="X37" s="43"/>
      <c r="Y37" s="49"/>
      <c r="Z37" s="3"/>
    </row>
    <row r="38" spans="1:34" ht="15" thickBot="1" x14ac:dyDescent="0.35">
      <c r="A38" s="3"/>
      <c r="B38" s="60">
        <v>20</v>
      </c>
      <c r="C38" s="30" t="s">
        <v>66</v>
      </c>
      <c r="D38" s="36">
        <v>-2.8221799999999999</v>
      </c>
      <c r="E38" s="27">
        <f>AVERAGE(D38:D40)</f>
        <v>-2.8457066666666666</v>
      </c>
      <c r="F38" s="3">
        <v>-2.93587</v>
      </c>
      <c r="G38" s="52">
        <f>AVERAGE(F38:F40)</f>
        <v>-2.7069833333333335</v>
      </c>
      <c r="H38" s="2">
        <v>23</v>
      </c>
      <c r="I38" s="2">
        <v>23</v>
      </c>
      <c r="J38" s="66">
        <f>IF((I38-H38)&gt;0.2,AVERAGE(I38,H38),I38)</f>
        <v>23</v>
      </c>
      <c r="K38" s="68">
        <v>21</v>
      </c>
      <c r="L38" s="34">
        <v>1.9335999999999999E-2</v>
      </c>
      <c r="M38" s="2">
        <v>-0.18859999999999999</v>
      </c>
      <c r="N38" s="35">
        <f t="shared" si="0"/>
        <v>0.20793599999999998</v>
      </c>
      <c r="O38" s="36">
        <v>22</v>
      </c>
      <c r="P38" s="3">
        <v>22.1</v>
      </c>
      <c r="Q38" s="37">
        <f>IF(((P38-O38)&gt;0.2),((O38+P38)/2),P38)</f>
        <v>22.1</v>
      </c>
      <c r="R38" s="36">
        <v>48.273589999999999</v>
      </c>
      <c r="S38" s="3">
        <v>48.775320000000001</v>
      </c>
      <c r="T38" s="37">
        <f>(R38+S38)/2</f>
        <v>48.524455000000003</v>
      </c>
      <c r="U38" s="38">
        <f>T38/1000</f>
        <v>4.8524455000000001E-2</v>
      </c>
      <c r="V38" s="36">
        <f>1000*((3*U38*$F$8)/(4*$F$13))^(1/3)</f>
        <v>0.65085403004149756</v>
      </c>
      <c r="W38">
        <f t="shared" si="1"/>
        <v>1.3308131063722837</v>
      </c>
      <c r="X38" s="3">
        <f t="shared" si="2"/>
        <v>5.3428390891977137E-3</v>
      </c>
      <c r="Y38" s="37">
        <f>N38*100/X38</f>
        <v>3891.8634180918943</v>
      </c>
      <c r="Z38" s="27">
        <f>AVERAGE(Y38:Y40)</f>
        <v>394.13948731304617</v>
      </c>
      <c r="AA38" s="28">
        <f>_xlfn.VAR.S(Y38:Y40)</f>
        <v>9206765.565983424</v>
      </c>
      <c r="AB38" s="28">
        <f>_xlfn.QUARTILE.INC(Y38:Y40,1)</f>
        <v>-1354.7224780763777</v>
      </c>
      <c r="AC38">
        <f>_xlfn.QUARTILE.INC(Y38:Y40,2)</f>
        <v>-1178.0560012729225</v>
      </c>
      <c r="AD38">
        <f>_xlfn.QUARTILE.INC(Y38:Y40,3)</f>
        <v>1356.9037084094857</v>
      </c>
      <c r="AE38">
        <f>AD38-AB38</f>
        <v>2711.6261864858634</v>
      </c>
      <c r="AF38">
        <f>AB38-(1.5*AE38)</f>
        <v>-5422.1617578051728</v>
      </c>
      <c r="AG38">
        <f>AD38+(1.5*AE38)</f>
        <v>5424.3429881382808</v>
      </c>
      <c r="AH38" t="str">
        <f>IF(OR(($AF$38&gt;Y38),($AG$38&lt;Y38)),"Yes","No")</f>
        <v>No</v>
      </c>
    </row>
    <row r="39" spans="1:34" ht="15" thickBot="1" x14ac:dyDescent="0.35">
      <c r="A39" s="3"/>
      <c r="B39" s="60">
        <v>20</v>
      </c>
      <c r="C39" s="30"/>
      <c r="D39" s="36">
        <v>-2.8221799999999999</v>
      </c>
      <c r="E39" s="27"/>
      <c r="F39" s="3">
        <v>-2.7450399999999999</v>
      </c>
      <c r="G39" s="52"/>
      <c r="H39" s="2">
        <v>23</v>
      </c>
      <c r="I39" s="2">
        <v>23</v>
      </c>
      <c r="J39" s="66">
        <f>IF((I39-H39)&gt;0.2,AVERAGE(I39,H39),I39)</f>
        <v>23</v>
      </c>
      <c r="K39" s="68">
        <v>22</v>
      </c>
      <c r="L39" s="34">
        <v>3.4412999999999999E-2</v>
      </c>
      <c r="M39" s="2">
        <v>0.11658200000000001</v>
      </c>
      <c r="N39" s="35">
        <f t="shared" si="0"/>
        <v>-8.2169000000000006E-2</v>
      </c>
      <c r="O39" s="36">
        <v>22.3</v>
      </c>
      <c r="P39" s="3">
        <v>22.3</v>
      </c>
      <c r="Q39" s="37">
        <f>IF(((P39-O39)&gt;0.2),((O39+P39)/2),P39)</f>
        <v>22.3</v>
      </c>
      <c r="R39" s="36">
        <v>48.63147</v>
      </c>
      <c r="S39" s="3">
        <v>49.039670000000001</v>
      </c>
      <c r="T39" s="37">
        <f>(R39+S39)/2</f>
        <v>48.835570000000004</v>
      </c>
      <c r="U39" s="38">
        <f>T39/1000</f>
        <v>4.8835570000000002E-2</v>
      </c>
      <c r="V39" s="36">
        <f>1000*((3*U39*$F$8)/(4*$F$13))^(1/3)</f>
        <v>0.65224205339299768</v>
      </c>
      <c r="W39">
        <f t="shared" si="1"/>
        <v>1.3364953923192906</v>
      </c>
      <c r="X39" s="3">
        <f t="shared" si="2"/>
        <v>5.3656518638302278E-3</v>
      </c>
      <c r="Y39" s="37">
        <f>N39*100/X39</f>
        <v>-1531.3889548798331</v>
      </c>
      <c r="Z39" s="27"/>
      <c r="AA39" s="28"/>
      <c r="AB39" s="28"/>
      <c r="AH39" t="str">
        <f>IF(OR(($AF$38&gt;Y39),($AG$38&lt;Y39)),"Yes","No")</f>
        <v>No</v>
      </c>
    </row>
    <row r="40" spans="1:34" x14ac:dyDescent="0.3">
      <c r="A40" s="3"/>
      <c r="B40" s="60">
        <v>20</v>
      </c>
      <c r="C40" s="30"/>
      <c r="D40" s="36">
        <v>-2.89276</v>
      </c>
      <c r="E40" s="27"/>
      <c r="F40" s="3">
        <v>-2.4400400000000002</v>
      </c>
      <c r="G40" s="52"/>
      <c r="H40" s="2">
        <v>23</v>
      </c>
      <c r="I40" s="2">
        <v>23</v>
      </c>
      <c r="J40" s="66">
        <f>IF((I40-H40)&gt;0.2,AVERAGE(I40,H40),I40)</f>
        <v>23</v>
      </c>
      <c r="K40" s="68">
        <v>22</v>
      </c>
      <c r="L40" s="34">
        <v>-3.3459999999999997E-2</v>
      </c>
      <c r="M40" s="2">
        <v>2.9787000000000001E-2</v>
      </c>
      <c r="N40" s="35">
        <f t="shared" si="0"/>
        <v>-6.3246999999999998E-2</v>
      </c>
      <c r="O40" s="36">
        <v>22.4</v>
      </c>
      <c r="P40" s="3">
        <v>22.5</v>
      </c>
      <c r="Q40" s="37">
        <f>IF(((P40-O40)&gt;0.2),((O40+P40)/2),P40)</f>
        <v>22.5</v>
      </c>
      <c r="R40" s="36">
        <v>48.518650000000001</v>
      </c>
      <c r="S40" s="3">
        <v>49.237369999999999</v>
      </c>
      <c r="T40" s="37">
        <f>(R40+S40)/2</f>
        <v>48.878010000000003</v>
      </c>
      <c r="U40" s="38">
        <f>T40/1000</f>
        <v>4.8878010000000006E-2</v>
      </c>
      <c r="V40" s="36">
        <f>1000*((3*U40*$F$8)/(4*$F$13))^(1/3)</f>
        <v>0.6524309398812066</v>
      </c>
      <c r="W40">
        <f t="shared" si="1"/>
        <v>1.3372695910189132</v>
      </c>
      <c r="X40" s="3">
        <f t="shared" si="2"/>
        <v>5.3687600531434707E-3</v>
      </c>
      <c r="Y40" s="37">
        <f>N40*100/X40</f>
        <v>-1178.0560012729225</v>
      </c>
      <c r="Z40" s="27"/>
      <c r="AA40" s="28"/>
      <c r="AB40" s="28"/>
      <c r="AH40" t="str">
        <f>IF(OR(($AF$38&gt;Y40),($AG$38&lt;Y40)),"Yes","No")</f>
        <v>No</v>
      </c>
    </row>
    <row r="41" spans="1:34" x14ac:dyDescent="0.3">
      <c r="A41" s="3"/>
      <c r="B41" s="60"/>
      <c r="C41" s="30"/>
      <c r="D41" s="36"/>
      <c r="E41" s="27"/>
      <c r="F41" s="3"/>
      <c r="G41" s="52"/>
      <c r="H41" s="2"/>
      <c r="I41" s="2"/>
      <c r="J41" s="2"/>
      <c r="K41" s="68"/>
      <c r="L41" s="34"/>
      <c r="N41" s="35"/>
      <c r="O41" s="36"/>
      <c r="P41" s="3"/>
      <c r="Q41" s="37"/>
      <c r="R41" s="36"/>
      <c r="S41" s="3"/>
      <c r="T41" s="37"/>
      <c r="U41" s="38"/>
      <c r="V41" s="36"/>
      <c r="W41" s="3"/>
      <c r="X41" s="3"/>
      <c r="Y41" s="37"/>
      <c r="Z41" s="3"/>
    </row>
    <row r="42" spans="1:34" x14ac:dyDescent="0.3">
      <c r="A42" s="3"/>
      <c r="B42" s="60"/>
      <c r="C42" s="30"/>
      <c r="D42" s="36"/>
      <c r="E42" s="27"/>
      <c r="F42" s="3"/>
      <c r="G42" s="52"/>
      <c r="H42" s="2"/>
      <c r="I42" s="2"/>
      <c r="J42" s="2"/>
      <c r="K42" s="68"/>
      <c r="L42" s="34"/>
      <c r="N42" s="35"/>
      <c r="O42" s="36"/>
      <c r="P42" s="3"/>
      <c r="Q42" s="37"/>
      <c r="R42" s="36"/>
      <c r="S42" s="3"/>
      <c r="T42" s="37"/>
      <c r="U42" s="38"/>
      <c r="V42" s="36"/>
      <c r="W42" s="3"/>
      <c r="X42" s="3"/>
      <c r="Y42" s="37"/>
      <c r="Z42" s="3"/>
    </row>
    <row r="43" spans="1:34" x14ac:dyDescent="0.3">
      <c r="A43" s="3"/>
      <c r="B43" s="60"/>
      <c r="C43" s="30"/>
      <c r="D43" s="36"/>
      <c r="E43" s="27"/>
      <c r="F43" s="3"/>
      <c r="G43" s="52"/>
      <c r="H43" s="2"/>
      <c r="I43" s="2"/>
      <c r="J43" s="2"/>
      <c r="K43" s="68"/>
      <c r="L43" s="34"/>
      <c r="N43" s="35"/>
      <c r="O43" s="36"/>
      <c r="P43" s="3"/>
      <c r="Q43" s="37"/>
      <c r="R43" s="36"/>
      <c r="S43" s="3"/>
      <c r="T43" s="37"/>
      <c r="U43" s="38"/>
      <c r="V43" s="36"/>
      <c r="W43" s="3"/>
      <c r="X43" s="3"/>
      <c r="Y43" s="37"/>
      <c r="Z43" s="3"/>
    </row>
    <row r="44" spans="1:34" ht="15" thickBot="1" x14ac:dyDescent="0.35">
      <c r="A44" s="3"/>
      <c r="B44" s="71"/>
      <c r="C44" s="40"/>
      <c r="D44" s="48"/>
      <c r="E44" s="63"/>
      <c r="F44" s="43"/>
      <c r="G44" s="53"/>
      <c r="H44" s="69"/>
      <c r="I44" s="69"/>
      <c r="J44" s="69"/>
      <c r="K44" s="70"/>
      <c r="L44" s="45"/>
      <c r="M44" s="46"/>
      <c r="N44" s="47"/>
      <c r="O44" s="48"/>
      <c r="P44" s="43"/>
      <c r="Q44" s="49"/>
      <c r="R44" s="48"/>
      <c r="S44" s="43"/>
      <c r="T44" s="49"/>
      <c r="U44" s="50"/>
      <c r="V44" s="48"/>
      <c r="W44" s="43"/>
      <c r="X44" s="43"/>
      <c r="Y44" s="49"/>
      <c r="Z44" s="3"/>
    </row>
    <row r="45" spans="1:34" ht="15" customHeight="1" x14ac:dyDescent="0.3"/>
  </sheetData>
  <mergeCells count="45">
    <mergeCell ref="AB38:AB40"/>
    <mergeCell ref="AC32:AC34"/>
    <mergeCell ref="AD32:AD34"/>
    <mergeCell ref="AE32:AE34"/>
    <mergeCell ref="AF32:AF34"/>
    <mergeCell ref="AG32:AG34"/>
    <mergeCell ref="C38:C44"/>
    <mergeCell ref="E38:E44"/>
    <mergeCell ref="G38:G44"/>
    <mergeCell ref="Z38:Z40"/>
    <mergeCell ref="AA38:AA40"/>
    <mergeCell ref="C32:C37"/>
    <mergeCell ref="E32:E37"/>
    <mergeCell ref="G32:G37"/>
    <mergeCell ref="Z32:Z34"/>
    <mergeCell ref="AA32:AA34"/>
    <mergeCell ref="AB32:AB34"/>
    <mergeCell ref="AB25:AB27"/>
    <mergeCell ref="AC25:AC27"/>
    <mergeCell ref="AD25:AD27"/>
    <mergeCell ref="AE25:AE27"/>
    <mergeCell ref="AF25:AF27"/>
    <mergeCell ref="AG25:AG27"/>
    <mergeCell ref="AC17:AC19"/>
    <mergeCell ref="AD17:AD19"/>
    <mergeCell ref="AE17:AE19"/>
    <mergeCell ref="AF17:AF19"/>
    <mergeCell ref="AG17:AG19"/>
    <mergeCell ref="C25:C31"/>
    <mergeCell ref="E25:E31"/>
    <mergeCell ref="G25:G31"/>
    <mergeCell ref="Z25:Z27"/>
    <mergeCell ref="AA25:AA27"/>
    <mergeCell ref="C17:C24"/>
    <mergeCell ref="E17:E24"/>
    <mergeCell ref="G17:G24"/>
    <mergeCell ref="Z17:Z19"/>
    <mergeCell ref="AA17:AA19"/>
    <mergeCell ref="AB17:AB19"/>
    <mergeCell ref="D15:G15"/>
    <mergeCell ref="H15:J15"/>
    <mergeCell ref="K15:K16"/>
    <mergeCell ref="L15:N15"/>
    <mergeCell ref="O15:Q15"/>
    <mergeCell ref="R15:T15"/>
  </mergeCells>
  <conditionalFormatting sqref="Y17:Y44">
    <cfRule type="cellIs" dxfId="42" priority="1" operator="lessThan">
      <formula>0</formula>
    </cfRule>
    <cfRule type="cellIs" dxfId="41" priority="2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5E04-E269-4DE0-B131-2AF8AD6DC02D}">
  <dimension ref="A2:AI98"/>
  <sheetViews>
    <sheetView topLeftCell="A26" zoomScale="73" workbookViewId="0">
      <selection activeCell="L33" sqref="L33"/>
    </sheetView>
  </sheetViews>
  <sheetFormatPr defaultRowHeight="14.4" x14ac:dyDescent="0.3"/>
  <cols>
    <col min="2" max="2" width="9.109375" bestFit="1" customWidth="1"/>
    <col min="3" max="3" width="17.6640625" customWidth="1"/>
    <col min="4" max="4" width="12.21875" bestFit="1" customWidth="1"/>
    <col min="5" max="5" width="10.109375" customWidth="1"/>
    <col min="6" max="6" width="13.5546875" bestFit="1" customWidth="1"/>
    <col min="7" max="7" width="12.77734375" bestFit="1" customWidth="1"/>
    <col min="8" max="8" width="17.6640625" customWidth="1"/>
    <col min="9" max="9" width="19.33203125" customWidth="1"/>
    <col min="10" max="10" width="13.44140625" customWidth="1"/>
    <col min="11" max="11" width="14.33203125" customWidth="1"/>
    <col min="12" max="12" width="13.6640625" bestFit="1" customWidth="1"/>
    <col min="13" max="13" width="13.33203125" bestFit="1" customWidth="1"/>
    <col min="14" max="14" width="13" bestFit="1" customWidth="1"/>
    <col min="15" max="15" width="12.33203125" bestFit="1" customWidth="1"/>
    <col min="16" max="16" width="9.88671875" customWidth="1"/>
    <col min="17" max="17" width="13" bestFit="1" customWidth="1"/>
    <col min="18" max="18" width="12.5546875" customWidth="1"/>
    <col min="19" max="19" width="12.21875" bestFit="1" customWidth="1"/>
    <col min="20" max="20" width="11.44140625" bestFit="1" customWidth="1"/>
    <col min="21" max="21" width="10.44140625" bestFit="1" customWidth="1"/>
    <col min="22" max="22" width="11.44140625" bestFit="1" customWidth="1"/>
    <col min="23" max="24" width="14.5546875" bestFit="1" customWidth="1"/>
    <col min="25" max="25" width="9.21875" bestFit="1" customWidth="1"/>
    <col min="26" max="27" width="14.5546875" bestFit="1" customWidth="1"/>
    <col min="28" max="28" width="12.5546875" bestFit="1" customWidth="1"/>
    <col min="29" max="29" width="13.21875" bestFit="1" customWidth="1"/>
    <col min="30" max="32" width="9.109375" bestFit="1" customWidth="1"/>
    <col min="33" max="33" width="9" bestFit="1" customWidth="1"/>
  </cols>
  <sheetData>
    <row r="2" spans="1:35" x14ac:dyDescent="0.3">
      <c r="C2" t="s">
        <v>0</v>
      </c>
      <c r="D2">
        <v>30</v>
      </c>
      <c r="E2" t="s">
        <v>1</v>
      </c>
      <c r="I2" t="s">
        <v>67</v>
      </c>
      <c r="J2">
        <v>100</v>
      </c>
      <c r="K2" t="s">
        <v>68</v>
      </c>
    </row>
    <row r="3" spans="1:35" x14ac:dyDescent="0.3">
      <c r="C3" t="s">
        <v>2</v>
      </c>
      <c r="D3">
        <v>1.0169999999999999</v>
      </c>
      <c r="E3" t="s">
        <v>3</v>
      </c>
      <c r="I3" t="s">
        <v>69</v>
      </c>
      <c r="J3">
        <v>1</v>
      </c>
      <c r="K3" t="s">
        <v>70</v>
      </c>
    </row>
    <row r="4" spans="1:35" x14ac:dyDescent="0.3">
      <c r="C4" t="s">
        <v>4</v>
      </c>
      <c r="D4">
        <v>10</v>
      </c>
      <c r="E4" t="s">
        <v>5</v>
      </c>
      <c r="F4">
        <f>D4/1000</f>
        <v>0.01</v>
      </c>
      <c r="G4" t="s">
        <v>6</v>
      </c>
    </row>
    <row r="5" spans="1:35" x14ac:dyDescent="0.3">
      <c r="C5" t="s">
        <v>7</v>
      </c>
      <c r="D5">
        <f>F4*D3</f>
        <v>1.0169999999999998E-2</v>
      </c>
      <c r="E5" t="s">
        <v>8</v>
      </c>
      <c r="F5">
        <f>D5/1000</f>
        <v>1.0169999999999999E-5</v>
      </c>
      <c r="G5" t="s">
        <v>9</v>
      </c>
    </row>
    <row r="6" spans="1:35" x14ac:dyDescent="0.3">
      <c r="C6" t="s">
        <v>10</v>
      </c>
      <c r="D6">
        <f>F5*9.81</f>
        <v>9.9767700000000004E-5</v>
      </c>
      <c r="E6" t="s">
        <v>11</v>
      </c>
      <c r="F6">
        <f>D6*1000</f>
        <v>9.9767700000000001E-2</v>
      </c>
      <c r="G6" t="s">
        <v>12</v>
      </c>
      <c r="I6" t="s">
        <v>13</v>
      </c>
      <c r="J6">
        <f>F6/F7</f>
        <v>4.0147178169607682E-3</v>
      </c>
      <c r="K6" t="s">
        <v>14</v>
      </c>
      <c r="L6" s="1"/>
    </row>
    <row r="7" spans="1:35" x14ac:dyDescent="0.3">
      <c r="C7" t="s">
        <v>15</v>
      </c>
      <c r="D7">
        <f>((0.5625/2)^2)*PI()</f>
        <v>0.24850488763747386</v>
      </c>
      <c r="E7" t="s">
        <v>16</v>
      </c>
      <c r="F7">
        <f>D7*100</f>
        <v>24.850488763747386</v>
      </c>
      <c r="G7" t="s">
        <v>17</v>
      </c>
    </row>
    <row r="8" spans="1:35" x14ac:dyDescent="0.3">
      <c r="C8" t="s">
        <v>18</v>
      </c>
      <c r="D8">
        <v>10</v>
      </c>
      <c r="E8" t="s">
        <v>19</v>
      </c>
      <c r="F8">
        <f>D8/1000</f>
        <v>0.01</v>
      </c>
      <c r="G8" t="s">
        <v>20</v>
      </c>
    </row>
    <row r="9" spans="1:35" x14ac:dyDescent="0.3">
      <c r="C9" t="s">
        <v>21</v>
      </c>
      <c r="D9">
        <v>0.495</v>
      </c>
      <c r="J9">
        <f>N18/J6</f>
        <v>-10.041684331682672</v>
      </c>
      <c r="K9" t="s">
        <v>17</v>
      </c>
      <c r="L9" s="1"/>
    </row>
    <row r="10" spans="1:35" x14ac:dyDescent="0.3">
      <c r="C10" t="s">
        <v>22</v>
      </c>
      <c r="D10">
        <f>1.32/1000</f>
        <v>1.32E-3</v>
      </c>
      <c r="E10" t="s">
        <v>23</v>
      </c>
      <c r="F10">
        <f>D10*(10^9)</f>
        <v>1320000</v>
      </c>
      <c r="G10" t="s">
        <v>24</v>
      </c>
      <c r="J10">
        <v>150</v>
      </c>
      <c r="K10" t="s">
        <v>12</v>
      </c>
      <c r="L10" s="1"/>
    </row>
    <row r="11" spans="1:35" x14ac:dyDescent="0.3">
      <c r="C11" t="s">
        <v>25</v>
      </c>
      <c r="D11">
        <v>0.27500000000000002</v>
      </c>
      <c r="L11" s="1"/>
      <c r="R11" t="s">
        <v>26</v>
      </c>
      <c r="S11" t="s">
        <v>27</v>
      </c>
    </row>
    <row r="12" spans="1:35" x14ac:dyDescent="0.3">
      <c r="C12" t="s">
        <v>28</v>
      </c>
      <c r="D12">
        <v>205</v>
      </c>
      <c r="E12" t="s">
        <v>29</v>
      </c>
      <c r="F12">
        <f>D12*(10^9)</f>
        <v>205000000000</v>
      </c>
      <c r="G12" t="s">
        <v>24</v>
      </c>
    </row>
    <row r="13" spans="1:35" ht="25.2" customHeight="1" thickBot="1" x14ac:dyDescent="0.35">
      <c r="C13" t="s">
        <v>30</v>
      </c>
      <c r="D13">
        <f>1/((1/D12)+(1/D10))</f>
        <v>1.3199915005425329E-3</v>
      </c>
      <c r="E13" t="s">
        <v>29</v>
      </c>
      <c r="F13" s="1">
        <f>D13*(10^9)</f>
        <v>1319991.5005425329</v>
      </c>
      <c r="G13" t="s">
        <v>24</v>
      </c>
    </row>
    <row r="14" spans="1:35" ht="15" hidden="1" thickBo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5" ht="25.95" customHeight="1" thickBot="1" x14ac:dyDescent="0.35">
      <c r="A15" s="3"/>
      <c r="D15" s="55" t="s">
        <v>109</v>
      </c>
      <c r="E15" s="182"/>
      <c r="F15" s="55" t="s">
        <v>110</v>
      </c>
      <c r="G15" s="56"/>
      <c r="H15" s="56"/>
      <c r="I15" s="56"/>
      <c r="J15" s="182"/>
      <c r="K15" s="199" t="s">
        <v>77</v>
      </c>
      <c r="L15" s="4" t="s">
        <v>111</v>
      </c>
      <c r="M15" s="5"/>
      <c r="N15" s="6"/>
      <c r="O15" s="4" t="s">
        <v>33</v>
      </c>
      <c r="P15" s="5"/>
      <c r="Q15" s="6"/>
      <c r="R15" s="4" t="s">
        <v>34</v>
      </c>
      <c r="S15" s="5"/>
      <c r="T15" s="6"/>
      <c r="U15" s="7" t="s">
        <v>35</v>
      </c>
      <c r="V15" s="8"/>
      <c r="W15" s="8"/>
      <c r="X15" s="8"/>
      <c r="Y15" s="8"/>
      <c r="Z15" s="2"/>
      <c r="AF15" t="s">
        <v>36</v>
      </c>
    </row>
    <row r="16" spans="1:35" ht="43.8" thickBot="1" x14ac:dyDescent="0.35">
      <c r="A16" s="3"/>
      <c r="B16" s="9" t="s">
        <v>37</v>
      </c>
      <c r="C16" s="7" t="s">
        <v>38</v>
      </c>
      <c r="D16" s="24" t="s">
        <v>41</v>
      </c>
      <c r="E16" s="25" t="s">
        <v>42</v>
      </c>
      <c r="F16" s="36" t="s">
        <v>72</v>
      </c>
      <c r="G16" s="186" t="s">
        <v>73</v>
      </c>
      <c r="H16" s="186" t="s">
        <v>74</v>
      </c>
      <c r="I16" s="186" t="s">
        <v>75</v>
      </c>
      <c r="J16" s="37" t="s">
        <v>76</v>
      </c>
      <c r="K16" s="200"/>
      <c r="L16" s="24" t="s">
        <v>43</v>
      </c>
      <c r="M16" s="19" t="s">
        <v>44</v>
      </c>
      <c r="N16" s="25" t="s">
        <v>45</v>
      </c>
      <c r="O16" s="180" t="s">
        <v>46</v>
      </c>
      <c r="P16" s="72" t="s">
        <v>47</v>
      </c>
      <c r="Q16" s="181" t="s">
        <v>48</v>
      </c>
      <c r="R16" s="180" t="s">
        <v>49</v>
      </c>
      <c r="S16" s="72" t="s">
        <v>47</v>
      </c>
      <c r="T16" s="181" t="s">
        <v>48</v>
      </c>
      <c r="U16" s="7" t="s">
        <v>48</v>
      </c>
      <c r="V16" s="7" t="s">
        <v>50</v>
      </c>
      <c r="W16" s="7" t="s">
        <v>51</v>
      </c>
      <c r="X16" s="72" t="s">
        <v>52</v>
      </c>
      <c r="Y16" s="7" t="s">
        <v>53</v>
      </c>
      <c r="Z16" s="8" t="s">
        <v>54</v>
      </c>
      <c r="AA16" s="8" t="s">
        <v>55</v>
      </c>
      <c r="AB16" s="8" t="s">
        <v>56</v>
      </c>
      <c r="AC16" s="8" t="s">
        <v>57</v>
      </c>
      <c r="AD16" s="8" t="s">
        <v>58</v>
      </c>
      <c r="AE16" s="8" t="s">
        <v>59</v>
      </c>
      <c r="AF16" s="8" t="s">
        <v>60</v>
      </c>
      <c r="AG16" s="8" t="s">
        <v>61</v>
      </c>
      <c r="AH16" s="8" t="s">
        <v>62</v>
      </c>
      <c r="AI16" s="15" t="s">
        <v>78</v>
      </c>
    </row>
    <row r="17" spans="1:35" x14ac:dyDescent="0.3">
      <c r="A17" s="3"/>
      <c r="B17" s="57">
        <v>32</v>
      </c>
      <c r="C17" s="16" t="s">
        <v>63</v>
      </c>
      <c r="D17" s="183">
        <v>8.2150000000000001E-3</v>
      </c>
      <c r="E17" s="74">
        <f>AVERAGE(D17:D20)</f>
        <v>-0.56761874999999995</v>
      </c>
      <c r="F17" s="217">
        <v>15.07375</v>
      </c>
      <c r="G17" s="58">
        <v>15.08276</v>
      </c>
      <c r="H17" s="58">
        <v>15.07358</v>
      </c>
      <c r="I17" s="58">
        <v>15.07375</v>
      </c>
      <c r="J17" s="23">
        <f>G17-I17</f>
        <v>9.0099999999999625E-3</v>
      </c>
      <c r="K17" s="218">
        <f>J17*9.81</f>
        <v>8.8388099999999636E-2</v>
      </c>
      <c r="L17" s="21">
        <v>0.21373622377622362</v>
      </c>
      <c r="M17" s="22">
        <v>8.9905560975609908E-2</v>
      </c>
      <c r="N17" s="23">
        <f>L17-M17</f>
        <v>0.12383066280061371</v>
      </c>
      <c r="O17" s="21">
        <v>21.7</v>
      </c>
      <c r="P17" s="19">
        <v>21.7</v>
      </c>
      <c r="Q17" s="25">
        <v>21.7</v>
      </c>
      <c r="R17" s="24">
        <v>22.906379999999999</v>
      </c>
      <c r="S17" s="19">
        <v>22.810279999999999</v>
      </c>
      <c r="T17" s="215">
        <f>AVERAGE(R17:S17)</f>
        <v>22.858329999999999</v>
      </c>
      <c r="U17" s="25">
        <f>T17/1000</f>
        <v>2.285833E-2</v>
      </c>
      <c r="V17" s="26">
        <f>1000*((3*U17*$F$8)/(4*$F$13))^(1/3)</f>
        <v>0.50642080853041993</v>
      </c>
      <c r="W17" s="218">
        <f>PI()*V17*V17</f>
        <v>0.80569924606276366</v>
      </c>
      <c r="X17" s="73">
        <f>$J$6*W17</f>
        <v>3.2346551182800354E-3</v>
      </c>
      <c r="Y17" s="221">
        <f>N17*100/X17</f>
        <v>3828.2493271325397</v>
      </c>
      <c r="Z17" s="27">
        <f>AVERAGE(Y17:Y19)</f>
        <v>294.97407280804993</v>
      </c>
      <c r="AA17" s="28">
        <f>_xlfn.VAR.S(Y17:Y19)</f>
        <v>9556597.1247232985</v>
      </c>
      <c r="AB17" s="28">
        <f>_xlfn.QUARTILE.INC(Y17:Y19,1)</f>
        <v>-1471.663554354195</v>
      </c>
      <c r="AC17" s="28">
        <f>_xlfn.QUARTILE.INC(Y17:Y19,2)</f>
        <v>-1031.6958196202056</v>
      </c>
      <c r="AD17" s="28">
        <f>_xlfn.QUARTILE.INC(Y17:Y19,3)</f>
        <v>1398.276753756167</v>
      </c>
      <c r="AE17" s="28">
        <f>AD17-AB17</f>
        <v>2869.9403081103619</v>
      </c>
      <c r="AF17" s="28">
        <f>AB17-(1.5*AE17)</f>
        <v>-5776.5740165197376</v>
      </c>
      <c r="AG17" s="28">
        <f>AD17+(1.5*AE17)</f>
        <v>5703.1872159217091</v>
      </c>
      <c r="AH17" t="str">
        <f>IF(OR(($AF$17&gt;Y17),($AG$17&lt;Y17)),"Yes","No")</f>
        <v>No</v>
      </c>
      <c r="AI17" s="76">
        <f>(6.112*(EXP((17.67*Q17)/(Q17+243.5)))*B17*2.1674)/(273.15+Q17)</f>
        <v>6.1037290923729426</v>
      </c>
    </row>
    <row r="18" spans="1:35" x14ac:dyDescent="0.3">
      <c r="A18" s="3"/>
      <c r="B18" s="60">
        <v>32</v>
      </c>
      <c r="C18" s="30"/>
      <c r="D18" s="184">
        <v>-1.3316399999999999</v>
      </c>
      <c r="E18" s="77"/>
      <c r="F18" s="187">
        <v>15.073130000000001</v>
      </c>
      <c r="G18" s="188">
        <v>15.08145</v>
      </c>
      <c r="H18" s="188">
        <v>15.07569</v>
      </c>
      <c r="I18" s="188">
        <v>15.07461</v>
      </c>
      <c r="J18" s="35">
        <f>G18-I18</f>
        <v>6.8400000000004013E-3</v>
      </c>
      <c r="K18" s="76">
        <f t="shared" ref="K18:K39" si="0">J18*9.81</f>
        <v>6.7100400000003946E-2</v>
      </c>
      <c r="L18" s="34">
        <v>3.9981258811681741E-2</v>
      </c>
      <c r="M18" s="189">
        <v>8.0295787810383948E-2</v>
      </c>
      <c r="N18" s="35">
        <f>L18-M18</f>
        <v>-4.0314528998702207E-2</v>
      </c>
      <c r="O18" s="36">
        <v>22.1</v>
      </c>
      <c r="P18" s="186">
        <v>22.1</v>
      </c>
      <c r="Q18" s="37">
        <v>22.1</v>
      </c>
      <c r="R18" s="36">
        <v>12.03898</v>
      </c>
      <c r="S18" s="186">
        <v>12.027839999999999</v>
      </c>
      <c r="T18" s="214">
        <f t="shared" ref="T18:T39" si="1">AVERAGE(R18:S18)</f>
        <v>12.03341</v>
      </c>
      <c r="U18" s="37">
        <f>T18/1000</f>
        <v>1.203341E-2</v>
      </c>
      <c r="V18" s="38">
        <f>1000*((3*U18*$F$8)/(4*$F$13))^(1/3)</f>
        <v>0.40890863423842105</v>
      </c>
      <c r="W18" s="76">
        <f>PI()*V18*V18</f>
        <v>0.52529399309384528</v>
      </c>
      <c r="X18" s="213">
        <f>$J$6*W18</f>
        <v>2.1089071532163274E-3</v>
      </c>
      <c r="Y18" s="222">
        <f>N18*100/X18</f>
        <v>-1911.6312890881843</v>
      </c>
      <c r="Z18" s="27"/>
      <c r="AA18" s="28"/>
      <c r="AB18" s="28"/>
      <c r="AC18" s="28"/>
      <c r="AD18" s="28"/>
      <c r="AE18" s="28"/>
      <c r="AF18" s="28"/>
      <c r="AG18" s="28"/>
      <c r="AH18" t="str">
        <f>IF(OR(($AF$17&gt;Y18),($AG$17&lt;Y18)),"Yes","No")</f>
        <v>No</v>
      </c>
      <c r="AI18" s="76">
        <f>(6.112*(EXP((17.67*Q18)/(Q18+243.5)))*B18*2.1674)/(273.15+Q18)</f>
        <v>6.2462305612944089</v>
      </c>
    </row>
    <row r="19" spans="1:35" x14ac:dyDescent="0.3">
      <c r="A19" s="3"/>
      <c r="B19" s="60">
        <v>30</v>
      </c>
      <c r="C19" s="30"/>
      <c r="D19" s="184">
        <v>-0.85085</v>
      </c>
      <c r="E19" s="77"/>
      <c r="F19" s="34">
        <v>15.07498</v>
      </c>
      <c r="G19" s="189">
        <v>15.085800000000001</v>
      </c>
      <c r="H19" s="189">
        <v>15.07338</v>
      </c>
      <c r="I19" s="189">
        <v>15.07381</v>
      </c>
      <c r="J19" s="35">
        <f>G19-I19</f>
        <v>1.1990000000000833E-2</v>
      </c>
      <c r="K19" s="76">
        <f t="shared" si="0"/>
        <v>0.11762190000000818</v>
      </c>
      <c r="L19" s="34">
        <v>-6.8270931520644396E-2</v>
      </c>
      <c r="M19" s="189">
        <v>-4.8332077760497555E-2</v>
      </c>
      <c r="N19" s="35">
        <f>L19-M19</f>
        <v>-1.9938853760146841E-2</v>
      </c>
      <c r="O19" s="36">
        <v>22.5</v>
      </c>
      <c r="P19" s="186">
        <v>22.5</v>
      </c>
      <c r="Q19" s="37">
        <v>22.5</v>
      </c>
      <c r="R19" s="36">
        <v>10.89203</v>
      </c>
      <c r="S19" s="186">
        <v>10.22123</v>
      </c>
      <c r="T19" s="214">
        <f t="shared" si="1"/>
        <v>10.55663</v>
      </c>
      <c r="U19" s="37">
        <f>T19/1000</f>
        <v>1.0556630000000001E-2</v>
      </c>
      <c r="V19" s="38">
        <f>1000*((3*U19*$F$8)/(4*$F$13))^(1/3)</f>
        <v>0.39144595496031498</v>
      </c>
      <c r="W19" s="76">
        <f>PI()*V19*V19</f>
        <v>0.48138604016313419</v>
      </c>
      <c r="X19" s="213">
        <f>$J$6*W19</f>
        <v>1.9326291122791267E-3</v>
      </c>
      <c r="Y19" s="222">
        <f>N19*100/X19</f>
        <v>-1031.6958196202056</v>
      </c>
      <c r="Z19" s="27"/>
      <c r="AA19" s="28"/>
      <c r="AB19" s="28"/>
      <c r="AC19" s="28"/>
      <c r="AD19" s="28"/>
      <c r="AE19" s="28"/>
      <c r="AF19" s="28"/>
      <c r="AG19" s="28"/>
      <c r="AH19" t="str">
        <f>IF(OR(($AF$17&gt;Y19),($AG$17&lt;Y19)),"Yes","No")</f>
        <v>No</v>
      </c>
      <c r="AI19" s="76">
        <f>(6.112*(EXP((17.67*Q19)/(Q19+243.5)))*B19*2.1674)/(273.15+Q19)</f>
        <v>5.9921259213709375</v>
      </c>
    </row>
    <row r="20" spans="1:35" x14ac:dyDescent="0.3">
      <c r="A20" s="3"/>
      <c r="B20" s="60">
        <v>30</v>
      </c>
      <c r="C20" s="30"/>
      <c r="D20" s="184">
        <v>-9.6199999999999994E-2</v>
      </c>
      <c r="E20" s="77"/>
      <c r="F20" s="187">
        <v>15.073600000000001</v>
      </c>
      <c r="G20" s="190"/>
      <c r="H20" s="190">
        <v>15.06992</v>
      </c>
      <c r="I20" s="188">
        <v>15.07366</v>
      </c>
      <c r="J20" s="191"/>
      <c r="K20" s="76">
        <f t="shared" si="0"/>
        <v>0</v>
      </c>
      <c r="L20" s="34">
        <v>1.4541999999999999</v>
      </c>
      <c r="M20" s="189">
        <v>-0.61719999999999997</v>
      </c>
      <c r="N20" s="35">
        <f>L20-M20</f>
        <v>2.0713999999999997</v>
      </c>
      <c r="O20" s="36">
        <v>22.5</v>
      </c>
      <c r="P20" s="186">
        <v>22.5</v>
      </c>
      <c r="Q20" s="37">
        <v>22.5</v>
      </c>
      <c r="R20" s="36">
        <v>19.56429</v>
      </c>
      <c r="S20" s="186">
        <v>19.13607</v>
      </c>
      <c r="T20" s="214">
        <f t="shared" si="1"/>
        <v>19.350180000000002</v>
      </c>
      <c r="U20" s="37">
        <f>T20/1000</f>
        <v>1.9350180000000002E-2</v>
      </c>
      <c r="V20" s="38">
        <f>1000*((3*U20*$F$8)/(4*$F$13))^(1/3)</f>
        <v>0.47906198827714852</v>
      </c>
      <c r="W20" s="76">
        <f>PI()*V20*V20</f>
        <v>0.72099673485963389</v>
      </c>
      <c r="X20" s="213">
        <f>$J$6*W20</f>
        <v>2.8945984374115111E-3</v>
      </c>
      <c r="Y20" s="222"/>
      <c r="Z20" s="3"/>
      <c r="AI20" s="76">
        <f>(6.112*(EXP((17.67*Q20)/(Q20+243.5)))*B20*2.1674)/(273.15+Q20)</f>
        <v>5.9921259213709375</v>
      </c>
    </row>
    <row r="21" spans="1:35" x14ac:dyDescent="0.3">
      <c r="A21" s="3"/>
      <c r="B21" s="60"/>
      <c r="C21" s="30"/>
      <c r="D21" s="184"/>
      <c r="E21" s="77"/>
      <c r="F21" s="187"/>
      <c r="G21" s="188"/>
      <c r="H21" s="188"/>
      <c r="I21" s="188"/>
      <c r="J21" s="35"/>
      <c r="K21" s="76"/>
      <c r="L21" s="34"/>
      <c r="M21" s="189"/>
      <c r="N21" s="35"/>
      <c r="O21" s="36"/>
      <c r="P21" s="186"/>
      <c r="Q21" s="37"/>
      <c r="R21" s="36"/>
      <c r="S21" s="186"/>
      <c r="T21" s="214"/>
      <c r="U21" s="37"/>
      <c r="V21" s="38"/>
      <c r="W21" s="220"/>
      <c r="X21" s="213"/>
      <c r="Y21" s="222"/>
      <c r="Z21" s="3"/>
      <c r="AI21" s="76"/>
    </row>
    <row r="22" spans="1:35" x14ac:dyDescent="0.3">
      <c r="A22" s="3"/>
      <c r="B22" s="60"/>
      <c r="C22" s="30"/>
      <c r="D22" s="184"/>
      <c r="E22" s="77"/>
      <c r="F22" s="187"/>
      <c r="G22" s="188" t="s">
        <v>79</v>
      </c>
      <c r="H22" s="188"/>
      <c r="I22" s="188"/>
      <c r="J22" s="35"/>
      <c r="K22" s="76"/>
      <c r="L22" s="34"/>
      <c r="M22" s="189"/>
      <c r="N22" s="35"/>
      <c r="O22" s="36"/>
      <c r="P22" s="186"/>
      <c r="Q22" s="37"/>
      <c r="R22" s="36"/>
      <c r="S22" s="186"/>
      <c r="T22" s="214"/>
      <c r="U22" s="37"/>
      <c r="V22" s="38"/>
      <c r="W22" s="220"/>
      <c r="X22" s="213"/>
      <c r="Y22" s="222"/>
      <c r="Z22" s="3"/>
      <c r="AI22" s="76"/>
    </row>
    <row r="23" spans="1:35" x14ac:dyDescent="0.3">
      <c r="A23" s="3"/>
      <c r="B23" s="60"/>
      <c r="C23" s="30"/>
      <c r="D23" s="184"/>
      <c r="E23" s="77"/>
      <c r="F23" s="187"/>
      <c r="G23" s="188"/>
      <c r="H23" s="188"/>
      <c r="I23" s="188"/>
      <c r="J23" s="35"/>
      <c r="K23" s="76"/>
      <c r="L23" s="34"/>
      <c r="M23" s="189"/>
      <c r="N23" s="35"/>
      <c r="O23" s="36"/>
      <c r="P23" s="186"/>
      <c r="Q23" s="37"/>
      <c r="R23" s="36"/>
      <c r="S23" s="186"/>
      <c r="T23" s="214"/>
      <c r="U23" s="37"/>
      <c r="V23" s="38"/>
      <c r="W23" s="220"/>
      <c r="X23" s="213"/>
      <c r="Y23" s="222"/>
      <c r="Z23" s="3"/>
      <c r="AI23" s="76"/>
    </row>
    <row r="24" spans="1:35" ht="15" thickBot="1" x14ac:dyDescent="0.35">
      <c r="A24" s="3"/>
      <c r="B24" s="60"/>
      <c r="C24" s="30"/>
      <c r="D24" s="184"/>
      <c r="E24" s="77"/>
      <c r="F24" s="187"/>
      <c r="G24" s="188"/>
      <c r="H24" s="188"/>
      <c r="I24" s="188"/>
      <c r="J24" s="35"/>
      <c r="K24" s="76"/>
      <c r="L24" s="34"/>
      <c r="M24" s="189"/>
      <c r="N24" s="35"/>
      <c r="O24" s="36"/>
      <c r="P24" s="186"/>
      <c r="Q24" s="37"/>
      <c r="R24" s="36"/>
      <c r="S24" s="186"/>
      <c r="T24" s="214"/>
      <c r="U24" s="37"/>
      <c r="V24" s="38"/>
      <c r="W24" s="220"/>
      <c r="X24" s="213"/>
      <c r="Y24" s="222"/>
      <c r="Z24" s="3"/>
      <c r="AI24" s="76"/>
    </row>
    <row r="25" spans="1:35" x14ac:dyDescent="0.3">
      <c r="A25" s="3"/>
      <c r="B25" s="60"/>
      <c r="C25" s="16" t="s">
        <v>64</v>
      </c>
      <c r="D25" s="216"/>
      <c r="E25" s="74">
        <f>AVERAGE(D26:D28)</f>
        <v>-1.9019599999999999</v>
      </c>
      <c r="F25" s="192"/>
      <c r="G25" s="79"/>
      <c r="H25" s="66"/>
      <c r="I25" s="66"/>
      <c r="J25" s="23"/>
      <c r="K25" s="218"/>
      <c r="L25" s="21"/>
      <c r="M25" s="22"/>
      <c r="N25" s="23"/>
      <c r="O25" s="24"/>
      <c r="P25" s="19"/>
      <c r="Q25" s="25"/>
      <c r="R25" s="21"/>
      <c r="S25" s="22"/>
      <c r="T25" s="215"/>
      <c r="U25" s="25"/>
      <c r="V25" s="26"/>
      <c r="W25" s="218"/>
      <c r="X25" s="73"/>
      <c r="Y25" s="221"/>
      <c r="Z25" s="80">
        <f>AVERAGE(Y26:Y28)</f>
        <v>1572.0377111345742</v>
      </c>
      <c r="AA25" s="28">
        <f>_xlfn.VAR.S(Y25:Y27)</f>
        <v>3536.0401707803385</v>
      </c>
      <c r="AB25" s="28">
        <f>_xlfn.QUARTILE.INC(Y25:Y27,1)</f>
        <v>-452.7040194680971</v>
      </c>
      <c r="AC25" s="28">
        <f>_xlfn.QUARTILE.INC(Y25:Y27,2)</f>
        <v>-431.68010400623461</v>
      </c>
      <c r="AD25" s="28">
        <f>_xlfn.QUARTILE.INC(Y25:Y27,3)</f>
        <v>-410.65618854437207</v>
      </c>
      <c r="AE25" s="28">
        <f>AD25-AB25</f>
        <v>42.04783092372503</v>
      </c>
      <c r="AF25" s="28">
        <f>AB25-(1.5*AE25)</f>
        <v>-515.77576585368467</v>
      </c>
      <c r="AG25" s="28">
        <f>AD25+(1.5*AE25)</f>
        <v>-347.58444215878455</v>
      </c>
      <c r="AH25" t="str">
        <f>IF(OR(($AF$25&gt;Y25),($AG$25&lt;Y25)),"Yes","No")</f>
        <v>Yes</v>
      </c>
      <c r="AI25" s="76"/>
    </row>
    <row r="26" spans="1:35" x14ac:dyDescent="0.3">
      <c r="A26" s="3"/>
      <c r="B26" s="60">
        <v>31</v>
      </c>
      <c r="C26" s="30"/>
      <c r="D26" s="184">
        <v>-1.32525</v>
      </c>
      <c r="E26" s="77"/>
      <c r="F26" s="193">
        <v>15.78265</v>
      </c>
      <c r="G26" s="194">
        <f>15.79222-0.00008</f>
        <v>15.79214</v>
      </c>
      <c r="H26" s="194">
        <v>15.783480000000001</v>
      </c>
      <c r="I26" s="194">
        <v>15.78365</v>
      </c>
      <c r="J26" s="35">
        <f>G26-I26</f>
        <v>8.4900000000001086E-3</v>
      </c>
      <c r="K26" s="76">
        <f t="shared" si="0"/>
        <v>8.3286900000001066E-2</v>
      </c>
      <c r="L26" s="34">
        <v>-1.2904481369587103E-2</v>
      </c>
      <c r="M26" s="189">
        <v>-6.7750925181013916E-3</v>
      </c>
      <c r="N26" s="35">
        <f>L26-M26</f>
        <v>-6.1293888514857113E-3</v>
      </c>
      <c r="O26" s="36">
        <v>22.3</v>
      </c>
      <c r="P26" s="186">
        <v>22.2</v>
      </c>
      <c r="Q26" s="37">
        <v>22.3</v>
      </c>
      <c r="R26" s="36">
        <v>5.7717900000000002</v>
      </c>
      <c r="S26" s="186">
        <v>5.7937200000000004</v>
      </c>
      <c r="T26" s="214">
        <f t="shared" si="1"/>
        <v>5.7827549999999999</v>
      </c>
      <c r="U26" s="37">
        <f>T26/1000</f>
        <v>5.7827549999999997E-3</v>
      </c>
      <c r="V26" s="38">
        <f>1000*((3*U26*$F$8)/(4*$F$13))^(1/3)</f>
        <v>0.32028871750213656</v>
      </c>
      <c r="W26" s="76">
        <f>PI()*V26*V26</f>
        <v>0.32227985058538644</v>
      </c>
      <c r="X26" s="213">
        <f>$J$6*W26</f>
        <v>1.2938626581926052E-3</v>
      </c>
      <c r="Y26" s="222">
        <f>N26*100/X26</f>
        <v>-473.72793492995964</v>
      </c>
      <c r="Z26" s="27"/>
      <c r="AA26" s="28"/>
      <c r="AB26" s="28"/>
      <c r="AC26" s="28"/>
      <c r="AD26" s="28"/>
      <c r="AE26" s="28"/>
      <c r="AF26" s="28"/>
      <c r="AG26" s="28"/>
      <c r="AH26" t="str">
        <f>IF(OR(($AF$25&gt;Y26),($AG$25&lt;Y26)),"Yes","No")</f>
        <v>No</v>
      </c>
      <c r="AI26" s="76">
        <f>(6.112*(EXP((17.67*Q26)/(Q26+243.5)))*B26*2.1674)/(273.15+Q26)</f>
        <v>6.1210993598851751</v>
      </c>
    </row>
    <row r="27" spans="1:35" x14ac:dyDescent="0.3">
      <c r="A27" s="3"/>
      <c r="B27" s="60">
        <v>30</v>
      </c>
      <c r="C27" s="30"/>
      <c r="D27" s="185">
        <v>-2.4710399999999999</v>
      </c>
      <c r="E27" s="77"/>
      <c r="F27" s="193">
        <v>15.78411</v>
      </c>
      <c r="G27" s="194">
        <v>15.7927</v>
      </c>
      <c r="H27" s="194">
        <v>15.7744</v>
      </c>
      <c r="I27" s="194">
        <v>15.7797</v>
      </c>
      <c r="J27" s="35">
        <f>G27-I27</f>
        <v>1.2999999999999901E-2</v>
      </c>
      <c r="K27" s="76">
        <f t="shared" si="0"/>
        <v>0.12752999999999903</v>
      </c>
      <c r="L27" s="34">
        <v>7.2935669687814814E-2</v>
      </c>
      <c r="M27" s="189">
        <v>8.2242651685393076E-2</v>
      </c>
      <c r="N27" s="35">
        <f t="shared" ref="N27:N39" si="2">L27-M27</f>
        <v>-9.3069819975782619E-3</v>
      </c>
      <c r="O27" s="36">
        <v>22.5</v>
      </c>
      <c r="P27" s="186">
        <v>22.5</v>
      </c>
      <c r="Q27" s="37">
        <v>22.5</v>
      </c>
      <c r="R27" s="36">
        <v>14.512689999999999</v>
      </c>
      <c r="S27" s="186">
        <v>14.49836</v>
      </c>
      <c r="T27" s="214">
        <f t="shared" si="1"/>
        <v>14.505524999999999</v>
      </c>
      <c r="U27" s="37">
        <f>T27/1000</f>
        <v>1.4505524999999998E-2</v>
      </c>
      <c r="V27" s="38">
        <f>1000*((3*U27*$F$8)/(4*$F$13))^(1/3)</f>
        <v>0.43518561043995369</v>
      </c>
      <c r="W27" s="76">
        <f>PI()*V27*V27</f>
        <v>0.59497528589056836</v>
      </c>
      <c r="X27" s="213">
        <f>$J$6*W27</f>
        <v>2.3886578809161917E-3</v>
      </c>
      <c r="Y27" s="222">
        <f>N27*100/X27</f>
        <v>-389.63227308250953</v>
      </c>
      <c r="Z27" s="27"/>
      <c r="AA27" s="28"/>
      <c r="AB27" s="28"/>
      <c r="AC27" s="28"/>
      <c r="AD27" s="28"/>
      <c r="AE27" s="28"/>
      <c r="AF27" s="28"/>
      <c r="AG27" s="28"/>
      <c r="AH27" t="str">
        <f>IF(OR(($AF$25&gt;Y27),($AG$25&lt;Y27)),"Yes","No")</f>
        <v>No</v>
      </c>
      <c r="AI27" s="76">
        <f>(6.112*(EXP((17.67*Q27)/(Q27+243.5)))*B27*2.1674)/(273.15+Q27)</f>
        <v>5.9921259213709375</v>
      </c>
    </row>
    <row r="28" spans="1:35" x14ac:dyDescent="0.3">
      <c r="A28" s="3"/>
      <c r="B28" s="60">
        <v>30</v>
      </c>
      <c r="C28" s="30"/>
      <c r="D28" s="184">
        <v>-1.9095899999999999</v>
      </c>
      <c r="E28" s="77"/>
      <c r="F28" s="193">
        <v>15.78148</v>
      </c>
      <c r="G28" s="194">
        <f>F28+0.0087</f>
        <v>15.790179999999999</v>
      </c>
      <c r="H28" s="194">
        <v>15.76825</v>
      </c>
      <c r="I28" s="194">
        <v>15.778230000000001</v>
      </c>
      <c r="J28" s="35">
        <f>G28-I28</f>
        <v>1.1949999999998795E-2</v>
      </c>
      <c r="K28" s="76">
        <f t="shared" si="0"/>
        <v>0.11722949999998819</v>
      </c>
      <c r="L28" s="34">
        <v>-9.5816666666666654E-3</v>
      </c>
      <c r="M28" s="189">
        <v>-0.17407120930232564</v>
      </c>
      <c r="N28" s="35">
        <f t="shared" si="2"/>
        <v>0.16448954263565899</v>
      </c>
      <c r="O28" s="36">
        <v>22.6</v>
      </c>
      <c r="P28" s="186">
        <v>22.6</v>
      </c>
      <c r="Q28" s="37">
        <v>22.6</v>
      </c>
      <c r="R28" s="36">
        <v>19.778919999999999</v>
      </c>
      <c r="S28" s="186">
        <v>19.999739999999999</v>
      </c>
      <c r="T28" s="214">
        <f t="shared" si="1"/>
        <v>19.889330000000001</v>
      </c>
      <c r="U28" s="37">
        <f>T28/1000</f>
        <v>1.988933E-2</v>
      </c>
      <c r="V28" s="38">
        <f>1000*((3*U28*$F$8)/(4*$F$13))^(1/3)</f>
        <v>0.48347062718120559</v>
      </c>
      <c r="W28" s="76">
        <f>PI()*V28*V28</f>
        <v>0.73432795364711245</v>
      </c>
      <c r="X28" s="213">
        <f>$J$6*W28</f>
        <v>2.9481195189994037E-3</v>
      </c>
      <c r="Y28" s="222">
        <f>N28*100/X28</f>
        <v>5579.4733414161919</v>
      </c>
      <c r="Z28" s="3"/>
      <c r="AI28" s="76">
        <f>(6.112*(EXP((17.67*Q28)/(Q28+243.5)))*B28*2.1674)/(273.15+Q28)</f>
        <v>6.0266226127193345</v>
      </c>
    </row>
    <row r="29" spans="1:35" x14ac:dyDescent="0.3">
      <c r="A29" s="3"/>
      <c r="B29" s="60"/>
      <c r="C29" s="30"/>
      <c r="D29" s="184"/>
      <c r="E29" s="77"/>
      <c r="F29" s="193"/>
      <c r="G29" s="195"/>
      <c r="H29" s="194"/>
      <c r="I29" s="194"/>
      <c r="J29" s="35"/>
      <c r="K29" s="76"/>
      <c r="L29" s="34"/>
      <c r="M29" s="189"/>
      <c r="N29" s="35"/>
      <c r="O29" s="36"/>
      <c r="P29" s="186"/>
      <c r="Q29" s="37"/>
      <c r="R29" s="36"/>
      <c r="S29" s="186"/>
      <c r="T29" s="214"/>
      <c r="U29" s="37"/>
      <c r="V29" s="38"/>
      <c r="W29" s="220"/>
      <c r="X29" s="213"/>
      <c r="Y29" s="222"/>
      <c r="Z29" s="3"/>
      <c r="AI29" s="76"/>
    </row>
    <row r="30" spans="1:35" x14ac:dyDescent="0.3">
      <c r="A30" s="3"/>
      <c r="B30" s="60"/>
      <c r="C30" s="30"/>
      <c r="D30" s="184"/>
      <c r="E30" s="77"/>
      <c r="F30" s="193"/>
      <c r="G30" s="195"/>
      <c r="H30" s="195"/>
      <c r="I30" s="194"/>
      <c r="J30" s="35"/>
      <c r="K30" s="76"/>
      <c r="L30" s="34"/>
      <c r="M30" s="189"/>
      <c r="N30" s="35"/>
      <c r="O30" s="36"/>
      <c r="P30" s="186"/>
      <c r="Q30" s="37"/>
      <c r="R30" s="36"/>
      <c r="S30" s="186"/>
      <c r="T30" s="214"/>
      <c r="U30" s="37"/>
      <c r="V30" s="38"/>
      <c r="W30" s="220"/>
      <c r="X30" s="213"/>
      <c r="Y30" s="222"/>
      <c r="Z30" s="3"/>
      <c r="AI30" s="76"/>
    </row>
    <row r="31" spans="1:35" ht="15" thickBot="1" x14ac:dyDescent="0.35">
      <c r="A31" s="3"/>
      <c r="B31" s="60"/>
      <c r="C31" s="30"/>
      <c r="D31" s="184"/>
      <c r="E31" s="77"/>
      <c r="F31" s="193"/>
      <c r="G31" s="195"/>
      <c r="H31" s="194"/>
      <c r="I31" s="194"/>
      <c r="J31" s="35"/>
      <c r="K31" s="76"/>
      <c r="L31" s="34"/>
      <c r="M31" s="189"/>
      <c r="N31" s="35"/>
      <c r="O31" s="36"/>
      <c r="P31" s="186"/>
      <c r="Q31" s="37"/>
      <c r="R31" s="36"/>
      <c r="S31" s="186"/>
      <c r="T31" s="214"/>
      <c r="U31" s="37"/>
      <c r="V31" s="38"/>
      <c r="W31" s="220"/>
      <c r="X31" s="213"/>
      <c r="Y31" s="222"/>
      <c r="Z31" s="3"/>
      <c r="AI31" s="76"/>
    </row>
    <row r="32" spans="1:35" x14ac:dyDescent="0.3">
      <c r="A32" s="3"/>
      <c r="B32" s="60">
        <v>31</v>
      </c>
      <c r="C32" s="16" t="s">
        <v>65</v>
      </c>
      <c r="D32" s="183">
        <v>0</v>
      </c>
      <c r="E32" s="74">
        <f>AVERAGE(D32:D34)</f>
        <v>-0.40016333333333337</v>
      </c>
      <c r="F32" s="192">
        <v>15.099399999999999</v>
      </c>
      <c r="G32" s="66">
        <v>15.10703</v>
      </c>
      <c r="H32" s="66">
        <v>15.09839</v>
      </c>
      <c r="I32" s="66">
        <v>15.0989</v>
      </c>
      <c r="J32" s="23">
        <f>G32-I32</f>
        <v>8.1299999999995265E-3</v>
      </c>
      <c r="K32" s="218">
        <f t="shared" si="0"/>
        <v>7.9755299999995352E-2</v>
      </c>
      <c r="L32" s="21">
        <v>-6.9970886551465267E-3</v>
      </c>
      <c r="M32" s="22">
        <v>-9.540949538795418E-3</v>
      </c>
      <c r="N32" s="23">
        <f t="shared" si="2"/>
        <v>2.5438608836488913E-3</v>
      </c>
      <c r="O32" s="24">
        <v>22.4</v>
      </c>
      <c r="P32" s="19">
        <v>22.4</v>
      </c>
      <c r="Q32" s="25">
        <v>22.4</v>
      </c>
      <c r="R32" s="24">
        <v>0.28842000000000001</v>
      </c>
      <c r="S32" s="19">
        <v>0.27002999999999999</v>
      </c>
      <c r="T32" s="215">
        <f t="shared" si="1"/>
        <v>0.279225</v>
      </c>
      <c r="U32" s="25">
        <f>T32/1000</f>
        <v>2.7922500000000002E-4</v>
      </c>
      <c r="V32" s="26">
        <f>1000*((3*U32*$F$8)/(4*$F$13))^(1/3)</f>
        <v>0.11663121755543553</v>
      </c>
      <c r="W32" s="218">
        <f>PI()*V32*V32</f>
        <v>4.273458506597911E-2</v>
      </c>
      <c r="X32" s="73">
        <f>$J$6*W32</f>
        <v>1.7156730006481191E-4</v>
      </c>
      <c r="Y32" s="221">
        <f>N32*100/X32</f>
        <v>1482.7189579179208</v>
      </c>
      <c r="Z32" s="27">
        <f>AVERAGE(Y32:Y34)</f>
        <v>715.59419714620662</v>
      </c>
      <c r="AA32" s="28">
        <f>_xlfn.VAR.S(Y32:Y34)</f>
        <v>10137873.442674955</v>
      </c>
      <c r="AB32" s="28">
        <f>_xlfn.QUARTILE.INC(Y32:Y34,1)</f>
        <v>-649.58584722429805</v>
      </c>
      <c r="AC32" s="28">
        <f>_xlfn.QUARTILE.INC(Y32:Y34,2)</f>
        <v>1482.7189579179208</v>
      </c>
      <c r="AD32" s="28">
        <f>_xlfn.QUARTILE.INC(Y32:Y34,3)</f>
        <v>2464.3366219025684</v>
      </c>
      <c r="AE32" s="28">
        <f>AD32-AB32</f>
        <v>3113.9224691268664</v>
      </c>
      <c r="AF32" s="28">
        <f>AB32-(1.5*AE32)</f>
        <v>-5320.4695509145977</v>
      </c>
      <c r="AG32" s="28">
        <f>AD32+(1.5*AE32)</f>
        <v>7135.220325592868</v>
      </c>
      <c r="AH32" t="str">
        <f>IF(OR(($AF$32&gt;Y32),($AG$32&lt;Y32)),"Yes","No")</f>
        <v>No</v>
      </c>
      <c r="AI32" s="76">
        <f>(6.112*(EXP((17.67*Q32)/(Q32+243.5)))*B32*2.1674)/(273.15+Q32)</f>
        <v>6.1563934701414675</v>
      </c>
    </row>
    <row r="33" spans="1:35" x14ac:dyDescent="0.3">
      <c r="A33" s="3"/>
      <c r="B33" s="60">
        <v>30</v>
      </c>
      <c r="C33" s="30"/>
      <c r="D33" s="185">
        <v>-1.8668400000000001</v>
      </c>
      <c r="E33" s="77"/>
      <c r="F33" s="193">
        <v>15.098990000000001</v>
      </c>
      <c r="G33" s="194">
        <v>15.106619999999999</v>
      </c>
      <c r="H33" s="194">
        <v>15.096209999999999</v>
      </c>
      <c r="I33" s="194">
        <v>15.09845</v>
      </c>
      <c r="J33" s="35">
        <f>G33-I33</f>
        <v>8.1699999999997885E-3</v>
      </c>
      <c r="K33" s="76">
        <f t="shared" si="0"/>
        <v>8.0147699999997934E-2</v>
      </c>
      <c r="L33" s="34">
        <v>1.6331379657603205E-2</v>
      </c>
      <c r="M33" s="189">
        <v>8.4756518518518481E-2</v>
      </c>
      <c r="N33" s="35">
        <f t="shared" si="2"/>
        <v>-6.842513886091528E-2</v>
      </c>
      <c r="O33" s="36">
        <v>22.5</v>
      </c>
      <c r="P33" s="186">
        <v>22.6</v>
      </c>
      <c r="Q33" s="37">
        <v>22.6</v>
      </c>
      <c r="R33" s="34">
        <v>15.412739999999999</v>
      </c>
      <c r="S33" s="189">
        <v>14.901450000000001</v>
      </c>
      <c r="T33" s="214">
        <f t="shared" si="1"/>
        <v>15.157095</v>
      </c>
      <c r="U33" s="37">
        <f>T33/1000</f>
        <v>1.5157095000000001E-2</v>
      </c>
      <c r="V33" s="38">
        <f>1000*((3*U33*$F$8)/(4*$F$13))^(1/3)</f>
        <v>0.44160640842561621</v>
      </c>
      <c r="W33" s="76">
        <f>PI()*V33*V33</f>
        <v>0.61266152396526785</v>
      </c>
      <c r="X33" s="213">
        <f>$J$6*W33</f>
        <v>2.4596631360296974E-3</v>
      </c>
      <c r="Y33" s="222">
        <f>N33*100/X33</f>
        <v>-2781.8906523665169</v>
      </c>
      <c r="Z33" s="27"/>
      <c r="AA33" s="28"/>
      <c r="AB33" s="28"/>
      <c r="AC33" s="28"/>
      <c r="AD33" s="28"/>
      <c r="AE33" s="28"/>
      <c r="AF33" s="28"/>
      <c r="AG33" s="28"/>
      <c r="AH33" t="str">
        <f>IF(OR(($AF$32&gt;Y33),($AG$32&lt;Y33)),"Yes","No")</f>
        <v>No</v>
      </c>
      <c r="AI33" s="76">
        <f>(6.112*(EXP((17.67*Q33)/(Q33+243.5)))*B33*2.1674)/(273.15+Q33)</f>
        <v>6.0266226127193345</v>
      </c>
    </row>
    <row r="34" spans="1:35" x14ac:dyDescent="0.3">
      <c r="A34" s="3"/>
      <c r="B34" s="60">
        <v>30</v>
      </c>
      <c r="C34" s="30"/>
      <c r="D34" s="184">
        <v>0.66635</v>
      </c>
      <c r="E34" s="77"/>
      <c r="F34" s="193">
        <v>15.09923</v>
      </c>
      <c r="G34" s="194">
        <v>15.10802</v>
      </c>
      <c r="H34" s="194">
        <v>15.09582</v>
      </c>
      <c r="I34" s="194">
        <v>15.09873</v>
      </c>
      <c r="J34" s="35">
        <f>G34-I34</f>
        <v>9.2900000000000205E-3</v>
      </c>
      <c r="K34" s="76">
        <f t="shared" si="0"/>
        <v>9.1134900000000199E-2</v>
      </c>
      <c r="L34" s="34">
        <v>0.46677846153846148</v>
      </c>
      <c r="M34" s="189">
        <v>0.35563553488372013</v>
      </c>
      <c r="N34" s="35">
        <f t="shared" si="2"/>
        <v>0.11114292665474135</v>
      </c>
      <c r="O34" s="36">
        <v>22.6</v>
      </c>
      <c r="P34" s="186">
        <v>22.6</v>
      </c>
      <c r="Q34" s="37">
        <v>22.6</v>
      </c>
      <c r="R34" s="36">
        <v>22.801839999999999</v>
      </c>
      <c r="S34" s="186">
        <v>22.71698</v>
      </c>
      <c r="T34" s="214">
        <f t="shared" si="1"/>
        <v>22.759409999999999</v>
      </c>
      <c r="U34" s="37">
        <f>T34/1000</f>
        <v>2.2759410000000001E-2</v>
      </c>
      <c r="V34" s="38">
        <f>1000*((3*U34*$F$8)/(4*$F$13))^(1/3)</f>
        <v>0.50568923593689463</v>
      </c>
      <c r="W34" s="76">
        <f>PI()*V34*V34</f>
        <v>0.80337311042481352</v>
      </c>
      <c r="X34" s="213">
        <f>$J$6*W34</f>
        <v>3.2253163400896897E-3</v>
      </c>
      <c r="Y34" s="222">
        <f>N34*100/X34</f>
        <v>3445.954285887216</v>
      </c>
      <c r="Z34" s="27"/>
      <c r="AA34" s="28"/>
      <c r="AB34" s="28"/>
      <c r="AC34" s="28"/>
      <c r="AD34" s="28"/>
      <c r="AE34" s="28"/>
      <c r="AF34" s="28"/>
      <c r="AG34" s="28"/>
      <c r="AH34" t="str">
        <f>IF(OR(($AF$32&gt;Y34),($AG$32&lt;Y34)),"Yes","No")</f>
        <v>No</v>
      </c>
      <c r="AI34" s="76">
        <f>(6.112*(EXP((17.67*Q34)/(Q34+243.5)))*B34*2.1674)/(273.15+Q34)</f>
        <v>6.0266226127193345</v>
      </c>
    </row>
    <row r="35" spans="1:35" x14ac:dyDescent="0.3">
      <c r="A35" s="3"/>
      <c r="B35" s="60"/>
      <c r="C35" s="30"/>
      <c r="D35" s="184"/>
      <c r="E35" s="77"/>
      <c r="F35" s="193"/>
      <c r="G35" s="194"/>
      <c r="H35" s="194"/>
      <c r="I35" s="194"/>
      <c r="J35" s="35"/>
      <c r="K35" s="76"/>
      <c r="L35" s="34"/>
      <c r="M35" s="189"/>
      <c r="N35" s="35"/>
      <c r="O35" s="36"/>
      <c r="P35" s="186"/>
      <c r="Q35" s="37"/>
      <c r="R35" s="36"/>
      <c r="S35" s="186"/>
      <c r="T35" s="214"/>
      <c r="U35" s="37"/>
      <c r="V35" s="38"/>
      <c r="W35" s="220"/>
      <c r="X35" s="213"/>
      <c r="Y35" s="222"/>
      <c r="Z35" s="3"/>
      <c r="AI35" s="76"/>
    </row>
    <row r="36" spans="1:35" x14ac:dyDescent="0.3">
      <c r="A36" s="3"/>
      <c r="B36" s="60"/>
      <c r="C36" s="30"/>
      <c r="D36" s="184"/>
      <c r="E36" s="77"/>
      <c r="F36" s="193"/>
      <c r="G36" s="194"/>
      <c r="H36" s="194"/>
      <c r="I36" s="194"/>
      <c r="J36" s="35"/>
      <c r="K36" s="76"/>
      <c r="L36" s="34"/>
      <c r="M36" s="189"/>
      <c r="N36" s="35"/>
      <c r="O36" s="36"/>
      <c r="P36" s="186"/>
      <c r="Q36" s="37"/>
      <c r="R36" s="36"/>
      <c r="S36" s="186"/>
      <c r="T36" s="214"/>
      <c r="U36" s="37"/>
      <c r="V36" s="38"/>
      <c r="W36" s="220"/>
      <c r="X36" s="213"/>
      <c r="Y36" s="222"/>
      <c r="Z36" s="3"/>
      <c r="AI36" s="76"/>
    </row>
    <row r="37" spans="1:35" ht="15" thickBot="1" x14ac:dyDescent="0.35">
      <c r="A37" s="3"/>
      <c r="B37" s="60"/>
      <c r="C37" s="30"/>
      <c r="D37" s="184"/>
      <c r="E37" s="77"/>
      <c r="F37" s="193"/>
      <c r="G37" s="194"/>
      <c r="H37" s="194"/>
      <c r="I37" s="194"/>
      <c r="J37" s="35"/>
      <c r="K37" s="76"/>
      <c r="L37" s="34"/>
      <c r="M37" s="189"/>
      <c r="N37" s="35"/>
      <c r="O37" s="36"/>
      <c r="P37" s="186"/>
      <c r="Q37" s="37"/>
      <c r="R37" s="36"/>
      <c r="S37" s="186"/>
      <c r="T37" s="214"/>
      <c r="U37" s="37"/>
      <c r="V37" s="38"/>
      <c r="W37" s="220"/>
      <c r="X37" s="213"/>
      <c r="Y37" s="222"/>
      <c r="Z37" s="3"/>
      <c r="AI37" s="76"/>
    </row>
    <row r="38" spans="1:35" x14ac:dyDescent="0.3">
      <c r="A38" s="3"/>
      <c r="B38" s="60">
        <v>31</v>
      </c>
      <c r="C38" s="16" t="s">
        <v>66</v>
      </c>
      <c r="D38" s="183">
        <v>1.4</v>
      </c>
      <c r="E38" s="74">
        <f>AVERAGE(D38:D39)</f>
        <v>-0.67058499999999999</v>
      </c>
      <c r="F38" s="192">
        <v>14.811769999999999</v>
      </c>
      <c r="G38" s="66">
        <v>14.82161</v>
      </c>
      <c r="H38" s="66">
        <v>14.812720000000001</v>
      </c>
      <c r="I38" s="66">
        <v>14.81222</v>
      </c>
      <c r="J38" s="23">
        <f>G38-I38</f>
        <v>9.3899999999997874E-3</v>
      </c>
      <c r="K38" s="218">
        <f t="shared" si="0"/>
        <v>9.2115899999997919E-2</v>
      </c>
      <c r="L38" s="21">
        <v>-1.3774872139973086E-2</v>
      </c>
      <c r="M38" s="22">
        <v>1.4312800000000001</v>
      </c>
      <c r="N38" s="23">
        <f t="shared" si="2"/>
        <v>-1.4450548721399732</v>
      </c>
      <c r="O38" s="24">
        <v>22.4</v>
      </c>
      <c r="P38" s="19">
        <v>22.5</v>
      </c>
      <c r="Q38" s="25">
        <v>22.5</v>
      </c>
      <c r="R38" s="24">
        <v>47.491489999999999</v>
      </c>
      <c r="S38" s="19">
        <v>47.58963</v>
      </c>
      <c r="T38" s="215">
        <f t="shared" si="1"/>
        <v>47.540559999999999</v>
      </c>
      <c r="U38" s="25">
        <f>T38/1000</f>
        <v>4.7540560000000003E-2</v>
      </c>
      <c r="V38" s="26">
        <f>1000*((3*U38*$F$8)/(4*$F$13))^(1/3)</f>
        <v>0.64642499476911386</v>
      </c>
      <c r="W38" s="218">
        <f>PI()*V38*V38</f>
        <v>1.3127624745559281</v>
      </c>
      <c r="X38" s="73">
        <f>$J$6*W38</f>
        <v>5.2703708960371914E-3</v>
      </c>
      <c r="Y38" s="221">
        <f>N38*100/X38</f>
        <v>-27418.466378267887</v>
      </c>
      <c r="Z38" s="80">
        <f>AVERAGE(Y38:Y39)</f>
        <v>-14061.056966223065</v>
      </c>
      <c r="AA38" s="28">
        <f>_xlfn.VAR.S(Y38:Y40)</f>
        <v>356840772.40196729</v>
      </c>
      <c r="AB38" s="28">
        <f>_xlfn.QUARTILE.INC(Y38:Y40,1)</f>
        <v>-20739.761672245477</v>
      </c>
      <c r="AC38">
        <f>_xlfn.QUARTILE.INC(Y38:Y40,2)</f>
        <v>-14061.056966223065</v>
      </c>
      <c r="AD38">
        <f>_xlfn.QUARTILE.INC(Y38:Y40,3)</f>
        <v>-7382.3522602006524</v>
      </c>
      <c r="AE38">
        <f>AD38-AB38</f>
        <v>13357.409412044824</v>
      </c>
      <c r="AF38">
        <f>AB38-(1.5*AE38)</f>
        <v>-40775.875790312712</v>
      </c>
      <c r="AG38">
        <f>AD38+(1.5*AE38)</f>
        <v>12653.761857866582</v>
      </c>
      <c r="AH38" t="str">
        <f>IF(OR(($AF$38&gt;Y38),($AG$38&lt;Y38)),"Yes","No")</f>
        <v>No</v>
      </c>
      <c r="AI38" s="76">
        <f>(6.112*(EXP((17.67*Q38)/(Q38+243.5)))*B38*2.1674)/(273.15+Q38)</f>
        <v>6.1918634520833029</v>
      </c>
    </row>
    <row r="39" spans="1:35" x14ac:dyDescent="0.3">
      <c r="A39" s="3"/>
      <c r="B39" s="60">
        <v>30</v>
      </c>
      <c r="C39" s="30"/>
      <c r="D39" s="185">
        <v>-2.7411699999999999</v>
      </c>
      <c r="E39" s="77"/>
      <c r="F39" s="193">
        <v>14.8123</v>
      </c>
      <c r="G39" s="194">
        <v>14.82091</v>
      </c>
      <c r="H39" s="194">
        <v>14.80851</v>
      </c>
      <c r="I39" s="194">
        <v>14.811730000000001</v>
      </c>
      <c r="J39" s="35">
        <f>G39-I39</f>
        <v>9.1799999999988557E-3</v>
      </c>
      <c r="K39" s="76">
        <f t="shared" si="0"/>
        <v>9.0055799999988778E-2</v>
      </c>
      <c r="L39" s="34">
        <v>-7.7949634963161082E-2</v>
      </c>
      <c r="M39" s="189">
        <v>-6.2908632423755911E-2</v>
      </c>
      <c r="N39" s="35">
        <f t="shared" si="2"/>
        <v>-1.5041002539405171E-2</v>
      </c>
      <c r="O39" s="36">
        <v>22.6</v>
      </c>
      <c r="P39" s="186">
        <v>22.6</v>
      </c>
      <c r="Q39" s="37">
        <v>22.6</v>
      </c>
      <c r="R39" s="36">
        <v>12.332319999999999</v>
      </c>
      <c r="S39" s="186">
        <v>12.22692</v>
      </c>
      <c r="T39" s="214">
        <f t="shared" si="1"/>
        <v>12.27962</v>
      </c>
      <c r="U39" s="37">
        <f>T39/1000</f>
        <v>1.227962E-2</v>
      </c>
      <c r="V39" s="38">
        <f>1000*((3*U39*$F$8)/(4*$F$13))^(1/3)</f>
        <v>0.41167865695470601</v>
      </c>
      <c r="W39" s="76">
        <f>PI()*V39*V39</f>
        <v>0.5324349759409418</v>
      </c>
      <c r="X39" s="213">
        <f>$J$6*W39</f>
        <v>2.1375761842831772E-3</v>
      </c>
      <c r="Y39" s="222">
        <f>N39*100/X39</f>
        <v>-703.6475541782421</v>
      </c>
      <c r="Z39" s="27"/>
      <c r="AA39" s="28"/>
      <c r="AB39" s="28"/>
      <c r="AH39" t="str">
        <f>IF(OR(($AF$38&gt;Y39),($AG$38&lt;Y39)),"Yes","No")</f>
        <v>No</v>
      </c>
      <c r="AI39" s="76">
        <f>(6.112*(EXP((17.67*Q39)/(Q39+243.5)))*B39*2.1674)/(273.15+Q39)</f>
        <v>6.0266226127193345</v>
      </c>
    </row>
    <row r="40" spans="1:35" x14ac:dyDescent="0.3">
      <c r="A40" s="3"/>
      <c r="B40" s="60">
        <v>30</v>
      </c>
      <c r="C40" s="30"/>
      <c r="D40" s="184"/>
      <c r="E40" s="77"/>
      <c r="F40" s="193"/>
      <c r="G40" s="194"/>
      <c r="H40" s="194"/>
      <c r="I40" s="194"/>
      <c r="J40" s="35"/>
      <c r="K40" s="76"/>
      <c r="L40" s="34"/>
      <c r="M40" s="189"/>
      <c r="N40" s="35"/>
      <c r="O40" s="36"/>
      <c r="P40" s="186"/>
      <c r="Q40" s="37"/>
      <c r="R40" s="36"/>
      <c r="S40" s="186"/>
      <c r="T40" s="214"/>
      <c r="U40" s="37"/>
      <c r="V40" s="38"/>
      <c r="W40" s="219"/>
      <c r="X40" s="213"/>
      <c r="Y40" s="222"/>
      <c r="Z40" s="27"/>
      <c r="AA40" s="28"/>
      <c r="AB40" s="28"/>
      <c r="AH40" t="str">
        <f>IF(OR(($AF$38&gt;Y40),($AG$38&lt;Y40)),"Yes","No")</f>
        <v>No</v>
      </c>
      <c r="AI40" s="76"/>
    </row>
    <row r="41" spans="1:35" x14ac:dyDescent="0.3">
      <c r="A41" s="3"/>
      <c r="B41" s="60"/>
      <c r="C41" s="30"/>
      <c r="D41" s="184"/>
      <c r="E41" s="77"/>
      <c r="F41" s="193"/>
      <c r="G41" s="194"/>
      <c r="H41" s="194"/>
      <c r="I41" s="194"/>
      <c r="J41" s="35"/>
      <c r="K41" s="76"/>
      <c r="L41" s="34"/>
      <c r="M41" s="189"/>
      <c r="N41" s="35"/>
      <c r="O41" s="36"/>
      <c r="P41" s="186"/>
      <c r="Q41" s="37"/>
      <c r="R41" s="36"/>
      <c r="S41" s="186"/>
      <c r="T41" s="186"/>
      <c r="U41" s="37"/>
      <c r="V41" s="38"/>
      <c r="W41" s="38"/>
      <c r="X41" s="186"/>
      <c r="Y41" s="222"/>
      <c r="Z41" s="3"/>
      <c r="AI41" s="76"/>
    </row>
    <row r="42" spans="1:35" x14ac:dyDescent="0.3">
      <c r="A42" s="3"/>
      <c r="B42" s="60"/>
      <c r="C42" s="30"/>
      <c r="D42" s="36"/>
      <c r="E42" s="77"/>
      <c r="F42" s="193"/>
      <c r="G42" s="194"/>
      <c r="H42" s="194"/>
      <c r="I42" s="194"/>
      <c r="J42" s="35"/>
      <c r="K42" s="219"/>
      <c r="L42" s="34"/>
      <c r="M42" s="189"/>
      <c r="N42" s="35"/>
      <c r="O42" s="36"/>
      <c r="P42" s="186"/>
      <c r="Q42" s="37"/>
      <c r="R42" s="36"/>
      <c r="S42" s="186"/>
      <c r="T42" s="186"/>
      <c r="U42" s="37"/>
      <c r="V42" s="38"/>
      <c r="W42" s="38"/>
      <c r="X42" s="186"/>
      <c r="Y42" s="222"/>
      <c r="Z42" s="3"/>
      <c r="AI42" s="76"/>
    </row>
    <row r="43" spans="1:35" x14ac:dyDescent="0.3">
      <c r="A43" s="3"/>
      <c r="B43" s="60"/>
      <c r="C43" s="30"/>
      <c r="D43" s="36"/>
      <c r="E43" s="77"/>
      <c r="F43" s="193"/>
      <c r="G43" s="194"/>
      <c r="H43" s="194"/>
      <c r="I43" s="194"/>
      <c r="J43" s="197"/>
      <c r="K43" s="68"/>
      <c r="L43" s="34"/>
      <c r="M43" s="189"/>
      <c r="N43" s="35"/>
      <c r="O43" s="36"/>
      <c r="P43" s="186"/>
      <c r="Q43" s="37"/>
      <c r="R43" s="36"/>
      <c r="S43" s="186"/>
      <c r="T43" s="186"/>
      <c r="U43" s="37"/>
      <c r="V43" s="38"/>
      <c r="W43" s="38"/>
      <c r="X43" s="186"/>
      <c r="Y43" s="38"/>
      <c r="Z43" s="3"/>
      <c r="AI43" s="76"/>
    </row>
    <row r="44" spans="1:35" ht="15" thickBot="1" x14ac:dyDescent="0.35">
      <c r="A44" s="3"/>
      <c r="B44" s="71"/>
      <c r="C44" s="40"/>
      <c r="D44" s="48"/>
      <c r="E44" s="78"/>
      <c r="F44" s="196"/>
      <c r="G44" s="69"/>
      <c r="H44" s="69"/>
      <c r="I44" s="69"/>
      <c r="J44" s="198"/>
      <c r="K44" s="70"/>
      <c r="L44" s="45"/>
      <c r="M44" s="46"/>
      <c r="N44" s="47"/>
      <c r="O44" s="48"/>
      <c r="P44" s="43"/>
      <c r="Q44" s="49"/>
      <c r="R44" s="48"/>
      <c r="S44" s="43"/>
      <c r="T44" s="43"/>
      <c r="U44" s="49"/>
      <c r="V44" s="50"/>
      <c r="W44" s="50"/>
      <c r="X44" s="43"/>
      <c r="Y44" s="50"/>
      <c r="Z44" s="3"/>
      <c r="AI44" s="76"/>
    </row>
    <row r="45" spans="1:35" ht="15" customHeight="1" x14ac:dyDescent="0.3"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6"/>
      <c r="W45" s="189"/>
      <c r="X45" s="189"/>
      <c r="Y45" s="189"/>
    </row>
    <row r="46" spans="1:35" ht="15" thickBot="1" x14ac:dyDescent="0.35">
      <c r="V46" s="186"/>
    </row>
    <row r="47" spans="1:35" x14ac:dyDescent="0.3">
      <c r="C47" s="81" t="s">
        <v>80</v>
      </c>
      <c r="D47" s="81" t="s">
        <v>0</v>
      </c>
      <c r="E47" s="82" t="s">
        <v>81</v>
      </c>
      <c r="F47" s="83"/>
      <c r="G47" s="84"/>
      <c r="H47" s="82" t="s">
        <v>82</v>
      </c>
      <c r="I47" s="83"/>
      <c r="J47" s="84"/>
      <c r="K47" s="82" t="s">
        <v>34</v>
      </c>
      <c r="L47" s="83"/>
      <c r="M47" s="84"/>
      <c r="N47" s="85" t="s">
        <v>50</v>
      </c>
      <c r="O47" s="81" t="s">
        <v>83</v>
      </c>
      <c r="P47" s="85" t="s">
        <v>84</v>
      </c>
      <c r="Q47" s="81" t="s">
        <v>85</v>
      </c>
      <c r="R47" s="86" t="s">
        <v>86</v>
      </c>
    </row>
    <row r="48" spans="1:35" ht="29.4" thickBot="1" x14ac:dyDescent="0.35">
      <c r="C48" s="87"/>
      <c r="D48" s="87"/>
      <c r="E48" s="88" t="s">
        <v>87</v>
      </c>
      <c r="F48" s="89" t="s">
        <v>88</v>
      </c>
      <c r="G48" s="90" t="s">
        <v>89</v>
      </c>
      <c r="H48" s="88" t="s">
        <v>90</v>
      </c>
      <c r="I48" s="89" t="s">
        <v>91</v>
      </c>
      <c r="J48" s="90" t="s">
        <v>92</v>
      </c>
      <c r="K48" s="88" t="s">
        <v>49</v>
      </c>
      <c r="L48" s="89" t="s">
        <v>91</v>
      </c>
      <c r="M48" s="90" t="s">
        <v>54</v>
      </c>
      <c r="N48" s="91"/>
      <c r="O48" s="87"/>
      <c r="P48" s="91"/>
      <c r="Q48" s="87"/>
      <c r="R48" s="92"/>
    </row>
    <row r="49" spans="3:18" x14ac:dyDescent="0.3">
      <c r="C49" s="93" t="s">
        <v>63</v>
      </c>
      <c r="D49" s="94">
        <v>32</v>
      </c>
      <c r="E49" s="95">
        <v>0.21373622377622362</v>
      </c>
      <c r="F49" s="96">
        <v>8.9905560975609908E-2</v>
      </c>
      <c r="G49" s="97">
        <f>E49-F49</f>
        <v>0.12383066280061371</v>
      </c>
      <c r="H49" s="98">
        <v>21.7</v>
      </c>
      <c r="I49" s="99">
        <v>21.7</v>
      </c>
      <c r="J49" s="100">
        <v>21.7</v>
      </c>
      <c r="K49" s="101">
        <v>22.906379999999999</v>
      </c>
      <c r="L49" s="102">
        <v>22.810279999999999</v>
      </c>
      <c r="M49" s="103">
        <f>AVERAGE(K49:L49)</f>
        <v>22.858329999999999</v>
      </c>
      <c r="N49" s="104">
        <v>0.50642080853041993</v>
      </c>
      <c r="O49" s="105">
        <v>0.80569924606276366</v>
      </c>
      <c r="P49" s="104">
        <v>3.2346551182800354E-3</v>
      </c>
      <c r="Q49" s="106">
        <v>3828.2493271325397</v>
      </c>
      <c r="R49" s="107">
        <v>6.1037290923729426</v>
      </c>
    </row>
    <row r="50" spans="3:18" x14ac:dyDescent="0.3">
      <c r="C50" s="108"/>
      <c r="D50" s="109">
        <v>32</v>
      </c>
      <c r="E50" s="110">
        <v>3.9981258811681741E-2</v>
      </c>
      <c r="F50" s="111">
        <v>8.0295787810383948E-2</v>
      </c>
      <c r="G50" s="112">
        <f>E50-F50</f>
        <v>-4.0314528998702207E-2</v>
      </c>
      <c r="H50" s="113">
        <v>22.1</v>
      </c>
      <c r="I50" s="114">
        <v>22.1</v>
      </c>
      <c r="J50" s="115">
        <v>22.1</v>
      </c>
      <c r="K50" s="116">
        <v>12.03898</v>
      </c>
      <c r="L50" s="117">
        <v>12.027839999999999</v>
      </c>
      <c r="M50" s="118">
        <f t="shared" ref="M50:M60" si="3">AVERAGE(K50:L50)</f>
        <v>12.03341</v>
      </c>
      <c r="N50" s="119">
        <v>0.40890863423842105</v>
      </c>
      <c r="O50" s="120">
        <v>0.52529399309384528</v>
      </c>
      <c r="P50" s="119">
        <v>2.1089071532163274E-3</v>
      </c>
      <c r="Q50" s="121">
        <v>-1911.6312890881843</v>
      </c>
      <c r="R50" s="122">
        <v>6.2462305612944089</v>
      </c>
    </row>
    <row r="51" spans="3:18" x14ac:dyDescent="0.3">
      <c r="C51" s="108"/>
      <c r="D51" s="109">
        <v>30</v>
      </c>
      <c r="E51" s="110">
        <v>-6.8270931520644396E-2</v>
      </c>
      <c r="F51" s="111">
        <v>-4.8332077760497555E-2</v>
      </c>
      <c r="G51" s="112">
        <f>E51-F51</f>
        <v>-1.9938853760146841E-2</v>
      </c>
      <c r="H51" s="113">
        <v>22.5</v>
      </c>
      <c r="I51" s="114">
        <v>22.5</v>
      </c>
      <c r="J51" s="115">
        <v>22.5</v>
      </c>
      <c r="K51" s="116">
        <v>10.89203</v>
      </c>
      <c r="L51" s="117">
        <v>10.22123</v>
      </c>
      <c r="M51" s="118">
        <f t="shared" si="3"/>
        <v>10.55663</v>
      </c>
      <c r="N51" s="119">
        <v>0.39144595496031498</v>
      </c>
      <c r="O51" s="120">
        <v>0.48138604016313419</v>
      </c>
      <c r="P51" s="119">
        <v>1.9326291122791267E-3</v>
      </c>
      <c r="Q51" s="121">
        <v>-1031.6958196202056</v>
      </c>
      <c r="R51" s="122">
        <v>5.9921259213709375</v>
      </c>
    </row>
    <row r="52" spans="3:18" ht="15" thickBot="1" x14ac:dyDescent="0.35">
      <c r="C52" s="123"/>
      <c r="D52" s="124">
        <v>30</v>
      </c>
      <c r="E52" s="125">
        <v>1.4541999999999999</v>
      </c>
      <c r="F52" s="126">
        <v>-0.61719999999999997</v>
      </c>
      <c r="G52" s="127">
        <f>E52-F52</f>
        <v>2.0713999999999997</v>
      </c>
      <c r="H52" s="128">
        <v>22.5</v>
      </c>
      <c r="I52" s="129">
        <v>22.5</v>
      </c>
      <c r="J52" s="130">
        <v>22.5</v>
      </c>
      <c r="K52" s="131">
        <v>19.56429</v>
      </c>
      <c r="L52" s="132">
        <v>19.13607</v>
      </c>
      <c r="M52" s="133">
        <f t="shared" si="3"/>
        <v>19.350180000000002</v>
      </c>
      <c r="N52" s="134">
        <v>0.47906198827714852</v>
      </c>
      <c r="O52" s="135">
        <v>0.72099673485963389</v>
      </c>
      <c r="P52" s="134">
        <v>2.8945984374115111E-3</v>
      </c>
      <c r="Q52" s="136">
        <v>71560.87605202831</v>
      </c>
      <c r="R52" s="137">
        <v>5.9921259213709375</v>
      </c>
    </row>
    <row r="53" spans="3:18" x14ac:dyDescent="0.3">
      <c r="C53" s="138" t="s">
        <v>64</v>
      </c>
      <c r="D53" s="139">
        <v>31</v>
      </c>
      <c r="E53" s="140">
        <v>-1.2904481369587103E-2</v>
      </c>
      <c r="F53" s="141">
        <v>-6.7750925181013916E-3</v>
      </c>
      <c r="G53" s="142">
        <f>E53-F53</f>
        <v>-6.1293888514857113E-3</v>
      </c>
      <c r="H53" s="143">
        <v>22.3</v>
      </c>
      <c r="I53" s="144">
        <v>22.2</v>
      </c>
      <c r="J53" s="145">
        <v>22.3</v>
      </c>
      <c r="K53" s="146">
        <v>5.7717900000000002</v>
      </c>
      <c r="L53" s="147">
        <v>5.7937200000000004</v>
      </c>
      <c r="M53" s="148">
        <f t="shared" si="3"/>
        <v>5.7827549999999999</v>
      </c>
      <c r="N53" s="149">
        <v>0.32028871750213656</v>
      </c>
      <c r="O53" s="150">
        <v>0.32227985058538644</v>
      </c>
      <c r="P53" s="149">
        <v>1.2938626581926052E-3</v>
      </c>
      <c r="Q53" s="151">
        <v>-473.72793492995964</v>
      </c>
      <c r="R53" s="152">
        <v>6.1210993598851751</v>
      </c>
    </row>
    <row r="54" spans="3:18" x14ac:dyDescent="0.3">
      <c r="C54" s="108"/>
      <c r="D54" s="109">
        <v>30</v>
      </c>
      <c r="E54" s="110">
        <v>7.2935669687814814E-2</v>
      </c>
      <c r="F54" s="111">
        <v>8.2242651685393076E-2</v>
      </c>
      <c r="G54" s="112">
        <f t="shared" ref="G54:G60" si="4">E54-F54</f>
        <v>-9.3069819975782619E-3</v>
      </c>
      <c r="H54" s="113">
        <v>22.5</v>
      </c>
      <c r="I54" s="114">
        <v>22.5</v>
      </c>
      <c r="J54" s="115">
        <v>22.5</v>
      </c>
      <c r="K54" s="116">
        <v>14.512689999999999</v>
      </c>
      <c r="L54" s="117">
        <v>14.49836</v>
      </c>
      <c r="M54" s="118">
        <f t="shared" si="3"/>
        <v>14.505524999999999</v>
      </c>
      <c r="N54" s="119">
        <v>0.43518561043995369</v>
      </c>
      <c r="O54" s="120">
        <v>0.59497528589056836</v>
      </c>
      <c r="P54" s="119">
        <v>2.3886578809161917E-3</v>
      </c>
      <c r="Q54" s="121">
        <v>-389.63227308250953</v>
      </c>
      <c r="R54" s="122">
        <v>5.9921259213709375</v>
      </c>
    </row>
    <row r="55" spans="3:18" ht="15" thickBot="1" x14ac:dyDescent="0.35">
      <c r="C55" s="153"/>
      <c r="D55" s="154">
        <v>30</v>
      </c>
      <c r="E55" s="155">
        <v>-9.5816666666666654E-3</v>
      </c>
      <c r="F55" s="156">
        <v>-0.17407120930232564</v>
      </c>
      <c r="G55" s="157">
        <f t="shared" si="4"/>
        <v>0.16448954263565899</v>
      </c>
      <c r="H55" s="158">
        <v>22.6</v>
      </c>
      <c r="I55" s="159">
        <v>22.6</v>
      </c>
      <c r="J55" s="160">
        <v>22.6</v>
      </c>
      <c r="K55" s="161">
        <v>19.778919999999999</v>
      </c>
      <c r="L55" s="162">
        <v>19.999739999999999</v>
      </c>
      <c r="M55" s="163">
        <f t="shared" si="3"/>
        <v>19.889330000000001</v>
      </c>
      <c r="N55" s="164">
        <v>0.48347062718120559</v>
      </c>
      <c r="O55" s="165">
        <v>0.73432795364711245</v>
      </c>
      <c r="P55" s="164">
        <v>2.9481195189994037E-3</v>
      </c>
      <c r="Q55" s="166">
        <v>5579.4733414161919</v>
      </c>
      <c r="R55" s="167">
        <v>6.0266226127193345</v>
      </c>
    </row>
    <row r="56" spans="3:18" x14ac:dyDescent="0.3">
      <c r="C56" s="93" t="s">
        <v>65</v>
      </c>
      <c r="D56" s="94">
        <v>31</v>
      </c>
      <c r="E56" s="95">
        <v>-6.9970886551465267E-3</v>
      </c>
      <c r="F56" s="96">
        <v>-9.540949538795418E-3</v>
      </c>
      <c r="G56" s="97">
        <f t="shared" si="4"/>
        <v>2.5438608836488913E-3</v>
      </c>
      <c r="H56" s="168">
        <v>22.4</v>
      </c>
      <c r="I56" s="99">
        <v>22.4</v>
      </c>
      <c r="J56" s="100">
        <v>22.4</v>
      </c>
      <c r="K56" s="101">
        <v>0.28842000000000001</v>
      </c>
      <c r="L56" s="102">
        <v>0.27002999999999999</v>
      </c>
      <c r="M56" s="103">
        <f t="shared" si="3"/>
        <v>0.279225</v>
      </c>
      <c r="N56" s="104">
        <v>0.11663121755543553</v>
      </c>
      <c r="O56" s="105">
        <v>4.273458506597911E-2</v>
      </c>
      <c r="P56" s="104">
        <v>1.7156730006481191E-4</v>
      </c>
      <c r="Q56" s="106">
        <v>1482.7189579179208</v>
      </c>
      <c r="R56" s="107">
        <v>6.1563934701414675</v>
      </c>
    </row>
    <row r="57" spans="3:18" x14ac:dyDescent="0.3">
      <c r="C57" s="108"/>
      <c r="D57" s="109">
        <v>30</v>
      </c>
      <c r="E57" s="110">
        <v>1.6331379657603205E-2</v>
      </c>
      <c r="F57" s="111">
        <v>8.4756518518518481E-2</v>
      </c>
      <c r="G57" s="112">
        <f t="shared" si="4"/>
        <v>-6.842513886091528E-2</v>
      </c>
      <c r="H57" s="113">
        <v>22.5</v>
      </c>
      <c r="I57" s="114">
        <v>22.6</v>
      </c>
      <c r="J57" s="115">
        <v>22.6</v>
      </c>
      <c r="K57" s="169">
        <v>15.412739999999999</v>
      </c>
      <c r="L57" s="170">
        <v>14.901450000000001</v>
      </c>
      <c r="M57" s="118">
        <f t="shared" si="3"/>
        <v>15.157095</v>
      </c>
      <c r="N57" s="119">
        <v>0.44160640842561621</v>
      </c>
      <c r="O57" s="120">
        <v>0.61266152396526785</v>
      </c>
      <c r="P57" s="119">
        <v>2.4596631360296974E-3</v>
      </c>
      <c r="Q57" s="121">
        <v>-2781.8906523665169</v>
      </c>
      <c r="R57" s="122">
        <v>6.0266226127193345</v>
      </c>
    </row>
    <row r="58" spans="3:18" ht="15" thickBot="1" x14ac:dyDescent="0.35">
      <c r="C58" s="123"/>
      <c r="D58" s="124">
        <v>30</v>
      </c>
      <c r="E58" s="125">
        <v>0.46677846153846148</v>
      </c>
      <c r="F58" s="126">
        <v>0.35563553488372013</v>
      </c>
      <c r="G58" s="127">
        <f t="shared" si="4"/>
        <v>0.11114292665474135</v>
      </c>
      <c r="H58" s="128">
        <v>22.6</v>
      </c>
      <c r="I58" s="129">
        <v>22.6</v>
      </c>
      <c r="J58" s="130">
        <v>22.6</v>
      </c>
      <c r="K58" s="131">
        <v>22.801839999999999</v>
      </c>
      <c r="L58" s="132">
        <v>22.71698</v>
      </c>
      <c r="M58" s="133">
        <f t="shared" si="3"/>
        <v>22.759409999999999</v>
      </c>
      <c r="N58" s="134">
        <v>0.50568923593689463</v>
      </c>
      <c r="O58" s="171">
        <v>0.80337311042481352</v>
      </c>
      <c r="P58" s="134">
        <v>3.2253163400896897E-3</v>
      </c>
      <c r="Q58" s="136">
        <v>3445.954285887216</v>
      </c>
      <c r="R58" s="137">
        <v>6.0266226127193345</v>
      </c>
    </row>
    <row r="59" spans="3:18" x14ac:dyDescent="0.3">
      <c r="C59" s="138" t="s">
        <v>66</v>
      </c>
      <c r="D59" s="139">
        <v>31</v>
      </c>
      <c r="E59" s="140">
        <v>-1.3774872139973086E-2</v>
      </c>
      <c r="F59" s="141">
        <v>1.4312800000000001</v>
      </c>
      <c r="G59" s="142">
        <f t="shared" si="4"/>
        <v>-1.4450548721399732</v>
      </c>
      <c r="H59" s="143">
        <v>22.4</v>
      </c>
      <c r="I59" s="144">
        <v>22.5</v>
      </c>
      <c r="J59" s="145">
        <v>22.5</v>
      </c>
      <c r="K59" s="146">
        <v>47.491489999999999</v>
      </c>
      <c r="L59" s="147">
        <v>47.58963</v>
      </c>
      <c r="M59" s="148">
        <f t="shared" si="3"/>
        <v>47.540559999999999</v>
      </c>
      <c r="N59" s="149">
        <v>0.64642499476911386</v>
      </c>
      <c r="O59" s="150">
        <v>1.3127624745559281</v>
      </c>
      <c r="P59" s="149">
        <v>5.2703708960371914E-3</v>
      </c>
      <c r="Q59" s="151">
        <v>-27418.466378267887</v>
      </c>
      <c r="R59" s="152">
        <v>6.1918634520833029</v>
      </c>
    </row>
    <row r="60" spans="3:18" ht="15" thickBot="1" x14ac:dyDescent="0.35">
      <c r="C60" s="123"/>
      <c r="D60" s="124">
        <v>30</v>
      </c>
      <c r="E60" s="125">
        <v>-7.7949634963161082E-2</v>
      </c>
      <c r="F60" s="126">
        <v>-6.2908632423755911E-2</v>
      </c>
      <c r="G60" s="127">
        <f t="shared" si="4"/>
        <v>-1.5041002539405171E-2</v>
      </c>
      <c r="H60" s="128">
        <v>22.6</v>
      </c>
      <c r="I60" s="129">
        <v>22.6</v>
      </c>
      <c r="J60" s="130">
        <v>22.6</v>
      </c>
      <c r="K60" s="131">
        <v>12.332319999999999</v>
      </c>
      <c r="L60" s="132">
        <v>12.22692</v>
      </c>
      <c r="M60" s="133">
        <f t="shared" si="3"/>
        <v>12.27962</v>
      </c>
      <c r="N60" s="134">
        <v>0.41167865695470601</v>
      </c>
      <c r="O60" s="135">
        <v>0.5324349759409418</v>
      </c>
      <c r="P60" s="134">
        <v>2.1375761842831772E-3</v>
      </c>
      <c r="Q60" s="136">
        <v>-703.6475541782421</v>
      </c>
      <c r="R60" s="137">
        <v>6.0266226127193345</v>
      </c>
    </row>
    <row r="62" spans="3:18" ht="29.4" customHeight="1" x14ac:dyDescent="0.3">
      <c r="C62" s="172" t="s">
        <v>80</v>
      </c>
      <c r="D62" s="172" t="s">
        <v>86</v>
      </c>
      <c r="E62" s="172" t="s">
        <v>84</v>
      </c>
      <c r="F62" s="172" t="s">
        <v>113</v>
      </c>
      <c r="G62" s="172"/>
      <c r="H62" s="172"/>
      <c r="I62" s="172"/>
      <c r="J62" s="172" t="s">
        <v>93</v>
      </c>
      <c r="K62" s="172"/>
      <c r="L62" s="172" t="s">
        <v>94</v>
      </c>
      <c r="M62" s="172"/>
      <c r="N62" s="172" t="s">
        <v>95</v>
      </c>
      <c r="O62" s="172"/>
      <c r="P62" s="173"/>
      <c r="Q62" s="173"/>
      <c r="R62" s="173"/>
    </row>
    <row r="63" spans="3:18" ht="28.8" x14ac:dyDescent="0.3">
      <c r="C63" s="172"/>
      <c r="D63" s="172"/>
      <c r="E63" s="172"/>
      <c r="F63" s="114" t="s">
        <v>96</v>
      </c>
      <c r="G63" s="114" t="s">
        <v>97</v>
      </c>
      <c r="H63" s="114" t="s">
        <v>98</v>
      </c>
      <c r="I63" s="114" t="s">
        <v>99</v>
      </c>
      <c r="J63" s="114" t="s">
        <v>100</v>
      </c>
      <c r="K63" s="174" t="s">
        <v>101</v>
      </c>
      <c r="L63" s="114">
        <v>1</v>
      </c>
      <c r="M63" s="174">
        <v>2</v>
      </c>
      <c r="N63" s="174">
        <v>1</v>
      </c>
      <c r="O63" s="174">
        <v>2</v>
      </c>
      <c r="P63" s="173"/>
      <c r="Q63" s="173"/>
      <c r="R63" s="173"/>
    </row>
    <row r="64" spans="3:18" x14ac:dyDescent="0.3">
      <c r="C64" s="175" t="s">
        <v>63</v>
      </c>
      <c r="D64" s="111">
        <v>6.1037290923729426</v>
      </c>
      <c r="E64" s="176">
        <v>3.2346551182800354E-3</v>
      </c>
      <c r="F64" s="111">
        <v>15.07375</v>
      </c>
      <c r="G64" s="111">
        <v>15.08276</v>
      </c>
      <c r="H64" s="111">
        <v>15.07358</v>
      </c>
      <c r="I64" s="176">
        <v>15.07375</v>
      </c>
      <c r="J64" s="176">
        <v>-1.7000000000066962E-4</v>
      </c>
      <c r="K64" s="176">
        <v>9.0099999999999625E-3</v>
      </c>
      <c r="L64" s="176">
        <v>-1.667700000006569E-3</v>
      </c>
      <c r="M64" s="176">
        <v>8.8388099999999636E-2</v>
      </c>
      <c r="N64" s="117">
        <v>-51.557273929510472</v>
      </c>
      <c r="O64" s="170">
        <v>2732.5355182532808</v>
      </c>
      <c r="P64" s="177"/>
      <c r="Q64" s="178"/>
      <c r="R64" s="179"/>
    </row>
    <row r="65" spans="3:18" x14ac:dyDescent="0.3">
      <c r="C65" s="175"/>
      <c r="D65" s="111">
        <v>6.2462305612944089</v>
      </c>
      <c r="E65" s="176">
        <v>2.1089071532163274E-3</v>
      </c>
      <c r="F65" s="111">
        <v>15.073130000000001</v>
      </c>
      <c r="G65" s="111">
        <v>15.08145</v>
      </c>
      <c r="H65" s="176">
        <v>15.07569</v>
      </c>
      <c r="I65" s="176">
        <v>15.07461</v>
      </c>
      <c r="J65" s="176">
        <v>1.0799999999999699E-3</v>
      </c>
      <c r="K65" s="176">
        <v>6.8400000000004013E-3</v>
      </c>
      <c r="L65" s="176">
        <v>1.0594799999999705E-2</v>
      </c>
      <c r="M65" s="176">
        <v>6.7100400000003946E-2</v>
      </c>
      <c r="N65" s="117">
        <v>502.38342564495593</v>
      </c>
      <c r="O65" s="170">
        <v>3181.7616957516634</v>
      </c>
      <c r="P65" s="177"/>
      <c r="Q65" s="178"/>
      <c r="R65" s="179"/>
    </row>
    <row r="66" spans="3:18" x14ac:dyDescent="0.3">
      <c r="C66" s="175"/>
      <c r="D66" s="111">
        <v>5.9921259213709375</v>
      </c>
      <c r="E66" s="176">
        <v>1.9326291122791267E-3</v>
      </c>
      <c r="F66" s="111">
        <v>15.07498</v>
      </c>
      <c r="G66" s="111">
        <v>15.085800000000001</v>
      </c>
      <c r="H66" s="176">
        <v>15.07338</v>
      </c>
      <c r="I66" s="176">
        <v>15.07381</v>
      </c>
      <c r="J66" s="176">
        <v>-4.2999999999970839E-4</v>
      </c>
      <c r="K66" s="176">
        <v>1.1990000000000833E-2</v>
      </c>
      <c r="L66" s="176">
        <v>-4.2182999999971398E-3</v>
      </c>
      <c r="M66" s="176">
        <v>0.11762190000000818</v>
      </c>
      <c r="N66" s="117">
        <v>-218.26743544303483</v>
      </c>
      <c r="O66" s="170">
        <v>6086.1082580556831</v>
      </c>
      <c r="P66" s="177"/>
      <c r="Q66" s="178"/>
      <c r="R66" s="179"/>
    </row>
    <row r="67" spans="3:18" x14ac:dyDescent="0.3">
      <c r="C67" s="175"/>
      <c r="D67" s="111">
        <v>5.9921259213709375</v>
      </c>
      <c r="E67" s="176">
        <v>2.8945984374115111E-3</v>
      </c>
      <c r="F67" s="111">
        <v>15.073600000000001</v>
      </c>
      <c r="G67" s="111"/>
      <c r="H67" s="176">
        <v>15.06992</v>
      </c>
      <c r="I67" s="176">
        <v>15.07366</v>
      </c>
      <c r="J67" s="176">
        <v>-3.7400000000005207E-3</v>
      </c>
      <c r="K67" s="176"/>
      <c r="L67" s="176">
        <v>-3.6689400000005111E-2</v>
      </c>
      <c r="M67" s="176"/>
      <c r="N67" s="117">
        <v>-1267.5126029852534</v>
      </c>
      <c r="O67" s="170"/>
      <c r="P67" s="177"/>
      <c r="Q67" s="178"/>
      <c r="R67" s="179"/>
    </row>
    <row r="68" spans="3:18" x14ac:dyDescent="0.3">
      <c r="C68" s="175" t="s">
        <v>64</v>
      </c>
      <c r="D68" s="111">
        <v>6.1210993598851751</v>
      </c>
      <c r="E68" s="176">
        <v>1.2938626581926052E-3</v>
      </c>
      <c r="F68" s="111">
        <v>15.78265</v>
      </c>
      <c r="G68" s="111">
        <v>15.79214</v>
      </c>
      <c r="H68" s="176">
        <v>15.783480000000001</v>
      </c>
      <c r="I68" s="176">
        <v>15.78365</v>
      </c>
      <c r="J68" s="176">
        <v>-1.6999999999889326E-4</v>
      </c>
      <c r="K68" s="176">
        <v>8.4900000000001086E-3</v>
      </c>
      <c r="L68" s="176">
        <v>-1.6676999999891431E-3</v>
      </c>
      <c r="M68" s="176">
        <v>8.3286900000001066E-2</v>
      </c>
      <c r="N68" s="117">
        <v>-128.89312396717213</v>
      </c>
      <c r="O68" s="170">
        <v>6437.0742499319367</v>
      </c>
      <c r="P68" s="177"/>
      <c r="Q68" s="178"/>
      <c r="R68" s="179"/>
    </row>
    <row r="69" spans="3:18" x14ac:dyDescent="0.3">
      <c r="C69" s="175"/>
      <c r="D69" s="111">
        <v>5.9921259213709375</v>
      </c>
      <c r="E69" s="176">
        <v>2.3886578809161917E-3</v>
      </c>
      <c r="F69" s="111">
        <v>15.78411</v>
      </c>
      <c r="G69" s="111">
        <v>15.7927</v>
      </c>
      <c r="H69" s="176">
        <v>15.7744</v>
      </c>
      <c r="I69" s="176">
        <v>15.7797</v>
      </c>
      <c r="J69" s="176">
        <v>-5.3000000000000824E-3</v>
      </c>
      <c r="K69" s="176">
        <v>1.2999999999999901E-2</v>
      </c>
      <c r="L69" s="176">
        <v>-5.1993000000000809E-2</v>
      </c>
      <c r="M69" s="176">
        <v>0.12752999999999903</v>
      </c>
      <c r="N69" s="117">
        <v>-2176.6616481745145</v>
      </c>
      <c r="O69" s="170">
        <v>5338.9814011826484</v>
      </c>
      <c r="P69" s="177"/>
      <c r="Q69" s="178"/>
      <c r="R69" s="179"/>
    </row>
    <row r="70" spans="3:18" x14ac:dyDescent="0.3">
      <c r="C70" s="175"/>
      <c r="D70" s="111">
        <v>6.0266226127193345</v>
      </c>
      <c r="E70" s="176">
        <v>2.9481195189994037E-3</v>
      </c>
      <c r="F70" s="111">
        <v>15.78148</v>
      </c>
      <c r="G70" s="111">
        <v>15.790179999999999</v>
      </c>
      <c r="H70" s="176">
        <v>15.76825</v>
      </c>
      <c r="I70" s="176">
        <v>15.778230000000001</v>
      </c>
      <c r="J70" s="176">
        <v>-9.980000000000544E-3</v>
      </c>
      <c r="K70" s="176">
        <v>1.1949999999998795E-2</v>
      </c>
      <c r="L70" s="176">
        <v>-9.7903800000005342E-2</v>
      </c>
      <c r="M70" s="176">
        <v>0.11722949999998819</v>
      </c>
      <c r="N70" s="117">
        <v>-3320.8897864912219</v>
      </c>
      <c r="O70" s="170">
        <v>3976.4161271106154</v>
      </c>
      <c r="P70" s="177"/>
      <c r="Q70" s="178"/>
      <c r="R70" s="179"/>
    </row>
    <row r="71" spans="3:18" x14ac:dyDescent="0.3">
      <c r="C71" s="175" t="s">
        <v>65</v>
      </c>
      <c r="D71" s="111">
        <v>6.1563934701414675</v>
      </c>
      <c r="E71" s="176">
        <v>1.7156730006481191E-4</v>
      </c>
      <c r="F71" s="111">
        <v>15.099399999999999</v>
      </c>
      <c r="G71" s="111">
        <v>15.10703</v>
      </c>
      <c r="H71" s="176">
        <v>15.09839</v>
      </c>
      <c r="I71" s="176">
        <v>15.0989</v>
      </c>
      <c r="J71" s="176">
        <v>-5.1000000000023249E-4</v>
      </c>
      <c r="K71" s="176">
        <v>8.1299999999995265E-3</v>
      </c>
      <c r="L71" s="176">
        <v>-5.0031000000022811E-3</v>
      </c>
      <c r="M71" s="176">
        <v>7.9755299999995352E-2</v>
      </c>
      <c r="N71" s="117">
        <v>-2916.1151327276766</v>
      </c>
      <c r="O71" s="170">
        <v>46486.305939340826</v>
      </c>
      <c r="P71" s="177"/>
      <c r="Q71" s="178"/>
      <c r="R71" s="179"/>
    </row>
    <row r="72" spans="3:18" x14ac:dyDescent="0.3">
      <c r="C72" s="175"/>
      <c r="D72" s="111">
        <v>6.0266226127193345</v>
      </c>
      <c r="E72" s="176">
        <v>2.4596631360296974E-3</v>
      </c>
      <c r="F72" s="111">
        <v>15.098990000000001</v>
      </c>
      <c r="G72" s="111">
        <v>15.106619999999999</v>
      </c>
      <c r="H72" s="176">
        <v>15.096209999999999</v>
      </c>
      <c r="I72" s="176">
        <v>15.09845</v>
      </c>
      <c r="J72" s="176">
        <v>-2.2400000000004638E-3</v>
      </c>
      <c r="K72" s="111">
        <v>8.1699999999997885E-3</v>
      </c>
      <c r="L72" s="111">
        <v>-2.197440000000455E-2</v>
      </c>
      <c r="M72" s="176">
        <v>8.0147699999997934E-2</v>
      </c>
      <c r="N72" s="117">
        <v>-893.39063053466998</v>
      </c>
      <c r="O72" s="170">
        <v>3258.4827908332827</v>
      </c>
      <c r="P72" s="177"/>
      <c r="Q72" s="178"/>
      <c r="R72" s="179"/>
    </row>
    <row r="73" spans="3:18" x14ac:dyDescent="0.3">
      <c r="C73" s="175"/>
      <c r="D73" s="111">
        <v>6.0266226127193345</v>
      </c>
      <c r="E73" s="176">
        <v>3.2253163400896897E-3</v>
      </c>
      <c r="F73" s="111">
        <v>15.09923</v>
      </c>
      <c r="G73" s="111">
        <v>15.10802</v>
      </c>
      <c r="H73" s="176">
        <v>15.09582</v>
      </c>
      <c r="I73" s="176">
        <v>15.09873</v>
      </c>
      <c r="J73" s="176">
        <v>-2.9099999999999682E-3</v>
      </c>
      <c r="K73" s="176">
        <v>9.2900000000000205E-3</v>
      </c>
      <c r="L73" s="176">
        <v>-2.854709999999969E-2</v>
      </c>
      <c r="M73" s="176">
        <v>9.1134900000000199E-2</v>
      </c>
      <c r="N73" s="117">
        <v>-885.09457646581893</v>
      </c>
      <c r="O73" s="117">
        <v>2825.6112080300909</v>
      </c>
      <c r="P73" s="177"/>
      <c r="Q73" s="178"/>
      <c r="R73" s="179"/>
    </row>
    <row r="74" spans="3:18" x14ac:dyDescent="0.3">
      <c r="C74" s="175" t="s">
        <v>66</v>
      </c>
      <c r="D74" s="111">
        <v>6.1918634520833029</v>
      </c>
      <c r="E74" s="176">
        <v>5.2703708960371914E-3</v>
      </c>
      <c r="F74" s="111">
        <v>14.811769999999999</v>
      </c>
      <c r="G74" s="111">
        <v>14.82161</v>
      </c>
      <c r="H74" s="176">
        <v>14.812720000000001</v>
      </c>
      <c r="I74" s="176">
        <v>14.81222</v>
      </c>
      <c r="J74" s="176">
        <v>5.0000000000061107E-4</v>
      </c>
      <c r="K74" s="176">
        <v>9.3899999999997874E-3</v>
      </c>
      <c r="L74" s="176">
        <v>4.9050000000059948E-3</v>
      </c>
      <c r="M74" s="176">
        <v>9.2115899999997919E-2</v>
      </c>
      <c r="N74" s="117">
        <v>93.067453823678321</v>
      </c>
      <c r="O74" s="170">
        <v>1747.8067828065032</v>
      </c>
      <c r="P74" s="177"/>
      <c r="Q74" s="178"/>
      <c r="R74" s="179"/>
    </row>
    <row r="75" spans="3:18" x14ac:dyDescent="0.3">
      <c r="C75" s="175"/>
      <c r="D75" s="111">
        <v>6.0266226127193345</v>
      </c>
      <c r="E75" s="176">
        <v>2.1375761842831772E-3</v>
      </c>
      <c r="F75" s="111">
        <v>14.8123</v>
      </c>
      <c r="G75" s="111">
        <v>14.82091</v>
      </c>
      <c r="H75" s="176">
        <v>14.80851</v>
      </c>
      <c r="I75" s="176">
        <v>14.811730000000001</v>
      </c>
      <c r="J75" s="176">
        <v>-3.2200000000006668E-3</v>
      </c>
      <c r="K75" s="176">
        <v>9.1799999999988557E-3</v>
      </c>
      <c r="L75" s="176">
        <v>-3.158820000000654E-2</v>
      </c>
      <c r="M75" s="176">
        <v>9.0055799999988778E-2</v>
      </c>
      <c r="N75" s="117">
        <v>-1477.7578564105984</v>
      </c>
      <c r="O75" s="170">
        <v>4212.986683802731</v>
      </c>
      <c r="P75" s="177"/>
      <c r="Q75" s="178"/>
      <c r="R75" s="179"/>
    </row>
    <row r="76" spans="3:18" ht="15" thickBot="1" x14ac:dyDescent="0.35"/>
    <row r="77" spans="3:18" x14ac:dyDescent="0.3">
      <c r="G77" s="205" t="s">
        <v>112</v>
      </c>
    </row>
    <row r="78" spans="3:18" x14ac:dyDescent="0.3">
      <c r="G78" s="206">
        <f>G64-F64</f>
        <v>9.0099999999999625E-3</v>
      </c>
    </row>
    <row r="79" spans="3:18" x14ac:dyDescent="0.3">
      <c r="G79" s="206">
        <f>G65-F65</f>
        <v>8.319999999999439E-3</v>
      </c>
    </row>
    <row r="80" spans="3:18" x14ac:dyDescent="0.3">
      <c r="G80" s="206">
        <f>G66-F66</f>
        <v>1.0820000000000718E-2</v>
      </c>
    </row>
    <row r="81" spans="6:10" x14ac:dyDescent="0.3">
      <c r="G81" s="206">
        <f t="shared" ref="G81:G88" si="5">G68-F68</f>
        <v>9.4899999999995543E-3</v>
      </c>
    </row>
    <row r="82" spans="6:10" x14ac:dyDescent="0.3">
      <c r="G82" s="206">
        <f t="shared" si="5"/>
        <v>8.5899999999998755E-3</v>
      </c>
    </row>
    <row r="83" spans="6:10" x14ac:dyDescent="0.3">
      <c r="G83" s="206">
        <f t="shared" si="5"/>
        <v>8.6999999999992639E-3</v>
      </c>
    </row>
    <row r="84" spans="6:10" x14ac:dyDescent="0.3">
      <c r="G84" s="206">
        <f t="shared" si="5"/>
        <v>7.6300000000006918E-3</v>
      </c>
    </row>
    <row r="85" spans="6:10" x14ac:dyDescent="0.3">
      <c r="G85" s="206">
        <f t="shared" si="5"/>
        <v>7.6299999999989154E-3</v>
      </c>
    </row>
    <row r="86" spans="6:10" x14ac:dyDescent="0.3">
      <c r="G86" s="206">
        <f t="shared" si="5"/>
        <v>8.7899999999994094E-3</v>
      </c>
    </row>
    <row r="87" spans="6:10" x14ac:dyDescent="0.3">
      <c r="G87" s="206">
        <f t="shared" si="5"/>
        <v>9.840000000000515E-3</v>
      </c>
    </row>
    <row r="88" spans="6:10" ht="15" thickBot="1" x14ac:dyDescent="0.35">
      <c r="G88" s="207">
        <f t="shared" si="5"/>
        <v>8.6099999999991184E-3</v>
      </c>
    </row>
    <row r="89" spans="6:10" ht="15" thickBot="1" x14ac:dyDescent="0.35"/>
    <row r="90" spans="6:10" ht="15" thickBot="1" x14ac:dyDescent="0.35">
      <c r="F90" s="21" t="s">
        <v>102</v>
      </c>
      <c r="G90" s="208">
        <f>AVERAGE(G78:G88)</f>
        <v>8.8572727272724968E-3</v>
      </c>
      <c r="I90" s="210" t="s">
        <v>103</v>
      </c>
      <c r="J90" s="211">
        <f>D5</f>
        <v>1.0169999999999998E-2</v>
      </c>
    </row>
    <row r="91" spans="6:10" x14ac:dyDescent="0.3">
      <c r="F91" s="34" t="s">
        <v>104</v>
      </c>
      <c r="G91" s="209">
        <f>_xlfn.QUARTILE.INC(G78:G88,0)</f>
        <v>7.6299999999989154E-3</v>
      </c>
    </row>
    <row r="92" spans="6:10" x14ac:dyDescent="0.3">
      <c r="F92" s="34" t="s">
        <v>105</v>
      </c>
      <c r="G92" s="209">
        <f>_xlfn.QUARTILE.INC(G78:G88,4)</f>
        <v>1.0820000000000718E-2</v>
      </c>
    </row>
    <row r="93" spans="6:10" x14ac:dyDescent="0.3">
      <c r="F93" s="34" t="s">
        <v>56</v>
      </c>
      <c r="G93" s="35">
        <f>_xlfn.QUARTILE.INC(G78:G88,1)</f>
        <v>8.4549999999996572E-3</v>
      </c>
    </row>
    <row r="94" spans="6:10" x14ac:dyDescent="0.3">
      <c r="F94" s="34" t="s">
        <v>106</v>
      </c>
      <c r="G94" s="35">
        <f>_xlfn.QUARTILE.INC(G78:G88,2)</f>
        <v>8.6999999999992639E-3</v>
      </c>
    </row>
    <row r="95" spans="6:10" x14ac:dyDescent="0.3">
      <c r="F95" s="34" t="s">
        <v>58</v>
      </c>
      <c r="G95" s="35">
        <f>_xlfn.QUARTILE.INC(G78:G88,3)</f>
        <v>9.2499999999997584E-3</v>
      </c>
    </row>
    <row r="96" spans="6:10" x14ac:dyDescent="0.3">
      <c r="F96" s="34" t="s">
        <v>59</v>
      </c>
      <c r="G96" s="35">
        <f>G95-G93</f>
        <v>7.9500000000010118E-4</v>
      </c>
    </row>
    <row r="97" spans="6:7" x14ac:dyDescent="0.3">
      <c r="F97" s="34" t="s">
        <v>107</v>
      </c>
      <c r="G97" s="35">
        <f>G93-(1.5*G96)</f>
        <v>7.2624999999995055E-3</v>
      </c>
    </row>
    <row r="98" spans="6:7" ht="15" thickBot="1" x14ac:dyDescent="0.35">
      <c r="F98" s="45" t="s">
        <v>108</v>
      </c>
      <c r="G98" s="47">
        <f>G95+(1.5*G96)</f>
        <v>1.044249999999991E-2</v>
      </c>
    </row>
  </sheetData>
  <mergeCells count="66">
    <mergeCell ref="C74:C75"/>
    <mergeCell ref="D15:E15"/>
    <mergeCell ref="F15:J15"/>
    <mergeCell ref="K15:K16"/>
    <mergeCell ref="J62:K62"/>
    <mergeCell ref="L62:M62"/>
    <mergeCell ref="N62:O62"/>
    <mergeCell ref="C64:C67"/>
    <mergeCell ref="C68:C70"/>
    <mergeCell ref="C71:C73"/>
    <mergeCell ref="C56:C58"/>
    <mergeCell ref="C59:C60"/>
    <mergeCell ref="C62:C63"/>
    <mergeCell ref="D62:D63"/>
    <mergeCell ref="E62:E63"/>
    <mergeCell ref="F62:I62"/>
    <mergeCell ref="O47:O48"/>
    <mergeCell ref="P47:P48"/>
    <mergeCell ref="Q47:Q48"/>
    <mergeCell ref="R47:R48"/>
    <mergeCell ref="C49:C52"/>
    <mergeCell ref="C53:C55"/>
    <mergeCell ref="C47:C48"/>
    <mergeCell ref="D47:D48"/>
    <mergeCell ref="E47:G47"/>
    <mergeCell ref="H47:J47"/>
    <mergeCell ref="K47:M47"/>
    <mergeCell ref="N47:N48"/>
    <mergeCell ref="AD32:AD34"/>
    <mergeCell ref="AE32:AE34"/>
    <mergeCell ref="AF32:AF34"/>
    <mergeCell ref="AG32:AG34"/>
    <mergeCell ref="C38:C44"/>
    <mergeCell ref="E38:E44"/>
    <mergeCell ref="Z38:Z40"/>
    <mergeCell ref="AA38:AA40"/>
    <mergeCell ref="AB38:AB40"/>
    <mergeCell ref="AE25:AE27"/>
    <mergeCell ref="AF25:AF27"/>
    <mergeCell ref="AG25:AG27"/>
    <mergeCell ref="C32:C37"/>
    <mergeCell ref="E32:E37"/>
    <mergeCell ref="Z32:Z34"/>
    <mergeCell ref="AA32:AA34"/>
    <mergeCell ref="AB32:AB34"/>
    <mergeCell ref="AC32:AC34"/>
    <mergeCell ref="AF17:AF19"/>
    <mergeCell ref="AG17:AG19"/>
    <mergeCell ref="C25:C31"/>
    <mergeCell ref="E25:E31"/>
    <mergeCell ref="Z25:Z27"/>
    <mergeCell ref="AA25:AA27"/>
    <mergeCell ref="AB25:AB27"/>
    <mergeCell ref="AC25:AC27"/>
    <mergeCell ref="AD25:AD27"/>
    <mergeCell ref="Z17:Z19"/>
    <mergeCell ref="AA17:AA19"/>
    <mergeCell ref="AB17:AB19"/>
    <mergeCell ref="AC17:AC19"/>
    <mergeCell ref="AD17:AD19"/>
    <mergeCell ref="AE17:AE19"/>
    <mergeCell ref="L15:N15"/>
    <mergeCell ref="O15:Q15"/>
    <mergeCell ref="R15:T15"/>
    <mergeCell ref="C17:C24"/>
    <mergeCell ref="E17:E24"/>
  </mergeCells>
  <conditionalFormatting sqref="H17">
    <cfRule type="cellIs" dxfId="40" priority="18" operator="lessThan">
      <formula>$F$17</formula>
    </cfRule>
  </conditionalFormatting>
  <conditionalFormatting sqref="H18">
    <cfRule type="cellIs" dxfId="39" priority="17" operator="lessThan">
      <formula>$F$18</formula>
    </cfRule>
  </conditionalFormatting>
  <conditionalFormatting sqref="H25">
    <cfRule type="cellIs" dxfId="38" priority="16" operator="lessThan">
      <formula>$F$25</formula>
    </cfRule>
  </conditionalFormatting>
  <conditionalFormatting sqref="H26">
    <cfRule type="cellIs" dxfId="37" priority="11" operator="lessThan">
      <formula>$F$26</formula>
    </cfRule>
    <cfRule type="cellIs" dxfId="36" priority="15" operator="lessThan">
      <formula>$F$26</formula>
    </cfRule>
  </conditionalFormatting>
  <conditionalFormatting sqref="H32">
    <cfRule type="cellIs" dxfId="35" priority="14" operator="lessThan">
      <formula>$F$32</formula>
    </cfRule>
  </conditionalFormatting>
  <conditionalFormatting sqref="H38">
    <cfRule type="cellIs" dxfId="34" priority="13" operator="lessThan">
      <formula>$F$38</formula>
    </cfRule>
  </conditionalFormatting>
  <conditionalFormatting sqref="J17:K42">
    <cfRule type="cellIs" dxfId="33" priority="12" operator="lessThan">
      <formula>0</formula>
    </cfRule>
  </conditionalFormatting>
  <conditionalFormatting sqref="H33">
    <cfRule type="cellIs" dxfId="32" priority="10" operator="lessThan">
      <formula>$F$33</formula>
    </cfRule>
  </conditionalFormatting>
  <conditionalFormatting sqref="H39">
    <cfRule type="cellIs" dxfId="31" priority="9" operator="lessThan">
      <formula>$F$39</formula>
    </cfRule>
  </conditionalFormatting>
  <conditionalFormatting sqref="H19">
    <cfRule type="cellIs" dxfId="30" priority="8" operator="lessThan">
      <formula>$F$19</formula>
    </cfRule>
  </conditionalFormatting>
  <conditionalFormatting sqref="H20">
    <cfRule type="cellIs" dxfId="29" priority="7" operator="lessThan">
      <formula>$F$20</formula>
    </cfRule>
  </conditionalFormatting>
  <conditionalFormatting sqref="H27">
    <cfRule type="cellIs" dxfId="28" priority="6" operator="lessThan">
      <formula>$F$27</formula>
    </cfRule>
  </conditionalFormatting>
  <conditionalFormatting sqref="H28">
    <cfRule type="cellIs" dxfId="27" priority="5" operator="lessThan">
      <formula>$F$28</formula>
    </cfRule>
  </conditionalFormatting>
  <conditionalFormatting sqref="H34">
    <cfRule type="cellIs" dxfId="26" priority="4" operator="lessThan">
      <formula>$F$34</formula>
    </cfRule>
  </conditionalFormatting>
  <conditionalFormatting sqref="H40">
    <cfRule type="cellIs" dxfId="25" priority="3" operator="lessThan">
      <formula>$F$40</formula>
    </cfRule>
  </conditionalFormatting>
  <conditionalFormatting sqref="G78:G88">
    <cfRule type="cellIs" dxfId="24" priority="1" operator="lessThan">
      <formula>$G$97</formula>
    </cfRule>
    <cfRule type="cellIs" dxfId="23" priority="2" operator="greaterThan">
      <formula>$G$98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BBF9-2852-44DA-AD4A-3D43505852C8}">
  <dimension ref="B2:AX129"/>
  <sheetViews>
    <sheetView tabSelected="1" topLeftCell="A25" zoomScale="41" workbookViewId="0">
      <selection activeCell="U47" sqref="U47"/>
    </sheetView>
  </sheetViews>
  <sheetFormatPr defaultRowHeight="14.4" x14ac:dyDescent="0.3"/>
  <cols>
    <col min="3" max="3" width="12.44140625" bestFit="1" customWidth="1"/>
    <col min="6" max="6" width="9.33203125" bestFit="1" customWidth="1"/>
    <col min="23" max="23" width="9" bestFit="1" customWidth="1"/>
    <col min="25" max="27" width="9" bestFit="1" customWidth="1"/>
    <col min="28" max="28" width="12.109375" bestFit="1" customWidth="1"/>
    <col min="29" max="29" width="9" bestFit="1" customWidth="1"/>
    <col min="43" max="43" width="9" bestFit="1" customWidth="1"/>
    <col min="45" max="46" width="9" bestFit="1" customWidth="1"/>
    <col min="47" max="48" width="11.44140625" bestFit="1" customWidth="1"/>
    <col min="49" max="49" width="12.44140625" bestFit="1" customWidth="1"/>
  </cols>
  <sheetData>
    <row r="2" spans="2:31" x14ac:dyDescent="0.3">
      <c r="B2" s="224" t="s">
        <v>136</v>
      </c>
    </row>
    <row r="3" spans="2:31" ht="15" thickBot="1" x14ac:dyDescent="0.35"/>
    <row r="4" spans="2:31" ht="15" thickBot="1" x14ac:dyDescent="0.35">
      <c r="C4" s="234" t="s">
        <v>114</v>
      </c>
      <c r="D4" s="235"/>
      <c r="E4" s="236"/>
      <c r="Q4" s="224" t="s">
        <v>139</v>
      </c>
    </row>
    <row r="5" spans="2:31" ht="15" thickBot="1" x14ac:dyDescent="0.35">
      <c r="C5" s="45">
        <v>19</v>
      </c>
      <c r="D5" s="240">
        <v>22</v>
      </c>
      <c r="E5" s="47">
        <v>30</v>
      </c>
    </row>
    <row r="6" spans="2:31" ht="15" thickBot="1" x14ac:dyDescent="0.35">
      <c r="C6" s="237">
        <v>3.1692531581397416</v>
      </c>
      <c r="D6" s="241">
        <v>4.311570879954604</v>
      </c>
      <c r="E6" s="152">
        <v>6.1037290923729426</v>
      </c>
      <c r="R6" s="223" t="s">
        <v>120</v>
      </c>
      <c r="W6" s="223" t="s">
        <v>121</v>
      </c>
      <c r="AB6" s="223" t="s">
        <v>122</v>
      </c>
    </row>
    <row r="7" spans="2:31" x14ac:dyDescent="0.3">
      <c r="C7" s="238">
        <v>3.2256206478168759</v>
      </c>
      <c r="D7" s="242">
        <v>4.311570879954604</v>
      </c>
      <c r="E7" s="122">
        <v>6.2462305612944089</v>
      </c>
      <c r="R7" s="243" t="s">
        <v>123</v>
      </c>
      <c r="S7" s="267" t="s">
        <v>64</v>
      </c>
      <c r="T7" s="267" t="s">
        <v>65</v>
      </c>
      <c r="U7" s="268" t="s">
        <v>124</v>
      </c>
      <c r="W7" s="243" t="s">
        <v>123</v>
      </c>
      <c r="X7" s="267" t="s">
        <v>64</v>
      </c>
      <c r="Y7" s="267" t="s">
        <v>65</v>
      </c>
      <c r="Z7" s="268" t="s">
        <v>124</v>
      </c>
      <c r="AB7" s="243" t="s">
        <v>123</v>
      </c>
      <c r="AC7" s="267" t="s">
        <v>64</v>
      </c>
      <c r="AD7" s="267" t="s">
        <v>65</v>
      </c>
      <c r="AE7" s="268" t="s">
        <v>124</v>
      </c>
    </row>
    <row r="8" spans="2:31" x14ac:dyDescent="0.3">
      <c r="C8" s="238">
        <v>3.2828546720160801</v>
      </c>
      <c r="D8" s="242">
        <v>4.0055722168697443</v>
      </c>
      <c r="E8" s="122">
        <v>5.9921259213709375</v>
      </c>
      <c r="R8" s="227">
        <v>8.1927649999999996</v>
      </c>
      <c r="S8" s="203">
        <v>13.426705</v>
      </c>
      <c r="T8" s="203">
        <v>12.759525</v>
      </c>
      <c r="U8" s="228">
        <v>5.2410699999999997</v>
      </c>
      <c r="W8" s="227">
        <v>22.858329999999999</v>
      </c>
      <c r="X8" s="203">
        <v>5.7827549999999999</v>
      </c>
      <c r="Y8" s="203">
        <v>0.279225</v>
      </c>
      <c r="Z8" s="228">
        <v>47.540559999999999</v>
      </c>
      <c r="AB8" s="227">
        <v>43.674639999999997</v>
      </c>
      <c r="AC8" s="203">
        <v>48.56823</v>
      </c>
      <c r="AD8" s="203">
        <v>43.090590000000006</v>
      </c>
      <c r="AE8" s="228">
        <v>48.524455000000003</v>
      </c>
    </row>
    <row r="9" spans="2:31" x14ac:dyDescent="0.3">
      <c r="C9" s="238">
        <v>3.187946718509024</v>
      </c>
      <c r="D9" s="242">
        <v>4.0287765577983858</v>
      </c>
      <c r="E9" s="122">
        <v>5.9921259213709375</v>
      </c>
      <c r="R9" s="227">
        <v>12.41296</v>
      </c>
      <c r="S9" s="203">
        <v>11.925180000000001</v>
      </c>
      <c r="T9" s="203">
        <v>6.6830800000000004</v>
      </c>
      <c r="U9" s="228">
        <v>6.5987600000000004</v>
      </c>
      <c r="W9" s="227">
        <v>12.03341</v>
      </c>
      <c r="X9" s="203">
        <v>14.505524999999999</v>
      </c>
      <c r="Y9" s="203">
        <v>15.157095</v>
      </c>
      <c r="Z9" s="228">
        <v>12.27962</v>
      </c>
      <c r="AB9" s="227">
        <v>48.493885000000006</v>
      </c>
      <c r="AC9" s="203">
        <v>49.010095</v>
      </c>
      <c r="AD9" s="203">
        <v>42.890590000000003</v>
      </c>
      <c r="AE9" s="228">
        <v>48.835570000000004</v>
      </c>
    </row>
    <row r="10" spans="2:31" ht="15" thickBot="1" x14ac:dyDescent="0.35">
      <c r="C10" s="238">
        <v>3.2446018299248771</v>
      </c>
      <c r="D10" s="242">
        <v>4.0990888058494557</v>
      </c>
      <c r="E10" s="122">
        <v>6.1210993598851751</v>
      </c>
      <c r="R10" s="231">
        <v>5.8169599999999999</v>
      </c>
      <c r="S10" s="232">
        <v>13.52487</v>
      </c>
      <c r="T10" s="232">
        <v>24.315629999999999</v>
      </c>
      <c r="U10" s="233">
        <v>7.2316249999999993</v>
      </c>
      <c r="W10" s="227">
        <v>10.55663</v>
      </c>
      <c r="X10" s="203">
        <v>19.889330000000001</v>
      </c>
      <c r="Y10" s="203">
        <v>22.759409999999999</v>
      </c>
      <c r="Z10" s="35"/>
      <c r="AB10" s="227">
        <v>48.397239999999996</v>
      </c>
      <c r="AC10" s="203">
        <v>48.986669999999997</v>
      </c>
      <c r="AD10" s="203">
        <v>48.568210000000001</v>
      </c>
      <c r="AE10" s="228">
        <v>48.878010000000003</v>
      </c>
    </row>
    <row r="11" spans="2:31" ht="15" thickBot="1" x14ac:dyDescent="0.35">
      <c r="C11" s="238">
        <v>3.3021271532154564</v>
      </c>
      <c r="D11" s="242">
        <v>4.3690534304229773</v>
      </c>
      <c r="E11" s="122">
        <v>5.9921259213709375</v>
      </c>
      <c r="W11" s="231">
        <v>19.350180000000002</v>
      </c>
      <c r="X11" s="46"/>
      <c r="Y11" s="46"/>
      <c r="Z11" s="47"/>
      <c r="AB11" s="45"/>
      <c r="AC11" s="46"/>
      <c r="AD11" s="232">
        <v>48.857460000000003</v>
      </c>
      <c r="AE11" s="47"/>
    </row>
    <row r="12" spans="2:31" ht="15" thickBot="1" x14ac:dyDescent="0.35">
      <c r="C12" s="238">
        <v>3.2067357464293038</v>
      </c>
      <c r="D12" s="242">
        <v>4.2866604733348845</v>
      </c>
      <c r="E12" s="122">
        <v>6.0266226127193345</v>
      </c>
    </row>
    <row r="13" spans="2:31" x14ac:dyDescent="0.3">
      <c r="C13" s="238">
        <v>3.2636797013461503</v>
      </c>
      <c r="D13" s="242">
        <v>4.2866604733348845</v>
      </c>
      <c r="E13" s="122">
        <v>6.1563934701414675</v>
      </c>
      <c r="Q13" s="205" t="s">
        <v>102</v>
      </c>
      <c r="R13" s="272">
        <f>AVERAGE(R8:R10)</f>
        <v>8.8075616666666665</v>
      </c>
      <c r="S13" s="267">
        <f t="shared" ref="S13:AE13" si="0">AVERAGE(S8:S10)</f>
        <v>12.958918333333335</v>
      </c>
      <c r="T13" s="267">
        <f t="shared" si="0"/>
        <v>14.586078333333333</v>
      </c>
      <c r="U13" s="267">
        <f t="shared" si="0"/>
        <v>6.3571516666666668</v>
      </c>
      <c r="V13" s="22"/>
      <c r="W13" s="267">
        <f>AVERAGE(W8:W11)</f>
        <v>16.199637500000001</v>
      </c>
      <c r="X13" s="267">
        <f t="shared" si="0"/>
        <v>13.392536666666667</v>
      </c>
      <c r="Y13" s="267">
        <f t="shared" si="0"/>
        <v>12.731909999999999</v>
      </c>
      <c r="Z13" s="267">
        <f t="shared" si="0"/>
        <v>29.91009</v>
      </c>
      <c r="AA13" s="22"/>
      <c r="AB13" s="267">
        <f t="shared" si="0"/>
        <v>46.855255</v>
      </c>
      <c r="AC13" s="267">
        <f t="shared" si="0"/>
        <v>48.854998333333334</v>
      </c>
      <c r="AD13" s="267">
        <f>AVERAGE(AD8:AD11)</f>
        <v>45.851712500000005</v>
      </c>
      <c r="AE13" s="268">
        <f t="shared" si="0"/>
        <v>48.746011666666675</v>
      </c>
    </row>
    <row r="14" spans="2:31" x14ac:dyDescent="0.3">
      <c r="C14" s="238">
        <v>3.3214975575733243</v>
      </c>
      <c r="D14" s="242">
        <v>4.0755343680856173</v>
      </c>
      <c r="E14" s="122">
        <v>6.0266226127193345</v>
      </c>
      <c r="Q14" s="264" t="s">
        <v>125</v>
      </c>
      <c r="R14" s="269">
        <f>_xlfn.VAR.S(R8:R10)</f>
        <v>11.160285206008325</v>
      </c>
      <c r="S14" s="203">
        <f t="shared" ref="S14:AE14" si="1">_xlfn.VAR.S(S8:S10)</f>
        <v>0.80387029815833233</v>
      </c>
      <c r="T14" s="203">
        <f t="shared" si="1"/>
        <v>80.22892768525827</v>
      </c>
      <c r="U14" s="203">
        <f t="shared" si="1"/>
        <v>1.0343582420583317</v>
      </c>
      <c r="V14" s="189"/>
      <c r="W14" s="203">
        <f>_xlfn.VAR.S(W8:W11)</f>
        <v>34.488363026891648</v>
      </c>
      <c r="X14" s="203">
        <f t="shared" si="1"/>
        <v>50.677921830258356</v>
      </c>
      <c r="Y14" s="203">
        <f t="shared" si="1"/>
        <v>130.75082112172504</v>
      </c>
      <c r="Z14" s="203">
        <f t="shared" si="1"/>
        <v>621.6669448417997</v>
      </c>
      <c r="AA14" s="189"/>
      <c r="AB14" s="203">
        <f t="shared" si="1"/>
        <v>7.5895688976750151</v>
      </c>
      <c r="AC14" s="203">
        <f t="shared" si="1"/>
        <v>6.1814240408332909E-2</v>
      </c>
      <c r="AD14" s="203">
        <f>_xlfn.VAR.S(AD8:AD11)</f>
        <v>10.935306873758321</v>
      </c>
      <c r="AE14" s="228">
        <f t="shared" si="1"/>
        <v>3.7265805808333427E-2</v>
      </c>
    </row>
    <row r="15" spans="2:31" ht="15" thickBot="1" x14ac:dyDescent="0.35">
      <c r="C15" s="238">
        <v>3.2256206478168759</v>
      </c>
      <c r="D15" s="242">
        <v>4.3190828618149446</v>
      </c>
      <c r="E15" s="122">
        <v>6.0266226127193345</v>
      </c>
      <c r="Q15" s="265" t="s">
        <v>118</v>
      </c>
      <c r="R15" s="273">
        <f>SQRT(R14)</f>
        <v>3.3407013045180087</v>
      </c>
      <c r="S15" s="232">
        <f t="shared" ref="S15:AE15" si="2">SQRT(S14)</f>
        <v>0.89658814299450351</v>
      </c>
      <c r="T15" s="232">
        <f t="shared" si="2"/>
        <v>8.9570602144486156</v>
      </c>
      <c r="U15" s="232">
        <f t="shared" si="2"/>
        <v>1.0170340417401631</v>
      </c>
      <c r="V15" s="46"/>
      <c r="W15" s="232">
        <f t="shared" si="2"/>
        <v>5.8726793737519545</v>
      </c>
      <c r="X15" s="232">
        <f t="shared" si="2"/>
        <v>7.1188427311086429</v>
      </c>
      <c r="Y15" s="232">
        <f t="shared" si="2"/>
        <v>11.434632531119005</v>
      </c>
      <c r="Z15" s="232">
        <f t="shared" si="2"/>
        <v>24.933249785011974</v>
      </c>
      <c r="AA15" s="46"/>
      <c r="AB15" s="232">
        <f t="shared" si="2"/>
        <v>2.7549172215649267</v>
      </c>
      <c r="AC15" s="232">
        <f t="shared" si="2"/>
        <v>0.24862469790496058</v>
      </c>
      <c r="AD15" s="232">
        <f t="shared" si="2"/>
        <v>3.3068575526862842</v>
      </c>
      <c r="AE15" s="233">
        <f t="shared" si="2"/>
        <v>0.19304353345381303</v>
      </c>
    </row>
    <row r="16" spans="2:31" x14ac:dyDescent="0.3">
      <c r="C16" s="238">
        <v>3.2828546720160801</v>
      </c>
      <c r="D16" s="242">
        <v>4.0990888058494557</v>
      </c>
      <c r="E16" s="122">
        <v>6.1918634520833029</v>
      </c>
    </row>
    <row r="17" spans="2:31" ht="15" thickBot="1" x14ac:dyDescent="0.35">
      <c r="C17" s="239">
        <v>3.3214975575733243</v>
      </c>
      <c r="D17" s="226">
        <v>4.3440059973378666</v>
      </c>
      <c r="E17" s="137">
        <v>6.0266226127193345</v>
      </c>
    </row>
    <row r="18" spans="2:31" ht="15" thickBot="1" x14ac:dyDescent="0.35">
      <c r="D18" s="225">
        <v>4.3942256756720202</v>
      </c>
    </row>
    <row r="19" spans="2:31" ht="15" thickBot="1" x14ac:dyDescent="0.35"/>
    <row r="20" spans="2:31" x14ac:dyDescent="0.3">
      <c r="B20" s="243" t="s">
        <v>54</v>
      </c>
      <c r="C20" s="244">
        <f>AVERAGE(C6:C17)</f>
        <v>3.2528575051980924</v>
      </c>
      <c r="D20" s="244">
        <f>AVERAGE(D6:D18)</f>
        <v>4.2254531866368801</v>
      </c>
      <c r="E20" s="245">
        <f>AVERAGE(E6:E17)</f>
        <v>6.0751820125639542</v>
      </c>
    </row>
    <row r="21" spans="2:31" x14ac:dyDescent="0.3">
      <c r="B21" s="227" t="s">
        <v>115</v>
      </c>
      <c r="C21" s="204">
        <f>MIN(C6:C17)</f>
        <v>3.1692531581397416</v>
      </c>
      <c r="D21" s="204">
        <f>MIN(D6:D18)</f>
        <v>4.0055722168697443</v>
      </c>
      <c r="E21" s="246">
        <f>MIN(E6:E17)</f>
        <v>5.9921259213709375</v>
      </c>
    </row>
    <row r="22" spans="2:31" x14ac:dyDescent="0.3">
      <c r="B22" s="227" t="s">
        <v>116</v>
      </c>
      <c r="C22" s="204">
        <f>MAX(C6:C17)</f>
        <v>3.3214975575733243</v>
      </c>
      <c r="D22" s="204">
        <f>MAX(D6:D18)</f>
        <v>4.3942256756720202</v>
      </c>
      <c r="E22" s="246">
        <f>MAX(E6:E17)</f>
        <v>6.2462305612944089</v>
      </c>
      <c r="W22" s="274" t="s">
        <v>150</v>
      </c>
      <c r="X22" s="275"/>
      <c r="Y22" s="275"/>
      <c r="Z22" s="275"/>
      <c r="AA22" s="275"/>
      <c r="AB22" s="275"/>
      <c r="AC22" s="275"/>
      <c r="AD22" s="275"/>
      <c r="AE22" s="276"/>
    </row>
    <row r="23" spans="2:31" x14ac:dyDescent="0.3">
      <c r="B23" s="227" t="s">
        <v>117</v>
      </c>
      <c r="C23" s="204">
        <f>_xlfn.VAR.S(C6:C17)</f>
        <v>2.6044867673984517E-3</v>
      </c>
      <c r="D23" s="204">
        <f>_xlfn.VAR.S(D6:D18)</f>
        <v>1.9641045748382258E-2</v>
      </c>
      <c r="E23" s="246">
        <f>_xlfn.VAR.S(E6:E17)</f>
        <v>7.5016188954065031E-3</v>
      </c>
      <c r="W23" s="277"/>
      <c r="X23" s="189"/>
      <c r="Y23" s="189"/>
      <c r="Z23" s="189"/>
      <c r="AA23" s="189"/>
      <c r="AB23" s="189"/>
      <c r="AC23" s="189"/>
      <c r="AD23" s="189"/>
      <c r="AE23" s="278"/>
    </row>
    <row r="24" spans="2:31" ht="15" thickBot="1" x14ac:dyDescent="0.35">
      <c r="B24" s="227" t="s">
        <v>118</v>
      </c>
      <c r="C24" s="204">
        <f>SQRT(C23)</f>
        <v>5.1034172545446954E-2</v>
      </c>
      <c r="D24" s="204">
        <f>SQRT(D23)</f>
        <v>0.14014651529161279</v>
      </c>
      <c r="E24" s="246">
        <f>SQRT(E23)</f>
        <v>8.6611886571108146E-2</v>
      </c>
      <c r="W24" s="277"/>
      <c r="X24" s="189" t="s">
        <v>121</v>
      </c>
      <c r="Y24" s="189"/>
      <c r="Z24" s="189"/>
      <c r="AA24" s="189"/>
      <c r="AB24" s="189"/>
      <c r="AC24" s="189"/>
      <c r="AD24" s="189"/>
      <c r="AE24" s="278"/>
    </row>
    <row r="25" spans="2:31" ht="15" thickBot="1" x14ac:dyDescent="0.35">
      <c r="B25" s="227" t="s">
        <v>56</v>
      </c>
      <c r="C25" s="204">
        <f>_xlfn.QUARTILE.INC(C6:C17,1)</f>
        <v>3.2208994224699827</v>
      </c>
      <c r="D25" s="204">
        <f>_xlfn.QUARTILE.INC(D6:D18,1)</f>
        <v>4.0990888058494557</v>
      </c>
      <c r="E25" s="246">
        <f>_xlfn.QUARTILE.INC(E6:E17,1)</f>
        <v>6.017998439882235</v>
      </c>
      <c r="W25" s="277" t="s">
        <v>123</v>
      </c>
      <c r="X25" s="201">
        <v>2732.5355182532808</v>
      </c>
      <c r="Y25" s="189"/>
      <c r="Z25" s="189"/>
      <c r="AA25" s="189"/>
      <c r="AB25" s="189"/>
      <c r="AC25" s="189"/>
      <c r="AD25" s="189"/>
      <c r="AE25" s="278"/>
    </row>
    <row r="26" spans="2:31" x14ac:dyDescent="0.3">
      <c r="B26" s="227" t="s">
        <v>58</v>
      </c>
      <c r="C26" s="204">
        <f>_xlfn.QUARTILE.INC(C6:C17,3)</f>
        <v>3.2876727923159241</v>
      </c>
      <c r="D26" s="204">
        <f>_xlfn.QUARTILE.INC(D6:D18,3)</f>
        <v>4.3190828618149446</v>
      </c>
      <c r="E26" s="246">
        <f>_xlfn.QUARTILE.INC(E6:E17,3)</f>
        <v>6.129922887449248</v>
      </c>
      <c r="W26" s="277"/>
      <c r="X26" s="219">
        <v>3181.7616957516634</v>
      </c>
      <c r="Y26" s="189"/>
      <c r="Z26" s="21"/>
      <c r="AA26" s="23" t="s">
        <v>140</v>
      </c>
      <c r="AB26" s="189"/>
      <c r="AC26" s="21" t="s">
        <v>141</v>
      </c>
      <c r="AD26" s="23"/>
      <c r="AE26" s="278"/>
    </row>
    <row r="27" spans="2:31" ht="15" thickBot="1" x14ac:dyDescent="0.35">
      <c r="B27" s="227" t="s">
        <v>59</v>
      </c>
      <c r="C27" s="204">
        <f>C26-C25</f>
        <v>6.6773369845941399E-2</v>
      </c>
      <c r="D27" s="204">
        <f>D26-D25</f>
        <v>0.21999405596548893</v>
      </c>
      <c r="E27" s="246">
        <f>E26-E25</f>
        <v>0.11192444756701292</v>
      </c>
      <c r="W27" s="277"/>
      <c r="X27" s="219">
        <v>6086.1082580556831</v>
      </c>
      <c r="Y27" s="189"/>
      <c r="Z27" s="34" t="s">
        <v>123</v>
      </c>
      <c r="AA27" s="35">
        <f>AVERAGE(X25:X27)</f>
        <v>4000.1351573535426</v>
      </c>
      <c r="AB27" s="189"/>
      <c r="AC27" s="34">
        <f>AA34-AA27</f>
        <v>2085.9731007021405</v>
      </c>
      <c r="AD27" s="35">
        <f>AA27-AA33</f>
        <v>1267.5996391002618</v>
      </c>
      <c r="AE27" s="278"/>
    </row>
    <row r="28" spans="2:31" x14ac:dyDescent="0.3">
      <c r="B28" s="227" t="s">
        <v>107</v>
      </c>
      <c r="C28" s="204">
        <f>C25-(1.5*C27)</f>
        <v>3.1207393677010709</v>
      </c>
      <c r="D28" s="204">
        <f>D25-(1.5*D27)</f>
        <v>3.7690977219012223</v>
      </c>
      <c r="E28" s="246">
        <f>E25-(1.5*E27)</f>
        <v>5.8501117685317157</v>
      </c>
      <c r="W28" s="277" t="s">
        <v>64</v>
      </c>
      <c r="X28" s="201">
        <v>6437.0742499319367</v>
      </c>
      <c r="Y28" s="189"/>
      <c r="Z28" s="34" t="s">
        <v>64</v>
      </c>
      <c r="AA28" s="35">
        <f>AVERAGE(X28:X30)</f>
        <v>5250.8239260750661</v>
      </c>
      <c r="AB28" s="189"/>
      <c r="AC28" s="34">
        <f>AB34-AA28</f>
        <v>1186.2503238568706</v>
      </c>
      <c r="AD28" s="35">
        <f>AA28-AB33</f>
        <v>1274.4077989644506</v>
      </c>
      <c r="AE28" s="278"/>
    </row>
    <row r="29" spans="2:31" x14ac:dyDescent="0.3">
      <c r="B29" s="227" t="s">
        <v>108</v>
      </c>
      <c r="C29" s="204">
        <f>C26+(1.5*C27)</f>
        <v>3.3878328470848365</v>
      </c>
      <c r="D29" s="204">
        <f>D26+(1.5*D27)</f>
        <v>4.6490739457631776</v>
      </c>
      <c r="E29" s="246">
        <f>E26+(1.5*E27)</f>
        <v>6.2978095587997673</v>
      </c>
      <c r="W29" s="277"/>
      <c r="X29" s="219">
        <v>5338.9814011826484</v>
      </c>
      <c r="Y29" s="189"/>
      <c r="Z29" s="34" t="s">
        <v>65</v>
      </c>
      <c r="AA29" s="35">
        <f>AVERAGE(X31:X33)</f>
        <v>17523.466646068064</v>
      </c>
      <c r="AB29" s="189"/>
      <c r="AC29" s="34">
        <f>AC34-AA29</f>
        <v>28962.839293272762</v>
      </c>
      <c r="AD29" s="35">
        <f>AA29-AC33</f>
        <v>14697.855438037972</v>
      </c>
      <c r="AE29" s="278"/>
    </row>
    <row r="30" spans="2:31" ht="15" thickBot="1" x14ac:dyDescent="0.35">
      <c r="B30" s="231" t="s">
        <v>119</v>
      </c>
      <c r="C30" s="247">
        <f>_xlfn.QUARTILE.INC(C6:C17,2)</f>
        <v>3.2541407656355137</v>
      </c>
      <c r="D30" s="247">
        <f>_xlfn.QUARTILE.INC(D6:D18,2)</f>
        <v>4.2866604733348845</v>
      </c>
      <c r="E30" s="248">
        <f>_xlfn.QUARTILE.INC(E6:E17,2)</f>
        <v>6.0266226127193345</v>
      </c>
      <c r="W30" s="277"/>
      <c r="X30" s="249">
        <v>3976.4161271106154</v>
      </c>
      <c r="Y30" s="189"/>
      <c r="Z30" s="45" t="s">
        <v>124</v>
      </c>
      <c r="AA30" s="47">
        <f>AVERAGE(X34:X35)</f>
        <v>2980.3967333046171</v>
      </c>
      <c r="AB30" s="189"/>
      <c r="AC30" s="45">
        <f>AD34-AA30</f>
        <v>1232.5899504981139</v>
      </c>
      <c r="AD30" s="47">
        <f>AA30-AD33</f>
        <v>1232.5899504981139</v>
      </c>
      <c r="AE30" s="278"/>
    </row>
    <row r="31" spans="2:31" ht="15" thickBot="1" x14ac:dyDescent="0.35">
      <c r="C31" s="75"/>
      <c r="D31" s="75"/>
      <c r="E31" s="75"/>
      <c r="W31" s="277" t="s">
        <v>65</v>
      </c>
      <c r="X31" s="219">
        <v>46486.305939340826</v>
      </c>
      <c r="Y31" s="189"/>
      <c r="Z31" s="189"/>
      <c r="AA31" s="189"/>
      <c r="AB31" s="189"/>
      <c r="AC31" s="189"/>
      <c r="AD31" s="189"/>
      <c r="AE31" s="278"/>
    </row>
    <row r="32" spans="2:31" x14ac:dyDescent="0.3">
      <c r="W32" s="277"/>
      <c r="X32" s="219">
        <v>3258.4827908332827</v>
      </c>
      <c r="Y32" s="189"/>
      <c r="Z32" s="243"/>
      <c r="AA32" s="267" t="s">
        <v>123</v>
      </c>
      <c r="AB32" s="267" t="s">
        <v>64</v>
      </c>
      <c r="AC32" s="267" t="s">
        <v>65</v>
      </c>
      <c r="AD32" s="268" t="s">
        <v>124</v>
      </c>
      <c r="AE32" s="278"/>
    </row>
    <row r="33" spans="2:50" ht="15" thickBot="1" x14ac:dyDescent="0.35">
      <c r="B33" s="224" t="s">
        <v>137</v>
      </c>
      <c r="W33" s="277"/>
      <c r="X33" s="249">
        <v>2825.6112080300909</v>
      </c>
      <c r="Y33" s="189"/>
      <c r="Z33" s="227" t="s">
        <v>104</v>
      </c>
      <c r="AA33" s="203">
        <f>MIN(X25:X27)</f>
        <v>2732.5355182532808</v>
      </c>
      <c r="AB33" s="203">
        <f>MIN(X28:X30)</f>
        <v>3976.4161271106154</v>
      </c>
      <c r="AC33" s="203">
        <f>MIN(X31:X33)</f>
        <v>2825.6112080300909</v>
      </c>
      <c r="AD33" s="228">
        <f>MIN(X34:X35)</f>
        <v>1747.8067828065032</v>
      </c>
      <c r="AE33" s="278"/>
    </row>
    <row r="34" spans="2:50" x14ac:dyDescent="0.3">
      <c r="E34" t="s">
        <v>138</v>
      </c>
      <c r="W34" s="277" t="s">
        <v>124</v>
      </c>
      <c r="X34" s="201">
        <v>1747.8067828065032</v>
      </c>
      <c r="Y34" s="189"/>
      <c r="Z34" s="227" t="s">
        <v>127</v>
      </c>
      <c r="AA34" s="203">
        <f>MAX(X25:X27)</f>
        <v>6086.1082580556831</v>
      </c>
      <c r="AB34" s="203">
        <f>MAX(X28:X30)</f>
        <v>6437.0742499319367</v>
      </c>
      <c r="AC34" s="203">
        <f>MAX(X31:X33)</f>
        <v>46486.305939340826</v>
      </c>
      <c r="AD34" s="228">
        <f>MAX(X34:X35)</f>
        <v>4212.986683802731</v>
      </c>
      <c r="AE34" s="278"/>
    </row>
    <row r="35" spans="2:50" ht="15" thickBot="1" x14ac:dyDescent="0.35">
      <c r="C35" s="263" t="s">
        <v>126</v>
      </c>
      <c r="W35" s="277"/>
      <c r="X35" s="249">
        <v>4212.986683802731</v>
      </c>
      <c r="Y35" s="189"/>
      <c r="Z35" s="227" t="s">
        <v>128</v>
      </c>
      <c r="AA35" s="203">
        <f>_xlfn.QUARTILE.INC(X25:X27,1)</f>
        <v>2957.1486070024721</v>
      </c>
      <c r="AB35" s="203">
        <f>_xlfn.QUARTILE.INC(X28:X30,1)</f>
        <v>4657.6987641466321</v>
      </c>
      <c r="AC35" s="203">
        <f>_xlfn.QUARTILE.INC(X31:X33,1)</f>
        <v>3042.0469994316868</v>
      </c>
      <c r="AD35" s="228">
        <f>_xlfn.QUARTILE.INC(X34:X35,1)</f>
        <v>2364.1017580555599</v>
      </c>
      <c r="AE35" s="278"/>
    </row>
    <row r="36" spans="2:50" x14ac:dyDescent="0.3">
      <c r="C36" s="266">
        <v>9.0099999999999625E-3</v>
      </c>
      <c r="W36" s="277"/>
      <c r="X36" s="189"/>
      <c r="Y36" s="189"/>
      <c r="Z36" s="227" t="s">
        <v>129</v>
      </c>
      <c r="AA36" s="203">
        <f>_xlfn.QUARTILE.INC(X25:X27,2)</f>
        <v>3181.7616957516634</v>
      </c>
      <c r="AB36" s="203">
        <f>_xlfn.QUARTILE.INC(X28:X30,2)</f>
        <v>5338.9814011826484</v>
      </c>
      <c r="AC36" s="203">
        <f>_xlfn.QUARTILE.INC(X31:X33,2)</f>
        <v>3258.4827908332827</v>
      </c>
      <c r="AD36" s="228">
        <f>_xlfn.QUARTILE.INC(X34:X35,2)</f>
        <v>2980.3967333046171</v>
      </c>
      <c r="AE36" s="278"/>
    </row>
    <row r="37" spans="2:50" x14ac:dyDescent="0.3">
      <c r="C37" s="206">
        <v>8.319999999999439E-3</v>
      </c>
      <c r="W37" s="277"/>
      <c r="X37" s="189"/>
      <c r="Y37" s="189"/>
      <c r="Z37" s="227" t="s">
        <v>130</v>
      </c>
      <c r="AA37" s="203">
        <f>_xlfn.QUARTILE.INC(X25:X27,3)</f>
        <v>4633.9349769036735</v>
      </c>
      <c r="AB37" s="203">
        <f>_xlfn.QUARTILE.INC(X28:X30,3)</f>
        <v>5888.0278255572921</v>
      </c>
      <c r="AC37" s="203">
        <f>_xlfn.QUARTILE.INC(X31:X33,3)</f>
        <v>24872.394365087057</v>
      </c>
      <c r="AD37" s="228">
        <f>_xlfn.QUARTILE.INC(X34:X35,3)</f>
        <v>3596.6917085536743</v>
      </c>
      <c r="AE37" s="278"/>
    </row>
    <row r="38" spans="2:50" x14ac:dyDescent="0.3">
      <c r="C38" s="206">
        <v>1.0820000000000718E-2</v>
      </c>
      <c r="W38" s="277"/>
      <c r="X38" s="189"/>
      <c r="Y38" s="189"/>
      <c r="Z38" s="227" t="s">
        <v>131</v>
      </c>
      <c r="AA38" s="203">
        <f>AA37-AA35</f>
        <v>1676.7863699012014</v>
      </c>
      <c r="AB38" s="203">
        <f>AB37-AB35</f>
        <v>1230.32906141066</v>
      </c>
      <c r="AC38" s="203">
        <f>AC37-AC35</f>
        <v>21830.347365655369</v>
      </c>
      <c r="AD38" s="228">
        <f>AD37-AD35</f>
        <v>1232.5899504981144</v>
      </c>
      <c r="AE38" s="278"/>
      <c r="AG38" t="s">
        <v>121</v>
      </c>
    </row>
    <row r="39" spans="2:50" x14ac:dyDescent="0.3">
      <c r="C39" s="206">
        <v>9.4899999999995543E-3</v>
      </c>
      <c r="W39" s="277"/>
      <c r="X39" s="189"/>
      <c r="Y39" s="189"/>
      <c r="Z39" s="227" t="s">
        <v>107</v>
      </c>
      <c r="AA39" s="203">
        <f>AA35-(1.5*AA38)</f>
        <v>441.96905215067</v>
      </c>
      <c r="AB39" s="203">
        <f>AB35-(1.5*AB38)</f>
        <v>2812.2051720306422</v>
      </c>
      <c r="AC39" s="203">
        <f>AC35-(1.5*AC38)</f>
        <v>-29703.474049051365</v>
      </c>
      <c r="AD39" s="228">
        <f>AD35-(1.5*AD38)</f>
        <v>515.21683230838835</v>
      </c>
      <c r="AE39" s="278"/>
    </row>
    <row r="40" spans="2:50" x14ac:dyDescent="0.3">
      <c r="C40" s="206">
        <v>8.5899999999998755E-3</v>
      </c>
      <c r="W40" s="277"/>
      <c r="X40" s="189"/>
      <c r="Y40" s="189"/>
      <c r="Z40" s="227" t="s">
        <v>108</v>
      </c>
      <c r="AA40" s="203">
        <f>AA37+(1.5*AA38)</f>
        <v>7149.1145317554756</v>
      </c>
      <c r="AB40" s="203">
        <f>AB37+(1.5*AB38)</f>
        <v>7733.5214176732825</v>
      </c>
      <c r="AC40" s="203">
        <f>AC37+(1.5*AC38)</f>
        <v>57617.91541357011</v>
      </c>
      <c r="AD40" s="228">
        <f>AD37+(1.5*AD38)</f>
        <v>5445.5766343008454</v>
      </c>
      <c r="AE40" s="278"/>
    </row>
    <row r="41" spans="2:50" x14ac:dyDescent="0.3">
      <c r="C41" s="206">
        <v>8.6999999999992639E-3</v>
      </c>
      <c r="W41" s="277"/>
      <c r="X41" s="189"/>
      <c r="Y41" s="189"/>
      <c r="Z41" s="227" t="s">
        <v>125</v>
      </c>
      <c r="AA41" s="203">
        <f>_xlfn.VAR.S(X25:X27)</f>
        <v>3313913.8722771257</v>
      </c>
      <c r="AB41" s="203">
        <f>_xlfn.VAR.S(X28:X30)</f>
        <v>1519538.404664658</v>
      </c>
      <c r="AC41" s="203">
        <f>_xlfn.VAR.S(X31:X33)</f>
        <v>629181389.39775777</v>
      </c>
      <c r="AD41" s="228">
        <f>_xlfn.VAR.S(X34:X35)</f>
        <v>3038555.972137887</v>
      </c>
      <c r="AE41" s="278"/>
    </row>
    <row r="42" spans="2:50" ht="15" thickBot="1" x14ac:dyDescent="0.35">
      <c r="C42" s="206">
        <v>7.6300000000006918E-3</v>
      </c>
      <c r="W42" s="277"/>
      <c r="X42" s="189"/>
      <c r="Y42" s="189"/>
      <c r="Z42" s="231" t="s">
        <v>118</v>
      </c>
      <c r="AA42" s="232">
        <f>SQRT(AA41)</f>
        <v>1820.4158514683193</v>
      </c>
      <c r="AB42" s="232">
        <f>SQRT(AB41)</f>
        <v>1232.6955847510196</v>
      </c>
      <c r="AC42" s="232">
        <f>SQRT(AC41)</f>
        <v>25083.488381757386</v>
      </c>
      <c r="AD42" s="233">
        <f>SQRT(AD41)</f>
        <v>1743.1454248392149</v>
      </c>
      <c r="AE42" s="278"/>
    </row>
    <row r="43" spans="2:50" x14ac:dyDescent="0.3">
      <c r="C43" s="206">
        <v>7.6299999999989154E-3</v>
      </c>
      <c r="W43" s="270"/>
      <c r="X43" s="279"/>
      <c r="Y43" s="279"/>
      <c r="Z43" s="279"/>
      <c r="AA43" s="279"/>
      <c r="AB43" s="279"/>
      <c r="AC43" s="279"/>
      <c r="AD43" s="279"/>
      <c r="AE43" s="271"/>
    </row>
    <row r="44" spans="2:50" x14ac:dyDescent="0.3">
      <c r="C44" s="206">
        <v>8.7899999999994094E-3</v>
      </c>
    </row>
    <row r="45" spans="2:50" x14ac:dyDescent="0.3">
      <c r="C45" s="206">
        <v>9.840000000000515E-3</v>
      </c>
    </row>
    <row r="46" spans="2:50" ht="15" thickBot="1" x14ac:dyDescent="0.35">
      <c r="C46" s="207">
        <v>8.6099999999991184E-3</v>
      </c>
      <c r="W46" s="274" t="s">
        <v>153</v>
      </c>
      <c r="X46" s="275"/>
      <c r="Y46" s="275"/>
      <c r="Z46" s="275"/>
      <c r="AA46" s="275"/>
      <c r="AB46" s="275"/>
      <c r="AC46" s="275"/>
      <c r="AD46" s="275"/>
      <c r="AE46" s="276"/>
      <c r="AP46" s="274" t="s">
        <v>156</v>
      </c>
      <c r="AQ46" s="275"/>
      <c r="AR46" s="275"/>
      <c r="AS46" s="275"/>
      <c r="AT46" s="275"/>
      <c r="AU46" s="275"/>
      <c r="AV46" s="275"/>
      <c r="AW46" s="275"/>
      <c r="AX46" s="276"/>
    </row>
    <row r="47" spans="2:50" ht="15" thickBot="1" x14ac:dyDescent="0.35">
      <c r="W47" s="277"/>
      <c r="X47" s="189"/>
      <c r="Y47" s="189"/>
      <c r="Z47" s="189"/>
      <c r="AA47" s="189"/>
      <c r="AB47" s="189"/>
      <c r="AC47" s="189"/>
      <c r="AD47" s="189"/>
      <c r="AE47" s="278"/>
      <c r="AP47" s="277"/>
      <c r="AQ47" s="189"/>
      <c r="AR47" s="189"/>
      <c r="AS47" s="189"/>
      <c r="AT47" s="189"/>
      <c r="AU47" s="189"/>
      <c r="AV47" s="189"/>
      <c r="AW47" s="189"/>
      <c r="AX47" s="278"/>
    </row>
    <row r="48" spans="2:50" ht="15" thickBot="1" x14ac:dyDescent="0.35">
      <c r="B48" s="243" t="s">
        <v>102</v>
      </c>
      <c r="C48" s="245">
        <f>AVERAGE(C36:C46)</f>
        <v>8.8572727272724968E-3</v>
      </c>
      <c r="W48" s="277"/>
      <c r="X48" s="201">
        <v>3828.2493271325397</v>
      </c>
      <c r="Y48" s="189"/>
      <c r="Z48" s="21"/>
      <c r="AA48" s="23" t="s">
        <v>140</v>
      </c>
      <c r="AB48" s="189"/>
      <c r="AC48" s="21" t="s">
        <v>141</v>
      </c>
      <c r="AD48" s="23"/>
      <c r="AE48" s="278"/>
      <c r="AP48" s="277"/>
      <c r="AQ48" s="189"/>
      <c r="AR48" s="189"/>
      <c r="AS48" s="189"/>
      <c r="AT48" s="189"/>
      <c r="AU48" s="189"/>
      <c r="AV48" s="189"/>
      <c r="AW48" s="189"/>
      <c r="AX48" s="278"/>
    </row>
    <row r="49" spans="2:50" x14ac:dyDescent="0.3">
      <c r="B49" s="227" t="s">
        <v>104</v>
      </c>
      <c r="C49" s="246">
        <f>_xlfn.QUARTILE.INC(C36:C46,0)</f>
        <v>7.6299999999989154E-3</v>
      </c>
      <c r="W49" s="277"/>
      <c r="X49" s="219">
        <v>-1911.6312890881843</v>
      </c>
      <c r="Y49" s="189"/>
      <c r="Z49" s="34" t="s">
        <v>123</v>
      </c>
      <c r="AA49" s="35">
        <f>AVERAGE(X48:X50)</f>
        <v>294.97407280804993</v>
      </c>
      <c r="AB49" s="189"/>
      <c r="AC49" s="34">
        <f>AA55-AA49</f>
        <v>3533.2752543244897</v>
      </c>
      <c r="AD49" s="35">
        <f>AA49-AA54</f>
        <v>2206.6053618962342</v>
      </c>
      <c r="AE49" s="278"/>
      <c r="AP49" s="277"/>
      <c r="AQ49" s="106">
        <v>-51.557273929510472</v>
      </c>
      <c r="AR49" s="189"/>
      <c r="AS49" s="21"/>
      <c r="AT49" s="23" t="s">
        <v>102</v>
      </c>
      <c r="AU49" s="189"/>
      <c r="AV49" s="21" t="s">
        <v>147</v>
      </c>
      <c r="AW49" s="23"/>
      <c r="AX49" s="278"/>
    </row>
    <row r="50" spans="2:50" ht="15" thickBot="1" x14ac:dyDescent="0.35">
      <c r="B50" s="227" t="s">
        <v>105</v>
      </c>
      <c r="C50" s="246">
        <f>_xlfn.QUARTILE.INC(C36:C46,4)</f>
        <v>1.0820000000000718E-2</v>
      </c>
      <c r="W50" s="277"/>
      <c r="X50" s="249">
        <v>-1031.6958196202056</v>
      </c>
      <c r="Y50" s="189"/>
      <c r="Z50" s="34" t="s">
        <v>64</v>
      </c>
      <c r="AA50" s="35">
        <f>AVERAGE(X51:X53)</f>
        <v>1572.0377111345742</v>
      </c>
      <c r="AB50" s="189"/>
      <c r="AC50" s="34">
        <f>AB55-AA50</f>
        <v>4007.4356302816177</v>
      </c>
      <c r="AD50" s="35">
        <f>AA50-AB54</f>
        <v>2045.7656460645339</v>
      </c>
      <c r="AE50" s="278"/>
      <c r="AP50" s="277"/>
      <c r="AQ50" s="121">
        <v>502.38342564495593</v>
      </c>
      <c r="AR50" s="189"/>
      <c r="AS50" s="34" t="s">
        <v>123</v>
      </c>
      <c r="AT50" s="306">
        <f>AVERAGE(AQ49:AQ52)</f>
        <v>-258.73847167821066</v>
      </c>
      <c r="AU50" s="189"/>
      <c r="AV50" s="34">
        <f>AT58-AT50</f>
        <v>761.12189732316665</v>
      </c>
      <c r="AW50" s="35">
        <f>AT50-AT57</f>
        <v>1008.7741313070427</v>
      </c>
      <c r="AX50" s="278"/>
    </row>
    <row r="51" spans="2:50" x14ac:dyDescent="0.3">
      <c r="B51" s="227" t="s">
        <v>56</v>
      </c>
      <c r="C51" s="246">
        <f>_xlfn.QUARTILE.INC(C36:C46,1)</f>
        <v>8.4549999999996572E-3</v>
      </c>
      <c r="W51" s="277"/>
      <c r="X51" s="201">
        <v>-473.72793492995964</v>
      </c>
      <c r="Y51" s="189"/>
      <c r="Z51" s="34" t="s">
        <v>65</v>
      </c>
      <c r="AA51" s="35">
        <f>AVERAGE(X54:X56)</f>
        <v>715.59419714620662</v>
      </c>
      <c r="AB51" s="189"/>
      <c r="AC51" s="34">
        <f>AC55-AA51</f>
        <v>2730.3600887410093</v>
      </c>
      <c r="AD51" s="35">
        <f>AA51-AC54</f>
        <v>3497.4848495127235</v>
      </c>
      <c r="AE51" s="278"/>
      <c r="AP51" s="277"/>
      <c r="AQ51" s="121">
        <v>-218.26743544303483</v>
      </c>
      <c r="AR51" s="189"/>
      <c r="AS51" s="34" t="s">
        <v>64</v>
      </c>
      <c r="AT51" s="306">
        <f>AVERAGE(AQ53:AQ55)</f>
        <v>-1875.4815195443027</v>
      </c>
      <c r="AU51" s="189"/>
      <c r="AV51" s="34">
        <f>AU58-AT51</f>
        <v>1746.5883955771305</v>
      </c>
      <c r="AW51" s="35">
        <f>AT51-AU57</f>
        <v>1445.4082669469192</v>
      </c>
      <c r="AX51" s="278"/>
    </row>
    <row r="52" spans="2:50" ht="15" thickBot="1" x14ac:dyDescent="0.35">
      <c r="B52" s="227" t="s">
        <v>106</v>
      </c>
      <c r="C52" s="246">
        <f>_xlfn.QUARTILE.INC(C36:C46,2)</f>
        <v>8.6999999999992639E-3</v>
      </c>
      <c r="W52" s="277"/>
      <c r="X52" s="219">
        <v>-389.63227308250953</v>
      </c>
      <c r="Y52" s="189"/>
      <c r="Z52" s="45" t="s">
        <v>124</v>
      </c>
      <c r="AA52" s="47">
        <f>AVERAGE(X57:X58)</f>
        <v>-14061.056966223065</v>
      </c>
      <c r="AB52" s="189"/>
      <c r="AC52" s="45">
        <f>AD55-AA52</f>
        <v>13357.409412044823</v>
      </c>
      <c r="AD52" s="47">
        <f>AA52-AD54</f>
        <v>13357.409412044823</v>
      </c>
      <c r="AE52" s="278"/>
      <c r="AP52" s="277"/>
      <c r="AQ52" s="136">
        <v>-1267.5126029852534</v>
      </c>
      <c r="AR52" s="189"/>
      <c r="AS52" s="34" t="s">
        <v>65</v>
      </c>
      <c r="AT52" s="306">
        <f>AVERAGE(AQ56:AQ58)</f>
        <v>-1564.8667799093885</v>
      </c>
      <c r="AU52" s="189"/>
      <c r="AV52" s="34">
        <f>AV58-AT52</f>
        <v>679.77220344356954</v>
      </c>
      <c r="AW52" s="35">
        <f>AT52-AV57</f>
        <v>1351.2483528182881</v>
      </c>
      <c r="AX52" s="278"/>
    </row>
    <row r="53" spans="2:50" ht="15" thickBot="1" x14ac:dyDescent="0.35">
      <c r="B53" s="227" t="s">
        <v>58</v>
      </c>
      <c r="C53" s="246">
        <f>_xlfn.QUARTILE.INC(C36:C46,3)</f>
        <v>9.2499999999997584E-3</v>
      </c>
      <c r="W53" s="277"/>
      <c r="X53" s="219">
        <v>5579.4733414161919</v>
      </c>
      <c r="Y53" s="189"/>
      <c r="Z53" s="189"/>
      <c r="AA53" s="189"/>
      <c r="AB53" s="189"/>
      <c r="AC53" s="189"/>
      <c r="AD53" s="189"/>
      <c r="AE53" s="278"/>
      <c r="AP53" s="277"/>
      <c r="AQ53" s="106">
        <v>-128.89312396717213</v>
      </c>
      <c r="AR53" s="189"/>
      <c r="AS53" s="45" t="s">
        <v>124</v>
      </c>
      <c r="AT53" s="307">
        <f>AVERAGE(AQ59:AQ60)</f>
        <v>-692.34520129346004</v>
      </c>
      <c r="AU53" s="189"/>
      <c r="AV53" s="45">
        <f>AW58-AT53</f>
        <v>785.41265511713834</v>
      </c>
      <c r="AW53" s="47">
        <f>AT53-AW57</f>
        <v>785.41265511713834</v>
      </c>
      <c r="AX53" s="278"/>
    </row>
    <row r="54" spans="2:50" x14ac:dyDescent="0.3">
      <c r="B54" s="227" t="s">
        <v>59</v>
      </c>
      <c r="C54" s="246">
        <f>C53-C51</f>
        <v>7.9500000000010118E-4</v>
      </c>
      <c r="W54" s="277"/>
      <c r="X54" s="201">
        <v>1482.7189579179208</v>
      </c>
      <c r="Y54" s="189"/>
      <c r="Z54" s="243" t="s">
        <v>104</v>
      </c>
      <c r="AA54" s="267">
        <f>MIN(X48:X50)</f>
        <v>-1911.6312890881843</v>
      </c>
      <c r="AB54" s="267">
        <f>MIN(X51:X53)</f>
        <v>-473.72793492995964</v>
      </c>
      <c r="AC54" s="267">
        <f>MIN(X54:X56)</f>
        <v>-2781.8906523665169</v>
      </c>
      <c r="AD54" s="268">
        <f>MIN(X57:X58)</f>
        <v>-27418.466378267887</v>
      </c>
      <c r="AE54" s="278"/>
      <c r="AP54" s="277"/>
      <c r="AQ54" s="121">
        <v>-2176.6616481745145</v>
      </c>
      <c r="AR54" s="189"/>
      <c r="AS54" s="189"/>
      <c r="AT54" s="189"/>
      <c r="AU54" s="189"/>
      <c r="AV54" s="189"/>
      <c r="AW54" s="189"/>
      <c r="AX54" s="278"/>
    </row>
    <row r="55" spans="2:50" ht="15" thickBot="1" x14ac:dyDescent="0.35">
      <c r="B55" s="227" t="s">
        <v>107</v>
      </c>
      <c r="C55" s="246">
        <f>C51-(1.5*C54)</f>
        <v>7.2624999999995055E-3</v>
      </c>
      <c r="W55" s="277"/>
      <c r="X55" s="219">
        <v>-2781.8906523665169</v>
      </c>
      <c r="Y55" s="189"/>
      <c r="Z55" s="227" t="s">
        <v>127</v>
      </c>
      <c r="AA55" s="203">
        <f>MAX(X48:X50)</f>
        <v>3828.2493271325397</v>
      </c>
      <c r="AB55" s="203">
        <f>MAX(X51:X53)</f>
        <v>5579.4733414161919</v>
      </c>
      <c r="AC55" s="203">
        <f>MAX(X54:X56)</f>
        <v>3445.954285887216</v>
      </c>
      <c r="AD55" s="228">
        <f>MAX(X57:X58)</f>
        <v>-703.6475541782421</v>
      </c>
      <c r="AE55" s="278"/>
      <c r="AP55" s="277"/>
      <c r="AQ55" s="136">
        <v>-3320.8897864912219</v>
      </c>
      <c r="AR55" s="189"/>
      <c r="AS55" s="189"/>
      <c r="AT55" s="189"/>
      <c r="AU55" s="189"/>
      <c r="AV55" s="189"/>
      <c r="AW55" s="189"/>
      <c r="AX55" s="278"/>
    </row>
    <row r="56" spans="2:50" ht="15" thickBot="1" x14ac:dyDescent="0.35">
      <c r="B56" s="227" t="s">
        <v>108</v>
      </c>
      <c r="C56" s="246">
        <f>C53+(1.5*C54)</f>
        <v>1.044249999999991E-2</v>
      </c>
      <c r="W56" s="277"/>
      <c r="X56" s="249">
        <v>3445.954285887216</v>
      </c>
      <c r="Y56" s="189"/>
      <c r="Z56" s="227" t="s">
        <v>128</v>
      </c>
      <c r="AA56" s="203">
        <f>_xlfn.QUARTILE.INC(X48:X50,1)</f>
        <v>-1471.663554354195</v>
      </c>
      <c r="AB56" s="203">
        <f>_xlfn.QUARTILE.INC(X51:X53,1)</f>
        <v>-431.68010400623461</v>
      </c>
      <c r="AC56" s="203">
        <f>_xlfn.QUARTILE.INC(X54:X56,1)</f>
        <v>-649.58584722429805</v>
      </c>
      <c r="AD56" s="228">
        <f>_xlfn.QUARTILE.INC(X57:X58,1)</f>
        <v>-20739.761672245477</v>
      </c>
      <c r="AE56" s="278"/>
      <c r="AP56" s="277"/>
      <c r="AQ56" s="106">
        <v>-2916.1151327276766</v>
      </c>
      <c r="AR56" s="189"/>
      <c r="AS56" s="243"/>
      <c r="AT56" s="267" t="s">
        <v>123</v>
      </c>
      <c r="AU56" s="267" t="s">
        <v>64</v>
      </c>
      <c r="AV56" s="267" t="s">
        <v>65</v>
      </c>
      <c r="AW56" s="268" t="s">
        <v>124</v>
      </c>
      <c r="AX56" s="278"/>
    </row>
    <row r="57" spans="2:50" x14ac:dyDescent="0.3">
      <c r="B57" s="227" t="s">
        <v>125</v>
      </c>
      <c r="C57" s="246">
        <f>_xlfn.VAR.S(C38:C47,C36:C37)</f>
        <v>8.704618181823815E-7</v>
      </c>
      <c r="W57" s="277"/>
      <c r="X57" s="219">
        <v>-27418.466378267887</v>
      </c>
      <c r="Y57" s="189"/>
      <c r="Z57" s="227" t="s">
        <v>129</v>
      </c>
      <c r="AA57" s="203">
        <f>_xlfn.QUARTILE.INC(X48:X50,2)</f>
        <v>-1031.6958196202056</v>
      </c>
      <c r="AB57" s="203">
        <f>_xlfn.QUARTILE.INC(X51:X53,2)</f>
        <v>-389.63227308250953</v>
      </c>
      <c r="AC57" s="203">
        <f>_xlfn.QUARTILE.INC(X54:X56,2)</f>
        <v>1482.7189579179208</v>
      </c>
      <c r="AD57" s="228">
        <f>_xlfn.QUARTILE.INC(X57:X58,2)</f>
        <v>-14061.056966223065</v>
      </c>
      <c r="AE57" s="278"/>
      <c r="AP57" s="277"/>
      <c r="AQ57" s="121">
        <v>-893.39063053466998</v>
      </c>
      <c r="AR57" s="189"/>
      <c r="AS57" s="227" t="s">
        <v>104</v>
      </c>
      <c r="AT57" s="308">
        <f>MIN(AQ49:AQ52)</f>
        <v>-1267.5126029852534</v>
      </c>
      <c r="AU57" s="308">
        <f>MIN(AQ53:AQ55)</f>
        <v>-3320.8897864912219</v>
      </c>
      <c r="AV57" s="308">
        <f>MIN(AQ56:AQ58)</f>
        <v>-2916.1151327276766</v>
      </c>
      <c r="AW57" s="309">
        <f>MIN(AQ59:AQ60)</f>
        <v>-1477.7578564105984</v>
      </c>
      <c r="AX57" s="278"/>
    </row>
    <row r="58" spans="2:50" ht="15" thickBot="1" x14ac:dyDescent="0.35">
      <c r="B58" s="231" t="s">
        <v>118</v>
      </c>
      <c r="C58" s="248">
        <f>SQRT(C57)</f>
        <v>9.329854329958113E-4</v>
      </c>
      <c r="W58" s="277"/>
      <c r="X58" s="249">
        <v>-703.6475541782421</v>
      </c>
      <c r="Y58" s="189"/>
      <c r="Z58" s="227" t="s">
        <v>130</v>
      </c>
      <c r="AA58" s="203">
        <f>_xlfn.QUARTILE.INC(X48:X50,3)</f>
        <v>1398.276753756167</v>
      </c>
      <c r="AB58" s="203">
        <f>_xlfn.QUARTILE.INC(X51:X53,3)</f>
        <v>2594.9205341668412</v>
      </c>
      <c r="AC58" s="203">
        <f>_xlfn.QUARTILE.INC(X54:X56,3)</f>
        <v>2464.3366219025684</v>
      </c>
      <c r="AD58" s="228">
        <f>_xlfn.QUARTILE.INC(X57:X58,3)</f>
        <v>-7382.3522602006524</v>
      </c>
      <c r="AE58" s="278"/>
      <c r="AP58" s="277"/>
      <c r="AQ58" s="136">
        <v>-885.09457646581893</v>
      </c>
      <c r="AR58" s="189"/>
      <c r="AS58" s="227" t="s">
        <v>127</v>
      </c>
      <c r="AT58" s="308">
        <f>MAX(AQ49:AQ52)</f>
        <v>502.38342564495593</v>
      </c>
      <c r="AU58" s="308">
        <f>MAX(AQ53:AQ55)</f>
        <v>-128.89312396717213</v>
      </c>
      <c r="AV58" s="308">
        <f>MAX(AQ56:AQ58)</f>
        <v>-885.09457646581893</v>
      </c>
      <c r="AW58" s="309">
        <f>MAX(AQ59:AQ60)</f>
        <v>93.067453823678321</v>
      </c>
      <c r="AX58" s="278"/>
    </row>
    <row r="59" spans="2:50" x14ac:dyDescent="0.3">
      <c r="W59" s="277"/>
      <c r="X59" s="189"/>
      <c r="Y59" s="189"/>
      <c r="Z59" s="227" t="s">
        <v>131</v>
      </c>
      <c r="AA59" s="203">
        <f>AA58-AA56</f>
        <v>2869.9403081103619</v>
      </c>
      <c r="AB59" s="203">
        <f>AB58-AB56</f>
        <v>3026.6006381730758</v>
      </c>
      <c r="AC59" s="203">
        <f>AC58-AC56</f>
        <v>3113.9224691268664</v>
      </c>
      <c r="AD59" s="228">
        <f>AD58-AD56</f>
        <v>13357.409412044824</v>
      </c>
      <c r="AE59" s="278"/>
      <c r="AP59" s="277"/>
      <c r="AQ59" s="147">
        <v>93.067453823678321</v>
      </c>
      <c r="AR59" s="189"/>
      <c r="AS59" s="227" t="s">
        <v>128</v>
      </c>
      <c r="AT59" s="203">
        <f>_xlfn.QUARTILE.INC(AQ49:AQ52,1)</f>
        <v>-480.57872732858948</v>
      </c>
      <c r="AU59" s="203">
        <f>_xlfn.QUARTILE.INC(AQ53:AQ55,1)</f>
        <v>-2748.7757173328682</v>
      </c>
      <c r="AV59" s="203">
        <f>_xlfn.QUARTILE.INC(AQ56:AQ58,1)</f>
        <v>-1904.7528816311733</v>
      </c>
      <c r="AW59" s="228">
        <f>_xlfn.QUARTILE.INC(AQ59:AQ60,1)</f>
        <v>-1085.0515288520292</v>
      </c>
      <c r="AX59" s="278"/>
    </row>
    <row r="60" spans="2:50" x14ac:dyDescent="0.3">
      <c r="B60" s="274" t="s">
        <v>142</v>
      </c>
      <c r="C60" s="275"/>
      <c r="D60" s="275"/>
      <c r="E60" s="275"/>
      <c r="F60" s="275"/>
      <c r="G60" s="275"/>
      <c r="H60" s="275"/>
      <c r="I60" s="275"/>
      <c r="J60" s="276"/>
      <c r="W60" s="277"/>
      <c r="X60" s="189"/>
      <c r="Y60" s="189"/>
      <c r="Z60" s="227" t="s">
        <v>107</v>
      </c>
      <c r="AA60" s="203">
        <f>AA56-(1.5*AA59)</f>
        <v>-5776.5740165197376</v>
      </c>
      <c r="AB60" s="203">
        <f>AB56-(1.5*AB59)</f>
        <v>-4971.5810612658479</v>
      </c>
      <c r="AC60" s="203">
        <f>AC56-(1.5*AC59)</f>
        <v>-5320.4695509145977</v>
      </c>
      <c r="AD60" s="228">
        <f>AD56-(1.5*AD59)</f>
        <v>-40775.875790312712</v>
      </c>
      <c r="AE60" s="278"/>
      <c r="AP60" s="277"/>
      <c r="AQ60" s="117">
        <v>-1477.7578564105984</v>
      </c>
      <c r="AR60" s="189"/>
      <c r="AS60" s="227" t="s">
        <v>129</v>
      </c>
      <c r="AT60" s="203">
        <f>_xlfn.QUARTILE.INC(AQ49:AQ52,2)</f>
        <v>-134.91235468627264</v>
      </c>
      <c r="AU60" s="203">
        <f>_xlfn.QUARTILE.INC(AQ53:AQ55,2)</f>
        <v>-2176.6616481745145</v>
      </c>
      <c r="AV60" s="203">
        <f>_xlfn.QUARTILE.INC(AQ56:AQ58,2)</f>
        <v>-893.39063053466998</v>
      </c>
      <c r="AW60" s="228">
        <f>_xlfn.QUARTILE.INC(AQ59:AQ60,2)</f>
        <v>-692.34520129346004</v>
      </c>
      <c r="AX60" s="278"/>
    </row>
    <row r="61" spans="2:50" ht="15" thickBot="1" x14ac:dyDescent="0.35">
      <c r="B61" s="277"/>
      <c r="C61" s="189"/>
      <c r="D61" s="189"/>
      <c r="E61" s="189"/>
      <c r="F61" s="189"/>
      <c r="G61" s="189"/>
      <c r="H61" s="189"/>
      <c r="I61" s="189"/>
      <c r="J61" s="278"/>
      <c r="W61" s="277"/>
      <c r="X61" s="189"/>
      <c r="Y61" s="189"/>
      <c r="Z61" s="227" t="s">
        <v>108</v>
      </c>
      <c r="AA61" s="203">
        <f>AA58+(1.5*AA59)</f>
        <v>5703.1872159217091</v>
      </c>
      <c r="AB61" s="203">
        <f>AB58+(1.5*AB59)</f>
        <v>7134.8214914264545</v>
      </c>
      <c r="AC61" s="203">
        <f>AC58+(1.5*AC59)</f>
        <v>7135.220325592868</v>
      </c>
      <c r="AD61" s="228">
        <f>AD58+(1.5*AD59)</f>
        <v>12653.761857866582</v>
      </c>
      <c r="AE61" s="278"/>
      <c r="AP61" s="277"/>
      <c r="AQ61" s="189"/>
      <c r="AR61" s="189"/>
      <c r="AS61" s="227" t="s">
        <v>130</v>
      </c>
      <c r="AT61" s="203">
        <f>_xlfn.QUARTILE.INC(AQ49:AQ52,3)</f>
        <v>86.927900964106129</v>
      </c>
      <c r="AU61" s="203">
        <f>_xlfn.QUARTILE.INC(AQ53:AQ55,3)</f>
        <v>-1152.7773860708435</v>
      </c>
      <c r="AV61" s="203">
        <f>_xlfn.QUARTILE.INC(AQ56:AQ58,3)</f>
        <v>-889.24260350024451</v>
      </c>
      <c r="AW61" s="228">
        <f>_xlfn.QUARTILE.INC(AQ59:AQ60,3)</f>
        <v>-299.63887373489092</v>
      </c>
      <c r="AX61" s="278"/>
    </row>
    <row r="62" spans="2:50" ht="15" thickBot="1" x14ac:dyDescent="0.35">
      <c r="B62" s="303" t="s">
        <v>127</v>
      </c>
      <c r="C62" s="208">
        <v>8.2150000000000001E-3</v>
      </c>
      <c r="D62" s="212"/>
      <c r="E62" s="218" t="s">
        <v>140</v>
      </c>
      <c r="F62" s="212"/>
      <c r="G62" s="281" t="s">
        <v>141</v>
      </c>
      <c r="H62" s="282"/>
      <c r="I62" s="212"/>
      <c r="J62" s="283"/>
      <c r="K62" s="75"/>
      <c r="L62" s="75"/>
      <c r="M62" s="75"/>
      <c r="N62" s="75"/>
      <c r="O62" s="75"/>
      <c r="P62" s="75"/>
      <c r="Q62" s="75"/>
      <c r="R62" s="75"/>
      <c r="S62" s="75"/>
      <c r="T62" s="75"/>
      <c r="W62" s="277"/>
      <c r="X62" s="189"/>
      <c r="Y62" s="189"/>
      <c r="Z62" s="227" t="s">
        <v>125</v>
      </c>
      <c r="AA62" s="203">
        <f>_xlfn.VAR.S(X48:X50)</f>
        <v>9556597.1247232985</v>
      </c>
      <c r="AB62" s="203">
        <f>_xlfn.VAR.S(X51:X53)</f>
        <v>12046423.268223362</v>
      </c>
      <c r="AC62" s="203">
        <f>_xlfn.VAR.S(X54:X56)</f>
        <v>10137873.442674955</v>
      </c>
      <c r="AD62" s="228">
        <f>_xlfn.VAR.S(X57:X58)</f>
        <v>356840772.40196729</v>
      </c>
      <c r="AE62" s="278"/>
      <c r="AP62" s="277"/>
      <c r="AQ62" s="189"/>
      <c r="AR62" s="189"/>
      <c r="AS62" s="227" t="s">
        <v>131</v>
      </c>
      <c r="AT62" s="203">
        <f>AT61-AT59</f>
        <v>567.50662829269561</v>
      </c>
      <c r="AU62" s="203">
        <f>AU61-AU59</f>
        <v>1595.9983312620247</v>
      </c>
      <c r="AV62" s="203">
        <f>AV61-AV59</f>
        <v>1015.5102781309288</v>
      </c>
      <c r="AW62" s="228">
        <f>AW61-AW59</f>
        <v>785.41265511713823</v>
      </c>
      <c r="AX62" s="278"/>
    </row>
    <row r="63" spans="2:50" ht="15" thickBot="1" x14ac:dyDescent="0.35">
      <c r="B63" s="298">
        <f>MAX(C62:C65)</f>
        <v>8.2150000000000001E-3</v>
      </c>
      <c r="C63" s="209">
        <v>-1.3316399999999999</v>
      </c>
      <c r="D63" s="212" t="s">
        <v>123</v>
      </c>
      <c r="E63" s="76">
        <v>-0.56761874999999995</v>
      </c>
      <c r="F63" s="212"/>
      <c r="G63" s="185">
        <f>B63-E63</f>
        <v>0.57583374999999992</v>
      </c>
      <c r="H63" s="209">
        <f>E63-B69</f>
        <v>0.76402124999999999</v>
      </c>
      <c r="I63" s="212"/>
      <c r="J63" s="283"/>
      <c r="K63" s="75"/>
      <c r="L63" s="75"/>
      <c r="M63" s="75"/>
      <c r="N63" s="75"/>
      <c r="O63" s="75"/>
      <c r="P63" s="75"/>
      <c r="Q63" s="75"/>
      <c r="R63" s="75"/>
      <c r="S63" s="75"/>
      <c r="T63" s="75"/>
      <c r="W63" s="277"/>
      <c r="X63" s="189"/>
      <c r="Y63" s="189"/>
      <c r="Z63" s="231" t="s">
        <v>118</v>
      </c>
      <c r="AA63" s="232">
        <f>SQRT(AA62)</f>
        <v>3091.3746335122987</v>
      </c>
      <c r="AB63" s="232">
        <f>SQRT(AB62)</f>
        <v>3470.795768728457</v>
      </c>
      <c r="AC63" s="232">
        <f>SQRT(AC62)</f>
        <v>3184.0027391123513</v>
      </c>
      <c r="AD63" s="233">
        <f>SQRT(AD62)</f>
        <v>18890.229548683819</v>
      </c>
      <c r="AE63" s="278"/>
      <c r="AP63" s="277"/>
      <c r="AQ63" s="189"/>
      <c r="AR63" s="189"/>
      <c r="AS63" s="227" t="s">
        <v>107</v>
      </c>
      <c r="AT63" s="203">
        <f>AT59-(1.5*AT62)</f>
        <v>-1331.8386697676328</v>
      </c>
      <c r="AU63" s="203">
        <f>AU59-(1.5*AU62)</f>
        <v>-5142.7732142259056</v>
      </c>
      <c r="AV63" s="203">
        <f>AV59-(1.5*AV62)</f>
        <v>-3428.0182988275665</v>
      </c>
      <c r="AW63" s="228">
        <f>AW59-(1.5*AW62)</f>
        <v>-2263.1705115277364</v>
      </c>
      <c r="AX63" s="278"/>
    </row>
    <row r="64" spans="2:50" x14ac:dyDescent="0.3">
      <c r="B64" s="298">
        <f>MAX(C66:C68)</f>
        <v>-1.32525</v>
      </c>
      <c r="C64" s="209">
        <v>-0.85085</v>
      </c>
      <c r="D64" s="212" t="s">
        <v>64</v>
      </c>
      <c r="E64" s="76">
        <v>-1.9019599999999999</v>
      </c>
      <c r="F64" s="212"/>
      <c r="G64" s="185">
        <f>B64-E64</f>
        <v>0.57670999999999983</v>
      </c>
      <c r="H64" s="209">
        <f>E64-B70</f>
        <v>0.56908000000000003</v>
      </c>
      <c r="I64" s="212"/>
      <c r="J64" s="283"/>
      <c r="K64" s="75"/>
      <c r="L64" s="75"/>
      <c r="M64" s="75"/>
      <c r="N64" s="75"/>
      <c r="O64" s="75"/>
      <c r="P64" s="75"/>
      <c r="Q64" s="75"/>
      <c r="R64" s="75"/>
      <c r="S64" s="75"/>
      <c r="T64" s="75"/>
      <c r="W64" s="270"/>
      <c r="X64" s="279"/>
      <c r="Y64" s="279"/>
      <c r="Z64" s="279"/>
      <c r="AA64" s="279"/>
      <c r="AB64" s="279"/>
      <c r="AC64" s="279"/>
      <c r="AD64" s="279"/>
      <c r="AE64" s="271"/>
      <c r="AP64" s="277"/>
      <c r="AQ64" s="189"/>
      <c r="AR64" s="189"/>
      <c r="AS64" s="227" t="s">
        <v>108</v>
      </c>
      <c r="AT64" s="203">
        <f>AT61+(1.5*AT62)</f>
        <v>938.1878434031496</v>
      </c>
      <c r="AU64" s="203">
        <f>AU61+(1.5*AU62)</f>
        <v>1241.2201108221939</v>
      </c>
      <c r="AV64" s="203">
        <f>AV61+(1.5*AV62)</f>
        <v>634.02281369614866</v>
      </c>
      <c r="AW64" s="228">
        <f>AW61+(1.5*AW62)</f>
        <v>878.48010894081631</v>
      </c>
      <c r="AX64" s="278"/>
    </row>
    <row r="65" spans="2:50" ht="15" thickBot="1" x14ac:dyDescent="0.35">
      <c r="B65" s="298">
        <f>MAX(C69:C71)</f>
        <v>0.66635</v>
      </c>
      <c r="C65" s="262">
        <v>-9.6199999999999994E-2</v>
      </c>
      <c r="D65" s="212" t="s">
        <v>65</v>
      </c>
      <c r="E65" s="76">
        <v>-0.40016333333333337</v>
      </c>
      <c r="F65" s="212"/>
      <c r="G65" s="185">
        <f>B65-E65</f>
        <v>1.0665133333333334</v>
      </c>
      <c r="H65" s="209">
        <f>E65-B71</f>
        <v>1.4666766666666666</v>
      </c>
      <c r="I65" s="212"/>
      <c r="J65" s="283"/>
      <c r="K65" s="75"/>
      <c r="L65" s="75"/>
      <c r="M65" s="75"/>
      <c r="N65" s="75"/>
      <c r="O65" s="75"/>
      <c r="P65" s="75"/>
      <c r="Q65" s="75"/>
      <c r="R65" s="75"/>
      <c r="S65" s="75"/>
      <c r="T65" s="75"/>
      <c r="AP65" s="277"/>
      <c r="AQ65" s="189"/>
      <c r="AR65" s="189"/>
      <c r="AS65" s="227" t="s">
        <v>125</v>
      </c>
      <c r="AT65" s="203">
        <f>_xlfn.VAR.S(AQ49:AQ52)</f>
        <v>547164.58135121025</v>
      </c>
      <c r="AU65" s="203">
        <f>_xlfn.VAR.S(AQ53:AQ55)</f>
        <v>2615242.7758024521</v>
      </c>
      <c r="AV65" s="203">
        <f>_xlfn.VAR.S(AQ56:AQ58)</f>
        <v>1369421.2893738807</v>
      </c>
      <c r="AW65" s="228">
        <f>_xlfn.VAR.S(AQ59:AQ60)</f>
        <v>1233746.0776363057</v>
      </c>
      <c r="AX65" s="278"/>
    </row>
    <row r="66" spans="2:50" ht="15" thickBot="1" x14ac:dyDescent="0.35">
      <c r="B66" s="299">
        <f>MAX(C72:C73)</f>
        <v>1.4</v>
      </c>
      <c r="C66" s="208">
        <v>-1.32525</v>
      </c>
      <c r="D66" s="284" t="s">
        <v>124</v>
      </c>
      <c r="E66" s="202">
        <v>-0.67058499999999999</v>
      </c>
      <c r="F66" s="212"/>
      <c r="G66" s="285">
        <f>B66-E66</f>
        <v>2.0705849999999999</v>
      </c>
      <c r="H66" s="262">
        <f>E66-B72</f>
        <v>2.0705849999999999</v>
      </c>
      <c r="I66" s="212"/>
      <c r="J66" s="283"/>
      <c r="K66" s="75"/>
      <c r="L66" s="75"/>
      <c r="M66" s="75"/>
      <c r="N66" s="75"/>
      <c r="O66" s="75"/>
      <c r="P66" s="75"/>
      <c r="Q66" s="75"/>
      <c r="R66" s="75"/>
      <c r="S66" s="75"/>
      <c r="T66" s="75"/>
      <c r="AP66" s="277"/>
      <c r="AQ66" s="189"/>
      <c r="AR66" s="189"/>
      <c r="AS66" s="231" t="s">
        <v>118</v>
      </c>
      <c r="AT66" s="232">
        <f>SQRT(AT65)</f>
        <v>739.70573970411385</v>
      </c>
      <c r="AU66" s="232">
        <f>SQRT(AU65)</f>
        <v>1617.1712264947246</v>
      </c>
      <c r="AV66" s="232">
        <f>SQRT(AV65)</f>
        <v>1170.2227520322276</v>
      </c>
      <c r="AW66" s="233">
        <f>SQRT(AW65)</f>
        <v>1110.7412289261192</v>
      </c>
      <c r="AX66" s="278"/>
    </row>
    <row r="67" spans="2:50" x14ac:dyDescent="0.3">
      <c r="B67" s="277"/>
      <c r="C67" s="76">
        <v>-2.4710399999999999</v>
      </c>
      <c r="D67" s="212"/>
      <c r="E67" s="212"/>
      <c r="F67" s="212"/>
      <c r="G67" s="212"/>
      <c r="H67" s="212"/>
      <c r="I67" s="212"/>
      <c r="J67" s="283"/>
      <c r="K67" s="75"/>
      <c r="L67" s="75"/>
      <c r="M67" s="75"/>
      <c r="N67" s="75"/>
      <c r="O67" s="75"/>
      <c r="P67" s="75"/>
      <c r="Q67" s="75"/>
      <c r="R67" s="75"/>
      <c r="S67" s="75"/>
      <c r="T67" s="75"/>
      <c r="W67" s="274" t="s">
        <v>154</v>
      </c>
      <c r="X67" s="275"/>
      <c r="Y67" s="275"/>
      <c r="Z67" s="275"/>
      <c r="AA67" s="275"/>
      <c r="AB67" s="275"/>
      <c r="AC67" s="275"/>
      <c r="AD67" s="275"/>
      <c r="AE67" s="276"/>
      <c r="AP67" s="270"/>
      <c r="AQ67" s="279"/>
      <c r="AR67" s="279"/>
      <c r="AS67" s="279"/>
      <c r="AT67" s="279"/>
      <c r="AU67" s="279"/>
      <c r="AV67" s="279"/>
      <c r="AW67" s="279"/>
      <c r="AX67" s="271"/>
    </row>
    <row r="68" spans="2:50" ht="15" thickBot="1" x14ac:dyDescent="0.35">
      <c r="B68" s="263" t="s">
        <v>104</v>
      </c>
      <c r="C68" s="262">
        <v>-1.9095899999999999</v>
      </c>
      <c r="D68" s="212"/>
      <c r="E68" s="212"/>
      <c r="F68" s="212" t="s">
        <v>123</v>
      </c>
      <c r="G68" s="212" t="s">
        <v>64</v>
      </c>
      <c r="H68" s="212"/>
      <c r="I68" s="212"/>
      <c r="J68" s="283"/>
      <c r="K68" s="75"/>
      <c r="L68" s="75"/>
      <c r="M68" s="75"/>
      <c r="N68" s="75"/>
      <c r="O68" s="75"/>
      <c r="P68" s="75"/>
      <c r="Q68" s="75"/>
      <c r="R68" s="75"/>
      <c r="S68" s="75"/>
      <c r="T68" s="75"/>
      <c r="W68" s="277"/>
      <c r="X68" s="189"/>
      <c r="Y68" s="189"/>
      <c r="Z68" s="189"/>
      <c r="AA68" s="189"/>
      <c r="AB68" s="189"/>
      <c r="AC68" s="189"/>
      <c r="AD68" s="189"/>
      <c r="AE68" s="278"/>
    </row>
    <row r="69" spans="2:50" ht="15" thickBot="1" x14ac:dyDescent="0.35">
      <c r="B69" s="298">
        <f>MIN(C62:C65)</f>
        <v>-1.3316399999999999</v>
      </c>
      <c r="C69" s="208">
        <v>0</v>
      </c>
      <c r="D69" s="212"/>
      <c r="E69" s="286" t="s">
        <v>56</v>
      </c>
      <c r="F69" s="244">
        <f>_xlfn.QUARTILE.INC(C62:C65,1)</f>
        <v>-0.97104749999999995</v>
      </c>
      <c r="G69" s="244">
        <f>_xlfn.QUARTILE.INC(C66:C68,1)</f>
        <v>-2.190315</v>
      </c>
      <c r="H69" s="244">
        <f>_xlfn.QUARTILE.INC(C69:C71,1)</f>
        <v>-0.93342000000000003</v>
      </c>
      <c r="I69" s="245">
        <f>_xlfn.QUARTILE.INC(C72:C73,1)</f>
        <v>-1.7058774999999999</v>
      </c>
      <c r="J69" s="283"/>
      <c r="K69" s="75"/>
      <c r="L69" s="75"/>
      <c r="M69" s="75"/>
      <c r="N69" s="75"/>
      <c r="O69" s="75"/>
      <c r="P69" s="75"/>
      <c r="Q69" s="75"/>
      <c r="R69" s="75"/>
      <c r="S69" s="75"/>
      <c r="T69" s="75"/>
      <c r="W69" s="277"/>
      <c r="X69" s="201">
        <v>-1490.5735946650802</v>
      </c>
      <c r="Y69" s="189"/>
      <c r="Z69" s="189"/>
      <c r="AA69" s="189"/>
      <c r="AB69" s="189"/>
      <c r="AC69" s="189"/>
      <c r="AD69" s="189"/>
      <c r="AE69" s="278"/>
    </row>
    <row r="70" spans="2:50" x14ac:dyDescent="0.3">
      <c r="B70" s="298">
        <f>MIN(C66:C68)</f>
        <v>-2.4710399999999999</v>
      </c>
      <c r="C70" s="209">
        <v>-1.8668400000000001</v>
      </c>
      <c r="D70" s="212"/>
      <c r="E70" s="229" t="s">
        <v>57</v>
      </c>
      <c r="F70" s="204">
        <f>_xlfn.QUARTILE.INC(C62:C65,2)</f>
        <v>-0.47352499999999997</v>
      </c>
      <c r="G70" s="204">
        <f>_xlfn.QUARTILE.INC(C66:C68,2)</f>
        <v>-1.9095899999999999</v>
      </c>
      <c r="H70" s="204">
        <f>_xlfn.QUARTILE.INC(C69:C71,2)</f>
        <v>0</v>
      </c>
      <c r="I70" s="246">
        <f>_xlfn.QUARTILE.INC(C72:C73,2)</f>
        <v>-0.67058499999999999</v>
      </c>
      <c r="J70" s="283"/>
      <c r="K70" s="75"/>
      <c r="L70" s="75"/>
      <c r="M70" s="75"/>
      <c r="N70" s="75"/>
      <c r="O70" s="75"/>
      <c r="P70" s="75"/>
      <c r="Q70" s="75"/>
      <c r="R70" s="75"/>
      <c r="S70" s="75"/>
      <c r="T70" s="75"/>
      <c r="W70" s="277"/>
      <c r="X70" s="219">
        <v>-151.29400684726104</v>
      </c>
      <c r="Y70" s="189"/>
      <c r="Z70" s="21"/>
      <c r="AA70" s="23" t="s">
        <v>102</v>
      </c>
      <c r="AB70" s="189"/>
      <c r="AC70" s="21" t="s">
        <v>141</v>
      </c>
      <c r="AD70" s="23"/>
      <c r="AE70" s="278"/>
    </row>
    <row r="71" spans="2:50" ht="15" thickBot="1" x14ac:dyDescent="0.35">
      <c r="B71" s="298">
        <f>MIN(C69:C71)</f>
        <v>-1.8668400000000001</v>
      </c>
      <c r="C71" s="262">
        <v>0.66635</v>
      </c>
      <c r="D71" s="212"/>
      <c r="E71" s="229" t="s">
        <v>58</v>
      </c>
      <c r="F71" s="204">
        <f>_xlfn.QUARTILE.INC(C62:C65,3)</f>
        <v>-7.0096249999999999E-2</v>
      </c>
      <c r="G71" s="204">
        <f>_xlfn.QUARTILE.INC(C66:C68,3)</f>
        <v>-1.6174200000000001</v>
      </c>
      <c r="H71" s="204">
        <f>_xlfn.QUARTILE.INC(C69:C71,3)</f>
        <v>0.333175</v>
      </c>
      <c r="I71" s="246">
        <f>_xlfn.QUARTILE.INC(C72:C73,3)</f>
        <v>0.36470750000000018</v>
      </c>
      <c r="J71" s="283"/>
      <c r="K71" s="75"/>
      <c r="L71" s="75"/>
      <c r="M71" s="75"/>
      <c r="N71" s="75"/>
      <c r="O71" s="75"/>
      <c r="P71" s="75"/>
      <c r="Q71" s="75"/>
      <c r="R71" s="75"/>
      <c r="S71" s="75"/>
      <c r="T71" s="75"/>
      <c r="W71" s="277"/>
      <c r="X71" s="249">
        <v>-707.60329805136143</v>
      </c>
      <c r="Y71" s="189"/>
      <c r="Z71" s="34" t="s">
        <v>123</v>
      </c>
      <c r="AA71" s="35">
        <f>AVERAGE(X69:X71)</f>
        <v>-783.15696652123427</v>
      </c>
      <c r="AB71" s="189"/>
      <c r="AC71" s="34">
        <f>AA78-AA71</f>
        <v>631.86295967397325</v>
      </c>
      <c r="AD71" s="35">
        <f>AA71-AA77</f>
        <v>707.41662814384597</v>
      </c>
      <c r="AE71" s="278"/>
    </row>
    <row r="72" spans="2:50" x14ac:dyDescent="0.3">
      <c r="B72" s="299">
        <f>MIN(C72:C73)</f>
        <v>-2.7411699999999999</v>
      </c>
      <c r="C72" s="208">
        <v>1.4</v>
      </c>
      <c r="D72" s="212"/>
      <c r="E72" s="229" t="s">
        <v>59</v>
      </c>
      <c r="F72" s="204">
        <f>F71-F69</f>
        <v>0.90095124999999998</v>
      </c>
      <c r="G72" s="204">
        <f>G71-G69</f>
        <v>0.57289499999999993</v>
      </c>
      <c r="H72" s="204">
        <f>H71-H69</f>
        <v>1.2665950000000001</v>
      </c>
      <c r="I72" s="246">
        <f>I71-I69</f>
        <v>2.0705850000000003</v>
      </c>
      <c r="J72" s="283"/>
      <c r="K72" s="75"/>
      <c r="L72" s="75"/>
      <c r="M72" s="75"/>
      <c r="N72" s="75"/>
      <c r="O72" s="75"/>
      <c r="P72" s="75"/>
      <c r="Q72" s="75"/>
      <c r="R72" s="75"/>
      <c r="S72" s="75"/>
      <c r="T72" s="75"/>
      <c r="W72" s="277"/>
      <c r="X72" s="201">
        <v>1024.8684699663968</v>
      </c>
      <c r="Y72" s="189"/>
      <c r="Z72" s="34" t="s">
        <v>64</v>
      </c>
      <c r="AA72" s="35">
        <f>AVERAGE(X72:X74)</f>
        <v>-455.46763179343702</v>
      </c>
      <c r="AB72" s="189"/>
      <c r="AC72" s="34">
        <f>AB78-AA72</f>
        <v>1480.3361017598338</v>
      </c>
      <c r="AD72" s="35">
        <f>AA72-AB77</f>
        <v>1050.1359999807828</v>
      </c>
      <c r="AE72" s="278"/>
    </row>
    <row r="73" spans="2:50" ht="15" thickBot="1" x14ac:dyDescent="0.35">
      <c r="B73" s="280"/>
      <c r="C73" s="202">
        <v>-2.7411699999999999</v>
      </c>
      <c r="D73" s="212"/>
      <c r="E73" s="229" t="s">
        <v>107</v>
      </c>
      <c r="F73" s="204">
        <f>F69-(1.5*F72)</f>
        <v>-2.3224743750000001</v>
      </c>
      <c r="G73" s="204">
        <f>G69-(1.5*G72)</f>
        <v>-3.0496574999999999</v>
      </c>
      <c r="H73" s="204">
        <f>H69-(1.5*H72)</f>
        <v>-2.8333125000000003</v>
      </c>
      <c r="I73" s="246">
        <f>I69-(1.5*I72)</f>
        <v>-4.8117550000000007</v>
      </c>
      <c r="J73" s="283"/>
      <c r="K73" s="75"/>
      <c r="L73" s="75"/>
      <c r="M73" s="75"/>
      <c r="N73" s="75"/>
      <c r="O73" s="75"/>
      <c r="P73" s="75"/>
      <c r="Q73" s="75"/>
      <c r="R73" s="75"/>
      <c r="S73" s="75"/>
      <c r="T73" s="75"/>
      <c r="W73" s="277"/>
      <c r="X73" s="219">
        <v>-885.66773357248803</v>
      </c>
      <c r="Y73" s="189"/>
      <c r="Z73" s="34" t="s">
        <v>65</v>
      </c>
      <c r="AA73" s="35">
        <f>AVERAGE(X75:X78)</f>
        <v>-1772.6324824528949</v>
      </c>
      <c r="AB73" s="189"/>
      <c r="AC73" s="34">
        <f>AC78-AA73</f>
        <v>1705.9851497104532</v>
      </c>
      <c r="AD73" s="35">
        <f>AA73-AC77</f>
        <v>2440.8107423704023</v>
      </c>
      <c r="AE73" s="278"/>
    </row>
    <row r="74" spans="2:50" ht="15" thickBot="1" x14ac:dyDescent="0.35">
      <c r="B74" s="280"/>
      <c r="C74" s="212"/>
      <c r="D74" s="212"/>
      <c r="E74" s="229" t="s">
        <v>108</v>
      </c>
      <c r="F74" s="204">
        <f>F71+(1.5*F72)</f>
        <v>1.2813306250000001</v>
      </c>
      <c r="G74" s="204">
        <f>G71+(1.5*G72)</f>
        <v>-0.75807750000000018</v>
      </c>
      <c r="H74" s="204">
        <f>H71+(1.5*H72)</f>
        <v>2.2330675000000002</v>
      </c>
      <c r="I74" s="246">
        <f>I71+(1.5*I72)</f>
        <v>3.4705850000000007</v>
      </c>
      <c r="J74" s="283"/>
      <c r="K74" s="75"/>
      <c r="L74" s="75"/>
      <c r="M74" s="75"/>
      <c r="N74" s="75"/>
      <c r="O74" s="75"/>
      <c r="P74" s="75"/>
      <c r="Q74" s="75"/>
      <c r="R74" s="75"/>
      <c r="S74" s="75"/>
      <c r="T74" s="75"/>
      <c r="W74" s="277"/>
      <c r="X74" s="249">
        <v>-1505.6036317742198</v>
      </c>
      <c r="Y74" s="189"/>
      <c r="Z74" s="45" t="s">
        <v>124</v>
      </c>
      <c r="AA74" s="47">
        <f>AVERAGE(X83:X84)</f>
        <v>-1178.0560012729225</v>
      </c>
      <c r="AB74" s="189"/>
      <c r="AC74" s="45">
        <f>AD78-AA74</f>
        <v>5069.9194193648163</v>
      </c>
      <c r="AD74" s="47">
        <f>AA74-AD77</f>
        <v>353.33295360691068</v>
      </c>
      <c r="AE74" s="278"/>
    </row>
    <row r="75" spans="2:50" x14ac:dyDescent="0.3">
      <c r="B75" s="280"/>
      <c r="C75" s="212"/>
      <c r="D75" s="212"/>
      <c r="E75" s="229" t="s">
        <v>132</v>
      </c>
      <c r="F75" s="204">
        <f>_xlfn.VAR.S(C62:C65)</f>
        <v>0.40592285230624997</v>
      </c>
      <c r="G75" s="204">
        <f>_xlfn.VAR.S(C66:C68)</f>
        <v>0.3282523437</v>
      </c>
      <c r="H75" s="204">
        <f>_xlfn.VAR.S(C69:C71)</f>
        <v>1.7243609140333334</v>
      </c>
      <c r="I75" s="246">
        <f>_xlfn.VAR.S(C72:C73)</f>
        <v>8.5746444844499994</v>
      </c>
      <c r="J75" s="283"/>
      <c r="K75" s="75"/>
      <c r="L75" s="75"/>
      <c r="M75" s="75"/>
      <c r="N75" s="75"/>
      <c r="O75" s="75"/>
      <c r="P75" s="75"/>
      <c r="Q75" s="75"/>
      <c r="R75" s="75"/>
      <c r="S75" s="75"/>
      <c r="T75" s="75"/>
      <c r="W75" s="277"/>
      <c r="X75" s="201">
        <v>-1970.5314709909044</v>
      </c>
      <c r="Y75" s="189"/>
      <c r="Z75" s="189"/>
      <c r="AA75" s="189"/>
      <c r="AB75" s="189"/>
      <c r="AC75" s="189"/>
      <c r="AD75" s="189"/>
      <c r="AE75" s="278"/>
    </row>
    <row r="76" spans="2:50" ht="15" thickBot="1" x14ac:dyDescent="0.35">
      <c r="B76" s="280"/>
      <c r="C76" s="212"/>
      <c r="D76" s="212"/>
      <c r="E76" s="230" t="s">
        <v>118</v>
      </c>
      <c r="F76" s="247">
        <f>SQRT(F75)</f>
        <v>0.63712075174667637</v>
      </c>
      <c r="G76" s="247">
        <f>SQRT(G75)</f>
        <v>0.57293310578112</v>
      </c>
      <c r="H76" s="247">
        <f>SQRT(H75)</f>
        <v>1.3131492352483527</v>
      </c>
      <c r="I76" s="248">
        <f>SQRT(I75)</f>
        <v>2.9282493890462948</v>
      </c>
      <c r="J76" s="283"/>
      <c r="K76" s="75"/>
      <c r="L76" s="75"/>
      <c r="M76" s="75"/>
      <c r="N76" s="75"/>
      <c r="O76" s="75"/>
      <c r="P76" s="75"/>
      <c r="Q76" s="75"/>
      <c r="R76" s="75"/>
      <c r="S76" s="75"/>
      <c r="T76" s="75"/>
      <c r="W76" s="277"/>
      <c r="X76" s="219">
        <v>-4213.443224823297</v>
      </c>
      <c r="Y76" s="189"/>
      <c r="Z76" s="189"/>
      <c r="AA76" s="189"/>
      <c r="AB76" s="189"/>
      <c r="AC76" s="189"/>
      <c r="AD76" s="189"/>
      <c r="AE76" s="278"/>
    </row>
    <row r="77" spans="2:50" x14ac:dyDescent="0.3">
      <c r="B77" s="287"/>
      <c r="C77" s="288"/>
      <c r="D77" s="288"/>
      <c r="E77" s="288"/>
      <c r="F77" s="288"/>
      <c r="G77" s="288"/>
      <c r="H77" s="288"/>
      <c r="I77" s="288"/>
      <c r="J77" s="289"/>
      <c r="K77" s="75"/>
      <c r="L77" s="75"/>
      <c r="M77" s="75"/>
      <c r="N77" s="75"/>
      <c r="O77" s="75"/>
      <c r="P77" s="75"/>
      <c r="Q77" s="75"/>
      <c r="R77" s="75"/>
      <c r="S77" s="75"/>
      <c r="T77" s="75"/>
      <c r="W77" s="277"/>
      <c r="X77" s="219">
        <v>-66.647332742441748</v>
      </c>
      <c r="Y77" s="189"/>
      <c r="Z77" s="243" t="s">
        <v>104</v>
      </c>
      <c r="AA77" s="267">
        <f>MIN(X69:X71)</f>
        <v>-1490.5735946650802</v>
      </c>
      <c r="AB77" s="267">
        <f>MIN(X72:X74)</f>
        <v>-1505.6036317742198</v>
      </c>
      <c r="AC77" s="267">
        <f>MIN(X75:X78)</f>
        <v>-4213.443224823297</v>
      </c>
      <c r="AD77" s="268">
        <f>MIN(X79:X84)</f>
        <v>-1531.3889548798331</v>
      </c>
      <c r="AE77" s="278"/>
    </row>
    <row r="78" spans="2:50" ht="15" thickBot="1" x14ac:dyDescent="0.3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W78" s="277"/>
      <c r="X78" s="249">
        <v>-839.90790125493675</v>
      </c>
      <c r="Y78" s="189"/>
      <c r="Z78" s="227" t="s">
        <v>127</v>
      </c>
      <c r="AA78" s="203">
        <f>MAX(X69:X71)</f>
        <v>-151.29400684726104</v>
      </c>
      <c r="AB78" s="203">
        <f>MAX(X72:X74)</f>
        <v>1024.8684699663968</v>
      </c>
      <c r="AC78" s="203">
        <f>MAX(X75:X78)</f>
        <v>-66.647332742441748</v>
      </c>
      <c r="AD78" s="228">
        <f>MAX(X79:X84)</f>
        <v>3891.8634180918943</v>
      </c>
      <c r="AE78" s="278"/>
    </row>
    <row r="79" spans="2:50" x14ac:dyDescent="0.3">
      <c r="B79" s="290" t="s">
        <v>143</v>
      </c>
      <c r="C79" s="291"/>
      <c r="D79" s="291"/>
      <c r="E79" s="291"/>
      <c r="F79" s="291"/>
      <c r="G79" s="291"/>
      <c r="H79" s="291"/>
      <c r="I79" s="291"/>
      <c r="J79" s="292"/>
      <c r="K79" s="75"/>
      <c r="L79" s="290" t="s">
        <v>145</v>
      </c>
      <c r="M79" s="291"/>
      <c r="N79" s="291"/>
      <c r="O79" s="291"/>
      <c r="P79" s="291"/>
      <c r="Q79" s="291"/>
      <c r="R79" s="291"/>
      <c r="S79" s="291"/>
      <c r="T79" s="292"/>
      <c r="W79" s="277"/>
      <c r="X79" s="201">
        <v>3891.8634180918943</v>
      </c>
      <c r="Y79" s="189"/>
      <c r="Z79" s="227" t="s">
        <v>128</v>
      </c>
      <c r="AA79" s="203">
        <f>_xlfn.QUARTILE.INC(X69:X71,1)</f>
        <v>-1099.0884463582208</v>
      </c>
      <c r="AB79" s="203">
        <f>_xlfn.QUARTILE.INC(X72:X74,1)</f>
        <v>-1195.635682673354</v>
      </c>
      <c r="AC79" s="203">
        <f>_xlfn.QUARTILE.INC(X75:X78,1)</f>
        <v>-2531.2594094490023</v>
      </c>
      <c r="AD79" s="228">
        <f>_xlfn.QUARTILE.INC(X79:X84,1)</f>
        <v>-1354.7224780763777</v>
      </c>
      <c r="AE79" s="278"/>
    </row>
    <row r="80" spans="2:50" x14ac:dyDescent="0.3">
      <c r="B80" s="280"/>
      <c r="C80" s="212"/>
      <c r="D80" s="212"/>
      <c r="E80" s="212"/>
      <c r="F80" s="212"/>
      <c r="G80" s="212"/>
      <c r="H80" s="212"/>
      <c r="I80" s="212"/>
      <c r="J80" s="283"/>
      <c r="K80" s="75"/>
      <c r="L80" s="280"/>
      <c r="M80" s="212"/>
      <c r="N80" s="212"/>
      <c r="O80" s="212"/>
      <c r="P80" s="212"/>
      <c r="Q80" s="212"/>
      <c r="R80" s="212"/>
      <c r="S80" s="212"/>
      <c r="T80" s="283"/>
      <c r="W80" s="277"/>
      <c r="X80" s="219">
        <v>-1531.3889548798331</v>
      </c>
      <c r="Y80" s="189"/>
      <c r="Z80" s="227" t="s">
        <v>129</v>
      </c>
      <c r="AA80" s="203">
        <f>_xlfn.QUARTILE.INC(X69:X71,2)</f>
        <v>-707.60329805136143</v>
      </c>
      <c r="AB80" s="203">
        <f>_xlfn.QUARTILE.INC(X72:X74,2)</f>
        <v>-885.66773357248803</v>
      </c>
      <c r="AC80" s="203">
        <f>_xlfn.QUARTILE.INC(X75:X78,2)</f>
        <v>-1405.2196861229206</v>
      </c>
      <c r="AD80" s="228">
        <f>_xlfn.QUARTILE.INC(X79:X84,2)</f>
        <v>-1178.0560012729225</v>
      </c>
      <c r="AE80" s="278"/>
    </row>
    <row r="81" spans="2:31" ht="15" thickBot="1" x14ac:dyDescent="0.35">
      <c r="B81" s="297" t="s">
        <v>127</v>
      </c>
      <c r="C81" s="212"/>
      <c r="D81" s="212"/>
      <c r="E81" s="212"/>
      <c r="F81" s="212"/>
      <c r="G81" s="212"/>
      <c r="H81" s="212"/>
      <c r="I81" s="212"/>
      <c r="J81" s="283"/>
      <c r="K81" s="75"/>
      <c r="L81" s="297" t="s">
        <v>127</v>
      </c>
      <c r="M81" s="212"/>
      <c r="N81" s="212"/>
      <c r="O81" s="212"/>
      <c r="P81" s="212"/>
      <c r="Q81" s="212"/>
      <c r="R81" s="212"/>
      <c r="S81" s="212"/>
      <c r="T81" s="283"/>
      <c r="W81" s="277"/>
      <c r="X81" s="219"/>
      <c r="Y81" s="189"/>
      <c r="Z81" s="227" t="s">
        <v>130</v>
      </c>
      <c r="AA81" s="203">
        <f>_xlfn.QUARTILE.INC(X69:X71,3)</f>
        <v>-429.44865244931123</v>
      </c>
      <c r="AB81" s="203">
        <f>_xlfn.QUARTILE.INC(X72:X74,3)</f>
        <v>69.600368196954378</v>
      </c>
      <c r="AC81" s="203">
        <f>_xlfn.QUARTILE.INC(X75:X78,3)</f>
        <v>-646.59275912681301</v>
      </c>
      <c r="AD81" s="228">
        <f>_xlfn.QUARTILE.INC(X79:X84,3)</f>
        <v>1356.9037084094857</v>
      </c>
      <c r="AE81" s="278"/>
    </row>
    <row r="82" spans="2:31" ht="15" thickBot="1" x14ac:dyDescent="0.35">
      <c r="B82" s="298">
        <f>MAX(C82:C84)</f>
        <v>0</v>
      </c>
      <c r="C82" s="295">
        <v>0</v>
      </c>
      <c r="D82" s="212"/>
      <c r="E82" s="218" t="s">
        <v>140</v>
      </c>
      <c r="F82" s="212"/>
      <c r="G82" s="212"/>
      <c r="H82" s="281" t="s">
        <v>144</v>
      </c>
      <c r="I82" s="282"/>
      <c r="J82" s="283"/>
      <c r="K82" s="75"/>
      <c r="L82" s="298">
        <f>MAX(M82:M84)</f>
        <v>-2.0887199999999999</v>
      </c>
      <c r="M82" s="295">
        <v>-2.0887199999999999</v>
      </c>
      <c r="N82" s="212"/>
      <c r="O82" s="216"/>
      <c r="P82" s="208" t="s">
        <v>140</v>
      </c>
      <c r="Q82" s="212"/>
      <c r="R82" s="216" t="s">
        <v>141</v>
      </c>
      <c r="S82" s="208"/>
      <c r="T82" s="283"/>
      <c r="W82" s="277"/>
      <c r="X82" s="219"/>
      <c r="Y82" s="189"/>
      <c r="Z82" s="227" t="s">
        <v>131</v>
      </c>
      <c r="AA82" s="203">
        <f>AA81-AA79</f>
        <v>669.63979390890961</v>
      </c>
      <c r="AB82" s="203">
        <f>AB81-AB79</f>
        <v>1265.2360508703084</v>
      </c>
      <c r="AC82" s="203">
        <f>AC81-AC79</f>
        <v>1884.6666503221893</v>
      </c>
      <c r="AD82" s="228">
        <f>AD81-AD79</f>
        <v>2711.6261864858634</v>
      </c>
      <c r="AE82" s="278"/>
    </row>
    <row r="83" spans="2:31" x14ac:dyDescent="0.3">
      <c r="B83" s="298">
        <f>MAX(C85:C87)</f>
        <v>-2.80003</v>
      </c>
      <c r="C83" s="296">
        <v>-1.5160199999999999</v>
      </c>
      <c r="D83" s="212" t="s">
        <v>123</v>
      </c>
      <c r="E83" s="76">
        <v>-1.23261</v>
      </c>
      <c r="F83" s="212"/>
      <c r="G83" s="212"/>
      <c r="H83" s="185">
        <f>B82-E83</f>
        <v>1.23261</v>
      </c>
      <c r="I83" s="209">
        <f>E83-B89</f>
        <v>0.94920000000000004</v>
      </c>
      <c r="J83" s="283"/>
      <c r="K83" s="75"/>
      <c r="L83" s="298">
        <f>MAX(M85:M87)</f>
        <v>-2.2999999999999998</v>
      </c>
      <c r="M83" s="296">
        <v>-2.6624699999999999</v>
      </c>
      <c r="N83" s="212"/>
      <c r="O83" s="185" t="s">
        <v>123</v>
      </c>
      <c r="P83" s="209">
        <v>-2.5120733333333329</v>
      </c>
      <c r="Q83" s="212"/>
      <c r="R83" s="185">
        <f>L82-P83</f>
        <v>0.42335333333333303</v>
      </c>
      <c r="S83" s="209">
        <f>P83-L90</f>
        <v>0.27295666666666696</v>
      </c>
      <c r="T83" s="283"/>
      <c r="W83" s="277"/>
      <c r="X83" s="219"/>
      <c r="Y83" s="189"/>
      <c r="Z83" s="227" t="s">
        <v>125</v>
      </c>
      <c r="AA83" s="203">
        <f>_xlfn.VAR.S(X69:X71)</f>
        <v>452698.7212008083</v>
      </c>
      <c r="AB83" s="203">
        <f>_xlfn.VAR.S(X72:X74)</f>
        <v>1739626.3600999229</v>
      </c>
      <c r="AC83" s="203">
        <f>_xlfn.VAR.S(X75:X78)</f>
        <v>3259027.188379541</v>
      </c>
      <c r="AD83" s="228">
        <f>_xlfn.VAR.S(X79:X84)</f>
        <v>9206765.565983424</v>
      </c>
      <c r="AE83" s="278"/>
    </row>
    <row r="84" spans="2:31" ht="15" thickBot="1" x14ac:dyDescent="0.35">
      <c r="B84" s="298">
        <f>MAX(C88:C91)</f>
        <v>-0.10489</v>
      </c>
      <c r="C84" s="296">
        <v>-2.18181</v>
      </c>
      <c r="D84" s="212" t="s">
        <v>64</v>
      </c>
      <c r="E84" s="76">
        <v>-2.8136233333333336</v>
      </c>
      <c r="F84" s="212"/>
      <c r="G84" s="212"/>
      <c r="H84" s="185">
        <f>B83-E84</f>
        <v>1.3593333333333568E-2</v>
      </c>
      <c r="I84" s="209">
        <f>E84-B90</f>
        <v>1.9316666666666205E-2</v>
      </c>
      <c r="J84" s="283"/>
      <c r="K84" s="75"/>
      <c r="L84" s="298">
        <f>MAX(M88:M92)</f>
        <v>-2.40652</v>
      </c>
      <c r="M84" s="302">
        <v>-2.7850299999999999</v>
      </c>
      <c r="N84" s="212"/>
      <c r="O84" s="185" t="s">
        <v>64</v>
      </c>
      <c r="P84" s="209">
        <v>-2.3318466666666668</v>
      </c>
      <c r="Q84" s="212"/>
      <c r="R84" s="185">
        <f>L83-P84</f>
        <v>3.1846666666667023E-2</v>
      </c>
      <c r="S84" s="209">
        <f>P84-L91</f>
        <v>6.017333333333319E-2</v>
      </c>
      <c r="T84" s="283"/>
      <c r="W84" s="277"/>
      <c r="X84" s="249">
        <v>-1178.0560012729225</v>
      </c>
      <c r="Y84" s="189"/>
      <c r="Z84" s="231" t="s">
        <v>118</v>
      </c>
      <c r="AA84" s="232">
        <f>SQRT(AA83)</f>
        <v>672.82889444554053</v>
      </c>
      <c r="AB84" s="232">
        <f>SQRT(AB83)</f>
        <v>1318.948960384716</v>
      </c>
      <c r="AC84" s="232">
        <f>SQRT(AC83)</f>
        <v>1805.2775931638716</v>
      </c>
      <c r="AD84" s="233">
        <f>SQRT(AD83)</f>
        <v>3034.2652431821816</v>
      </c>
      <c r="AE84" s="278"/>
    </row>
    <row r="85" spans="2:31" x14ac:dyDescent="0.3">
      <c r="B85" s="299">
        <f>MAX(C92:C94)</f>
        <v>-2.4400400000000002</v>
      </c>
      <c r="C85" s="295">
        <v>-2.8329399999999998</v>
      </c>
      <c r="D85" s="212" t="s">
        <v>65</v>
      </c>
      <c r="E85" s="76">
        <v>-1.865345</v>
      </c>
      <c r="F85" s="212"/>
      <c r="G85" s="212"/>
      <c r="H85" s="185">
        <f>B84-E85</f>
        <v>1.7604550000000001</v>
      </c>
      <c r="I85" s="209">
        <f>E85-B91</f>
        <v>1.0217849999999999</v>
      </c>
      <c r="J85" s="283"/>
      <c r="K85" s="75"/>
      <c r="L85" s="299">
        <f>MAX(M93:M95)</f>
        <v>-2.8221799999999999</v>
      </c>
      <c r="M85" s="296">
        <v>-2.2999999999999998</v>
      </c>
      <c r="N85" s="212"/>
      <c r="O85" s="185" t="s">
        <v>65</v>
      </c>
      <c r="P85" s="209">
        <v>-2.5936139999999996</v>
      </c>
      <c r="Q85" s="212"/>
      <c r="R85" s="185">
        <f>L84-P85</f>
        <v>0.18709399999999965</v>
      </c>
      <c r="S85" s="209">
        <f>P85-L92</f>
        <v>0.27504600000000057</v>
      </c>
      <c r="T85" s="283"/>
      <c r="W85" s="270"/>
      <c r="X85" s="279"/>
      <c r="Y85" s="279"/>
      <c r="Z85" s="279"/>
      <c r="AA85" s="279"/>
      <c r="AB85" s="279"/>
      <c r="AC85" s="279"/>
      <c r="AD85" s="279"/>
      <c r="AE85" s="271"/>
    </row>
    <row r="86" spans="2:31" ht="15" thickBot="1" x14ac:dyDescent="0.35">
      <c r="B86" s="280"/>
      <c r="C86" s="220">
        <v>-2.8079000000000001</v>
      </c>
      <c r="D86" s="212" t="s">
        <v>124</v>
      </c>
      <c r="E86" s="202">
        <v>-2.7069833333333335</v>
      </c>
      <c r="F86" s="212"/>
      <c r="G86" s="212"/>
      <c r="H86" s="285">
        <f>B85-E86</f>
        <v>0.26694333333333331</v>
      </c>
      <c r="I86" s="262">
        <f>E86-B92</f>
        <v>0.22888666666666646</v>
      </c>
      <c r="J86" s="283"/>
      <c r="K86" s="75"/>
      <c r="L86" s="280"/>
      <c r="M86" s="220">
        <v>-2.3035199999999998</v>
      </c>
      <c r="N86" s="212"/>
      <c r="O86" s="285" t="s">
        <v>124</v>
      </c>
      <c r="P86" s="262">
        <v>-2.8457066666666666</v>
      </c>
      <c r="Q86" s="212"/>
      <c r="R86" s="285">
        <f>L85-P86</f>
        <v>2.3526666666666696E-2</v>
      </c>
      <c r="S86" s="262">
        <f>P86-L93</f>
        <v>4.7053333333333391E-2</v>
      </c>
      <c r="T86" s="283"/>
    </row>
    <row r="87" spans="2:31" ht="15" thickBot="1" x14ac:dyDescent="0.35">
      <c r="B87" s="280"/>
      <c r="C87" s="220">
        <v>-2.80003</v>
      </c>
      <c r="D87" s="212"/>
      <c r="E87" s="212"/>
      <c r="F87" s="212"/>
      <c r="G87" s="212"/>
      <c r="H87" s="212"/>
      <c r="I87" s="212"/>
      <c r="J87" s="283"/>
      <c r="K87" s="75"/>
      <c r="L87" s="280"/>
      <c r="M87" s="220">
        <v>-2.39202</v>
      </c>
      <c r="N87" s="212"/>
      <c r="O87" s="212"/>
      <c r="P87" s="212"/>
      <c r="Q87" s="212"/>
      <c r="R87" s="212"/>
      <c r="S87" s="212"/>
      <c r="T87" s="283"/>
    </row>
    <row r="88" spans="2:31" x14ac:dyDescent="0.3">
      <c r="B88" s="297" t="s">
        <v>104</v>
      </c>
      <c r="C88" s="300">
        <v>-1.6491800000000001</v>
      </c>
      <c r="D88" s="212"/>
      <c r="E88" s="286" t="s">
        <v>56</v>
      </c>
      <c r="F88" s="244">
        <f>_xlfn.QUARTILE.INC(C82:C84,1)</f>
        <v>-1.8489149999999999</v>
      </c>
      <c r="G88" s="244">
        <f>_xlfn.QUARTILE.INC(C85:C87,1)</f>
        <v>-2.8204199999999999</v>
      </c>
      <c r="H88" s="244">
        <f>_xlfn.QUARTILE.INC(C88:C91,1)</f>
        <v>-2.8369175000000002</v>
      </c>
      <c r="I88" s="245">
        <f>_xlfn.QUARTILE.INC(C92:C94,1)</f>
        <v>-2.840455</v>
      </c>
      <c r="J88" s="283"/>
      <c r="K88" s="75"/>
      <c r="L88" s="280"/>
      <c r="M88" s="293">
        <v>-2.6149</v>
      </c>
      <c r="N88" s="212"/>
      <c r="O88" s="286" t="s">
        <v>56</v>
      </c>
      <c r="P88" s="244">
        <f>_xlfn.QUARTILE.INC(M82:M84,1)</f>
        <v>-2.7237499999999999</v>
      </c>
      <c r="Q88" s="244">
        <f>_xlfn.QUARTILE.INC(M85:M87,1)</f>
        <v>-2.3477699999999997</v>
      </c>
      <c r="R88" s="244">
        <f>_xlfn.QUARTILE.INC(M88:M93,1)</f>
        <v>-2.78</v>
      </c>
      <c r="S88" s="245">
        <f>_xlfn.QUARTILE.INC(M93:M95,1)</f>
        <v>-2.8574700000000002</v>
      </c>
      <c r="T88" s="283"/>
      <c r="W88" s="274" t="s">
        <v>155</v>
      </c>
      <c r="X88" s="275"/>
      <c r="Y88" s="275"/>
      <c r="Z88" s="275"/>
      <c r="AA88" s="275"/>
      <c r="AB88" s="275"/>
      <c r="AC88" s="275"/>
      <c r="AD88" s="275"/>
      <c r="AE88" s="276"/>
    </row>
    <row r="89" spans="2:31" ht="15" thickBot="1" x14ac:dyDescent="0.35">
      <c r="B89" s="298">
        <f>MIN(C82:C84)</f>
        <v>-2.18181</v>
      </c>
      <c r="C89" s="296">
        <v>-0.10489</v>
      </c>
      <c r="D89" s="212"/>
      <c r="E89" s="229" t="s">
        <v>57</v>
      </c>
      <c r="F89" s="204">
        <f>_xlfn.QUARTILE.INC(C82:C84,2)</f>
        <v>-1.5160199999999999</v>
      </c>
      <c r="G89" s="204">
        <f>_xlfn.QUARTILE.INC(C85:C87,2)</f>
        <v>-2.8079000000000001</v>
      </c>
      <c r="H89" s="204">
        <f>_xlfn.QUARTILE.INC(C88:C91,2)</f>
        <v>-2.23468</v>
      </c>
      <c r="I89" s="246">
        <f>_xlfn.QUARTILE.INC(C92:C94,2)</f>
        <v>-2.7450399999999999</v>
      </c>
      <c r="J89" s="283"/>
      <c r="K89" s="75"/>
      <c r="L89" s="297" t="s">
        <v>104</v>
      </c>
      <c r="M89" s="296">
        <v>-2.40652</v>
      </c>
      <c r="N89" s="212"/>
      <c r="O89" s="229" t="s">
        <v>57</v>
      </c>
      <c r="P89" s="204">
        <f>_xlfn.QUARTILE.INC(M82:M84,2)</f>
        <v>-2.6624699999999999</v>
      </c>
      <c r="Q89" s="204">
        <f>_xlfn.QUARTILE.INC(M85:M87,2)</f>
        <v>-2.3035199999999998</v>
      </c>
      <c r="R89" s="204">
        <f>_xlfn.QUARTILE.INC(M88:M92,2)</f>
        <v>-2.6149</v>
      </c>
      <c r="S89" s="246">
        <f>_xlfn.QUARTILE.INC(M93:M95,2)</f>
        <v>-2.8221799999999999</v>
      </c>
      <c r="T89" s="283"/>
      <c r="W89" s="277"/>
      <c r="X89" s="189"/>
      <c r="Y89" s="189"/>
      <c r="Z89" s="189"/>
      <c r="AA89" s="189"/>
      <c r="AB89" s="189"/>
      <c r="AC89" s="189"/>
      <c r="AD89" s="189"/>
      <c r="AE89" s="278"/>
    </row>
    <row r="90" spans="2:31" x14ac:dyDescent="0.3">
      <c r="B90" s="298">
        <f>MIN(C85:C87)</f>
        <v>-2.8329399999999998</v>
      </c>
      <c r="C90" s="296">
        <v>-2.8201800000000001</v>
      </c>
      <c r="D90" s="212"/>
      <c r="E90" s="229" t="s">
        <v>58</v>
      </c>
      <c r="F90" s="204">
        <f>_xlfn.QUARTILE.INC(C82:C84,3)</f>
        <v>-0.75800999999999996</v>
      </c>
      <c r="G90" s="204">
        <f>_xlfn.QUARTILE.INC(C85:C87,3)</f>
        <v>-2.8039649999999998</v>
      </c>
      <c r="H90" s="204">
        <f>_xlfn.QUARTILE.INC(C88:C91,3)</f>
        <v>-1.2631075</v>
      </c>
      <c r="I90" s="246">
        <f>_xlfn.QUARTILE.INC(C92:C94,3)</f>
        <v>-2.5925400000000001</v>
      </c>
      <c r="J90" s="283"/>
      <c r="K90" s="75"/>
      <c r="L90" s="298">
        <f>MIN(M82:M84)</f>
        <v>-2.7850299999999999</v>
      </c>
      <c r="M90" s="296">
        <v>-2.4245299999999999</v>
      </c>
      <c r="N90" s="212"/>
      <c r="O90" s="229" t="s">
        <v>58</v>
      </c>
      <c r="P90" s="204">
        <f>_xlfn.QUARTILE.INC(M82:M84,3)</f>
        <v>-2.3755949999999997</v>
      </c>
      <c r="Q90" s="204">
        <f>_xlfn.QUARTILE.INC(M85:M87,3)</f>
        <v>-2.3017599999999998</v>
      </c>
      <c r="R90" s="204">
        <f>_xlfn.QUARTILE.INC(M88:M92,3)</f>
        <v>-2.4245299999999999</v>
      </c>
      <c r="S90" s="246">
        <f>_xlfn.QUARTILE.INC(M93:M95,3)</f>
        <v>-2.8221799999999999</v>
      </c>
      <c r="T90" s="283"/>
      <c r="W90" s="277"/>
      <c r="X90" s="201">
        <v>237.5438651143773</v>
      </c>
      <c r="Y90" s="189"/>
      <c r="Z90" s="21"/>
      <c r="AA90" s="23" t="s">
        <v>102</v>
      </c>
      <c r="AB90" s="189"/>
      <c r="AC90" s="21" t="s">
        <v>141</v>
      </c>
      <c r="AD90" s="23"/>
      <c r="AE90" s="278"/>
    </row>
    <row r="91" spans="2:31" x14ac:dyDescent="0.3">
      <c r="B91" s="298">
        <f>MIN(C88:C91)</f>
        <v>-2.88713</v>
      </c>
      <c r="C91" s="301">
        <v>-2.88713</v>
      </c>
      <c r="D91" s="212"/>
      <c r="E91" s="229" t="s">
        <v>59</v>
      </c>
      <c r="F91" s="204">
        <f>F90-F88</f>
        <v>1.0909049999999998</v>
      </c>
      <c r="G91" s="204">
        <f>G90-G88</f>
        <v>1.6455000000000108E-2</v>
      </c>
      <c r="H91" s="204">
        <f>H90-H88</f>
        <v>1.5738100000000002</v>
      </c>
      <c r="I91" s="246">
        <f>I90-I88</f>
        <v>0.24791499999999989</v>
      </c>
      <c r="J91" s="283"/>
      <c r="K91" s="75"/>
      <c r="L91" s="298">
        <f>MIN(M85:M87)</f>
        <v>-2.39202</v>
      </c>
      <c r="M91" s="296">
        <v>-2.6534599999999999</v>
      </c>
      <c r="N91" s="212"/>
      <c r="O91" s="229" t="s">
        <v>59</v>
      </c>
      <c r="P91" s="204">
        <f>P90-P88</f>
        <v>0.34815500000000021</v>
      </c>
      <c r="Q91" s="204">
        <f>Q90-Q88</f>
        <v>4.6009999999999884E-2</v>
      </c>
      <c r="R91" s="204">
        <f>R90-R88</f>
        <v>0.35546999999999995</v>
      </c>
      <c r="S91" s="246">
        <f>S90-S88</f>
        <v>3.5290000000000266E-2</v>
      </c>
      <c r="T91" s="283"/>
      <c r="W91" s="277"/>
      <c r="X91" s="219">
        <v>417.18097649185393</v>
      </c>
      <c r="Y91" s="189"/>
      <c r="Z91" s="34" t="s">
        <v>123</v>
      </c>
      <c r="AA91" s="35">
        <f>AVERAGE(X90:X92)</f>
        <v>136.74050136722258</v>
      </c>
      <c r="AB91" s="189"/>
      <c r="AC91" s="34">
        <f>AA98-AA91</f>
        <v>280.44047512463135</v>
      </c>
      <c r="AD91" s="35">
        <f>AA91-AA97</f>
        <v>381.24383887178601</v>
      </c>
      <c r="AE91" s="278"/>
    </row>
    <row r="92" spans="2:31" ht="15" thickBot="1" x14ac:dyDescent="0.35">
      <c r="B92" s="299">
        <f>MIN(C92:C94)</f>
        <v>-2.93587</v>
      </c>
      <c r="C92" s="296">
        <v>-2.93587</v>
      </c>
      <c r="D92" s="212"/>
      <c r="E92" s="229" t="s">
        <v>107</v>
      </c>
      <c r="F92" s="204">
        <f>F88-(1.5*F91)</f>
        <v>-3.4852724999999998</v>
      </c>
      <c r="G92" s="204">
        <f>G88-(1.5*G91)</f>
        <v>-2.8451025000000003</v>
      </c>
      <c r="H92" s="204">
        <f>H88-(1.5*H91)</f>
        <v>-5.197632500000001</v>
      </c>
      <c r="I92" s="246">
        <f>I88-(1.5*I91)</f>
        <v>-3.2123274999999998</v>
      </c>
      <c r="J92" s="283"/>
      <c r="K92" s="75"/>
      <c r="L92" s="298">
        <f>MIN(M88:M92)</f>
        <v>-2.8686600000000002</v>
      </c>
      <c r="M92" s="296">
        <v>-2.8686600000000002</v>
      </c>
      <c r="N92" s="212"/>
      <c r="O92" s="229" t="s">
        <v>107</v>
      </c>
      <c r="P92" s="204">
        <f>P88-(1.5*P91)</f>
        <v>-3.2459825000000002</v>
      </c>
      <c r="Q92" s="204">
        <f>Q88-(1.5*Q91)</f>
        <v>-2.4167849999999995</v>
      </c>
      <c r="R92" s="204">
        <f>R88-(1.5*R91)</f>
        <v>-3.313205</v>
      </c>
      <c r="S92" s="246">
        <f>S88-(1.5*S91)</f>
        <v>-2.9104050000000008</v>
      </c>
      <c r="T92" s="283"/>
      <c r="W92" s="277"/>
      <c r="X92" s="219">
        <v>-244.5033375045634</v>
      </c>
      <c r="Y92" s="189"/>
      <c r="Z92" s="34" t="s">
        <v>64</v>
      </c>
      <c r="AA92" s="35">
        <f>AVERAGE(X93:X95)</f>
        <v>2668.5838588116844</v>
      </c>
      <c r="AB92" s="189"/>
      <c r="AC92" s="34">
        <f>AB98-AA92</f>
        <v>512.90661653166671</v>
      </c>
      <c r="AD92" s="35">
        <f>AA92-AB97</f>
        <v>945.16720002980446</v>
      </c>
      <c r="AE92" s="278"/>
    </row>
    <row r="93" spans="2:31" x14ac:dyDescent="0.3">
      <c r="B93" s="280"/>
      <c r="C93" s="220">
        <v>-2.7450399999999999</v>
      </c>
      <c r="D93" s="212"/>
      <c r="E93" s="229" t="s">
        <v>108</v>
      </c>
      <c r="F93" s="204">
        <f>F90+(1.5*F91)</f>
        <v>0.87834749999999973</v>
      </c>
      <c r="G93" s="204">
        <f>G90+(1.5*G91)</f>
        <v>-2.7792824999999999</v>
      </c>
      <c r="H93" s="204">
        <f>H90+(1.5*H91)</f>
        <v>1.0976075000000003</v>
      </c>
      <c r="I93" s="246">
        <f>I90+(1.5*I91)</f>
        <v>-2.2206675000000002</v>
      </c>
      <c r="J93" s="283"/>
      <c r="K93" s="75"/>
      <c r="L93" s="299">
        <f>MIN(M93:M95)</f>
        <v>-2.89276</v>
      </c>
      <c r="M93" s="295">
        <v>-2.8221799999999999</v>
      </c>
      <c r="N93" s="212"/>
      <c r="O93" s="229" t="s">
        <v>108</v>
      </c>
      <c r="P93" s="204">
        <f>P90+(1.5*P91)</f>
        <v>-1.8533624999999994</v>
      </c>
      <c r="Q93" s="204">
        <f>Q90+(1.5*Q91)</f>
        <v>-2.232745</v>
      </c>
      <c r="R93" s="204">
        <f>R90+(1.5*R91)</f>
        <v>-1.8913249999999999</v>
      </c>
      <c r="S93" s="246">
        <f>S90+(1.5*S91)</f>
        <v>-2.7692449999999997</v>
      </c>
      <c r="T93" s="283"/>
      <c r="W93" s="277"/>
      <c r="X93" s="201">
        <v>3100.8444423098217</v>
      </c>
      <c r="Y93" s="189"/>
      <c r="Z93" s="34" t="s">
        <v>65</v>
      </c>
      <c r="AA93" s="35">
        <f>AVERAGE(X96:X98)</f>
        <v>393.80994116589955</v>
      </c>
      <c r="AB93" s="189"/>
      <c r="AC93" s="34">
        <f>AC98-AA93</f>
        <v>1474.3903735828098</v>
      </c>
      <c r="AD93" s="35">
        <f>AA93-AC97</f>
        <v>1400.1299494351151</v>
      </c>
      <c r="AE93" s="278"/>
    </row>
    <row r="94" spans="2:31" ht="15" thickBot="1" x14ac:dyDescent="0.35">
      <c r="B94" s="280"/>
      <c r="C94" s="294">
        <v>-2.4400400000000002</v>
      </c>
      <c r="D94" s="212"/>
      <c r="E94" s="229" t="s">
        <v>125</v>
      </c>
      <c r="F94" s="204">
        <f>_xlfn.VAR.S(C82:C84)</f>
        <v>1.2503146401</v>
      </c>
      <c r="G94" s="204">
        <f>_xlfn.VAR.S(C85:C87)</f>
        <v>2.9533443333332871E-4</v>
      </c>
      <c r="H94" s="204">
        <f>_xlfn.VAR.S(C88:C91)</f>
        <v>1.7005611925666659</v>
      </c>
      <c r="I94" s="246">
        <f>_xlfn.VAR.S(C92:C94)</f>
        <v>6.2548079633333267E-2</v>
      </c>
      <c r="J94" s="283"/>
      <c r="K94" s="75"/>
      <c r="L94" s="280"/>
      <c r="M94" s="220">
        <v>-2.8221799999999999</v>
      </c>
      <c r="N94" s="212"/>
      <c r="O94" s="229" t="s">
        <v>125</v>
      </c>
      <c r="P94" s="204">
        <f>_xlfn.VAR.S(M82:M84)</f>
        <v>0.13817627203333238</v>
      </c>
      <c r="Q94" s="204">
        <f>_xlfn.VAR.S(M85:M87)</f>
        <v>2.718720133333347E-3</v>
      </c>
      <c r="R94" s="204">
        <f>_xlfn.VAR.S(M88:M92)</f>
        <v>3.5819625880000039E-2</v>
      </c>
      <c r="S94" s="246">
        <f>_xlfn.VAR.S(M93:M95)</f>
        <v>1.6605121333333377E-3</v>
      </c>
      <c r="T94" s="283"/>
      <c r="W94" s="277"/>
      <c r="X94" s="219">
        <v>1723.41665878188</v>
      </c>
      <c r="Y94" s="189"/>
      <c r="Z94" s="45" t="s">
        <v>124</v>
      </c>
      <c r="AA94" s="47">
        <f>AVERAGE(X99:X101)</f>
        <v>-376.47746569671381</v>
      </c>
      <c r="AB94" s="189"/>
      <c r="AC94" s="45">
        <f>AD98-AA94</f>
        <v>1341.9629605322389</v>
      </c>
      <c r="AD94" s="47">
        <f>AA94-AD97</f>
        <v>791.25892873392786</v>
      </c>
      <c r="AE94" s="278"/>
    </row>
    <row r="95" spans="2:31" ht="15" thickBot="1" x14ac:dyDescent="0.35">
      <c r="B95" s="280"/>
      <c r="C95" s="212"/>
      <c r="D95" s="212"/>
      <c r="E95" s="230" t="s">
        <v>118</v>
      </c>
      <c r="F95" s="247">
        <f>SQRT(F94)</f>
        <v>1.1181746912267332</v>
      </c>
      <c r="G95" s="247">
        <f>SQRT(G94)</f>
        <v>1.7185297010332081E-2</v>
      </c>
      <c r="H95" s="247">
        <f>SQRT(H94)</f>
        <v>1.3040556708080626</v>
      </c>
      <c r="I95" s="248">
        <f>SQRT(I94)</f>
        <v>0.25009614078056713</v>
      </c>
      <c r="J95" s="283"/>
      <c r="K95" s="75"/>
      <c r="L95" s="280"/>
      <c r="M95" s="294">
        <v>-2.89276</v>
      </c>
      <c r="N95" s="212"/>
      <c r="O95" s="230" t="s">
        <v>118</v>
      </c>
      <c r="P95" s="247">
        <f>SQRT(P94)</f>
        <v>0.37172069088676296</v>
      </c>
      <c r="Q95" s="247">
        <f>SQRT(Q94)</f>
        <v>5.2141347636337008E-2</v>
      </c>
      <c r="R95" s="247">
        <f>SQRT(R94)</f>
        <v>0.18926073517769088</v>
      </c>
      <c r="S95" s="248">
        <f>SQRT(S94)</f>
        <v>4.0749381999403839E-2</v>
      </c>
      <c r="T95" s="283"/>
      <c r="W95" s="277"/>
      <c r="X95" s="249">
        <v>3181.4904753433511</v>
      </c>
      <c r="Y95" s="189"/>
      <c r="Z95" s="189"/>
      <c r="AA95" s="189"/>
      <c r="AB95" s="189"/>
      <c r="AC95" s="189"/>
      <c r="AD95" s="189"/>
      <c r="AE95" s="278"/>
    </row>
    <row r="96" spans="2:31" ht="15" thickBot="1" x14ac:dyDescent="0.35">
      <c r="B96" s="287"/>
      <c r="C96" s="288"/>
      <c r="D96" s="288"/>
      <c r="E96" s="288"/>
      <c r="F96" s="288"/>
      <c r="G96" s="288"/>
      <c r="H96" s="288"/>
      <c r="I96" s="288"/>
      <c r="J96" s="289"/>
      <c r="K96" s="75"/>
      <c r="L96" s="287"/>
      <c r="M96" s="288"/>
      <c r="N96" s="288"/>
      <c r="O96" s="288"/>
      <c r="P96" s="288"/>
      <c r="Q96" s="288"/>
      <c r="R96" s="288"/>
      <c r="S96" s="288"/>
      <c r="T96" s="289"/>
      <c r="W96" s="277"/>
      <c r="X96" s="219">
        <v>1868.2003147487094</v>
      </c>
      <c r="Y96" s="189"/>
      <c r="Z96" s="189"/>
      <c r="AA96" s="189"/>
      <c r="AB96" s="189"/>
      <c r="AC96" s="189"/>
      <c r="AD96" s="189"/>
      <c r="AE96" s="278"/>
    </row>
    <row r="97" spans="2:31" x14ac:dyDescent="0.3">
      <c r="W97" s="277"/>
      <c r="X97" s="219">
        <v>-1006.3200082692156</v>
      </c>
      <c r="Y97" s="189"/>
      <c r="Z97" s="243" t="s">
        <v>104</v>
      </c>
      <c r="AA97" s="267">
        <f>MIN(X90:X92)</f>
        <v>-244.5033375045634</v>
      </c>
      <c r="AB97" s="267">
        <f>MIN(X93:X95)</f>
        <v>1723.41665878188</v>
      </c>
      <c r="AC97" s="267">
        <f>MIN(X96:X98)</f>
        <v>-1006.3200082692156</v>
      </c>
      <c r="AD97" s="268">
        <f>MIN(X99:X101)</f>
        <v>-1167.7363944306417</v>
      </c>
      <c r="AE97" s="278"/>
    </row>
    <row r="98" spans="2:31" ht="15" thickBot="1" x14ac:dyDescent="0.35">
      <c r="B98" s="274" t="s">
        <v>146</v>
      </c>
      <c r="C98" s="275"/>
      <c r="D98" s="275"/>
      <c r="E98" s="275"/>
      <c r="F98" s="275"/>
      <c r="G98" s="275"/>
      <c r="H98" s="275"/>
      <c r="I98" s="275"/>
      <c r="J98" s="276"/>
      <c r="L98" s="274" t="s">
        <v>149</v>
      </c>
      <c r="M98" s="275"/>
      <c r="N98" s="275"/>
      <c r="O98" s="275"/>
      <c r="P98" s="275"/>
      <c r="Q98" s="275"/>
      <c r="R98" s="275"/>
      <c r="S98" s="275"/>
      <c r="T98" s="276"/>
      <c r="W98" s="277"/>
      <c r="X98" s="249">
        <v>319.54951701820488</v>
      </c>
      <c r="Y98" s="189"/>
      <c r="Z98" s="227" t="s">
        <v>127</v>
      </c>
      <c r="AA98" s="203">
        <f>MAX(X90:X92)</f>
        <v>417.18097649185393</v>
      </c>
      <c r="AB98" s="203">
        <f>MAX(X93:X95)</f>
        <v>3181.4904753433511</v>
      </c>
      <c r="AC98" s="203">
        <f>MAX(X96:X98)</f>
        <v>1868.2003147487094</v>
      </c>
      <c r="AD98" s="228">
        <f>MAX(X99:X101)</f>
        <v>965.48549483552517</v>
      </c>
      <c r="AE98" s="278"/>
    </row>
    <row r="99" spans="2:31" x14ac:dyDescent="0.3">
      <c r="B99" s="277"/>
      <c r="C99" s="189"/>
      <c r="D99" s="189"/>
      <c r="E99" s="189"/>
      <c r="F99" s="189"/>
      <c r="G99" s="189"/>
      <c r="H99" s="189"/>
      <c r="I99" s="189"/>
      <c r="J99" s="278"/>
      <c r="L99" s="277"/>
      <c r="M99" s="189"/>
      <c r="N99" s="189"/>
      <c r="O99" s="189"/>
      <c r="P99" s="189"/>
      <c r="Q99" s="189"/>
      <c r="R99" s="189"/>
      <c r="S99" s="189"/>
      <c r="T99" s="278"/>
      <c r="W99" s="277"/>
      <c r="X99" s="219">
        <v>-1167.7363944306417</v>
      </c>
      <c r="Y99" s="189"/>
      <c r="Z99" s="227" t="s">
        <v>128</v>
      </c>
      <c r="AA99" s="203">
        <f>_xlfn.QUARTILE.INC(X90:X92,1)</f>
        <v>-3.4797361950930679</v>
      </c>
      <c r="AB99" s="203">
        <f>_xlfn.QUARTILE.INC(X93:X95,1)</f>
        <v>2412.1305505458508</v>
      </c>
      <c r="AC99" s="203">
        <f>_xlfn.QUARTILE.INC(X96:X98,1)</f>
        <v>-343.38524562550538</v>
      </c>
      <c r="AD99" s="228">
        <f>_xlfn.QUARTILE.INC(X99:X101,1)</f>
        <v>-1047.4589459628332</v>
      </c>
      <c r="AE99" s="278"/>
    </row>
    <row r="100" spans="2:31" ht="15" thickBot="1" x14ac:dyDescent="0.35">
      <c r="B100" s="277"/>
      <c r="C100" s="189"/>
      <c r="D100" s="189"/>
      <c r="E100" s="189"/>
      <c r="F100" s="189"/>
      <c r="G100" s="189"/>
      <c r="H100" s="189"/>
      <c r="I100" s="189"/>
      <c r="J100" s="278"/>
      <c r="L100" s="277"/>
      <c r="M100" s="189"/>
      <c r="N100" s="189"/>
      <c r="O100" s="189"/>
      <c r="P100" s="189"/>
      <c r="Q100" s="189"/>
      <c r="R100" s="189"/>
      <c r="S100" s="189"/>
      <c r="T100" s="278"/>
      <c r="W100" s="277"/>
      <c r="X100" s="219">
        <v>-927.18149749502504</v>
      </c>
      <c r="Y100" s="189"/>
      <c r="Z100" s="227" t="s">
        <v>129</v>
      </c>
      <c r="AA100" s="203">
        <f>_xlfn.QUARTILE.INC(X90:X92,2)</f>
        <v>237.5438651143773</v>
      </c>
      <c r="AB100" s="203">
        <f>_xlfn.QUARTILE.INC(X93:X95,2)</f>
        <v>3100.8444423098217</v>
      </c>
      <c r="AC100" s="203">
        <f>_xlfn.QUARTILE.INC(X96:X98,2)</f>
        <v>319.54951701820488</v>
      </c>
      <c r="AD100" s="228">
        <f>_xlfn.QUARTILE.INC(X99:X101,2)</f>
        <v>-927.18149749502504</v>
      </c>
      <c r="AE100" s="278"/>
    </row>
    <row r="101" spans="2:31" ht="15" thickBot="1" x14ac:dyDescent="0.35">
      <c r="B101" s="263" t="s">
        <v>127</v>
      </c>
      <c r="C101" s="189"/>
      <c r="D101" s="189"/>
      <c r="E101" s="21"/>
      <c r="F101" s="23" t="s">
        <v>148</v>
      </c>
      <c r="G101" s="189"/>
      <c r="H101" s="210" t="s">
        <v>147</v>
      </c>
      <c r="I101" s="211"/>
      <c r="J101" s="278"/>
      <c r="L101" s="277"/>
      <c r="M101" s="189"/>
      <c r="N101" s="189"/>
      <c r="O101" s="189"/>
      <c r="P101" s="189"/>
      <c r="Q101" s="189"/>
      <c r="R101" s="189"/>
      <c r="S101" s="189"/>
      <c r="T101" s="278"/>
      <c r="W101" s="277"/>
      <c r="X101" s="249">
        <v>965.48549483552517</v>
      </c>
      <c r="Y101" s="189"/>
      <c r="Z101" s="227" t="s">
        <v>130</v>
      </c>
      <c r="AA101" s="203">
        <f>_xlfn.QUARTILE.INC(X90:X92,3)</f>
        <v>327.36242080311558</v>
      </c>
      <c r="AB101" s="203">
        <f>_xlfn.QUARTILE.INC(X93:X95,3)</f>
        <v>3141.1674588265864</v>
      </c>
      <c r="AC101" s="203">
        <f>_xlfn.QUARTILE.INC(X96:X98,3)</f>
        <v>1093.8749158834571</v>
      </c>
      <c r="AD101" s="228">
        <f>_xlfn.QUARTILE.INC(X99:X101,3)</f>
        <v>19.151998670250123</v>
      </c>
      <c r="AE101" s="278"/>
    </row>
    <row r="102" spans="2:31" ht="15" thickBot="1" x14ac:dyDescent="0.35">
      <c r="B102" s="280">
        <f>MAX(C102:C104)</f>
        <v>0.33966000000000002</v>
      </c>
      <c r="C102" s="218">
        <v>4.895E-2</v>
      </c>
      <c r="D102" s="75"/>
      <c r="E102" s="185" t="s">
        <v>123</v>
      </c>
      <c r="F102" s="209">
        <v>0.18976999999999999</v>
      </c>
      <c r="G102" s="212"/>
      <c r="H102" s="185">
        <f>B102-F102</f>
        <v>0.14989000000000002</v>
      </c>
      <c r="I102" s="209">
        <f>F102-B108</f>
        <v>0.14082</v>
      </c>
      <c r="J102" s="278"/>
      <c r="L102" s="263" t="s">
        <v>127</v>
      </c>
      <c r="M102" s="23">
        <v>-2.9159799999999998</v>
      </c>
      <c r="N102" s="189"/>
      <c r="O102" s="21"/>
      <c r="P102" s="23" t="s">
        <v>148</v>
      </c>
      <c r="Q102" s="189"/>
      <c r="R102" s="210" t="s">
        <v>141</v>
      </c>
      <c r="S102" s="211"/>
      <c r="T102" s="278"/>
      <c r="W102" s="277"/>
      <c r="X102" s="189"/>
      <c r="Y102" s="189"/>
      <c r="Z102" s="227" t="s">
        <v>131</v>
      </c>
      <c r="AA102" s="203">
        <f>AA101-AA99</f>
        <v>330.84215699820868</v>
      </c>
      <c r="AB102" s="203">
        <f>AB101-AB99</f>
        <v>729.03690828073559</v>
      </c>
      <c r="AC102" s="203">
        <f>AC101-AC99</f>
        <v>1437.2601615089625</v>
      </c>
      <c r="AD102" s="228">
        <f>AD101-AD99</f>
        <v>1066.6109446330834</v>
      </c>
      <c r="AE102" s="278"/>
    </row>
    <row r="103" spans="2:31" x14ac:dyDescent="0.3">
      <c r="B103" s="280">
        <f>MAX(C105:C107)</f>
        <v>5.3449999999999998E-2</v>
      </c>
      <c r="C103" s="76">
        <v>0.33966000000000002</v>
      </c>
      <c r="D103" s="75"/>
      <c r="E103" s="185" t="s">
        <v>64</v>
      </c>
      <c r="F103" s="209">
        <v>-2.0063333333333336E-2</v>
      </c>
      <c r="G103" s="212"/>
      <c r="H103" s="185">
        <f>B103-F103</f>
        <v>7.3513333333333333E-2</v>
      </c>
      <c r="I103" s="209">
        <f>F103-B109</f>
        <v>7.5896666666666668E-2</v>
      </c>
      <c r="J103" s="278"/>
      <c r="L103" s="298">
        <f>MAX(M102:M104)</f>
        <v>-2.5615600000000001</v>
      </c>
      <c r="M103" s="209">
        <v>-2.5615600000000001</v>
      </c>
      <c r="N103" s="212"/>
      <c r="O103" s="185" t="s">
        <v>123</v>
      </c>
      <c r="P103" s="209">
        <v>-2.689413333333333</v>
      </c>
      <c r="Q103" s="212"/>
      <c r="R103" s="185">
        <f>L103-P103</f>
        <v>0.12785333333333293</v>
      </c>
      <c r="S103" s="209">
        <f>P103-L109</f>
        <v>0.2265666666666668</v>
      </c>
      <c r="T103" s="283"/>
      <c r="W103" s="277"/>
      <c r="X103" s="189"/>
      <c r="Y103" s="189"/>
      <c r="Z103" s="227" t="s">
        <v>107</v>
      </c>
      <c r="AA103" s="203">
        <f>AA99-(1.5*AA102)</f>
        <v>-499.74297169240606</v>
      </c>
      <c r="AB103" s="203">
        <f>AB99-(1.5*AB102)</f>
        <v>1318.5751881247475</v>
      </c>
      <c r="AC103" s="203">
        <f>AC99-(1.5*AC102)</f>
        <v>-2499.2754878889491</v>
      </c>
      <c r="AD103" s="228">
        <f>AD99-(1.5*AD102)</f>
        <v>-2647.3753629124585</v>
      </c>
      <c r="AE103" s="278"/>
    </row>
    <row r="104" spans="2:31" ht="15" thickBot="1" x14ac:dyDescent="0.35">
      <c r="B104" s="280">
        <f>MAX(C108:C110)</f>
        <v>0.36635000000000001</v>
      </c>
      <c r="C104" s="202">
        <v>0.1807</v>
      </c>
      <c r="D104" s="75"/>
      <c r="E104" s="185" t="s">
        <v>65</v>
      </c>
      <c r="F104" s="209">
        <v>0.12350999999999999</v>
      </c>
      <c r="G104" s="212"/>
      <c r="H104" s="185">
        <f>B104-F104</f>
        <v>0.24284</v>
      </c>
      <c r="I104" s="209">
        <f>F104-B110</f>
        <v>0.16486999999999999</v>
      </c>
      <c r="J104" s="278"/>
      <c r="L104" s="298">
        <f>MAX(M105:M108)</f>
        <v>-3.60975</v>
      </c>
      <c r="M104" s="262">
        <v>-2.5907</v>
      </c>
      <c r="N104" s="212"/>
      <c r="O104" s="185" t="s">
        <v>64</v>
      </c>
      <c r="P104" s="209">
        <v>-3.8038500000000002</v>
      </c>
      <c r="Q104" s="212"/>
      <c r="R104" s="185">
        <f>L104-P104</f>
        <v>0.19410000000000016</v>
      </c>
      <c r="S104" s="209">
        <f>P104-L110</f>
        <v>0.32586999999999966</v>
      </c>
      <c r="T104" s="283"/>
      <c r="W104" s="277"/>
      <c r="X104" s="189"/>
      <c r="Y104" s="189"/>
      <c r="Z104" s="227" t="s">
        <v>108</v>
      </c>
      <c r="AA104" s="203">
        <f>AA101+(1.5*AA102)</f>
        <v>823.62565630042855</v>
      </c>
      <c r="AB104" s="203">
        <f>AB101+(1.5*AB102)</f>
        <v>4234.7228212476894</v>
      </c>
      <c r="AC104" s="203">
        <f>AC101+(1.5*AC102)</f>
        <v>3249.7651581469008</v>
      </c>
      <c r="AD104" s="228">
        <f>AD101+(1.5*AD102)</f>
        <v>1619.0684156198752</v>
      </c>
      <c r="AE104" s="278"/>
    </row>
    <row r="105" spans="2:31" ht="15" thickBot="1" x14ac:dyDescent="0.35">
      <c r="B105" s="287">
        <f>MAX(C111:C113)</f>
        <v>0.18681</v>
      </c>
      <c r="C105" s="76">
        <v>-9.5960000000000004E-2</v>
      </c>
      <c r="D105" s="75"/>
      <c r="E105" s="304" t="s">
        <v>124</v>
      </c>
      <c r="F105" s="262">
        <v>3.2959999999999996E-2</v>
      </c>
      <c r="G105" s="212"/>
      <c r="H105" s="285">
        <f>B105-F105</f>
        <v>0.15385000000000001</v>
      </c>
      <c r="I105" s="262">
        <f>F105-B111</f>
        <v>0.14407999999999999</v>
      </c>
      <c r="J105" s="278"/>
      <c r="L105" s="298">
        <f>MAX(M109:M111)</f>
        <v>-3.7017199999999999</v>
      </c>
      <c r="M105" s="208">
        <v>-3.60975</v>
      </c>
      <c r="N105" s="212"/>
      <c r="O105" s="185" t="s">
        <v>65</v>
      </c>
      <c r="P105" s="209">
        <v>-3.9077999999999999</v>
      </c>
      <c r="Q105" s="212"/>
      <c r="R105" s="185">
        <f>L105-P105</f>
        <v>0.20608000000000004</v>
      </c>
      <c r="S105" s="209">
        <f>P105-L111</f>
        <v>0.23219999999999974</v>
      </c>
      <c r="T105" s="283"/>
      <c r="W105" s="277"/>
      <c r="X105" s="189"/>
      <c r="Y105" s="189"/>
      <c r="Z105" s="227" t="s">
        <v>125</v>
      </c>
      <c r="AA105" s="203">
        <f>_xlfn.VAR.S(X90:X92)</f>
        <v>117077.52145428325</v>
      </c>
      <c r="AB105" s="203">
        <f>_xlfn.VAR.S(X93:X95)</f>
        <v>671631.7226701472</v>
      </c>
      <c r="AC105" s="203">
        <f>_xlfn.VAR.S(X96:X98)</f>
        <v>2069852.7298067152</v>
      </c>
      <c r="AD105" s="228">
        <f>_xlfn.VAR.S(X99:X101)</f>
        <v>1365115.105190265</v>
      </c>
      <c r="AE105" s="278"/>
    </row>
    <row r="106" spans="2:31" ht="15" thickBot="1" x14ac:dyDescent="0.35">
      <c r="B106" s="280"/>
      <c r="C106" s="76">
        <v>5.3449999999999998E-2</v>
      </c>
      <c r="D106" s="212"/>
      <c r="E106" s="212"/>
      <c r="F106" s="212"/>
      <c r="G106" s="212"/>
      <c r="H106" s="212"/>
      <c r="I106" s="212"/>
      <c r="J106" s="278"/>
      <c r="L106" s="299">
        <f>MAX(M112:M115)</f>
        <v>-3.8643399999999999</v>
      </c>
      <c r="M106" s="209">
        <v>-3.6360899999999998</v>
      </c>
      <c r="N106" s="212"/>
      <c r="O106" s="285" t="s">
        <v>124</v>
      </c>
      <c r="P106" s="262">
        <v>-3.9588325000000002</v>
      </c>
      <c r="Q106" s="212"/>
      <c r="R106" s="285">
        <f>L106-P106</f>
        <v>9.4492500000000312E-2</v>
      </c>
      <c r="S106" s="262">
        <f>P106-L112</f>
        <v>0.10821749999999986</v>
      </c>
      <c r="T106" s="283"/>
      <c r="W106" s="277"/>
      <c r="X106" s="189"/>
      <c r="Y106" s="189"/>
      <c r="Z106" s="231" t="s">
        <v>118</v>
      </c>
      <c r="AA106" s="232">
        <f>SQRT(AA105)</f>
        <v>342.1659267874042</v>
      </c>
      <c r="AB106" s="232">
        <f>SQRT(AB105)</f>
        <v>819.53140432209625</v>
      </c>
      <c r="AC106" s="232">
        <f>SQRT(AC105)</f>
        <v>1438.6982761533827</v>
      </c>
      <c r="AD106" s="233">
        <f>SQRT(AD105)</f>
        <v>1168.3814039902659</v>
      </c>
      <c r="AE106" s="278"/>
    </row>
    <row r="107" spans="2:31" ht="15" thickBot="1" x14ac:dyDescent="0.35">
      <c r="B107" s="305" t="s">
        <v>104</v>
      </c>
      <c r="C107" s="76">
        <v>-1.7680000000000001E-2</v>
      </c>
      <c r="D107" s="212"/>
      <c r="E107" s="212"/>
      <c r="F107" s="212"/>
      <c r="G107" s="212"/>
      <c r="H107" s="212"/>
      <c r="I107" s="212"/>
      <c r="J107" s="278"/>
      <c r="L107" s="280"/>
      <c r="M107" s="76">
        <v>-4.1297199999999998</v>
      </c>
      <c r="N107" s="212"/>
      <c r="O107" s="212"/>
      <c r="P107" s="212"/>
      <c r="Q107" s="212"/>
      <c r="R107" s="212"/>
      <c r="S107" s="212"/>
      <c r="T107" s="283"/>
      <c r="W107" s="270"/>
      <c r="X107" s="279"/>
      <c r="Y107" s="279"/>
      <c r="Z107" s="279"/>
      <c r="AA107" s="279"/>
      <c r="AB107" s="279"/>
      <c r="AC107" s="279"/>
      <c r="AD107" s="279"/>
      <c r="AE107" s="271"/>
    </row>
    <row r="108" spans="2:31" ht="15" thickBot="1" x14ac:dyDescent="0.35">
      <c r="B108" s="280">
        <f>MIN(C102:C104)</f>
        <v>4.895E-2</v>
      </c>
      <c r="C108" s="218">
        <v>0.36635000000000001</v>
      </c>
      <c r="D108" s="212"/>
      <c r="E108" s="286" t="s">
        <v>56</v>
      </c>
      <c r="F108" s="244">
        <f>_xlfn.QUARTILE.INC(C102:C104,1)</f>
        <v>0.11482500000000001</v>
      </c>
      <c r="G108" s="244">
        <f>_xlfn.QUARTILE.INC(C105:C107,1)</f>
        <v>-5.6820000000000002E-2</v>
      </c>
      <c r="H108" s="244">
        <f>_xlfn.QUARTILE.INC(C108:C110,1)</f>
        <v>2.0900000000000016E-3</v>
      </c>
      <c r="I108" s="245">
        <f>_xlfn.QUARTILE.INC(C111:C113,1)</f>
        <v>-4.3965000000000004E-2</v>
      </c>
      <c r="J108" s="278"/>
      <c r="L108" s="305" t="s">
        <v>104</v>
      </c>
      <c r="M108" s="202">
        <v>-3.8398400000000001</v>
      </c>
      <c r="N108" s="212"/>
      <c r="O108" s="286" t="s">
        <v>56</v>
      </c>
      <c r="P108" s="244">
        <f>_xlfn.QUARTILE.INC(M102:M104,1)</f>
        <v>-2.7533399999999997</v>
      </c>
      <c r="Q108" s="244">
        <f>_xlfn.QUARTILE.INC(M105:M108,1)</f>
        <v>-3.9123100000000002</v>
      </c>
      <c r="R108" s="244">
        <f>_xlfn.QUARTILE.INC(M109:M111,1)</f>
        <v>-4.01084</v>
      </c>
      <c r="S108" s="245">
        <f>_xlfn.QUARTILE.INC(M112:M115,1)</f>
        <v>-4.0248925</v>
      </c>
      <c r="T108" s="283"/>
    </row>
    <row r="109" spans="2:31" x14ac:dyDescent="0.3">
      <c r="B109" s="280">
        <f>MIN(C105:C107)</f>
        <v>-9.5960000000000004E-2</v>
      </c>
      <c r="C109" s="76">
        <v>4.5539999999999997E-2</v>
      </c>
      <c r="D109" s="212"/>
      <c r="E109" s="229" t="s">
        <v>57</v>
      </c>
      <c r="F109" s="204">
        <f>_xlfn.QUARTILE.INC(C102:C104,2)</f>
        <v>0.1807</v>
      </c>
      <c r="G109" s="204">
        <f>_xlfn.QUARTILE.INC(C105:C107,2)</f>
        <v>-1.7680000000000001E-2</v>
      </c>
      <c r="H109" s="204">
        <f>_xlfn.QUARTILE.INC(C108:C110,2)</f>
        <v>4.5539999999999997E-2</v>
      </c>
      <c r="I109" s="246">
        <f>_xlfn.QUARTILE.INC(C111:C113,2)</f>
        <v>2.3189999999999999E-2</v>
      </c>
      <c r="J109" s="278"/>
      <c r="L109" s="280">
        <f>MIN(M102:M104)</f>
        <v>-2.9159799999999998</v>
      </c>
      <c r="M109" s="218">
        <v>-4.1399999999999997</v>
      </c>
      <c r="N109" s="212"/>
      <c r="O109" s="229" t="s">
        <v>57</v>
      </c>
      <c r="P109" s="204">
        <f>_xlfn.QUARTILE.INC(M102:M104,2)</f>
        <v>-2.5907</v>
      </c>
      <c r="Q109" s="204">
        <f>_xlfn.QUARTILE.INC(M105:M108,2)</f>
        <v>-3.737965</v>
      </c>
      <c r="R109" s="204">
        <f>_xlfn.QUARTILE.INC(M109:M111,2)</f>
        <v>-3.8816799999999998</v>
      </c>
      <c r="S109" s="246">
        <f>_xlfn.QUARTILE.INC(M112:M115,2)</f>
        <v>-3.9519700000000002</v>
      </c>
      <c r="T109" s="283"/>
    </row>
    <row r="110" spans="2:31" ht="15" thickBot="1" x14ac:dyDescent="0.35">
      <c r="B110" s="280">
        <f>MIN(C108:C110)</f>
        <v>-4.1360000000000001E-2</v>
      </c>
      <c r="C110" s="202">
        <v>-4.1360000000000001E-2</v>
      </c>
      <c r="D110" s="212"/>
      <c r="E110" s="229" t="s">
        <v>58</v>
      </c>
      <c r="F110" s="204">
        <f>_xlfn.QUARTILE.INC(C102:C104,3)</f>
        <v>0.26018000000000002</v>
      </c>
      <c r="G110" s="204">
        <f>_xlfn.QUARTILE.INC(C105:C107,3)</f>
        <v>1.7884999999999998E-2</v>
      </c>
      <c r="H110" s="204">
        <f>_xlfn.QUARTILE.INC(C108:C110,3)</f>
        <v>0.20594500000000002</v>
      </c>
      <c r="I110" s="246">
        <f>_xlfn.QUARTILE.INC(C111:C113,3)</f>
        <v>0.10500000000000001</v>
      </c>
      <c r="J110" s="278"/>
      <c r="L110" s="280">
        <f>MIN(M105:M108)</f>
        <v>-4.1297199999999998</v>
      </c>
      <c r="M110" s="76">
        <v>-3.8816799999999998</v>
      </c>
      <c r="N110" s="212"/>
      <c r="O110" s="229" t="s">
        <v>58</v>
      </c>
      <c r="P110" s="204">
        <f>_xlfn.QUARTILE.INC(M102:M104,3)</f>
        <v>-2.57613</v>
      </c>
      <c r="Q110" s="204">
        <f>_xlfn.QUARTILE.INC(M105:M108,3)</f>
        <v>-3.629505</v>
      </c>
      <c r="R110" s="204">
        <f>_xlfn.QUARTILE.INC(M109:M111,3)</f>
        <v>-3.7916999999999996</v>
      </c>
      <c r="S110" s="246">
        <f>_xlfn.QUARTILE.INC(M112:M115,3)</f>
        <v>-3.88591</v>
      </c>
      <c r="T110" s="283"/>
    </row>
    <row r="111" spans="2:31" ht="15" thickBot="1" x14ac:dyDescent="0.35">
      <c r="B111" s="287">
        <f>MIN(C111:C113)</f>
        <v>-0.11112</v>
      </c>
      <c r="C111" s="76">
        <v>0.18681</v>
      </c>
      <c r="D111" s="212"/>
      <c r="E111" s="229" t="s">
        <v>59</v>
      </c>
      <c r="F111" s="204">
        <f>F110-F108</f>
        <v>0.14535500000000001</v>
      </c>
      <c r="G111" s="204">
        <f>G110-G108</f>
        <v>7.4704999999999994E-2</v>
      </c>
      <c r="H111" s="204">
        <f>H110-H108</f>
        <v>0.20385500000000001</v>
      </c>
      <c r="I111" s="246">
        <f>I110-I108</f>
        <v>0.14896500000000001</v>
      </c>
      <c r="J111" s="278"/>
      <c r="L111" s="280">
        <f>MIN(M109:M111)</f>
        <v>-4.1399999999999997</v>
      </c>
      <c r="M111" s="202">
        <v>-3.7017199999999999</v>
      </c>
      <c r="N111" s="212"/>
      <c r="O111" s="229" t="s">
        <v>59</v>
      </c>
      <c r="P111" s="204">
        <f>P110-P108</f>
        <v>0.17720999999999965</v>
      </c>
      <c r="Q111" s="204">
        <f>Q110-Q108</f>
        <v>0.2828050000000002</v>
      </c>
      <c r="R111" s="204">
        <f>R110-R108</f>
        <v>0.21914000000000033</v>
      </c>
      <c r="S111" s="246">
        <f>S110-S108</f>
        <v>0.13898250000000001</v>
      </c>
      <c r="T111" s="283"/>
    </row>
    <row r="112" spans="2:31" x14ac:dyDescent="0.3">
      <c r="B112" s="280"/>
      <c r="C112" s="76">
        <v>2.3189999999999999E-2</v>
      </c>
      <c r="D112" s="212"/>
      <c r="E112" s="229" t="s">
        <v>107</v>
      </c>
      <c r="F112" s="204">
        <f>F108-(1.5*F111)</f>
        <v>-0.10320750000000001</v>
      </c>
      <c r="G112" s="204">
        <f>G108-(1.5*G111)</f>
        <v>-0.16887749999999999</v>
      </c>
      <c r="H112" s="204">
        <f>H108-(1.5*H111)</f>
        <v>-0.30369250000000003</v>
      </c>
      <c r="I112" s="246">
        <f>I108-(1.5*I111)</f>
        <v>-0.26741250000000005</v>
      </c>
      <c r="J112" s="278"/>
      <c r="L112" s="287">
        <f>MIN(M112:M115)</f>
        <v>-4.0670500000000001</v>
      </c>
      <c r="M112" s="76">
        <v>-4.01084</v>
      </c>
      <c r="N112" s="212"/>
      <c r="O112" s="229" t="s">
        <v>107</v>
      </c>
      <c r="P112" s="204">
        <f>P108-(1.5*P111)</f>
        <v>-3.0191549999999991</v>
      </c>
      <c r="Q112" s="204">
        <f>Q108-(1.5*Q111)</f>
        <v>-4.3365175000000002</v>
      </c>
      <c r="R112" s="204">
        <f>R108-(1.5*R111)</f>
        <v>-4.3395500000000009</v>
      </c>
      <c r="S112" s="246">
        <f>S108-(1.5*S111)</f>
        <v>-4.2333662499999996</v>
      </c>
      <c r="T112" s="283"/>
    </row>
    <row r="113" spans="2:20" ht="15" thickBot="1" x14ac:dyDescent="0.35">
      <c r="B113" s="280"/>
      <c r="C113" s="202">
        <v>-0.11112</v>
      </c>
      <c r="D113" s="212"/>
      <c r="E113" s="229" t="s">
        <v>108</v>
      </c>
      <c r="F113" s="204">
        <f>F110+(1.5*F111)</f>
        <v>0.47821250000000004</v>
      </c>
      <c r="G113" s="204">
        <f>G110+(1.5*G111)</f>
        <v>0.12994249999999999</v>
      </c>
      <c r="H113" s="204">
        <f>H110+(1.5*H111)</f>
        <v>0.5117275</v>
      </c>
      <c r="I113" s="246">
        <f>I110+(1.5*I111)</f>
        <v>0.3284475</v>
      </c>
      <c r="J113" s="278"/>
      <c r="L113" s="280"/>
      <c r="M113" s="76">
        <v>-4.0670500000000001</v>
      </c>
      <c r="N113" s="212"/>
      <c r="O113" s="229" t="s">
        <v>108</v>
      </c>
      <c r="P113" s="204">
        <f>P110+(1.5*P111)</f>
        <v>-2.3103150000000006</v>
      </c>
      <c r="Q113" s="204">
        <f>Q110+(1.5*Q111)</f>
        <v>-3.2052974999999995</v>
      </c>
      <c r="R113" s="204">
        <f>R110+(1.5*R111)</f>
        <v>-3.4629899999999991</v>
      </c>
      <c r="S113" s="246">
        <f>S110+(1.5*S111)</f>
        <v>-3.67743625</v>
      </c>
      <c r="T113" s="283"/>
    </row>
    <row r="114" spans="2:20" x14ac:dyDescent="0.3">
      <c r="B114" s="280"/>
      <c r="C114" s="212"/>
      <c r="D114" s="212"/>
      <c r="E114" s="229" t="s">
        <v>125</v>
      </c>
      <c r="F114" s="204">
        <f>_xlfn.VAR.S(C102:C104)</f>
        <v>2.1189774700000011E-2</v>
      </c>
      <c r="G114" s="204">
        <f>_xlfn.VAR.S(C105:C107)</f>
        <v>5.5850972333333342E-3</v>
      </c>
      <c r="H114" s="204">
        <f>_xlfn.VAR.S(C108:C110)</f>
        <v>4.6116351700000002E-2</v>
      </c>
      <c r="I114" s="246">
        <f>_xlfn.VAR.S(C111:C113)</f>
        <v>2.2262160899999998E-2</v>
      </c>
      <c r="J114" s="278"/>
      <c r="L114" s="280"/>
      <c r="M114" s="76">
        <v>-3.8643399999999999</v>
      </c>
      <c r="N114" s="212"/>
      <c r="O114" s="229" t="s">
        <v>125</v>
      </c>
      <c r="P114" s="204">
        <f>_xlfn.VAR.S(M102:M104)</f>
        <v>3.8711625733333282E-2</v>
      </c>
      <c r="Q114" s="204">
        <f>_xlfn.VAR.S(M105:M108)</f>
        <v>5.7768254866666653E-2</v>
      </c>
      <c r="R114" s="204">
        <f>_xlfn.VAR.S(M109:M111)</f>
        <v>4.8534030399999956E-2</v>
      </c>
      <c r="S114" s="246">
        <f>_xlfn.VAR.S(M112:M115)</f>
        <v>9.2218004916666766E-3</v>
      </c>
      <c r="T114" s="283"/>
    </row>
    <row r="115" spans="2:20" ht="15" thickBot="1" x14ac:dyDescent="0.35">
      <c r="B115" s="280"/>
      <c r="C115" s="212"/>
      <c r="D115" s="212"/>
      <c r="E115" s="230" t="s">
        <v>118</v>
      </c>
      <c r="F115" s="247">
        <f>SQRT(F114)</f>
        <v>0.1455670797261524</v>
      </c>
      <c r="G115" s="247">
        <f>SQRT(G114)</f>
        <v>7.473350810267998E-2</v>
      </c>
      <c r="H115" s="247">
        <f>SQRT(H114)</f>
        <v>0.21474718088952879</v>
      </c>
      <c r="I115" s="248">
        <f>SQRT(I114)</f>
        <v>0.14920509676281168</v>
      </c>
      <c r="J115" s="278"/>
      <c r="L115" s="280"/>
      <c r="M115" s="202">
        <v>-3.8931</v>
      </c>
      <c r="N115" s="212"/>
      <c r="O115" s="230" t="s">
        <v>118</v>
      </c>
      <c r="P115" s="247">
        <f>SQRT(P114)</f>
        <v>0.19675270197212866</v>
      </c>
      <c r="Q115" s="247">
        <f>SQRT(Q114)</f>
        <v>0.24035027536216108</v>
      </c>
      <c r="R115" s="247">
        <f>SQRT(R114)</f>
        <v>0.22030440395053377</v>
      </c>
      <c r="S115" s="248">
        <f>SQRT(S114)</f>
        <v>9.6030206141956592E-2</v>
      </c>
      <c r="T115" s="283"/>
    </row>
    <row r="116" spans="2:20" x14ac:dyDescent="0.3">
      <c r="B116" s="270"/>
      <c r="C116" s="279"/>
      <c r="D116" s="279"/>
      <c r="E116" s="279"/>
      <c r="F116" s="279"/>
      <c r="G116" s="279"/>
      <c r="H116" s="279"/>
      <c r="I116" s="279"/>
      <c r="J116" s="271"/>
      <c r="L116" s="270"/>
      <c r="M116" s="279"/>
      <c r="N116" s="279"/>
      <c r="O116" s="279"/>
      <c r="P116" s="279"/>
      <c r="Q116" s="279"/>
      <c r="R116" s="279"/>
      <c r="S116" s="279"/>
      <c r="T116" s="271"/>
    </row>
    <row r="120" spans="2:20" ht="15" thickBot="1" x14ac:dyDescent="0.35"/>
    <row r="121" spans="2:20" ht="15" thickBot="1" x14ac:dyDescent="0.35">
      <c r="B121" s="250" t="s">
        <v>151</v>
      </c>
      <c r="C121" s="251"/>
      <c r="D121" s="251"/>
      <c r="E121" s="251"/>
      <c r="F121" s="251"/>
      <c r="G121" s="251"/>
      <c r="H121" s="252"/>
    </row>
    <row r="122" spans="2:20" ht="15" thickBot="1" x14ac:dyDescent="0.35">
      <c r="B122" s="253" t="s">
        <v>152</v>
      </c>
      <c r="C122" s="250" t="s">
        <v>133</v>
      </c>
      <c r="D122" s="251"/>
      <c r="E122" s="251"/>
      <c r="F122" s="251"/>
      <c r="G122" s="252"/>
      <c r="H122" s="254" t="s">
        <v>54</v>
      </c>
    </row>
    <row r="123" spans="2:20" ht="15" thickBot="1" x14ac:dyDescent="0.35">
      <c r="B123" s="253"/>
      <c r="C123" s="255">
        <v>0.19</v>
      </c>
      <c r="D123" s="256"/>
      <c r="E123" s="255">
        <v>0.22</v>
      </c>
      <c r="F123" s="256"/>
      <c r="G123" s="257">
        <v>0.3</v>
      </c>
      <c r="H123" s="258"/>
    </row>
    <row r="124" spans="2:20" ht="28.2" thickBot="1" x14ac:dyDescent="0.35">
      <c r="B124" s="253" t="s">
        <v>80</v>
      </c>
      <c r="C124" s="259" t="s">
        <v>134</v>
      </c>
      <c r="D124" s="259" t="s">
        <v>135</v>
      </c>
      <c r="E124" s="259" t="s">
        <v>134</v>
      </c>
      <c r="F124" s="259" t="s">
        <v>135</v>
      </c>
      <c r="G124" s="259" t="s">
        <v>135</v>
      </c>
      <c r="H124" s="260"/>
    </row>
    <row r="125" spans="2:20" ht="15" thickBot="1" x14ac:dyDescent="0.35">
      <c r="B125" s="253" t="s">
        <v>123</v>
      </c>
      <c r="C125" s="259">
        <v>0.1968</v>
      </c>
      <c r="D125" s="259">
        <v>0.14560000000000001</v>
      </c>
      <c r="E125" s="259">
        <v>0.37169999999999997</v>
      </c>
      <c r="F125" s="259">
        <v>1.1182000000000001</v>
      </c>
      <c r="G125" s="259">
        <v>0.6371</v>
      </c>
      <c r="H125" s="261">
        <f>AVERAGE(C125:G125)</f>
        <v>0.49388000000000004</v>
      </c>
    </row>
    <row r="126" spans="2:20" ht="15" thickBot="1" x14ac:dyDescent="0.35">
      <c r="B126" s="253" t="s">
        <v>64</v>
      </c>
      <c r="C126" s="259">
        <v>0.2404</v>
      </c>
      <c r="D126" s="259">
        <v>7.4700000000000003E-2</v>
      </c>
      <c r="E126" s="259">
        <v>5.21E-2</v>
      </c>
      <c r="F126" s="259">
        <v>1.72E-2</v>
      </c>
      <c r="G126" s="259">
        <v>0.57289999999999996</v>
      </c>
      <c r="H126" s="261">
        <f>AVERAGE(C126:G126)</f>
        <v>0.19145999999999999</v>
      </c>
    </row>
    <row r="127" spans="2:20" ht="15" thickBot="1" x14ac:dyDescent="0.35">
      <c r="B127" s="253" t="s">
        <v>65</v>
      </c>
      <c r="C127" s="259">
        <v>0.2203</v>
      </c>
      <c r="D127" s="259">
        <v>0.2147</v>
      </c>
      <c r="E127" s="259">
        <v>0.1893</v>
      </c>
      <c r="F127" s="259">
        <v>1.3041</v>
      </c>
      <c r="G127" s="259">
        <v>1.3130999999999999</v>
      </c>
      <c r="H127" s="261">
        <f>AVERAGE(C127:G127)</f>
        <v>0.64829999999999999</v>
      </c>
    </row>
    <row r="128" spans="2:20" ht="15" thickBot="1" x14ac:dyDescent="0.35">
      <c r="B128" s="253" t="s">
        <v>124</v>
      </c>
      <c r="C128" s="259">
        <v>9.6000000000000002E-2</v>
      </c>
      <c r="D128" s="259">
        <v>0.1492</v>
      </c>
      <c r="E128" s="259">
        <v>4.07E-2</v>
      </c>
      <c r="F128" s="259">
        <v>0.25009999999999999</v>
      </c>
      <c r="G128" s="259">
        <v>2.9281999999999999</v>
      </c>
      <c r="H128" s="261">
        <f>AVERAGE(C128:G128)</f>
        <v>0.69284000000000001</v>
      </c>
    </row>
    <row r="129" spans="2:8" ht="15" thickBot="1" x14ac:dyDescent="0.35">
      <c r="B129" s="253" t="s">
        <v>54</v>
      </c>
      <c r="C129" s="261">
        <f>AVERAGE(C125:C128)</f>
        <v>0.18837499999999999</v>
      </c>
      <c r="D129" s="261">
        <f>AVERAGE(D125:D128)</f>
        <v>0.14605000000000001</v>
      </c>
      <c r="E129" s="261">
        <f>AVERAGE(E125:E128)</f>
        <v>0.16344999999999998</v>
      </c>
      <c r="F129" s="261">
        <f>AVERAGE(F125:F128)</f>
        <v>0.67240000000000011</v>
      </c>
      <c r="G129" s="261">
        <f>AVERAGE(G125:G128)</f>
        <v>1.362825</v>
      </c>
      <c r="H129" s="259"/>
    </row>
  </sheetData>
  <mergeCells count="6">
    <mergeCell ref="C4:E4"/>
    <mergeCell ref="B121:H121"/>
    <mergeCell ref="C122:G122"/>
    <mergeCell ref="H122:H124"/>
    <mergeCell ref="C123:D123"/>
    <mergeCell ref="E123:F123"/>
  </mergeCells>
  <conditionalFormatting sqref="C6:C17">
    <cfRule type="cellIs" dxfId="22" priority="20" operator="lessThan">
      <formula>$C$28</formula>
    </cfRule>
    <cfRule type="cellIs" dxfId="21" priority="23" operator="greaterThan">
      <formula>$C$29</formula>
    </cfRule>
  </conditionalFormatting>
  <conditionalFormatting sqref="D6:D18">
    <cfRule type="cellIs" dxfId="20" priority="19" operator="lessThan">
      <formula>$D$28</formula>
    </cfRule>
    <cfRule type="cellIs" dxfId="19" priority="22" operator="greaterThan">
      <formula>$D$29</formula>
    </cfRule>
  </conditionalFormatting>
  <conditionalFormatting sqref="E6:E17">
    <cfRule type="cellIs" dxfId="18" priority="18" operator="lessThan">
      <formula>$E$28</formula>
    </cfRule>
    <cfRule type="cellIs" dxfId="17" priority="21" operator="greaterThan">
      <formula>$E$29</formula>
    </cfRule>
  </conditionalFormatting>
  <conditionalFormatting sqref="C62:C65">
    <cfRule type="cellIs" dxfId="16" priority="16" operator="lessThan">
      <formula>$F$73</formula>
    </cfRule>
    <cfRule type="cellIs" dxfId="15" priority="17" operator="greaterThan">
      <formula>$F$74</formula>
    </cfRule>
  </conditionalFormatting>
  <conditionalFormatting sqref="C66:C68">
    <cfRule type="cellIs" dxfId="14" priority="14" operator="lessThan">
      <formula>$G$73</formula>
    </cfRule>
    <cfRule type="cellIs" dxfId="13" priority="15" operator="greaterThan">
      <formula>$G$74</formula>
    </cfRule>
  </conditionalFormatting>
  <conditionalFormatting sqref="C69:D71">
    <cfRule type="cellIs" dxfId="12" priority="12" operator="lessThan">
      <formula>$H$73</formula>
    </cfRule>
    <cfRule type="cellIs" dxfId="11" priority="13" operator="greaterThan">
      <formula>$H$74</formula>
    </cfRule>
  </conditionalFormatting>
  <conditionalFormatting sqref="B75:B77 C72:D73">
    <cfRule type="cellIs" dxfId="10" priority="10" operator="lessThan">
      <formula>$I$73</formula>
    </cfRule>
    <cfRule type="cellIs" dxfId="9" priority="11" operator="greaterThan">
      <formula>$I$74</formula>
    </cfRule>
  </conditionalFormatting>
  <conditionalFormatting sqref="C36:C46">
    <cfRule type="cellIs" dxfId="8" priority="9" operator="greaterThan">
      <formula>$C$56</formula>
    </cfRule>
  </conditionalFormatting>
  <conditionalFormatting sqref="X25:X27">
    <cfRule type="cellIs" dxfId="7" priority="24" operator="lessThan">
      <formula>$AA$39</formula>
    </cfRule>
    <cfRule type="cellIs" dxfId="6" priority="25" operator="greaterThan">
      <formula>$AA$40</formula>
    </cfRule>
  </conditionalFormatting>
  <conditionalFormatting sqref="X28:X30">
    <cfRule type="cellIs" dxfId="5" priority="26" operator="lessThan">
      <formula>$AB$39</formula>
    </cfRule>
    <cfRule type="cellIs" dxfId="4" priority="27" operator="greaterThan">
      <formula>$AB$40</formula>
    </cfRule>
  </conditionalFormatting>
  <conditionalFormatting sqref="X31:X33">
    <cfRule type="cellIs" dxfId="3" priority="28" operator="lessThan">
      <formula>$AC$39</formula>
    </cfRule>
    <cfRule type="cellIs" dxfId="2" priority="29" operator="greaterThan">
      <formula>$AC$40</formula>
    </cfRule>
  </conditionalFormatting>
  <conditionalFormatting sqref="X34:X35">
    <cfRule type="cellIs" dxfId="1" priority="30" operator="lessThan">
      <formula>$AD$39</formula>
    </cfRule>
    <cfRule type="cellIs" dxfId="0" priority="31" operator="greaterThan">
      <formula>$AD$40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19% RH</vt:lpstr>
      <vt:lpstr>22% RH</vt:lpstr>
      <vt:lpstr>30% RH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2022-05-12T18:50:14Z</dcterms:created>
  <dcterms:modified xsi:type="dcterms:W3CDTF">2022-05-12T20:28:13Z</dcterms:modified>
</cp:coreProperties>
</file>